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July 2025\11-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Report!$A$1:$H$383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7" i="1" l="1"/>
  <c r="K176" i="1"/>
  <c r="K185" i="1"/>
  <c r="K124" i="1"/>
  <c r="E202" i="1"/>
  <c r="I200" i="1"/>
  <c r="E200" i="1"/>
  <c r="E199" i="1"/>
  <c r="E198" i="1"/>
  <c r="E197" i="1"/>
  <c r="E196" i="1"/>
  <c r="E195" i="1"/>
  <c r="E193" i="1"/>
  <c r="E191" i="1"/>
  <c r="E187" i="1"/>
  <c r="E186" i="1"/>
  <c r="E184" i="1"/>
  <c r="E181" i="1"/>
  <c r="E180" i="1"/>
  <c r="E178" i="1"/>
  <c r="E177" i="1"/>
  <c r="E172" i="1"/>
  <c r="E171" i="1"/>
  <c r="E169" i="1"/>
  <c r="E163" i="1"/>
  <c r="E162" i="1"/>
  <c r="E160" i="1"/>
  <c r="J154" i="1"/>
  <c r="D184" i="1"/>
  <c r="D177" i="1"/>
  <c r="E154" i="1"/>
  <c r="E43" i="1" l="1"/>
  <c r="D202" i="1" l="1"/>
  <c r="E201" i="1"/>
  <c r="D201" i="1"/>
  <c r="D200" i="1"/>
  <c r="D199" i="1"/>
  <c r="D198" i="1"/>
  <c r="D197" i="1"/>
  <c r="D196" i="1"/>
  <c r="D195" i="1"/>
  <c r="D193" i="1"/>
  <c r="E192" i="1"/>
  <c r="D192" i="1"/>
  <c r="D191" i="1"/>
  <c r="E190" i="1"/>
  <c r="D190" i="1"/>
  <c r="E189" i="1"/>
  <c r="F189" i="1" s="1"/>
  <c r="H189" i="1" s="1"/>
  <c r="K189" i="1" s="1"/>
  <c r="D189" i="1"/>
  <c r="E188" i="1"/>
  <c r="D188" i="1"/>
  <c r="D187" i="1"/>
  <c r="D186" i="1"/>
  <c r="F184" i="1"/>
  <c r="H184" i="1" s="1"/>
  <c r="K184" i="1" s="1"/>
  <c r="E183" i="1"/>
  <c r="D183" i="1"/>
  <c r="E182" i="1"/>
  <c r="D182" i="1"/>
  <c r="D181" i="1"/>
  <c r="F181" i="1" s="1"/>
  <c r="H181" i="1" s="1"/>
  <c r="K181" i="1" s="1"/>
  <c r="D180" i="1"/>
  <c r="E179" i="1"/>
  <c r="D179" i="1"/>
  <c r="F179" i="1" s="1"/>
  <c r="H179" i="1" s="1"/>
  <c r="K179" i="1" s="1"/>
  <c r="D178" i="1"/>
  <c r="E175" i="1"/>
  <c r="D175" i="1"/>
  <c r="E174" i="1"/>
  <c r="D174" i="1"/>
  <c r="E173" i="1"/>
  <c r="D173" i="1"/>
  <c r="D172" i="1"/>
  <c r="D171" i="1"/>
  <c r="E170" i="1"/>
  <c r="D170" i="1"/>
  <c r="D169" i="1"/>
  <c r="E168" i="1"/>
  <c r="D168" i="1"/>
  <c r="G164" i="1"/>
  <c r="E166" i="1"/>
  <c r="D166" i="1"/>
  <c r="E165" i="1"/>
  <c r="D165" i="1"/>
  <c r="E164" i="1"/>
  <c r="D164" i="1"/>
  <c r="D163" i="1"/>
  <c r="D162" i="1"/>
  <c r="E161" i="1"/>
  <c r="D161" i="1"/>
  <c r="D160" i="1"/>
  <c r="E159" i="1"/>
  <c r="D159" i="1"/>
  <c r="G157" i="1"/>
  <c r="G155" i="1"/>
  <c r="G154" i="1"/>
  <c r="G153" i="1"/>
  <c r="E157" i="1"/>
  <c r="D157" i="1"/>
  <c r="E156" i="1"/>
  <c r="D156" i="1"/>
  <c r="D155" i="1"/>
  <c r="D154" i="1"/>
  <c r="F154" i="1" s="1"/>
  <c r="D153" i="1"/>
  <c r="F153" i="1" s="1"/>
  <c r="D148" i="1"/>
  <c r="F148" i="1" s="1"/>
  <c r="H148" i="1" s="1"/>
  <c r="D147" i="1"/>
  <c r="F147" i="1" s="1"/>
  <c r="H147" i="1" s="1"/>
  <c r="D146" i="1"/>
  <c r="F146" i="1" s="1"/>
  <c r="H146" i="1" s="1"/>
  <c r="D145" i="1"/>
  <c r="F145" i="1" s="1"/>
  <c r="H145" i="1" s="1"/>
  <c r="D144" i="1"/>
  <c r="F144" i="1" s="1"/>
  <c r="H144" i="1" s="1"/>
  <c r="D143" i="1"/>
  <c r="D142" i="1"/>
  <c r="D141" i="1"/>
  <c r="F141" i="1" s="1"/>
  <c r="D139" i="1"/>
  <c r="F139" i="1" s="1"/>
  <c r="H139" i="1" s="1"/>
  <c r="K139" i="1" s="1"/>
  <c r="D138" i="1"/>
  <c r="D137" i="1"/>
  <c r="F137" i="1" s="1"/>
  <c r="H137" i="1" s="1"/>
  <c r="K137" i="1" s="1"/>
  <c r="D136" i="1"/>
  <c r="F136" i="1" s="1"/>
  <c r="H136" i="1" s="1"/>
  <c r="K136" i="1" s="1"/>
  <c r="D135" i="1"/>
  <c r="D134" i="1"/>
  <c r="D133" i="1"/>
  <c r="D132" i="1"/>
  <c r="F202" i="1"/>
  <c r="H202" i="1" s="1"/>
  <c r="I197" i="1"/>
  <c r="A196" i="1"/>
  <c r="A197" i="1" s="1"/>
  <c r="A198" i="1" s="1"/>
  <c r="A199" i="1" s="1"/>
  <c r="A200" i="1" s="1"/>
  <c r="A201" i="1" s="1"/>
  <c r="A202" i="1" s="1"/>
  <c r="A187" i="1"/>
  <c r="A188" i="1" s="1"/>
  <c r="A189" i="1" s="1"/>
  <c r="A190" i="1" s="1"/>
  <c r="A191" i="1" s="1"/>
  <c r="A192" i="1" s="1"/>
  <c r="A193" i="1" s="1"/>
  <c r="A178" i="1"/>
  <c r="A179" i="1" s="1"/>
  <c r="A180" i="1" s="1"/>
  <c r="A181" i="1" s="1"/>
  <c r="A182" i="1" s="1"/>
  <c r="A183" i="1" s="1"/>
  <c r="A184" i="1" s="1"/>
  <c r="A169" i="1"/>
  <c r="A170" i="1" s="1"/>
  <c r="A171" i="1" s="1"/>
  <c r="A172" i="1" s="1"/>
  <c r="A173" i="1" s="1"/>
  <c r="A174" i="1" s="1"/>
  <c r="A175" i="1" s="1"/>
  <c r="A160" i="1"/>
  <c r="A161" i="1" s="1"/>
  <c r="A162" i="1" s="1"/>
  <c r="A163" i="1" s="1"/>
  <c r="A164" i="1" s="1"/>
  <c r="A165" i="1" s="1"/>
  <c r="A166" i="1" s="1"/>
  <c r="I156" i="1"/>
  <c r="I154" i="1"/>
  <c r="I153" i="1"/>
  <c r="F155" i="1"/>
  <c r="A154" i="1"/>
  <c r="A155" i="1" s="1"/>
  <c r="A156" i="1" s="1"/>
  <c r="A157" i="1" s="1"/>
  <c r="F142" i="1"/>
  <c r="H142" i="1" s="1"/>
  <c r="I132" i="1"/>
  <c r="F138" i="1"/>
  <c r="H138" i="1" s="1"/>
  <c r="K138" i="1" s="1"/>
  <c r="F143" i="1"/>
  <c r="H143" i="1" s="1"/>
  <c r="A142" i="1"/>
  <c r="A143" i="1" s="1"/>
  <c r="A144" i="1" s="1"/>
  <c r="A145" i="1" s="1"/>
  <c r="A146" i="1" s="1"/>
  <c r="A147" i="1" s="1"/>
  <c r="A148" i="1" s="1"/>
  <c r="F192" i="1" l="1"/>
  <c r="H192" i="1" s="1"/>
  <c r="K192" i="1" s="1"/>
  <c r="H153" i="1"/>
  <c r="F170" i="1"/>
  <c r="H170" i="1" s="1"/>
  <c r="K170" i="1" s="1"/>
  <c r="F183" i="1"/>
  <c r="H183" i="1" s="1"/>
  <c r="K183" i="1" s="1"/>
  <c r="H141" i="1"/>
  <c r="G119" i="1" s="1"/>
  <c r="E119" i="1"/>
  <c r="C119" i="1"/>
  <c r="F186" i="1"/>
  <c r="H186" i="1" s="1"/>
  <c r="K186" i="1" s="1"/>
  <c r="F161" i="1"/>
  <c r="H161" i="1" s="1"/>
  <c r="K161" i="1" s="1"/>
  <c r="F165" i="1"/>
  <c r="H165" i="1" s="1"/>
  <c r="K165" i="1" s="1"/>
  <c r="F178" i="1"/>
  <c r="H178" i="1" s="1"/>
  <c r="K178" i="1" s="1"/>
  <c r="F177" i="1"/>
  <c r="H177" i="1" s="1"/>
  <c r="K177" i="1" s="1"/>
  <c r="F190" i="1"/>
  <c r="H190" i="1" s="1"/>
  <c r="K190" i="1" s="1"/>
  <c r="F201" i="1"/>
  <c r="H201" i="1" s="1"/>
  <c r="F180" i="1"/>
  <c r="H180" i="1" s="1"/>
  <c r="K180" i="1" s="1"/>
  <c r="F156" i="1"/>
  <c r="H156" i="1" s="1"/>
  <c r="J156" i="1" s="1"/>
  <c r="F166" i="1"/>
  <c r="H166" i="1" s="1"/>
  <c r="K166" i="1" s="1"/>
  <c r="F173" i="1"/>
  <c r="H173" i="1" s="1"/>
  <c r="K173" i="1" s="1"/>
  <c r="F191" i="1"/>
  <c r="H191" i="1" s="1"/>
  <c r="K191" i="1" s="1"/>
  <c r="F193" i="1"/>
  <c r="H193" i="1" s="1"/>
  <c r="K193" i="1" s="1"/>
  <c r="F175" i="1"/>
  <c r="H175" i="1" s="1"/>
  <c r="K175" i="1" s="1"/>
  <c r="F187" i="1"/>
  <c r="H187" i="1" s="1"/>
  <c r="K187" i="1" s="1"/>
  <c r="F188" i="1"/>
  <c r="H188" i="1" s="1"/>
  <c r="K188" i="1" s="1"/>
  <c r="F199" i="1"/>
  <c r="H199" i="1" s="1"/>
  <c r="F200" i="1"/>
  <c r="H200" i="1" s="1"/>
  <c r="F198" i="1"/>
  <c r="H198" i="1" s="1"/>
  <c r="F197" i="1"/>
  <c r="H197" i="1" s="1"/>
  <c r="F196" i="1"/>
  <c r="H196" i="1" s="1"/>
  <c r="F195" i="1"/>
  <c r="H195" i="1" s="1"/>
  <c r="F182" i="1"/>
  <c r="H182" i="1" s="1"/>
  <c r="K182" i="1" s="1"/>
  <c r="F174" i="1"/>
  <c r="H174" i="1" s="1"/>
  <c r="K174" i="1" s="1"/>
  <c r="F172" i="1"/>
  <c r="H172" i="1" s="1"/>
  <c r="K172" i="1" s="1"/>
  <c r="F171" i="1"/>
  <c r="H171" i="1" s="1"/>
  <c r="F169" i="1"/>
  <c r="H169" i="1" s="1"/>
  <c r="K169" i="1" s="1"/>
  <c r="F168" i="1"/>
  <c r="H168" i="1" s="1"/>
  <c r="K168" i="1" s="1"/>
  <c r="F164" i="1"/>
  <c r="H164" i="1" s="1"/>
  <c r="F163" i="1"/>
  <c r="H163" i="1" s="1"/>
  <c r="K163" i="1" s="1"/>
  <c r="F162" i="1"/>
  <c r="H162" i="1" s="1"/>
  <c r="K162" i="1" s="1"/>
  <c r="F160" i="1"/>
  <c r="H160" i="1" s="1"/>
  <c r="K160" i="1" s="1"/>
  <c r="F159" i="1"/>
  <c r="H159" i="1" s="1"/>
  <c r="H155" i="1"/>
  <c r="H154" i="1"/>
  <c r="F157" i="1"/>
  <c r="H157" i="1" s="1"/>
  <c r="F133" i="1"/>
  <c r="H133" i="1" s="1"/>
  <c r="K133" i="1" s="1"/>
  <c r="F134" i="1"/>
  <c r="H134" i="1" s="1"/>
  <c r="K134" i="1" s="1"/>
  <c r="F135" i="1"/>
  <c r="H135" i="1" s="1"/>
  <c r="K135" i="1" s="1"/>
  <c r="F132" i="1"/>
  <c r="K159" i="1" l="1"/>
  <c r="J159" i="1"/>
  <c r="I164" i="1"/>
  <c r="K164" i="1"/>
  <c r="J171" i="1"/>
  <c r="K171" i="1"/>
  <c r="G123" i="1"/>
  <c r="G124" i="1" s="1"/>
  <c r="E123" i="1"/>
  <c r="E124" i="1" s="1"/>
  <c r="H132" i="1"/>
  <c r="C118" i="1"/>
  <c r="C120" i="1" s="1"/>
  <c r="E118" i="1"/>
  <c r="E120" i="1" s="1"/>
  <c r="C123" i="1"/>
  <c r="C124" i="1" s="1"/>
  <c r="B234" i="1"/>
  <c r="J103" i="1" l="1"/>
  <c r="I103" i="1" s="1"/>
  <c r="G118" i="1"/>
  <c r="G120" i="1" s="1"/>
  <c r="K132" i="1"/>
  <c r="G58" i="1"/>
  <c r="C58" i="1"/>
  <c r="G56" i="1"/>
  <c r="C56" i="1"/>
  <c r="C54" i="1"/>
  <c r="S33" i="1" l="1"/>
  <c r="F11" i="5" l="1"/>
  <c r="G11" i="5" s="1"/>
  <c r="F10" i="5"/>
  <c r="G10" i="5" s="1"/>
  <c r="F9" i="5"/>
  <c r="G9" i="5" s="1"/>
  <c r="F8" i="5"/>
  <c r="G8" i="5" s="1"/>
  <c r="F7" i="5"/>
  <c r="G7" i="5" s="1"/>
  <c r="G6" i="5"/>
  <c r="F6" i="5"/>
  <c r="F5" i="5"/>
  <c r="G5" i="5" s="1"/>
  <c r="G12" i="5" s="1"/>
  <c r="D255" i="1"/>
  <c r="B235" i="1"/>
  <c r="F231" i="1"/>
  <c r="H231" i="1" s="1"/>
  <c r="F230" i="1"/>
  <c r="H230" i="1" s="1"/>
  <c r="F229" i="1"/>
  <c r="H229" i="1" s="1"/>
  <c r="F228" i="1"/>
  <c r="H228" i="1" s="1"/>
  <c r="F227" i="1"/>
  <c r="H227" i="1" s="1"/>
  <c r="F225" i="1"/>
  <c r="H225" i="1" s="1"/>
  <c r="F224" i="1"/>
  <c r="H224" i="1" s="1"/>
  <c r="F223" i="1"/>
  <c r="H223" i="1" s="1"/>
  <c r="F222" i="1"/>
  <c r="H222" i="1" s="1"/>
  <c r="F221" i="1"/>
  <c r="H221" i="1" s="1"/>
  <c r="F219" i="1"/>
  <c r="H219" i="1" s="1"/>
  <c r="F218" i="1"/>
  <c r="H218" i="1" s="1"/>
  <c r="F217" i="1"/>
  <c r="H217" i="1" s="1"/>
  <c r="F216" i="1"/>
  <c r="H216" i="1" s="1"/>
  <c r="F215" i="1"/>
  <c r="H215" i="1" s="1"/>
  <c r="F213" i="1"/>
  <c r="H213" i="1" s="1"/>
  <c r="F212" i="1"/>
  <c r="H212" i="1" s="1"/>
  <c r="F211" i="1"/>
  <c r="H211" i="1" s="1"/>
  <c r="F210" i="1"/>
  <c r="H210" i="1" s="1"/>
  <c r="F209" i="1"/>
  <c r="H209" i="1" s="1"/>
  <c r="A209" i="1"/>
  <c r="A210" i="1" s="1"/>
  <c r="A211" i="1" s="1"/>
  <c r="A212" i="1" s="1"/>
  <c r="A213" i="1" s="1"/>
  <c r="F207" i="1"/>
  <c r="H207" i="1" s="1"/>
  <c r="F206" i="1"/>
  <c r="H206" i="1" s="1"/>
  <c r="F205" i="1"/>
  <c r="H205" i="1" s="1"/>
  <c r="A205" i="1"/>
  <c r="A206" i="1" s="1"/>
  <c r="A207" i="1" s="1"/>
  <c r="F204" i="1"/>
  <c r="H204" i="1" s="1"/>
  <c r="A133" i="1"/>
  <c r="A134" i="1" s="1"/>
  <c r="A135" i="1" s="1"/>
  <c r="A136" i="1" s="1"/>
  <c r="A137" i="1" s="1"/>
  <c r="A138" i="1" s="1"/>
  <c r="A139" i="1" s="1"/>
  <c r="G125" i="1"/>
  <c r="E125" i="1"/>
  <c r="C125" i="1"/>
  <c r="F115" i="1"/>
  <c r="D67" i="1"/>
  <c r="D62" i="1"/>
  <c r="G51" i="1"/>
  <c r="G52" i="1" s="1"/>
  <c r="C51" i="1"/>
  <c r="C52" i="1" s="1"/>
  <c r="E44" i="1"/>
  <c r="E45" i="1" s="1"/>
  <c r="E31" i="1"/>
  <c r="E28" i="1"/>
  <c r="E26" i="1"/>
  <c r="C16" i="1"/>
  <c r="I15" i="1"/>
  <c r="Z13" i="1"/>
  <c r="E8" i="1"/>
  <c r="E3" i="1"/>
  <c r="A221" i="1"/>
  <c r="A227" i="1"/>
  <c r="H74" i="1"/>
  <c r="A215" i="1"/>
  <c r="J73" i="1" l="1"/>
  <c r="J75" i="1" s="1"/>
  <c r="J76" i="1"/>
  <c r="J77" i="1"/>
  <c r="J78" i="1"/>
  <c r="C77" i="1" s="1"/>
  <c r="D81" i="1"/>
  <c r="D83" i="1"/>
  <c r="D82" i="1"/>
  <c r="D86" i="1"/>
  <c r="D80" i="1"/>
  <c r="D85" i="1"/>
  <c r="D79" i="1"/>
  <c r="D84" i="1"/>
  <c r="B74" i="1"/>
  <c r="J79" i="1" s="1"/>
  <c r="A222" i="1"/>
  <c r="A216" i="1"/>
  <c r="A228" i="1"/>
  <c r="B88" i="1" l="1"/>
  <c r="D77" i="1"/>
  <c r="J83" i="1"/>
  <c r="J81" i="1"/>
  <c r="J82" i="1"/>
  <c r="J80" i="1"/>
  <c r="J85" i="1" s="1"/>
  <c r="J86" i="1" s="1"/>
  <c r="C78" i="1" s="1"/>
  <c r="J84" i="1"/>
  <c r="A229" i="1"/>
  <c r="A223" i="1"/>
  <c r="H88" i="1"/>
  <c r="A217" i="1"/>
  <c r="D100" i="1" l="1"/>
  <c r="D96" i="1"/>
  <c r="D95" i="1"/>
  <c r="J87" i="1"/>
  <c r="J89" i="1" s="1"/>
  <c r="D99" i="1"/>
  <c r="J91" i="1"/>
  <c r="D98" i="1"/>
  <c r="D94" i="1"/>
  <c r="J90" i="1"/>
  <c r="D97" i="1"/>
  <c r="D93" i="1"/>
  <c r="J92" i="1"/>
  <c r="C91" i="1" s="1"/>
  <c r="D91" i="1" s="1"/>
  <c r="J95" i="1"/>
  <c r="J96" i="1"/>
  <c r="J98" i="1"/>
  <c r="J97" i="1"/>
  <c r="J93" i="1"/>
  <c r="J94" i="1" s="1"/>
  <c r="J99" i="1" s="1"/>
  <c r="J100" i="1" s="1"/>
  <c r="J74" i="1"/>
  <c r="E77" i="1"/>
  <c r="D78" i="1"/>
  <c r="I74" i="1" s="1"/>
  <c r="G77" i="1"/>
  <c r="A224" i="1"/>
  <c r="A230" i="1"/>
  <c r="A218" i="1"/>
  <c r="D71" i="1" l="1"/>
  <c r="F72" i="1" s="1"/>
  <c r="C92" i="1"/>
  <c r="E91" i="1" s="1"/>
  <c r="C101" i="1" s="1"/>
  <c r="J101" i="1"/>
  <c r="I75" i="1"/>
  <c r="I73" i="1" s="1"/>
  <c r="C75" i="1" s="1"/>
  <c r="A231" i="1"/>
  <c r="A219" i="1"/>
  <c r="A225" i="1"/>
  <c r="D72" i="1" l="1"/>
  <c r="G91" i="1"/>
  <c r="G101" i="1" s="1"/>
  <c r="J88" i="1"/>
  <c r="D92" i="1"/>
  <c r="I88" i="1" s="1"/>
  <c r="I89" i="1" s="1"/>
  <c r="I87" i="1" l="1"/>
  <c r="C89"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8"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1"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<sst xmlns="http://schemas.openxmlformats.org/spreadsheetml/2006/main" count="630" uniqueCount="353">
  <si>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</si>
  <si>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</si>
  <si>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</si>
  <si>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</si>
  <si>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</si>
  <si>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</si>
  <si>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</si>
  <si>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</si>
  <si>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</si>
  <si>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</si>
  <si>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</si>
  <si>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</si>
  <si>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</si>
  <si>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</si>
  <si>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</si>
  <si>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</si>
  <si>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</si>
  <si>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</si>
  <si>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</si>
  <si>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</si>
  <si>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</si>
  <si>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</si>
  <si>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</si>
  <si>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</si>
  <si>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</si>
  <si>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</si>
  <si>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</si>
  <si>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</si>
  <si>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</si>
  <si>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</si>
  <si>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</si>
  <si>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</si>
  <si>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</si>
  <si>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</si>
  <si>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</si>
  <si>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</si>
  <si>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</si>
  <si>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</si>
  <si>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</si>
  <si>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</si>
  <si>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</si>
  <si>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</si>
  <si>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</si>
  <si>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</si>
  <si>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</si>
  <si>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</si>
  <si>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</si>
  <si>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</si>
  <si>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</si>
  <si>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</si>
  <si>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</si>
  <si>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</si>
  <si>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</si>
  <si>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</si>
  <si>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</si>
  <si>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</si>
  <si>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</si>
  <si>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</si>
  <si>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</si>
  <si>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</si>
  <si>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</si>
  <si>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</si>
  <si>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</si>
  <si>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</si>
  <si>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</si>
  <si>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</si>
  <si>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</si>
  <si>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</si>
  <si>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</si>
  <si>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</si>
  <si>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</si>
  <si>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</si>
  <si>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</si>
  <si>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</si>
  <si>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</si>
  <si>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</si>
  <si>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</si>
  <si>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</si>
  <si>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</si>
  <si>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</si>
  <si>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</si>
  <si>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</si>
  <si>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</si>
  <si>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</si>
  <si>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</si>
  <si>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</si>
  <si>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</si>
  <si>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</si>
  <si>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</si>
  <si>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</si>
  <si>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</si>
  <si>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</si>
  <si>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</si>
  <si>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</si>
  <si>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</si>
  <si>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</si>
  <si>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</si>
  <si>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</si>
  <si>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</si>
  <si>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</si>
  <si>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</si>
  <si>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</si>
  <si>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</si>
  <si>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</si>
  <si>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</si>
  <si>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</si>
  <si>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</si>
  <si>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</si>
  <si>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</si>
  <si>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</si>
  <si>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</si>
  <si>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</si>
  <si>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</si>
  <si>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</si>
  <si>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</si>
  <si>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</si>
  <si>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</si>
  <si>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</si>
  <si>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</si>
  <si>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Flat No.
</t>
    </r>
    <r>
      <rPr>
        <b/>
        <sz val="11"/>
        <color rgb="FF000000"/>
        <rFont val="Times New Roman"/>
        <family val="1"/>
      </rPr>
      <t>(Approved Plan)</t>
    </r>
  </si>
  <si>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</si>
  <si>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</si>
  <si>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</si>
  <si>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</si>
  <si>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</si>
  <si>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</si>
  <si>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</si>
  <si>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</si>
  <si>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</si>
  <si>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</si>
  <si>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</si>
  <si>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</si>
  <si>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</si>
  <si>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</si>
  <si>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</si>
  <si>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</si>
  <si>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</si>
  <si>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</si>
  <si>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</si>
  <si>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</si>
  <si>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</si>
  <si>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</si>
  <si>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</si>
  <si>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</si>
  <si>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</si>
  <si>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</si>
  <si>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</si>
  <si>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</si>
  <si>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</si>
  <si>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</si>
  <si>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</si>
  <si>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</si>
  <si>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</si>
  <si>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</si>
  <si>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</si>
  <si>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</si>
  <si>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</si>
  <si>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</si>
  <si>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</si>
  <si>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</si>
  <si>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</si>
  <si>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</si>
  <si>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</si>
  <si>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</si>
  <si>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</si>
  <si>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</si>
  <si>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</si>
  <si>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</si>
  <si>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</si>
  <si>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</si>
  <si>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</si>
  <si>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</si>
  <si>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</si>
  <si>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</si>
  <si>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</si>
  <si>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</si>
  <si>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</si>
  <si>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</si>
  <si>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</si>
  <si>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</si>
  <si>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</si>
  <si>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</si>
  <si>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</si>
  <si>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</si>
  <si>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</si>
  <si>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</si>
  <si>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</si>
  <si>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</si>
  <si>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</si>
  <si>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</si>
  <si>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</si>
  <si>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</si>
  <si>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</si>
  <si>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</si>
  <si>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</si>
  <si>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</si>
  <si>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</si>
  <si>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</si>
  <si>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</si>
  <si>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</si>
  <si>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</si>
  <si>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</si>
  <si>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</si>
  <si>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</si>
  <si>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</si>
  <si>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</si>
  <si>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</si>
  <si>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</si>
  <si>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</si>
  <si>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</si>
  <si>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</si>
  <si>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</si>
  <si>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</si>
  <si>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</si>
  <si>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</si>
  <si>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</si>
  <si>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</si>
  <si>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</si>
  <si>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</si>
  <si>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</si>
  <si>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</si>
  <si>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</si>
  <si>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</si>
  <si>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</si>
  <si>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</si>
  <si>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</si>
  <si>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</si>
  <si>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</si>
  <si>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</si>
  <si>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</si>
  <si>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</si>
  <si>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</si>
  <si>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</si>
  <si>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</si>
  <si>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</si>
  <si>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</si>
  <si>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</si>
  <si>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</si>
  <si>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</si>
  <si>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</si>
  <si>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</si>
  <si>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</si>
  <si>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</si>
  <si>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</si>
  <si>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</si>
  <si>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</si>
  <si>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</si>
  <si>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</si>
  <si>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</si>
  <si>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</si>
  <si>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</si>
  <si>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</si>
  <si>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</si>
  <si>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</si>
  <si>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</si>
  <si>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</si>
  <si>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</si>
  <si>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</si>
  <si>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</si>
  <si>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</si>
  <si>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</si>
  <si>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</si>
  <si>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</si>
  <si>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</si>
  <si>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</si>
  <si>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</si>
  <si>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</si>
  <si>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</si>
  <si>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</si>
  <si>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</si>
  <si>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</si>
  <si>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</si>
  <si>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</si>
  <si>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</si>
  <si>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</si>
  <si>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</si>
  <si>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</si>
  <si>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</si>
  <si>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</si>
  <si>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</si>
  <si>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</si>
  <si>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</si>
  <si>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</si>
  <si>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</si>
  <si>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</si>
  <si>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</si>
  <si>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</si>
  <si>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</si>
  <si>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</si>
  <si>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</si>
  <si>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</si>
  <si>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</si>
  <si>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</si>
  <si>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</si>
  <si>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</si>
  <si>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</si>
  <si>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</si>
  <si>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</si>
  <si>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</si>
  <si>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</si>
  <si>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</si>
  <si>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M/S. Bhagwati Ventures</t>
  </si>
  <si>
    <t>Bhagwati Belleza</t>
  </si>
  <si>
    <t>P52000045869</t>
  </si>
  <si>
    <t>https://maps.app.goo.gl/CoUUn6kc6YFCd1oS6</t>
  </si>
  <si>
    <t>18.9773396,73.0313034</t>
  </si>
  <si>
    <t>Plot No</t>
  </si>
  <si>
    <t>182, Sector : 20</t>
  </si>
  <si>
    <t>0.95 KM from Bamandongri Railway Station</t>
  </si>
  <si>
    <t>Ulwe</t>
  </si>
  <si>
    <t>Sector 19 Road</t>
  </si>
  <si>
    <t>Tricity Avenue</t>
  </si>
  <si>
    <t>Building</t>
  </si>
  <si>
    <t>30M Wide Road</t>
  </si>
  <si>
    <t>Plot No.172 &amp; 173</t>
  </si>
  <si>
    <t>Plot No.181</t>
  </si>
  <si>
    <t>Plot No.183</t>
  </si>
  <si>
    <t>CIDCO/BP-17868/TPO(NM &amp; K)/2021/11158</t>
  </si>
  <si>
    <t>As per RERA - 31/03/2026</t>
  </si>
  <si>
    <t>Basement Floor for Parking</t>
  </si>
  <si>
    <t>Shop</t>
  </si>
  <si>
    <t>1st Floor</t>
  </si>
  <si>
    <t>Ground Floor for Commercial &amp; Parking</t>
  </si>
  <si>
    <t>Office</t>
  </si>
  <si>
    <t>2nd Floor for Residential, Fitness Center &amp; Amenities</t>
  </si>
  <si>
    <t>2BHK</t>
  </si>
  <si>
    <t>Balcony Area</t>
  </si>
  <si>
    <t>3rd Floor</t>
  </si>
  <si>
    <t>4th to 8th Floor</t>
  </si>
  <si>
    <t>9th Floor</t>
  </si>
  <si>
    <t>11th Floor</t>
  </si>
  <si>
    <t>Flats</t>
  </si>
  <si>
    <r>
      <t xml:space="preserve">Shop No.
</t>
    </r>
    <r>
      <rPr>
        <b/>
        <sz val="11"/>
        <rFont val="Times New Roman"/>
        <family val="1"/>
      </rPr>
      <t>(Approved Plan)</t>
    </r>
  </si>
  <si>
    <t>Flats - 77, Shops - 8, Offices - 8</t>
  </si>
  <si>
    <t>1B + Gr/Stilt + 1st to 11th Floor</t>
  </si>
  <si>
    <t>Landscaped Podium Garden, Well Equipped Gym, Indoor Games, Kids Play, Drivers Rest Area</t>
  </si>
  <si>
    <r>
      <t xml:space="preserve">Proposed Amenities :                                                                                                                                                                                                                         </t>
    </r>
    <r>
      <rPr>
        <b/>
        <sz val="12"/>
        <rFont val="Times New Roman"/>
        <family val="1"/>
      </rPr>
      <t xml:space="preserve">                                               </t>
    </r>
  </si>
  <si>
    <t>Part II = 1B + Gr/Stilt + 1st to 11th Floor</t>
  </si>
  <si>
    <t>Online</t>
  </si>
  <si>
    <t>MIS</t>
  </si>
  <si>
    <t>Sector 19 Road/Neel Siddhi Joya</t>
  </si>
  <si>
    <t>10th Floor (Part Refuge Area)</t>
  </si>
  <si>
    <t>We considered Gross carpet area = Net carpet + Balcony.</t>
  </si>
  <si>
    <t>Average Progress</t>
  </si>
  <si>
    <t>Average Disbursement</t>
  </si>
  <si>
    <t>Other charges upto 5Lac can be consider</t>
  </si>
  <si>
    <t>Bharat Sir 8369223649</t>
  </si>
  <si>
    <t>Tushar</t>
  </si>
  <si>
    <t>Pooja Kawale</t>
  </si>
  <si>
    <t>Rate 9600 + OC 5L 
smith costsheet     29/01/2025</t>
  </si>
  <si>
    <t>Other Charges</t>
  </si>
  <si>
    <t>Recommended Rates / Other charges of the Property have been revised on 29/01/2025.</t>
  </si>
  <si>
    <t>Construction work is in process at the time of Visit.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</si>
</sst>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
      <b/>
      <sz val="11.5"/>
      <name val="Times New Roman"/>
      <family val="1"/>
    </font>
    <font>
      <sz val="11"/>
      <color rgb="FFFF0000"/>
      <name val="Times New Roman"/>
      <family val="1"/>
    </font>
  </fonts>
  <fills count="3">
    <fill>
      <patternFill patternType="none"/>
    </fill>
    <fill>
      <patternFill patternType="gray125"/>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5" fillId="0" borderId="0" applyNumberFormat="0" applyFill="0" applyBorder="0" applyAlignment="0" applyProtection="0"/>
  </cellStyleXfs>
  <cellXfs count="223">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7" fillId="0" borderId="1" xfId="5" applyNumberFormat="1" applyFont="1" applyBorder="1" applyAlignment="1">
      <alignment horizontal="center" vertical="center"/>
    </xf>
    <xf numFmtId="0" fontId="5" fillId="0" borderId="1" xfId="4" applyBorder="1" applyAlignment="1">
      <alignment horizontal="center" vertical="center"/>
    </xf>
    <xf numFmtId="0" fontId="16" fillId="0" borderId="0" xfId="0" applyFont="1" applyProtection="1">
      <protection hidden="1"/>
    </xf>
    <xf numFmtId="0" fontId="16" fillId="0" borderId="10" xfId="0" applyFont="1" applyBorder="1" applyProtection="1">
      <protection hidden="1"/>
    </xf>
    <xf numFmtId="0" fontId="11" fillId="0" borderId="3" xfId="1" applyFont="1" applyBorder="1" applyAlignment="1" applyProtection="1">
      <alignment horizontal="center" vertical="top"/>
      <protection locked="0"/>
    </xf>
    <xf numFmtId="0" fontId="11"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4" fillId="0" borderId="0" xfId="1" applyFont="1"/>
    <xf numFmtId="0" fontId="11"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2" fillId="0" borderId="0" xfId="1" applyFont="1"/>
    <xf numFmtId="0" fontId="7" fillId="0" borderId="9" xfId="1" applyFont="1" applyBorder="1"/>
    <xf numFmtId="0" fontId="16"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5"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3" fillId="2" borderId="29" xfId="0" applyFont="1" applyFill="1" applyBorder="1"/>
    <xf numFmtId="0" fontId="24" fillId="0" borderId="30" xfId="0" applyFont="1" applyBorder="1"/>
    <xf numFmtId="0" fontId="24" fillId="0" borderId="1" xfId="0" applyFont="1" applyBorder="1"/>
    <xf numFmtId="0" fontId="24" fillId="0" borderId="4"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2" fontId="7" fillId="0" borderId="0" xfId="1" applyNumberFormat="1" applyFont="1" applyAlignment="1">
      <alignment horizontal="center" vertical="center"/>
    </xf>
    <xf numFmtId="1" fontId="7" fillId="0" borderId="1" xfId="1" applyNumberFormat="1" applyFont="1" applyBorder="1" applyAlignment="1">
      <alignment horizontal="center" vertical="center"/>
    </xf>
    <xf numFmtId="1" fontId="12" fillId="0" borderId="2" xfId="1" applyNumberFormat="1" applyFont="1" applyBorder="1" applyAlignment="1" applyProtection="1">
      <alignment horizontal="center" vertical="top" wrapText="1"/>
      <protection locked="0"/>
    </xf>
    <xf numFmtId="9" fontId="12" fillId="0" borderId="15" xfId="8" applyFont="1" applyFill="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6" xfId="1" applyFont="1" applyBorder="1" applyAlignment="1" applyProtection="1">
      <alignment horizontal="center" vertical="top" wrapText="1"/>
      <protection locked="0"/>
    </xf>
    <xf numFmtId="9" fontId="11" fillId="0" borderId="6" xfId="8" applyFont="1" applyFill="1" applyBorder="1" applyAlignment="1" applyProtection="1">
      <alignment horizontal="center" vertical="top" wrapText="1"/>
      <protection locked="0"/>
    </xf>
    <xf numFmtId="0" fontId="14" fillId="0" borderId="0" xfId="1" applyFont="1" applyAlignment="1">
      <alignment horizontal="center" vertical="center"/>
    </xf>
    <xf numFmtId="0" fontId="31" fillId="0" borderId="0" xfId="1" applyFont="1" applyAlignment="1">
      <alignment horizontal="center" vertical="center"/>
    </xf>
    <xf numFmtId="0" fontId="14" fillId="0" borderId="0" xfId="2" applyFont="1" applyAlignment="1">
      <alignment horizontal="center" vertical="center"/>
    </xf>
    <xf numFmtId="1" fontId="14" fillId="0" borderId="0" xfId="1" applyNumberFormat="1" applyFont="1" applyAlignment="1">
      <alignment horizontal="center" vertical="center"/>
    </xf>
    <xf numFmtId="0" fontId="7" fillId="0" borderId="0" xfId="1" applyFont="1" applyAlignment="1">
      <alignment horizontal="center" vertical="center"/>
    </xf>
    <xf numFmtId="164" fontId="7" fillId="0" borderId="0" xfId="1" applyNumberFormat="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14" fillId="0" borderId="0" xfId="1" applyFont="1" applyAlignment="1">
      <alignment horizontal="left" vertical="center"/>
    </xf>
    <xf numFmtId="0" fontId="23" fillId="2" borderId="14" xfId="0" applyFont="1" applyFill="1" applyBorder="1"/>
    <xf numFmtId="0" fontId="24" fillId="0" borderId="8" xfId="0" applyFont="1" applyBorder="1"/>
    <xf numFmtId="0" fontId="7" fillId="0" borderId="24" xfId="1" applyFont="1" applyBorder="1" applyAlignment="1">
      <alignment horizontal="center" vertical="center"/>
    </xf>
    <xf numFmtId="0" fontId="7" fillId="0" borderId="0" xfId="1" applyFont="1" applyAlignment="1">
      <alignment horizontal="center" vertical="center"/>
    </xf>
    <xf numFmtId="0" fontId="6" fillId="0" borderId="1" xfId="1" applyFont="1" applyBorder="1" applyAlignment="1" applyProtection="1">
      <alignment horizontal="left" vertical="top"/>
      <protection locked="0"/>
    </xf>
    <xf numFmtId="1" fontId="6" fillId="0" borderId="1" xfId="1"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0" fontId="12" fillId="0" borderId="1"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25"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12" fillId="0" borderId="2" xfId="1" applyNumberFormat="1" applyFont="1" applyBorder="1" applyAlignment="1" applyProtection="1">
      <alignment horizontal="center" vertical="top" wrapText="1"/>
      <protection locked="0"/>
    </xf>
    <xf numFmtId="1" fontId="12" fillId="0" borderId="15"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0" fontId="6" fillId="0" borderId="7" xfId="1" applyFont="1" applyBorder="1" applyAlignment="1" applyProtection="1">
      <alignment vertical="top" wrapText="1"/>
      <protection locked="0"/>
    </xf>
    <xf numFmtId="0" fontId="6" fillId="0" borderId="20" xfId="1" applyFont="1" applyBorder="1" applyAlignment="1" applyProtection="1">
      <alignment vertical="top" wrapText="1"/>
      <protection locked="0"/>
    </xf>
    <xf numFmtId="0" fontId="6" fillId="0" borderId="8" xfId="1" applyFont="1" applyBorder="1" applyAlignment="1" applyProtection="1">
      <alignment vertical="top" wrapText="1"/>
      <protection locked="0"/>
    </xf>
    <xf numFmtId="0" fontId="11" fillId="0" borderId="3"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2" fillId="0" borderId="31" xfId="1" applyFont="1" applyBorder="1" applyAlignment="1" applyProtection="1">
      <alignment horizontal="center" vertical="center" wrapText="1"/>
      <protection locked="0"/>
    </xf>
    <xf numFmtId="0" fontId="12" fillId="0" borderId="32" xfId="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1" fontId="29" fillId="0" borderId="2" xfId="1" applyNumberFormat="1" applyFont="1" applyBorder="1" applyAlignment="1" applyProtection="1">
      <alignment horizontal="center" vertical="top" wrapText="1"/>
      <protection locked="0"/>
    </xf>
    <xf numFmtId="1" fontId="29" fillId="0" borderId="15" xfId="1" applyNumberFormat="1" applyFont="1" applyBorder="1" applyAlignment="1" applyProtection="1">
      <alignment horizontal="center" vertical="top" wrapText="1"/>
      <protection locked="0"/>
    </xf>
    <xf numFmtId="0" fontId="12" fillId="0" borderId="4" xfId="1" applyFont="1" applyBorder="1" applyAlignment="1" applyProtection="1">
      <alignment horizontal="left" vertical="top" wrapText="1"/>
      <protection locked="0"/>
    </xf>
    <xf numFmtId="1" fontId="8" fillId="0" borderId="1" xfId="0" applyNumberFormat="1" applyFont="1" applyBorder="1" applyAlignment="1" applyProtection="1">
      <alignment horizontal="center" vertical="center" wrapText="1"/>
      <protection locked="0"/>
    </xf>
    <xf numFmtId="0" fontId="11" fillId="0" borderId="16"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11" fillId="0" borderId="1" xfId="1" applyFont="1" applyBorder="1" applyAlignment="1" applyProtection="1">
      <alignment horizontal="center"/>
      <protection locked="0"/>
    </xf>
    <xf numFmtId="0" fontId="11" fillId="0" borderId="7" xfId="1" applyFont="1" applyBorder="1" applyAlignment="1" applyProtection="1">
      <alignment horizontal="center" vertical="top"/>
      <protection locked="0"/>
    </xf>
    <xf numFmtId="0" fontId="11" fillId="0" borderId="20"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6" fillId="0" borderId="15"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6" fillId="0" borderId="20"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2" xfId="1" applyFont="1" applyBorder="1" applyAlignment="1" applyProtection="1">
      <alignment horizontal="left" vertical="top"/>
      <protection locked="0"/>
    </xf>
    <xf numFmtId="0" fontId="12" fillId="0" borderId="7"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0" fontId="12" fillId="0" borderId="7"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14" fontId="6" fillId="0" borderId="7" xfId="1" applyNumberFormat="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7" fillId="0" borderId="7"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11" fillId="0" borderId="1" xfId="1" applyFont="1" applyBorder="1" applyAlignment="1" applyProtection="1">
      <alignment horizontal="left"/>
      <protection locked="0"/>
    </xf>
    <xf numFmtId="0" fontId="30"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11" fillId="0" borderId="4" xfId="1" applyFont="1" applyBorder="1" applyAlignment="1" applyProtection="1">
      <alignment horizontal="center" vertical="top" wrapText="1"/>
      <protection locked="0"/>
    </xf>
    <xf numFmtId="9" fontId="11" fillId="0" borderId="16" xfId="8" applyFont="1" applyFill="1" applyBorder="1" applyAlignment="1" applyProtection="1">
      <alignment horizontal="center" vertical="center" wrapText="1"/>
      <protection locked="0"/>
    </xf>
    <xf numFmtId="9" fontId="11" fillId="0" borderId="17" xfId="8" applyFont="1" applyFill="1" applyBorder="1" applyAlignment="1" applyProtection="1">
      <alignment horizontal="center" vertical="center" wrapText="1"/>
      <protection locked="0"/>
    </xf>
    <xf numFmtId="9" fontId="11" fillId="0" borderId="24"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9" xfId="8" applyFont="1" applyFill="1" applyBorder="1" applyAlignment="1" applyProtection="1">
      <alignment horizontal="center" vertical="center" wrapText="1"/>
      <protection locked="0"/>
    </xf>
    <xf numFmtId="9" fontId="11" fillId="0" borderId="11" xfId="8" applyFont="1" applyFill="1" applyBorder="1" applyAlignment="1" applyProtection="1">
      <alignment horizontal="center" vertical="center" wrapText="1"/>
      <protection locked="0"/>
    </xf>
    <xf numFmtId="0" fontId="11" fillId="0" borderId="5" xfId="1" applyFont="1" applyBorder="1" applyAlignment="1" applyProtection="1">
      <alignment horizontal="center" vertical="top" wrapText="1"/>
      <protection locked="0"/>
    </xf>
    <xf numFmtId="0" fontId="11" fillId="0" borderId="6"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67" fontId="11" fillId="0" borderId="1" xfId="9" applyNumberFormat="1" applyFont="1" applyFill="1" applyBorder="1" applyAlignment="1" applyProtection="1">
      <alignment horizontal="left" vertical="top"/>
      <protection locked="0"/>
    </xf>
    <xf numFmtId="167" fontId="7" fillId="0" borderId="1" xfId="9" applyNumberFormat="1" applyFont="1" applyFill="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0" fontId="12" fillId="0" borderId="15" xfId="1" applyFont="1" applyBorder="1" applyAlignment="1" applyProtection="1">
      <alignment horizontal="center" vertical="top"/>
      <protection locked="0"/>
    </xf>
    <xf numFmtId="1" fontId="8" fillId="0" borderId="2" xfId="0" applyNumberFormat="1" applyFont="1" applyBorder="1" applyAlignment="1" applyProtection="1">
      <alignment horizontal="center" vertical="center" wrapText="1"/>
      <protection locked="0"/>
    </xf>
    <xf numFmtId="1" fontId="10" fillId="0" borderId="2" xfId="0" applyNumberFormat="1" applyFont="1" applyBorder="1" applyAlignment="1" applyProtection="1">
      <alignment horizontal="center" vertical="top" wrapText="1"/>
      <protection locked="0"/>
    </xf>
    <xf numFmtId="0" fontId="10" fillId="0" borderId="2" xfId="0" applyFont="1" applyBorder="1" applyAlignment="1" applyProtection="1">
      <alignment horizontal="center" vertical="top" wrapText="1"/>
      <protection locked="0"/>
    </xf>
    <xf numFmtId="1" fontId="8" fillId="0" borderId="31" xfId="0"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0" fontId="10" fillId="0" borderId="32" xfId="0" applyFont="1" applyBorder="1" applyAlignment="1" applyProtection="1">
      <alignment horizontal="center" vertical="center"/>
      <protection locked="0"/>
    </xf>
    <xf numFmtId="1" fontId="10" fillId="0" borderId="32"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0" fontId="6" fillId="0" borderId="1" xfId="1" applyFont="1" applyBorder="1" applyAlignment="1" applyProtection="1">
      <alignment vertical="top"/>
      <protection locked="0"/>
    </xf>
    <xf numFmtId="1" fontId="8" fillId="0" borderId="1" xfId="0" applyNumberFormat="1" applyFont="1" applyBorder="1" applyAlignment="1" applyProtection="1">
      <alignment horizontal="left" vertical="top" wrapText="1"/>
      <protection locked="0"/>
    </xf>
    <xf numFmtId="1" fontId="12" fillId="0" borderId="7" xfId="0" applyNumberFormat="1" applyFont="1" applyBorder="1" applyAlignment="1" applyProtection="1">
      <alignment vertical="top" wrapText="1"/>
      <protection locked="0"/>
    </xf>
    <xf numFmtId="1" fontId="12" fillId="0" borderId="20" xfId="0" applyNumberFormat="1" applyFont="1" applyBorder="1" applyAlignment="1" applyProtection="1">
      <alignment vertical="top" wrapText="1"/>
      <protection locked="0"/>
    </xf>
    <xf numFmtId="1" fontId="12" fillId="0" borderId="8" xfId="0" applyNumberFormat="1" applyFont="1" applyBorder="1" applyAlignment="1" applyProtection="1">
      <alignment vertical="top" wrapText="1"/>
      <protection locked="0"/>
    </xf>
    <xf numFmtId="1" fontId="8" fillId="0" borderId="16"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10" fillId="0" borderId="2" xfId="0" applyNumberFormat="1"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8" fillId="0" borderId="15" xfId="1" applyFont="1" applyBorder="1" applyAlignment="1" applyProtection="1">
      <alignment horizontal="center" vertical="top"/>
      <protection locked="0"/>
    </xf>
    <xf numFmtId="0" fontId="8" fillId="0" borderId="15" xfId="1" applyFont="1" applyBorder="1" applyAlignment="1" applyProtection="1">
      <alignment horizontal="left" vertical="top"/>
      <protection locked="0"/>
    </xf>
    <xf numFmtId="1" fontId="8" fillId="0" borderId="2" xfId="0" applyNumberFormat="1" applyFont="1" applyBorder="1" applyAlignment="1" applyProtection="1">
      <alignment horizontal="center" vertical="top" wrapText="1"/>
      <protection locked="0"/>
    </xf>
    <xf numFmtId="0" fontId="7" fillId="0" borderId="24" xfId="1" applyFont="1" applyBorder="1" applyAlignment="1">
      <alignment horizontal="center"/>
    </xf>
    <xf numFmtId="0" fontId="7" fillId="0" borderId="0" xfId="1" applyFont="1" applyAlignment="1">
      <alignment horizontal="center"/>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12"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22"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9" fontId="12" fillId="0" borderId="34" xfId="1" applyNumberFormat="1" applyFont="1" applyBorder="1" applyAlignment="1" applyProtection="1">
      <alignment horizontal="center" vertical="center" wrapText="1"/>
      <protection locked="0"/>
    </xf>
    <xf numFmtId="0" fontId="12" fillId="0" borderId="35" xfId="1" applyFont="1" applyBorder="1" applyAlignment="1" applyProtection="1">
      <alignment horizontal="center" vertical="center" wrapText="1"/>
      <protection locked="0"/>
    </xf>
    <xf numFmtId="0" fontId="12" fillId="0" borderId="33" xfId="1" applyFont="1" applyBorder="1" applyAlignment="1" applyProtection="1">
      <alignment horizontal="center" vertical="center" wrapText="1"/>
      <protection locked="0"/>
    </xf>
    <xf numFmtId="0" fontId="12" fillId="0" borderId="36" xfId="1" applyFont="1" applyBorder="1" applyAlignment="1" applyProtection="1">
      <alignment horizontal="center" vertical="center"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jpeg"/><Relationship Id="rId4" Type="http://schemas.openxmlformats.org/officeDocument/2006/relationships/image" Target="../media/image20.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xdr:col>
      <xdr:colOff>327589</xdr:colOff>
      <xdr:row>361</xdr:row>
      <xdr:rowOff>91422</xdr:rowOff>
    </xdr:from>
    <xdr:to>
      <xdr:col>6</xdr:col>
      <xdr:colOff>437976</xdr:colOff>
      <xdr:row>378</xdr:row>
      <xdr:rowOff>139526</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127689" y="67852272"/>
          <a:ext cx="4396637" cy="3394554"/>
        </a:xfrm>
        <a:prstGeom prst="rect">
          <a:avLst/>
        </a:prstGeom>
        <a:ln>
          <a:solidFill>
            <a:schemeClr val="tx1"/>
          </a:solidFill>
        </a:ln>
      </xdr:spPr>
    </xdr:pic>
    <xdr:clientData/>
  </xdr:twoCellAnchor>
  <xdr:twoCellAnchor editAs="oneCell">
    <xdr:from>
      <xdr:col>1</xdr:col>
      <xdr:colOff>139700</xdr:colOff>
      <xdr:row>341</xdr:row>
      <xdr:rowOff>95250</xdr:rowOff>
    </xdr:from>
    <xdr:to>
      <xdr:col>6</xdr:col>
      <xdr:colOff>625866</xdr:colOff>
      <xdr:row>360</xdr:row>
      <xdr:rowOff>125434</xdr:rowOff>
    </xdr:to>
    <xdr:pic>
      <xdr:nvPicPr>
        <xdr:cNvPr id="3" name="Picture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939800" y="63919100"/>
          <a:ext cx="4772416" cy="3770334"/>
        </a:xfrm>
        <a:prstGeom prst="rect">
          <a:avLst/>
        </a:prstGeom>
        <a:ln>
          <a:solidFill>
            <a:schemeClr val="tx1"/>
          </a:solidFill>
        </a:ln>
      </xdr:spPr>
    </xdr:pic>
    <xdr:clientData/>
  </xdr:twoCellAnchor>
  <xdr:twoCellAnchor>
    <xdr:from>
      <xdr:col>2</xdr:col>
      <xdr:colOff>706305</xdr:colOff>
      <xdr:row>367</xdr:row>
      <xdr:rowOff>37990</xdr:rowOff>
    </xdr:from>
    <xdr:to>
      <xdr:col>4</xdr:col>
      <xdr:colOff>299780</xdr:colOff>
      <xdr:row>372</xdr:row>
      <xdr:rowOff>66414</xdr:rowOff>
    </xdr:to>
    <xdr:sp macro="" textlink="">
      <xdr:nvSpPr>
        <xdr:cNvPr id="4" name="Rectangle 3"/>
        <xdr:cNvSpPr/>
      </xdr:nvSpPr>
      <xdr:spPr>
        <a:xfrm rot="18196852">
          <a:off x="2558931" y="68765614"/>
          <a:ext cx="1012674" cy="1441325"/>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editAs="oneCell">
    <xdr:from>
      <xdr:col>2</xdr:col>
      <xdr:colOff>145355</xdr:colOff>
      <xdr:row>298</xdr:row>
      <xdr:rowOff>114300</xdr:rowOff>
    </xdr:from>
    <xdr:to>
      <xdr:col>5</xdr:col>
      <xdr:colOff>609862</xdr:colOff>
      <xdr:row>319</xdr:row>
      <xdr:rowOff>76460</xdr:rowOff>
    </xdr:to>
    <xdr:pic>
      <xdr:nvPicPr>
        <xdr:cNvPr id="5" name="Picture 4"/>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1783655" y="55473600"/>
          <a:ext cx="3131507" cy="4096011"/>
        </a:xfrm>
        <a:prstGeom prst="rect">
          <a:avLst/>
        </a:prstGeom>
        <a:ln>
          <a:solidFill>
            <a:schemeClr val="tx1"/>
          </a:solidFill>
        </a:ln>
      </xdr:spPr>
    </xdr:pic>
    <xdr:clientData/>
  </xdr:twoCellAnchor>
  <xdr:twoCellAnchor editAs="oneCell">
    <xdr:from>
      <xdr:col>2</xdr:col>
      <xdr:colOff>95250</xdr:colOff>
      <xdr:row>320</xdr:row>
      <xdr:rowOff>80027</xdr:rowOff>
    </xdr:from>
    <xdr:to>
      <xdr:col>5</xdr:col>
      <xdr:colOff>659965</xdr:colOff>
      <xdr:row>332</xdr:row>
      <xdr:rowOff>158750</xdr:rowOff>
    </xdr:to>
    <xdr:pic>
      <xdr:nvPicPr>
        <xdr:cNvPr id="6" name="Picture 5"/>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b="1582"/>
        <a:stretch/>
      </xdr:blipFill>
      <xdr:spPr>
        <a:xfrm>
          <a:off x="1733550" y="59770027"/>
          <a:ext cx="3231715" cy="2440923"/>
        </a:xfrm>
        <a:prstGeom prst="rect">
          <a:avLst/>
        </a:prstGeom>
        <a:ln>
          <a:solidFill>
            <a:schemeClr val="tx1"/>
          </a:solidFill>
        </a:ln>
      </xdr:spPr>
    </xdr:pic>
    <xdr:clientData/>
  </xdr:twoCellAnchor>
  <xdr:twoCellAnchor>
    <xdr:from>
      <xdr:col>0</xdr:col>
      <xdr:colOff>62630</xdr:colOff>
      <xdr:row>255</xdr:row>
      <xdr:rowOff>88900</xdr:rowOff>
    </xdr:from>
    <xdr:to>
      <xdr:col>7</xdr:col>
      <xdr:colOff>685800</xdr:colOff>
      <xdr:row>294</xdr:row>
      <xdr:rowOff>173288</xdr:rowOff>
    </xdr:to>
    <xdr:grpSp>
      <xdr:nvGrpSpPr>
        <xdr:cNvPr id="7" name="Group 6"/>
        <xdr:cNvGrpSpPr/>
      </xdr:nvGrpSpPr>
      <xdr:grpSpPr>
        <a:xfrm>
          <a:off x="62630" y="42691050"/>
          <a:ext cx="6477870" cy="7755188"/>
          <a:chOff x="62630" y="42691050"/>
          <a:chExt cx="6477870" cy="7755188"/>
        </a:xfrm>
      </xdr:grpSpPr>
      <xdr:pic>
        <xdr:nvPicPr>
          <xdr:cNvPr id="22" name="Picture 2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5069821" y="48394238"/>
            <a:ext cx="1470679" cy="2052000"/>
          </a:xfrm>
          <a:prstGeom prst="rect">
            <a:avLst/>
          </a:prstGeom>
          <a:ln>
            <a:solidFill>
              <a:schemeClr val="tx1"/>
            </a:solidFill>
          </a:ln>
        </xdr:spPr>
      </xdr:pic>
      <xdr:pic>
        <xdr:nvPicPr>
          <xdr:cNvPr id="23" name="Picture 2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62630" y="42691050"/>
            <a:ext cx="2058413" cy="2736000"/>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63500" y="48394238"/>
            <a:ext cx="1480310" cy="2052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269312" y="45542644"/>
            <a:ext cx="2058413" cy="2736000"/>
          </a:xfrm>
          <a:prstGeom prst="rect">
            <a:avLst/>
          </a:prstGeom>
          <a:ln>
            <a:solidFill>
              <a:schemeClr val="tx1"/>
            </a:solidFill>
          </a:ln>
        </xdr:spPr>
      </xdr:pic>
      <xdr:pic>
        <xdr:nvPicPr>
          <xdr:cNvPr id="26" name="Picture 25"/>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269313" y="42691050"/>
            <a:ext cx="2058413" cy="2736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62630" y="45542644"/>
            <a:ext cx="2058413" cy="2736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4475996" y="45542644"/>
            <a:ext cx="2058413" cy="2736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1692078" y="48394238"/>
            <a:ext cx="1543810" cy="2052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384156" y="48394238"/>
            <a:ext cx="1537397" cy="2052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475996" y="42691050"/>
            <a:ext cx="2058413" cy="2736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4</xdr:col>
      <xdr:colOff>469412</xdr:colOff>
      <xdr:row>30</xdr:row>
      <xdr:rowOff>34323</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612588" y="2696882"/>
          <a:ext cx="5400000" cy="3037500"/>
        </a:xfrm>
        <a:prstGeom prst="rect">
          <a:avLst/>
        </a:prstGeom>
        <a:ln>
          <a:solidFill>
            <a:schemeClr val="tx1"/>
          </a:solidFill>
        </a:ln>
      </xdr:spPr>
    </xdr:pic>
    <xdr:clientData/>
  </xdr:twoCellAnchor>
  <xdr:twoCellAnchor editAs="oneCell">
    <xdr:from>
      <xdr:col>4</xdr:col>
      <xdr:colOff>571708</xdr:colOff>
      <xdr:row>14</xdr:row>
      <xdr:rowOff>0</xdr:rowOff>
    </xdr:from>
    <xdr:to>
      <xdr:col>10</xdr:col>
      <xdr:colOff>421060</xdr:colOff>
      <xdr:row>30</xdr:row>
      <xdr:rowOff>34323</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6114884" y="2696882"/>
          <a:ext cx="5400000" cy="3037500"/>
        </a:xfrm>
        <a:prstGeom prst="rect">
          <a:avLst/>
        </a:prstGeom>
        <a:ln>
          <a:solidFill>
            <a:schemeClr val="tx1"/>
          </a:solidFill>
        </a:ln>
      </xdr:spPr>
    </xdr:pic>
    <xdr:clientData/>
  </xdr:twoCellAnchor>
  <xdr:twoCellAnchor editAs="oneCell">
    <xdr:from>
      <xdr:col>1</xdr:col>
      <xdr:colOff>0</xdr:colOff>
      <xdr:row>30</xdr:row>
      <xdr:rowOff>120203</xdr:rowOff>
    </xdr:from>
    <xdr:to>
      <xdr:col>4</xdr:col>
      <xdr:colOff>469412</xdr:colOff>
      <xdr:row>46</xdr:row>
      <xdr:rowOff>169468</xdr:rowOff>
    </xdr:to>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612588" y="5820262"/>
          <a:ext cx="5400000" cy="30375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CoUUn6kc6YFCd1oS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41"/>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8" width="11" style="37" customWidth="1"/>
    <col min="9" max="9" width="17.453125" style="18" customWidth="1"/>
    <col min="10" max="10" width="11.453125" style="18" customWidth="1"/>
    <col min="11" max="11" width="10.5429687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154" t="s">
        <v>168</v>
      </c>
      <c r="B1" s="154"/>
      <c r="C1" s="154"/>
      <c r="D1" s="154"/>
      <c r="E1" s="154"/>
      <c r="F1" s="154"/>
      <c r="G1" s="154"/>
      <c r="H1" s="154"/>
    </row>
    <row r="2" spans="1:26" ht="16.5" customHeight="1" x14ac:dyDescent="0.35">
      <c r="A2" s="155" t="s">
        <v>0</v>
      </c>
      <c r="B2" s="155"/>
      <c r="C2" s="155"/>
      <c r="D2" s="155"/>
      <c r="E2" s="155"/>
      <c r="F2" s="155"/>
      <c r="G2" s="155"/>
      <c r="H2" s="155"/>
    </row>
    <row r="3" spans="1:26" x14ac:dyDescent="0.35">
      <c r="A3" s="127" t="s">
        <v>1</v>
      </c>
      <c r="B3" s="127"/>
      <c r="C3" s="127"/>
      <c r="D3" s="127"/>
      <c r="E3" s="127" t="str">
        <f ca="1">TEXT(TODAY(),"DD/MM/YYYY")</f>
        <v>11/07/2025</v>
      </c>
      <c r="F3" s="127"/>
      <c r="G3" s="127"/>
      <c r="H3" s="127"/>
      <c r="K3" s="51" t="s">
        <v>239</v>
      </c>
      <c r="L3" s="48" t="s">
        <v>237</v>
      </c>
      <c r="M3" s="48" t="s">
        <v>242</v>
      </c>
      <c r="N3" s="48" t="s">
        <v>240</v>
      </c>
      <c r="O3" s="48" t="s">
        <v>241</v>
      </c>
      <c r="P3" s="48" t="s">
        <v>243</v>
      </c>
    </row>
    <row r="4" spans="1:26" ht="15" customHeight="1" x14ac:dyDescent="0.35">
      <c r="A4" s="127" t="s">
        <v>236</v>
      </c>
      <c r="B4" s="127"/>
      <c r="C4" s="127"/>
      <c r="D4" s="127"/>
      <c r="E4" s="127" t="s">
        <v>237</v>
      </c>
      <c r="F4" s="127"/>
      <c r="G4" s="127"/>
      <c r="H4" s="127"/>
      <c r="K4" s="47" t="s">
        <v>238</v>
      </c>
      <c r="L4" s="48" t="s">
        <v>174</v>
      </c>
      <c r="M4" s="48" t="s">
        <v>247</v>
      </c>
      <c r="N4" s="48" t="s">
        <v>249</v>
      </c>
      <c r="O4" s="48" t="s">
        <v>251</v>
      </c>
      <c r="P4" s="48"/>
    </row>
    <row r="5" spans="1:26" ht="15" customHeight="1" x14ac:dyDescent="0.35">
      <c r="A5" s="127" t="s">
        <v>2</v>
      </c>
      <c r="B5" s="127"/>
      <c r="C5" s="127"/>
      <c r="D5" s="127"/>
      <c r="E5" s="127" t="s">
        <v>245</v>
      </c>
      <c r="F5" s="127"/>
      <c r="G5" s="127"/>
      <c r="H5" s="127"/>
      <c r="K5" s="47"/>
      <c r="L5" s="48" t="s">
        <v>244</v>
      </c>
      <c r="M5" s="48" t="s">
        <v>248</v>
      </c>
      <c r="N5" s="48" t="s">
        <v>250</v>
      </c>
      <c r="O5" s="48" t="s">
        <v>252</v>
      </c>
      <c r="P5" s="48"/>
    </row>
    <row r="6" spans="1:26" x14ac:dyDescent="0.35">
      <c r="A6" s="127" t="s">
        <v>3</v>
      </c>
      <c r="B6" s="127"/>
      <c r="C6" s="127"/>
      <c r="D6" s="127"/>
      <c r="E6" s="157">
        <v>45848</v>
      </c>
      <c r="F6" s="127"/>
      <c r="G6" s="127"/>
      <c r="H6" s="127"/>
      <c r="K6" s="47"/>
      <c r="L6" s="48" t="s">
        <v>245</v>
      </c>
      <c r="M6" s="48"/>
      <c r="N6" s="48"/>
      <c r="O6" s="48" t="s">
        <v>253</v>
      </c>
      <c r="P6" s="48"/>
    </row>
    <row r="7" spans="1:26" ht="16.5" customHeight="1" x14ac:dyDescent="0.35">
      <c r="A7" s="127" t="s">
        <v>4</v>
      </c>
      <c r="B7" s="127"/>
      <c r="C7" s="127"/>
      <c r="D7" s="127"/>
      <c r="E7" s="127" t="s">
        <v>301</v>
      </c>
      <c r="F7" s="127"/>
      <c r="G7" s="127"/>
      <c r="H7" s="127"/>
      <c r="K7" s="47"/>
      <c r="L7" s="48" t="s">
        <v>246</v>
      </c>
      <c r="M7" s="48"/>
      <c r="N7" s="48"/>
      <c r="O7" s="48" t="s">
        <v>253</v>
      </c>
      <c r="P7" s="48"/>
    </row>
    <row r="8" spans="1:26" ht="15" customHeight="1" x14ac:dyDescent="0.35">
      <c r="A8" s="127" t="s">
        <v>5</v>
      </c>
      <c r="B8" s="127"/>
      <c r="C8" s="127"/>
      <c r="D8" s="127"/>
      <c r="E8" s="127" t="str">
        <f>E7</f>
        <v>M/S. Bhagwati Ventures</v>
      </c>
      <c r="F8" s="127"/>
      <c r="G8" s="127"/>
      <c r="H8" s="127"/>
      <c r="K8" s="47"/>
      <c r="L8" s="48"/>
      <c r="M8" s="48"/>
      <c r="N8" s="48"/>
      <c r="O8" s="48" t="s">
        <v>254</v>
      </c>
      <c r="P8" s="48"/>
    </row>
    <row r="9" spans="1:26" x14ac:dyDescent="0.35">
      <c r="A9" s="127" t="s">
        <v>6</v>
      </c>
      <c r="B9" s="127"/>
      <c r="C9" s="127"/>
      <c r="D9" s="127"/>
      <c r="E9" s="156" t="s">
        <v>302</v>
      </c>
      <c r="F9" s="156"/>
      <c r="G9" s="156"/>
      <c r="H9" s="156"/>
      <c r="K9" s="47"/>
      <c r="L9" s="48"/>
      <c r="M9" s="48"/>
      <c r="N9" s="48"/>
      <c r="O9" s="48" t="s">
        <v>255</v>
      </c>
      <c r="P9" s="48"/>
    </row>
    <row r="10" spans="1:26" x14ac:dyDescent="0.35">
      <c r="A10" s="127" t="s">
        <v>171</v>
      </c>
      <c r="B10" s="127"/>
      <c r="C10" s="127"/>
      <c r="D10" s="127"/>
      <c r="E10" s="127" t="s">
        <v>346</v>
      </c>
      <c r="F10" s="127"/>
      <c r="G10" s="127"/>
      <c r="H10" s="127"/>
      <c r="K10" s="47"/>
      <c r="L10" s="48"/>
      <c r="M10" s="48"/>
      <c r="N10" s="48"/>
      <c r="O10" s="48"/>
      <c r="P10" s="48"/>
    </row>
    <row r="11" spans="1:26" hidden="1" x14ac:dyDescent="0.35">
      <c r="A11" s="127" t="s">
        <v>172</v>
      </c>
      <c r="B11" s="127"/>
      <c r="C11" s="127"/>
      <c r="D11" s="127"/>
      <c r="E11" s="127">
        <v>7738624848</v>
      </c>
      <c r="F11" s="127"/>
      <c r="G11" s="127"/>
      <c r="H11" s="127"/>
    </row>
    <row r="12" spans="1:26" x14ac:dyDescent="0.35">
      <c r="A12" s="127" t="s">
        <v>7</v>
      </c>
      <c r="B12" s="127"/>
      <c r="C12" s="127"/>
      <c r="D12" s="127"/>
      <c r="E12" s="127" t="s">
        <v>120</v>
      </c>
      <c r="F12" s="127"/>
      <c r="G12" s="127"/>
      <c r="H12" s="127"/>
    </row>
    <row r="13" spans="1:26" hidden="1" x14ac:dyDescent="0.35">
      <c r="A13" s="127" t="s">
        <v>175</v>
      </c>
      <c r="B13" s="127"/>
      <c r="C13" s="127"/>
      <c r="D13" s="127"/>
      <c r="E13" s="127"/>
      <c r="F13" s="127"/>
      <c r="G13" s="127"/>
      <c r="H13" s="127"/>
      <c r="S13" s="48" t="s">
        <v>182</v>
      </c>
      <c r="T13" s="48" t="s">
        <v>192</v>
      </c>
      <c r="U13" s="48" t="s">
        <v>176</v>
      </c>
      <c r="V13" s="48" t="s">
        <v>197</v>
      </c>
      <c r="W13" s="48" t="s">
        <v>215</v>
      </c>
      <c r="X13"/>
      <c r="Y13" t="s">
        <v>197</v>
      </c>
      <c r="Z13" t="e">
        <f ca="1">OFFSET($S$13,1,MATCH($G20,$S$13:$W$13,0)-1,15,1)</f>
        <v>#VALUE!</v>
      </c>
    </row>
    <row r="14" spans="1:26" x14ac:dyDescent="0.35">
      <c r="A14" s="80" t="s">
        <v>282</v>
      </c>
      <c r="B14" s="80"/>
      <c r="C14" s="80"/>
      <c r="D14" s="80"/>
      <c r="E14" s="91" t="s">
        <v>230</v>
      </c>
      <c r="F14" s="91"/>
      <c r="G14" s="91"/>
      <c r="H14" s="91"/>
      <c r="S14" s="48" t="s">
        <v>183</v>
      </c>
      <c r="T14" s="48" t="s">
        <v>190</v>
      </c>
      <c r="U14" s="48" t="s">
        <v>212</v>
      </c>
      <c r="V14" s="48" t="s">
        <v>198</v>
      </c>
      <c r="W14" s="48" t="s">
        <v>216</v>
      </c>
      <c r="X14"/>
      <c r="Y14"/>
      <c r="Z14"/>
    </row>
    <row r="15" spans="1:26" x14ac:dyDescent="0.35">
      <c r="A15" s="80" t="s">
        <v>8</v>
      </c>
      <c r="B15" s="80"/>
      <c r="C15" s="80"/>
      <c r="D15" s="80"/>
      <c r="E15" s="91" t="s">
        <v>303</v>
      </c>
      <c r="F15" s="127"/>
      <c r="G15" s="127"/>
      <c r="H15" s="127"/>
      <c r="I15" s="205" t="e">
        <f ca="1">OFFSET($D$5,1,MATCH($J13,$D$5:$H$5,0)-1,15,1)</f>
        <v>#N/A</v>
      </c>
      <c r="J15" s="206"/>
      <c r="K15" s="206"/>
      <c r="L15" s="206"/>
      <c r="M15" s="206"/>
      <c r="N15" s="206"/>
      <c r="O15" s="206"/>
      <c r="P15" s="206"/>
      <c r="S15" s="48" t="s">
        <v>184</v>
      </c>
      <c r="T15" s="48" t="s">
        <v>191</v>
      </c>
      <c r="U15" s="48" t="s">
        <v>213</v>
      </c>
      <c r="V15" s="48" t="s">
        <v>199</v>
      </c>
      <c r="W15" s="48" t="s">
        <v>229</v>
      </c>
      <c r="X15"/>
      <c r="Y15"/>
      <c r="Z15"/>
    </row>
    <row r="16" spans="1:26" ht="33" customHeight="1" x14ac:dyDescent="0.35">
      <c r="A16" s="91" t="s">
        <v>9</v>
      </c>
      <c r="B16" s="91"/>
      <c r="C16" s="91" t="str">
        <f>CONCATENATE((IF(OR(E9="",E9="NA"),"",E9)),", ",(IF(OR(A17="",A17="NA"),"",A17)),".",(IF(OR(C17="",C17="NA"),"",C17)),", near ",(IF(OR(C22="",C22="NA"),"",C22)),", ",(IF(OR(C19="",C19="NA"),"",C19)),", ",(IF(OR(C18="",C18="NA"),"",C18)),", ",(IF(OR(G19="",G19="NA"),"",G19)),", ",(IF(OR(C20="",C20="NA"),"",C20)),", ",(IF(OR(C21="",C21="NA"),"",C21)),", ",(IF(OR(G20="",G20="NA"),"",G20))," - ",(IF(OR(G21="",G21="NA"),"",G21)),".")</f>
        <v>Bhagwati Belleza, Plot No.182, Sector : 20, near Tricity Avenue, Sector 19 Road, , Ulwe, Ulwe, Panvel, Raigad - 410206.</v>
      </c>
      <c r="D16" s="91"/>
      <c r="E16" s="91"/>
      <c r="F16" s="91"/>
      <c r="G16" s="91"/>
      <c r="H16" s="91"/>
      <c r="S16" s="48" t="s">
        <v>185</v>
      </c>
      <c r="T16" s="48" t="s">
        <v>193</v>
      </c>
      <c r="U16" s="48" t="s">
        <v>214</v>
      </c>
      <c r="V16" s="48" t="s">
        <v>200</v>
      </c>
      <c r="W16" s="48" t="s">
        <v>217</v>
      </c>
      <c r="X16"/>
      <c r="Y16"/>
      <c r="Z16"/>
    </row>
    <row r="17" spans="1:26" x14ac:dyDescent="0.35">
      <c r="A17" s="91" t="s">
        <v>306</v>
      </c>
      <c r="B17" s="91"/>
      <c r="C17" s="91" t="s">
        <v>307</v>
      </c>
      <c r="D17" s="91"/>
      <c r="E17" s="91"/>
      <c r="F17" s="91"/>
      <c r="G17" s="91"/>
      <c r="H17" s="91"/>
      <c r="S17" s="48" t="s">
        <v>186</v>
      </c>
      <c r="T17" s="48" t="s">
        <v>194</v>
      </c>
      <c r="U17" s="48" t="s">
        <v>176</v>
      </c>
      <c r="V17" s="48" t="s">
        <v>201</v>
      </c>
      <c r="W17" s="48" t="s">
        <v>218</v>
      </c>
      <c r="X17"/>
      <c r="Y17"/>
      <c r="Z17"/>
    </row>
    <row r="18" spans="1:26" ht="15.75" customHeight="1" x14ac:dyDescent="0.35">
      <c r="A18" s="91" t="s">
        <v>166</v>
      </c>
      <c r="B18" s="91"/>
      <c r="C18" s="91" t="s">
        <v>28</v>
      </c>
      <c r="D18" s="91"/>
      <c r="E18" s="91"/>
      <c r="F18" s="91"/>
      <c r="G18" s="91"/>
      <c r="H18" s="91"/>
      <c r="S18" s="48" t="s">
        <v>187</v>
      </c>
      <c r="T18" s="48" t="s">
        <v>192</v>
      </c>
      <c r="U18" s="48"/>
      <c r="V18" s="48" t="s">
        <v>202</v>
      </c>
      <c r="W18" s="48" t="s">
        <v>219</v>
      </c>
      <c r="X18"/>
      <c r="Y18"/>
      <c r="Z18"/>
    </row>
    <row r="19" spans="1:26" ht="15.75" customHeight="1" x14ac:dyDescent="0.35">
      <c r="A19" s="91" t="s">
        <v>10</v>
      </c>
      <c r="B19" s="91"/>
      <c r="C19" s="127" t="s">
        <v>310</v>
      </c>
      <c r="D19" s="127"/>
      <c r="E19" s="91" t="s">
        <v>70</v>
      </c>
      <c r="F19" s="91"/>
      <c r="G19" s="91" t="s">
        <v>309</v>
      </c>
      <c r="H19" s="91"/>
      <c r="S19" s="48" t="s">
        <v>188</v>
      </c>
      <c r="T19" s="48" t="s">
        <v>195</v>
      </c>
      <c r="U19" s="48"/>
      <c r="V19" s="48" t="s">
        <v>203</v>
      </c>
      <c r="W19" s="48" t="s">
        <v>220</v>
      </c>
      <c r="X19"/>
      <c r="Y19"/>
      <c r="Z19"/>
    </row>
    <row r="20" spans="1:26" x14ac:dyDescent="0.35">
      <c r="A20" s="127" t="s">
        <v>12</v>
      </c>
      <c r="B20" s="127"/>
      <c r="C20" s="91" t="s">
        <v>309</v>
      </c>
      <c r="D20" s="91"/>
      <c r="E20" s="91" t="s">
        <v>11</v>
      </c>
      <c r="F20" s="91"/>
      <c r="G20" s="153" t="s">
        <v>197</v>
      </c>
      <c r="H20" s="153"/>
      <c r="S20" s="48" t="s">
        <v>189</v>
      </c>
      <c r="T20" s="48" t="s">
        <v>196</v>
      </c>
      <c r="U20" s="48"/>
      <c r="V20" s="48" t="s">
        <v>204</v>
      </c>
      <c r="W20" s="48" t="s">
        <v>221</v>
      </c>
      <c r="X20"/>
      <c r="Y20"/>
      <c r="Z20"/>
    </row>
    <row r="21" spans="1:26" x14ac:dyDescent="0.35">
      <c r="A21" s="127" t="s">
        <v>71</v>
      </c>
      <c r="B21" s="127"/>
      <c r="C21" s="91" t="s">
        <v>199</v>
      </c>
      <c r="D21" s="91"/>
      <c r="E21" s="91" t="s">
        <v>13</v>
      </c>
      <c r="F21" s="91"/>
      <c r="G21" s="91">
        <v>410206</v>
      </c>
      <c r="H21" s="91"/>
      <c r="S21" s="48"/>
      <c r="T21" s="48"/>
      <c r="U21" s="48"/>
      <c r="V21" s="48" t="s">
        <v>205</v>
      </c>
      <c r="W21" s="48" t="s">
        <v>222</v>
      </c>
      <c r="X21"/>
      <c r="Y21"/>
      <c r="Z21"/>
    </row>
    <row r="22" spans="1:26" ht="46.5" customHeight="1" x14ac:dyDescent="0.35">
      <c r="A22" s="127" t="s">
        <v>122</v>
      </c>
      <c r="B22" s="127"/>
      <c r="C22" s="91" t="s">
        <v>311</v>
      </c>
      <c r="D22" s="91"/>
      <c r="E22" s="91" t="s">
        <v>14</v>
      </c>
      <c r="F22" s="91"/>
      <c r="G22" s="91" t="s">
        <v>308</v>
      </c>
      <c r="H22" s="91"/>
      <c r="S22" s="48"/>
      <c r="T22" s="48"/>
      <c r="U22" s="48"/>
      <c r="V22" s="48" t="s">
        <v>206</v>
      </c>
      <c r="W22" s="48" t="s">
        <v>223</v>
      </c>
      <c r="X22"/>
      <c r="Y22"/>
      <c r="Z22"/>
    </row>
    <row r="23" spans="1:26" ht="15" customHeight="1" x14ac:dyDescent="0.35">
      <c r="A23" s="149" t="s">
        <v>73</v>
      </c>
      <c r="B23" s="149"/>
      <c r="C23" s="149"/>
      <c r="D23" s="149"/>
      <c r="E23" s="127" t="s">
        <v>15</v>
      </c>
      <c r="F23" s="127"/>
      <c r="G23" s="127"/>
      <c r="H23" s="127"/>
      <c r="S23" s="48"/>
      <c r="T23" s="48"/>
      <c r="U23" s="48"/>
      <c r="V23" s="48" t="s">
        <v>207</v>
      </c>
      <c r="W23" s="48" t="s">
        <v>224</v>
      </c>
      <c r="X23"/>
      <c r="Y23"/>
      <c r="Z23"/>
    </row>
    <row r="24" spans="1:26" ht="18.75" customHeight="1" x14ac:dyDescent="0.35">
      <c r="A24" s="149"/>
      <c r="B24" s="149"/>
      <c r="C24" s="149"/>
      <c r="D24" s="149"/>
      <c r="E24" s="127"/>
      <c r="F24" s="127"/>
      <c r="G24" s="127"/>
      <c r="H24" s="127"/>
      <c r="S24" s="48"/>
      <c r="T24" s="48"/>
      <c r="U24" s="48"/>
      <c r="V24" s="48" t="s">
        <v>208</v>
      </c>
      <c r="W24" s="48" t="s">
        <v>225</v>
      </c>
      <c r="X24"/>
      <c r="Y24"/>
      <c r="Z24"/>
    </row>
    <row r="25" spans="1:26" ht="15" customHeight="1" x14ac:dyDescent="0.35">
      <c r="A25" s="149" t="s">
        <v>16</v>
      </c>
      <c r="B25" s="149"/>
      <c r="C25" s="149"/>
      <c r="D25" s="149"/>
      <c r="E25" s="91" t="s">
        <v>17</v>
      </c>
      <c r="F25" s="91"/>
      <c r="G25" s="91"/>
      <c r="H25" s="91"/>
      <c r="S25" s="48"/>
      <c r="T25" s="48"/>
      <c r="U25" s="48"/>
      <c r="V25" s="48" t="s">
        <v>209</v>
      </c>
      <c r="W25" s="48" t="s">
        <v>226</v>
      </c>
      <c r="X25"/>
      <c r="Y25"/>
      <c r="Z25"/>
    </row>
    <row r="26" spans="1:26" ht="15" customHeight="1" x14ac:dyDescent="0.35">
      <c r="A26" s="80" t="s">
        <v>18</v>
      </c>
      <c r="B26" s="80"/>
      <c r="C26" s="80"/>
      <c r="D26" s="80"/>
      <c r="E26" s="91" t="str">
        <f>IF(AND(G20="Mumbai"),"Upper Class","Middle Class")</f>
        <v>Middle Class</v>
      </c>
      <c r="F26" s="91"/>
      <c r="G26" s="91"/>
      <c r="H26" s="91"/>
      <c r="S26" s="48"/>
      <c r="T26" s="48"/>
      <c r="U26" s="48"/>
      <c r="V26" s="48" t="s">
        <v>210</v>
      </c>
      <c r="W26" s="48" t="s">
        <v>227</v>
      </c>
      <c r="X26"/>
      <c r="Y26"/>
      <c r="Z26"/>
    </row>
    <row r="27" spans="1:26" x14ac:dyDescent="0.35">
      <c r="A27" s="80" t="s">
        <v>19</v>
      </c>
      <c r="B27" s="80"/>
      <c r="C27" s="80"/>
      <c r="D27" s="80"/>
      <c r="E27" s="91" t="s">
        <v>20</v>
      </c>
      <c r="F27" s="91"/>
      <c r="G27" s="91"/>
      <c r="H27" s="91"/>
      <c r="S27" s="48"/>
      <c r="T27" s="48"/>
      <c r="U27" s="48"/>
      <c r="V27" s="48" t="s">
        <v>211</v>
      </c>
      <c r="W27" s="48" t="s">
        <v>228</v>
      </c>
      <c r="X27"/>
      <c r="Y27"/>
      <c r="Z27"/>
    </row>
    <row r="28" spans="1:26" ht="15.75" customHeight="1" x14ac:dyDescent="0.35">
      <c r="A28" s="80" t="s">
        <v>21</v>
      </c>
      <c r="B28" s="80"/>
      <c r="C28" s="80"/>
      <c r="D28" s="80"/>
      <c r="E28" s="91" t="str">
        <f>IF(AND(G20="Mumbai"),"Developed","Developing")</f>
        <v>Developing</v>
      </c>
      <c r="F28" s="91"/>
      <c r="G28" s="91"/>
      <c r="H28" s="91"/>
    </row>
    <row r="29" spans="1:26" x14ac:dyDescent="0.35">
      <c r="A29" s="80" t="s">
        <v>22</v>
      </c>
      <c r="B29" s="80"/>
      <c r="C29" s="80"/>
      <c r="D29" s="80"/>
      <c r="E29" s="91" t="s">
        <v>23</v>
      </c>
      <c r="F29" s="91"/>
      <c r="G29" s="91"/>
      <c r="H29" s="91"/>
    </row>
    <row r="30" spans="1:26" ht="15.75" customHeight="1" x14ac:dyDescent="0.35">
      <c r="A30" s="80" t="s">
        <v>78</v>
      </c>
      <c r="B30" s="80"/>
      <c r="C30" s="80"/>
      <c r="D30" s="80"/>
      <c r="E30" s="91" t="s">
        <v>79</v>
      </c>
      <c r="F30" s="91"/>
      <c r="G30" s="91"/>
      <c r="H30" s="91"/>
    </row>
    <row r="31" spans="1:26" ht="15" customHeight="1" x14ac:dyDescent="0.35">
      <c r="A31" s="80" t="s">
        <v>30</v>
      </c>
      <c r="B31" s="80"/>
      <c r="C31" s="80"/>
      <c r="D31" s="80"/>
      <c r="E31" s="91"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91"/>
      <c r="G31" s="91"/>
      <c r="H31" s="91"/>
    </row>
    <row r="32" spans="1:26" ht="15.75" customHeight="1" x14ac:dyDescent="0.35">
      <c r="A32" s="80" t="s">
        <v>90</v>
      </c>
      <c r="B32" s="80"/>
      <c r="C32" s="80"/>
      <c r="D32" s="80"/>
      <c r="E32" s="91" t="s">
        <v>31</v>
      </c>
      <c r="F32" s="91"/>
      <c r="G32" s="91"/>
      <c r="H32" s="91"/>
    </row>
    <row r="33" spans="1:19" s="19" customFormat="1" x14ac:dyDescent="0.35">
      <c r="A33" s="137" t="s">
        <v>91</v>
      </c>
      <c r="B33" s="137"/>
      <c r="C33" s="134" t="s">
        <v>177</v>
      </c>
      <c r="D33" s="135"/>
      <c r="E33" s="136"/>
      <c r="F33" s="134" t="s">
        <v>29</v>
      </c>
      <c r="G33" s="135"/>
      <c r="H33" s="136"/>
      <c r="S33" s="19" t="e">
        <f ca="1">OFFSET($S$13,1,MATCH($G20,$S$13:$W$13,0)-1,15,1)</f>
        <v>#VALUE!</v>
      </c>
    </row>
    <row r="34" spans="1:19" s="19" customFormat="1" x14ac:dyDescent="0.35">
      <c r="A34" s="117" t="s">
        <v>24</v>
      </c>
      <c r="B34" s="117" t="s">
        <v>28</v>
      </c>
      <c r="C34" s="118" t="s">
        <v>313</v>
      </c>
      <c r="D34" s="119"/>
      <c r="E34" s="120"/>
      <c r="F34" s="118" t="s">
        <v>310</v>
      </c>
      <c r="G34" s="119"/>
      <c r="H34" s="120"/>
    </row>
    <row r="35" spans="1:19" x14ac:dyDescent="0.35">
      <c r="A35" s="117" t="s">
        <v>25</v>
      </c>
      <c r="B35" s="117" t="s">
        <v>28</v>
      </c>
      <c r="C35" s="118" t="s">
        <v>314</v>
      </c>
      <c r="D35" s="119"/>
      <c r="E35" s="120"/>
      <c r="F35" s="118" t="s">
        <v>312</v>
      </c>
      <c r="G35" s="119"/>
      <c r="H35" s="120"/>
    </row>
    <row r="36" spans="1:19" s="19" customFormat="1" x14ac:dyDescent="0.35">
      <c r="A36" s="117" t="s">
        <v>27</v>
      </c>
      <c r="B36" s="117" t="s">
        <v>28</v>
      </c>
      <c r="C36" s="118" t="s">
        <v>315</v>
      </c>
      <c r="D36" s="119"/>
      <c r="E36" s="120"/>
      <c r="F36" s="118" t="s">
        <v>311</v>
      </c>
      <c r="G36" s="119"/>
      <c r="H36" s="120"/>
    </row>
    <row r="37" spans="1:19" x14ac:dyDescent="0.35">
      <c r="A37" s="117" t="s">
        <v>26</v>
      </c>
      <c r="B37" s="117" t="s">
        <v>28</v>
      </c>
      <c r="C37" s="118" t="s">
        <v>316</v>
      </c>
      <c r="D37" s="119"/>
      <c r="E37" s="120"/>
      <c r="F37" s="118" t="s">
        <v>340</v>
      </c>
      <c r="G37" s="119"/>
      <c r="H37" s="120"/>
    </row>
    <row r="38" spans="1:19" x14ac:dyDescent="0.35">
      <c r="A38" s="80" t="s">
        <v>283</v>
      </c>
      <c r="B38" s="80"/>
      <c r="C38" s="80"/>
      <c r="D38" s="80"/>
      <c r="E38" s="80"/>
      <c r="F38" s="80"/>
      <c r="G38" s="80"/>
      <c r="H38" s="80"/>
    </row>
    <row r="39" spans="1:19" ht="15.75" customHeight="1" x14ac:dyDescent="0.35">
      <c r="A39" s="80" t="s">
        <v>169</v>
      </c>
      <c r="B39" s="80"/>
      <c r="C39" s="122" t="s">
        <v>305</v>
      </c>
      <c r="D39" s="122"/>
      <c r="E39" s="122"/>
      <c r="F39" s="122"/>
      <c r="G39" s="122"/>
      <c r="H39" s="122"/>
    </row>
    <row r="40" spans="1:19" x14ac:dyDescent="0.35">
      <c r="A40" s="80" t="s">
        <v>165</v>
      </c>
      <c r="B40" s="80"/>
      <c r="C40" s="90" t="s">
        <v>304</v>
      </c>
      <c r="D40" s="91"/>
      <c r="E40" s="91"/>
      <c r="F40" s="91"/>
      <c r="G40" s="91"/>
      <c r="H40" s="91"/>
    </row>
    <row r="41" spans="1:19" x14ac:dyDescent="0.35">
      <c r="A41" s="122" t="s">
        <v>32</v>
      </c>
      <c r="B41" s="122"/>
      <c r="C41" s="122"/>
      <c r="D41" s="122"/>
      <c r="E41" s="122"/>
      <c r="F41" s="122"/>
      <c r="G41" s="122"/>
      <c r="H41" s="122"/>
    </row>
    <row r="42" spans="1:19" x14ac:dyDescent="0.35">
      <c r="A42" s="80" t="s">
        <v>33</v>
      </c>
      <c r="B42" s="80"/>
      <c r="C42" s="80"/>
      <c r="D42" s="80"/>
      <c r="E42" s="121">
        <v>2274.1</v>
      </c>
      <c r="F42" s="121"/>
      <c r="G42" s="121"/>
      <c r="H42" s="121"/>
    </row>
    <row r="43" spans="1:19" x14ac:dyDescent="0.35">
      <c r="A43" s="80" t="s">
        <v>34</v>
      </c>
      <c r="B43" s="80"/>
      <c r="C43" s="80"/>
      <c r="D43" s="80"/>
      <c r="E43" s="125">
        <f>3411.15/E42</f>
        <v>1.5</v>
      </c>
      <c r="F43" s="125"/>
      <c r="G43" s="125"/>
      <c r="H43" s="125"/>
    </row>
    <row r="44" spans="1:19" x14ac:dyDescent="0.35">
      <c r="A44" s="80" t="s">
        <v>35</v>
      </c>
      <c r="B44" s="80"/>
      <c r="C44" s="80"/>
      <c r="D44" s="80"/>
      <c r="E44" s="125">
        <f>E46/E42-E43</f>
        <v>2.2485950485906514</v>
      </c>
      <c r="F44" s="125"/>
      <c r="G44" s="125"/>
      <c r="H44" s="125"/>
    </row>
    <row r="45" spans="1:19" x14ac:dyDescent="0.35">
      <c r="A45" s="80" t="s">
        <v>36</v>
      </c>
      <c r="B45" s="80"/>
      <c r="C45" s="80"/>
      <c r="D45" s="80"/>
      <c r="E45" s="125">
        <f>E43+E44</f>
        <v>3.7485950485906514</v>
      </c>
      <c r="F45" s="125"/>
      <c r="G45" s="125"/>
      <c r="H45" s="125"/>
    </row>
    <row r="46" spans="1:19" x14ac:dyDescent="0.35">
      <c r="A46" s="80" t="s">
        <v>89</v>
      </c>
      <c r="B46" s="80"/>
      <c r="C46" s="80"/>
      <c r="D46" s="80"/>
      <c r="E46" s="126">
        <v>8524.68</v>
      </c>
      <c r="F46" s="126"/>
      <c r="G46" s="126"/>
      <c r="H46" s="126"/>
    </row>
    <row r="47" spans="1:19" x14ac:dyDescent="0.35">
      <c r="A47" s="127" t="s">
        <v>37</v>
      </c>
      <c r="B47" s="127"/>
      <c r="C47" s="127"/>
      <c r="D47" s="127"/>
      <c r="E47" s="127" t="s">
        <v>120</v>
      </c>
      <c r="F47" s="127"/>
      <c r="G47" s="127"/>
      <c r="H47" s="127"/>
    </row>
    <row r="48" spans="1:19" x14ac:dyDescent="0.35">
      <c r="A48" s="122" t="s">
        <v>38</v>
      </c>
      <c r="B48" s="122"/>
      <c r="C48" s="122"/>
      <c r="D48" s="122"/>
      <c r="E48" s="122"/>
      <c r="F48" s="122"/>
      <c r="G48" s="122"/>
      <c r="H48" s="122"/>
    </row>
    <row r="49" spans="1:24" ht="33.75" customHeight="1" x14ac:dyDescent="0.35">
      <c r="A49" s="88" t="s">
        <v>154</v>
      </c>
      <c r="B49" s="89"/>
      <c r="C49" s="131" t="s">
        <v>271</v>
      </c>
      <c r="D49" s="132"/>
      <c r="E49" s="132"/>
      <c r="F49" s="132"/>
      <c r="G49" s="132"/>
      <c r="H49" s="133"/>
      <c r="R49" t="s">
        <v>256</v>
      </c>
      <c r="S49" t="s">
        <v>176</v>
      </c>
      <c r="T49" t="s">
        <v>182</v>
      </c>
      <c r="U49" t="s">
        <v>197</v>
      </c>
      <c r="V49" t="s">
        <v>192</v>
      </c>
    </row>
    <row r="50" spans="1:24" ht="31" customHeight="1" x14ac:dyDescent="0.35">
      <c r="A50" s="88" t="s">
        <v>39</v>
      </c>
      <c r="B50" s="89"/>
      <c r="C50" s="88" t="s">
        <v>317</v>
      </c>
      <c r="D50" s="128"/>
      <c r="E50" s="89"/>
      <c r="F50" s="17" t="s">
        <v>40</v>
      </c>
      <c r="G50" s="138">
        <v>45152</v>
      </c>
      <c r="H50" s="139"/>
      <c r="R50"/>
      <c r="S50" t="s">
        <v>257</v>
      </c>
      <c r="T50" t="s">
        <v>262</v>
      </c>
      <c r="U50" t="s">
        <v>273</v>
      </c>
      <c r="V50" t="s">
        <v>278</v>
      </c>
    </row>
    <row r="51" spans="1:24" ht="31" customHeight="1" x14ac:dyDescent="0.35">
      <c r="A51" s="88" t="s">
        <v>41</v>
      </c>
      <c r="B51" s="89"/>
      <c r="C51" s="88" t="str">
        <f>C50</f>
        <v>CIDCO/BP-17868/TPO(NM &amp; K)/2021/11158</v>
      </c>
      <c r="D51" s="128"/>
      <c r="E51" s="89"/>
      <c r="F51" s="17" t="s">
        <v>40</v>
      </c>
      <c r="G51" s="138">
        <f>G50</f>
        <v>45152</v>
      </c>
      <c r="H51" s="139"/>
      <c r="R51"/>
      <c r="S51" t="s">
        <v>258</v>
      </c>
      <c r="T51" t="s">
        <v>263</v>
      </c>
      <c r="U51" t="s">
        <v>271</v>
      </c>
      <c r="V51" t="s">
        <v>279</v>
      </c>
    </row>
    <row r="52" spans="1:24" s="20" customFormat="1" ht="31" customHeight="1" x14ac:dyDescent="0.35">
      <c r="A52" s="145" t="s">
        <v>158</v>
      </c>
      <c r="B52" s="146"/>
      <c r="C52" s="88" t="str">
        <f>C51</f>
        <v>CIDCO/BP-17868/TPO(NM &amp; K)/2021/11158</v>
      </c>
      <c r="D52" s="128"/>
      <c r="E52" s="89"/>
      <c r="F52" s="17" t="s">
        <v>40</v>
      </c>
      <c r="G52" s="138">
        <f>G51</f>
        <v>45152</v>
      </c>
      <c r="H52" s="139"/>
      <c r="R52"/>
      <c r="S52" t="s">
        <v>259</v>
      </c>
      <c r="T52" t="s">
        <v>264</v>
      </c>
      <c r="U52" t="s">
        <v>261</v>
      </c>
      <c r="V52" t="s">
        <v>280</v>
      </c>
    </row>
    <row r="53" spans="1:24" s="20" customFormat="1" x14ac:dyDescent="0.35">
      <c r="A53" s="147"/>
      <c r="B53" s="148"/>
      <c r="C53" s="150" t="s">
        <v>334</v>
      </c>
      <c r="D53" s="151"/>
      <c r="E53" s="151"/>
      <c r="F53" s="151"/>
      <c r="G53" s="151"/>
      <c r="H53" s="152"/>
      <c r="R53"/>
      <c r="S53" t="s">
        <v>260</v>
      </c>
      <c r="T53" t="s">
        <v>267</v>
      </c>
      <c r="U53" t="s">
        <v>274</v>
      </c>
    </row>
    <row r="54" spans="1:24" s="20" customFormat="1" hidden="1" x14ac:dyDescent="0.35">
      <c r="A54" s="141" t="s">
        <v>284</v>
      </c>
      <c r="B54" s="142"/>
      <c r="C54" s="88" t="str">
        <f>C53</f>
        <v>1B + Gr/Stilt + 1st to 11th Floor</v>
      </c>
      <c r="D54" s="128"/>
      <c r="E54" s="89"/>
      <c r="F54" s="17" t="s">
        <v>40</v>
      </c>
      <c r="G54" s="88"/>
      <c r="H54" s="89"/>
      <c r="R54"/>
      <c r="S54" t="s">
        <v>259</v>
      </c>
      <c r="T54" t="s">
        <v>264</v>
      </c>
      <c r="U54" t="s">
        <v>261</v>
      </c>
      <c r="V54" t="s">
        <v>280</v>
      </c>
    </row>
    <row r="55" spans="1:24" s="20" customFormat="1" ht="32.25" hidden="1" customHeight="1" x14ac:dyDescent="0.35">
      <c r="A55" s="143"/>
      <c r="B55" s="144"/>
      <c r="C55" s="102"/>
      <c r="D55" s="103"/>
      <c r="E55" s="103"/>
      <c r="F55" s="103"/>
      <c r="G55" s="103"/>
      <c r="H55" s="104"/>
      <c r="R55"/>
      <c r="S55" t="s">
        <v>261</v>
      </c>
      <c r="T55" t="s">
        <v>265</v>
      </c>
      <c r="U55" t="s">
        <v>275</v>
      </c>
      <c r="V55" s="18"/>
      <c r="W55" s="18"/>
      <c r="X55" s="18"/>
    </row>
    <row r="56" spans="1:24" s="20" customFormat="1" ht="34.5" hidden="1" customHeight="1" x14ac:dyDescent="0.35">
      <c r="A56" s="141" t="s">
        <v>285</v>
      </c>
      <c r="B56" s="142"/>
      <c r="C56" s="88">
        <f>C55</f>
        <v>0</v>
      </c>
      <c r="D56" s="128"/>
      <c r="E56" s="89"/>
      <c r="F56" s="17" t="s">
        <v>40</v>
      </c>
      <c r="G56" s="88">
        <f>G55</f>
        <v>0</v>
      </c>
      <c r="H56" s="89"/>
      <c r="R56"/>
      <c r="S56" s="18"/>
      <c r="T56" t="s">
        <v>266</v>
      </c>
      <c r="U56" t="s">
        <v>276</v>
      </c>
      <c r="V56" s="18"/>
      <c r="W56" s="18"/>
      <c r="X56" s="18"/>
    </row>
    <row r="57" spans="1:24" s="20" customFormat="1" ht="41.25" hidden="1" customHeight="1" x14ac:dyDescent="0.35">
      <c r="A57" s="143"/>
      <c r="B57" s="144"/>
      <c r="C57" s="88"/>
      <c r="D57" s="128"/>
      <c r="E57" s="128"/>
      <c r="F57" s="128"/>
      <c r="G57" s="128"/>
      <c r="H57" s="89"/>
      <c r="R57"/>
      <c r="S57" s="18"/>
      <c r="T57" t="s">
        <v>268</v>
      </c>
      <c r="U57" t="s">
        <v>277</v>
      </c>
      <c r="V57" s="18"/>
      <c r="W57" s="18"/>
      <c r="X57" s="18"/>
    </row>
    <row r="58" spans="1:24" s="20" customFormat="1" ht="15.75" hidden="1" customHeight="1" x14ac:dyDescent="0.35">
      <c r="A58" s="141" t="s">
        <v>286</v>
      </c>
      <c r="B58" s="142"/>
      <c r="C58" s="88">
        <f>C57</f>
        <v>0</v>
      </c>
      <c r="D58" s="128"/>
      <c r="E58" s="89"/>
      <c r="F58" s="17" t="s">
        <v>40</v>
      </c>
      <c r="G58" s="88">
        <f>G57</f>
        <v>0</v>
      </c>
      <c r="H58" s="89"/>
      <c r="R58"/>
      <c r="S58" s="18"/>
      <c r="T58" t="s">
        <v>269</v>
      </c>
      <c r="U58" s="18" t="s">
        <v>300</v>
      </c>
      <c r="V58" s="18"/>
      <c r="W58" s="18"/>
      <c r="X58" s="18"/>
    </row>
    <row r="59" spans="1:24" s="20" customFormat="1" ht="33.75" hidden="1" customHeight="1" x14ac:dyDescent="0.35">
      <c r="A59" s="143"/>
      <c r="B59" s="144"/>
      <c r="C59" s="149"/>
      <c r="D59" s="149"/>
      <c r="E59" s="149"/>
      <c r="F59" s="17" t="s">
        <v>121</v>
      </c>
      <c r="G59" s="149"/>
      <c r="H59" s="149"/>
      <c r="R59"/>
      <c r="S59" s="18"/>
      <c r="T59" t="s">
        <v>270</v>
      </c>
      <c r="U59" s="18"/>
      <c r="V59" s="18"/>
      <c r="W59" s="18"/>
      <c r="X59" s="18"/>
    </row>
    <row r="60" spans="1:24" x14ac:dyDescent="0.35">
      <c r="A60" s="207" t="s">
        <v>42</v>
      </c>
      <c r="B60" s="208"/>
      <c r="C60" s="207" t="s">
        <v>103</v>
      </c>
      <c r="D60" s="209"/>
      <c r="E60" s="208"/>
      <c r="F60" s="40" t="s">
        <v>40</v>
      </c>
      <c r="G60" s="210" t="s">
        <v>28</v>
      </c>
      <c r="H60" s="211"/>
      <c r="R60"/>
      <c r="T60" t="s">
        <v>272</v>
      </c>
    </row>
    <row r="61" spans="1:24" x14ac:dyDescent="0.35">
      <c r="A61" s="140" t="s">
        <v>44</v>
      </c>
      <c r="B61" s="140"/>
      <c r="C61" s="140"/>
      <c r="D61" s="140"/>
      <c r="E61" s="140"/>
      <c r="F61" s="140"/>
      <c r="G61" s="140"/>
      <c r="H61" s="140"/>
      <c r="T61" t="s">
        <v>281</v>
      </c>
    </row>
    <row r="62" spans="1:24" x14ac:dyDescent="0.35">
      <c r="A62" s="149" t="s">
        <v>88</v>
      </c>
      <c r="B62" s="149"/>
      <c r="C62" s="149"/>
      <c r="D62" s="80">
        <f>E46</f>
        <v>8524.68</v>
      </c>
      <c r="E62" s="80"/>
      <c r="F62" s="80"/>
      <c r="G62" s="80"/>
      <c r="H62" s="80"/>
      <c r="R62"/>
    </row>
    <row r="63" spans="1:24" x14ac:dyDescent="0.35">
      <c r="A63" s="91" t="s">
        <v>45</v>
      </c>
      <c r="B63" s="127"/>
      <c r="C63" s="127"/>
      <c r="D63" s="127" t="s">
        <v>333</v>
      </c>
      <c r="E63" s="127"/>
      <c r="F63" s="127"/>
      <c r="G63" s="127"/>
      <c r="H63" s="127"/>
      <c r="I63" s="21"/>
      <c r="R63"/>
    </row>
    <row r="64" spans="1:24" x14ac:dyDescent="0.35">
      <c r="A64" s="114" t="s">
        <v>46</v>
      </c>
      <c r="B64" s="115"/>
      <c r="C64" s="116"/>
      <c r="D64" s="129" t="s">
        <v>334</v>
      </c>
      <c r="E64" s="130"/>
      <c r="F64" s="130"/>
      <c r="G64" s="130"/>
      <c r="H64" s="130"/>
      <c r="R64"/>
    </row>
    <row r="65" spans="1:19" ht="15.75" customHeight="1" x14ac:dyDescent="0.35">
      <c r="A65" s="114" t="s">
        <v>86</v>
      </c>
      <c r="B65" s="115"/>
      <c r="C65" s="115"/>
      <c r="D65" s="91" t="s">
        <v>334</v>
      </c>
      <c r="E65" s="127"/>
      <c r="F65" s="127"/>
      <c r="G65" s="127"/>
      <c r="H65" s="127"/>
      <c r="R65"/>
    </row>
    <row r="66" spans="1:19" ht="15.75" customHeight="1" x14ac:dyDescent="0.35">
      <c r="A66" s="80" t="s">
        <v>43</v>
      </c>
      <c r="B66" s="80"/>
      <c r="C66" s="80"/>
      <c r="D66" s="123" t="s">
        <v>318</v>
      </c>
      <c r="E66" s="123"/>
      <c r="F66" s="123"/>
      <c r="G66" s="123"/>
      <c r="H66" s="123"/>
      <c r="J66" s="22"/>
      <c r="K66" s="21"/>
      <c r="N66" s="21"/>
      <c r="S66"/>
    </row>
    <row r="67" spans="1:19" ht="15.75" customHeight="1" x14ac:dyDescent="0.35">
      <c r="A67" s="80" t="s">
        <v>84</v>
      </c>
      <c r="B67" s="80"/>
      <c r="C67" s="80"/>
      <c r="D67" s="124" t="str">
        <f>(IF(G60="NA","60 Years After Completion",IF(G60&lt;&gt;"NA",""&amp;60-ROUNDDOWN((E3-G60)/360,0)&amp;" Years"," ")))</f>
        <v>60 Years After Completion</v>
      </c>
      <c r="E67" s="124"/>
      <c r="F67" s="124"/>
      <c r="G67" s="124"/>
      <c r="H67" s="124"/>
      <c r="N67" s="21"/>
      <c r="S67"/>
    </row>
    <row r="68" spans="1:19" ht="15.75" customHeight="1" x14ac:dyDescent="0.35">
      <c r="A68" s="80" t="s">
        <v>85</v>
      </c>
      <c r="B68" s="80"/>
      <c r="C68" s="80"/>
      <c r="D68" s="149" t="s">
        <v>23</v>
      </c>
      <c r="E68" s="149"/>
      <c r="F68" s="149"/>
      <c r="G68" s="149"/>
      <c r="H68" s="149"/>
      <c r="J68" s="23"/>
      <c r="K68" s="23"/>
      <c r="S68"/>
    </row>
    <row r="69" spans="1:19" ht="33" customHeight="1" x14ac:dyDescent="0.35">
      <c r="A69" s="127" t="s">
        <v>336</v>
      </c>
      <c r="B69" s="127"/>
      <c r="C69" s="127"/>
      <c r="D69" s="91" t="s">
        <v>335</v>
      </c>
      <c r="E69" s="149"/>
      <c r="F69" s="149"/>
      <c r="G69" s="149"/>
      <c r="H69" s="149"/>
      <c r="S69"/>
    </row>
    <row r="70" spans="1:19" x14ac:dyDescent="0.35">
      <c r="A70" s="149" t="s">
        <v>150</v>
      </c>
      <c r="B70" s="149"/>
      <c r="C70" s="149"/>
      <c r="D70" s="149" t="s">
        <v>28</v>
      </c>
      <c r="E70" s="149"/>
      <c r="F70" s="149"/>
      <c r="G70" s="149"/>
      <c r="H70" s="149"/>
      <c r="I70" s="24"/>
      <c r="J70" s="24"/>
      <c r="K70" s="24"/>
      <c r="L70" s="24"/>
      <c r="M70" s="24"/>
      <c r="N70" s="24"/>
    </row>
    <row r="71" spans="1:19" ht="15.75" customHeight="1" x14ac:dyDescent="0.35">
      <c r="A71" s="80" t="s">
        <v>83</v>
      </c>
      <c r="B71" s="80"/>
      <c r="C71" s="80"/>
      <c r="D71" s="91" t="str">
        <f ca="1">(IF(G77&gt;95%,"Nothing",IF(G77&gt;0%,"Cement, Aggregate, Steel, etc",IF(G77=0%,"Work not yet Started"))))</f>
        <v>Cement, Aggregate, Steel, etc</v>
      </c>
      <c r="E71" s="91"/>
      <c r="F71" s="91"/>
      <c r="G71" s="91"/>
      <c r="H71" s="91"/>
      <c r="J71" s="23"/>
      <c r="S71"/>
    </row>
    <row r="72" spans="1:19" ht="33.75" customHeight="1" thickBot="1" x14ac:dyDescent="0.4">
      <c r="A72" s="149" t="s">
        <v>116</v>
      </c>
      <c r="B72" s="149"/>
      <c r="C72" s="149"/>
      <c r="D72" s="91" t="str">
        <f ca="1">(IF(D71="Nothing","Yes",IF(D71="Cement, Aggregate, Steel, etc","Under Construction",IF(D71="Work not yet Started","Work not yet Started"))))</f>
        <v>Under Construction</v>
      </c>
      <c r="E72" s="91"/>
      <c r="F72" s="91" t="str">
        <f ca="1">(IF(D71="Nothing","Yes",IF(D71="Cement, Aggregate, Steel, etc","Under Construction",IF(D71="Work not yet Started","Work not yet Started"))))</f>
        <v>Under Construction</v>
      </c>
      <c r="G72" s="91"/>
      <c r="H72" s="91"/>
      <c r="S72"/>
    </row>
    <row r="73" spans="1:19" ht="15.75" customHeight="1" x14ac:dyDescent="0.35">
      <c r="A73" s="87" t="s">
        <v>140</v>
      </c>
      <c r="B73" s="87"/>
      <c r="C73" s="87" t="s">
        <v>334</v>
      </c>
      <c r="D73" s="87"/>
      <c r="E73" s="87"/>
      <c r="F73" s="87"/>
      <c r="G73" s="87"/>
      <c r="H73" s="87"/>
      <c r="I73" s="76" t="str">
        <f ca="1">IF(D86=100%,"All work Completed. Possession granted to the Building.",IF(D85=100%,"All work Completed, Waiting for OC",I74&amp;""&amp;I75&amp;""&amp;J74&amp;""&amp;J73&amp;" "&amp;J75))</f>
        <v>Excavation, Plinth, RCC Slab, Brickwork, Internal Plaster, External Plaster Completed, Flooring upto 10 Floor, Painting upto 10 Floor, Finishing upto 1 Floor Completed</v>
      </c>
      <c r="J73" s="43"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Flooring upto 10 Floor, Painting upto 10 Floor, Finishing upto 1 Floor</v>
      </c>
      <c r="S73"/>
    </row>
    <row r="74" spans="1:19" x14ac:dyDescent="0.35">
      <c r="A74" s="46" t="s">
        <v>142</v>
      </c>
      <c r="B74" s="46">
        <f>IF(AND(ISNUMBER(SEARCH("1B",C73))),1,IF(AND(ISNUMBER(SEARCH("2B",C73))),2,IF(AND(ISNUMBER(SEARCH("3B",C73))),3,IF(AND(ISNUMBER(SEARCH("4B",C73))),4,IF(ISNUMBER(SEARCH("5B",C73)),5,0)))))</f>
        <v>1</v>
      </c>
      <c r="C74" s="46" t="s">
        <v>69</v>
      </c>
      <c r="D74" s="46">
        <v>1</v>
      </c>
      <c r="E74" s="46" t="s">
        <v>68</v>
      </c>
      <c r="F74" s="46">
        <v>0</v>
      </c>
      <c r="G74" s="46" t="s">
        <v>77</v>
      </c>
      <c r="H74" s="46">
        <f ca="1">--TRIM(RIGHT(SUBSTITUTE(LEFT(C73,_xlfn.AGGREGATE(16,6,FIND({0,1,2,3,4,5,6,7,8,9},C73,ROW(INDIRECT("1:"&amp;LEN(C73)))),1))," ",REPT(" ",LEN(C73))),LEN(C73)))</f>
        <v>11</v>
      </c>
      <c r="I74" s="77" t="str">
        <f ca="1">IF(D77=100%,"Excavation","")&amp;IF(D78=100%,", Plinth","")&amp;IF(D79=100%,", RCC Slab","")&amp;IF(D80=100%,", Brickwork","")&amp;IF(D81=100%,", Internal Plaster","")&amp;IF(D82=100%,", External Plaster","")&amp;IF(D83=100%,", Flooring","")&amp;IF(D84=100%,", Painting","")&amp;IF(D85=100%,", Building common Amenities","")</f>
        <v>Excavation, Plinth, RCC Slab, Brickwork, Internal Plaster, External Plaster</v>
      </c>
      <c r="J74" s="45"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49.5" customHeight="1" x14ac:dyDescent="0.35">
      <c r="A75" s="156" t="s">
        <v>87</v>
      </c>
      <c r="B75" s="156"/>
      <c r="C75" s="87" t="str">
        <f ca="1">I73</f>
        <v>Excavation, Plinth, RCC Slab, Brickwork, Internal Plaster, External Plaster Completed, Flooring upto 10 Floor, Painting upto 10 Floor, Finishing upto 1 Floor Completed</v>
      </c>
      <c r="D75" s="87"/>
      <c r="E75" s="87"/>
      <c r="F75" s="87"/>
      <c r="G75" s="87"/>
      <c r="H75" s="87"/>
      <c r="I75" s="77" t="str">
        <f ca="1">IF(I74&lt;&gt;""," Completed","")</f>
        <v xml:space="preserve"> Completed</v>
      </c>
      <c r="J75" s="45" t="str">
        <f ca="1">IF(J73&lt;&gt;"","Completed","")</f>
        <v>Completed</v>
      </c>
      <c r="S75"/>
    </row>
    <row r="76" spans="1:19" ht="15.75" customHeight="1" x14ac:dyDescent="0.35">
      <c r="A76" s="105" t="s">
        <v>47</v>
      </c>
      <c r="B76" s="106"/>
      <c r="C76" s="63" t="s">
        <v>139</v>
      </c>
      <c r="D76" s="63" t="s">
        <v>80</v>
      </c>
      <c r="E76" s="106" t="s">
        <v>82</v>
      </c>
      <c r="F76" s="106"/>
      <c r="G76" s="106" t="s">
        <v>81</v>
      </c>
      <c r="H76" s="158"/>
      <c r="I76" s="13" t="s">
        <v>141</v>
      </c>
      <c r="J76" s="25">
        <f ca="1">H74*25%</f>
        <v>2.75</v>
      </c>
      <c r="S76"/>
    </row>
    <row r="77" spans="1:19" x14ac:dyDescent="0.35">
      <c r="A77" s="105" t="s">
        <v>128</v>
      </c>
      <c r="B77" s="106"/>
      <c r="C77" s="63">
        <f ca="1">J78</f>
        <v>11</v>
      </c>
      <c r="D77" s="64">
        <f ca="1">((100/H74)*C77)/100</f>
        <v>1.0000000000000002</v>
      </c>
      <c r="E77" s="159">
        <f ca="1">(((C78/H74*10)+(40/(D74+F74+H74)*C79)+(7.5/(H74)*C80)+(7.5/(H74)*C81)+(10/H74*C82)+(10/H74*C83)+(5/H74*C84)+(5/H74*C85)+(5/H74*C86))/100)</f>
        <v>0.89090909090909098</v>
      </c>
      <c r="F77" s="160"/>
      <c r="G77" s="159">
        <f ca="1">((((C77/H74)*20)+((C78/H74)*25)+(30/(H74+F74+D74)*C79)+(5/H74*C80)+(5/H74*C81)+(5/H74*C82)+(5/H74*C83)+(0/H74*C84)+(0/H74*C85)+(5/H74*C86))/100)</f>
        <v>0.94545454545454544</v>
      </c>
      <c r="H77" s="165"/>
      <c r="I77" s="13" t="s">
        <v>98</v>
      </c>
      <c r="J77" s="26">
        <f ca="1">H74*50%</f>
        <v>5.5</v>
      </c>
    </row>
    <row r="78" spans="1:19" x14ac:dyDescent="0.35">
      <c r="A78" s="105" t="s">
        <v>48</v>
      </c>
      <c r="B78" s="106"/>
      <c r="C78" s="63">
        <f ca="1">J86</f>
        <v>11</v>
      </c>
      <c r="D78" s="64">
        <f ca="1">((100/H74)*C78)/100</f>
        <v>1.0000000000000002</v>
      </c>
      <c r="E78" s="161"/>
      <c r="F78" s="162"/>
      <c r="G78" s="161"/>
      <c r="H78" s="166"/>
      <c r="I78" s="13" t="s">
        <v>99</v>
      </c>
      <c r="J78" s="26">
        <f ca="1">H74</f>
        <v>11</v>
      </c>
      <c r="S78"/>
    </row>
    <row r="79" spans="1:19" ht="15.75" customHeight="1" x14ac:dyDescent="0.35">
      <c r="A79" s="105" t="s">
        <v>129</v>
      </c>
      <c r="B79" s="106"/>
      <c r="C79" s="63">
        <v>12</v>
      </c>
      <c r="D79" s="64">
        <f ca="1">((100/(D74+F74+H74))*C79)/100</f>
        <v>1</v>
      </c>
      <c r="E79" s="161"/>
      <c r="F79" s="162"/>
      <c r="G79" s="161"/>
      <c r="H79" s="166"/>
      <c r="I79" s="13" t="s">
        <v>100</v>
      </c>
      <c r="J79" s="27">
        <f ca="1">(IF(B74&gt;1,(H74/(B74+2)),H74/4))</f>
        <v>2.75</v>
      </c>
      <c r="S79"/>
    </row>
    <row r="80" spans="1:19" ht="15.75" customHeight="1" x14ac:dyDescent="0.35">
      <c r="A80" s="105" t="s">
        <v>136</v>
      </c>
      <c r="B80" s="106" t="s">
        <v>130</v>
      </c>
      <c r="C80" s="63">
        <v>11</v>
      </c>
      <c r="D80" s="64">
        <f ca="1">((100/H74)*C80)/100</f>
        <v>1.0000000000000002</v>
      </c>
      <c r="E80" s="161"/>
      <c r="F80" s="162"/>
      <c r="G80" s="161"/>
      <c r="H80" s="166"/>
      <c r="I80" s="13" t="s">
        <v>101</v>
      </c>
      <c r="J80" s="27">
        <f ca="1">(IF(B74&gt;1,(H74/(B74+2)+J79),H74/4+J79))</f>
        <v>5.5</v>
      </c>
    </row>
    <row r="81" spans="1:19" ht="15.75" customHeight="1" x14ac:dyDescent="0.35">
      <c r="A81" s="105" t="s">
        <v>137</v>
      </c>
      <c r="B81" s="106" t="s">
        <v>130</v>
      </c>
      <c r="C81" s="63">
        <v>11</v>
      </c>
      <c r="D81" s="64">
        <f ca="1">((100/H74)*C81)/100</f>
        <v>1.0000000000000002</v>
      </c>
      <c r="E81" s="161"/>
      <c r="F81" s="162"/>
      <c r="G81" s="161"/>
      <c r="H81" s="166"/>
      <c r="I81" s="13" t="s">
        <v>148</v>
      </c>
      <c r="J81" s="27">
        <f>(IF(B74&gt;1,(H74/(B74+2)+J80),0))</f>
        <v>0</v>
      </c>
    </row>
    <row r="82" spans="1:19" ht="15" customHeight="1" x14ac:dyDescent="0.35">
      <c r="A82" s="105" t="s">
        <v>135</v>
      </c>
      <c r="B82" s="106" t="s">
        <v>132</v>
      </c>
      <c r="C82" s="63">
        <v>11</v>
      </c>
      <c r="D82" s="64">
        <f ca="1">((100/(H74))*C82)/100</f>
        <v>1.0000000000000002</v>
      </c>
      <c r="E82" s="161"/>
      <c r="F82" s="162"/>
      <c r="G82" s="161"/>
      <c r="H82" s="166"/>
      <c r="I82" s="13" t="s">
        <v>143</v>
      </c>
      <c r="J82" s="27">
        <f>(IF(B74&gt;2,(H74/(B74+2)+J81),0))</f>
        <v>0</v>
      </c>
    </row>
    <row r="83" spans="1:19" ht="15.75" customHeight="1" x14ac:dyDescent="0.35">
      <c r="A83" s="105" t="s">
        <v>131</v>
      </c>
      <c r="B83" s="106" t="s">
        <v>131</v>
      </c>
      <c r="C83" s="63">
        <v>10</v>
      </c>
      <c r="D83" s="64">
        <f ca="1">((100/H74)*C83)/100</f>
        <v>0.90909090909090917</v>
      </c>
      <c r="E83" s="161"/>
      <c r="F83" s="162"/>
      <c r="G83" s="161"/>
      <c r="H83" s="166"/>
      <c r="I83" s="13" t="s">
        <v>144</v>
      </c>
      <c r="J83" s="28">
        <f>(IF(B74&gt;3,(H74/(B74+2)+J82),0))</f>
        <v>0</v>
      </c>
    </row>
    <row r="84" spans="1:19" ht="15.75" customHeight="1" x14ac:dyDescent="0.35">
      <c r="A84" s="105" t="s">
        <v>138</v>
      </c>
      <c r="B84" s="106"/>
      <c r="C84" s="63">
        <v>10</v>
      </c>
      <c r="D84" s="64">
        <f ca="1">((100/H74)*C84)/100</f>
        <v>0.90909090909090917</v>
      </c>
      <c r="E84" s="161"/>
      <c r="F84" s="162"/>
      <c r="G84" s="161"/>
      <c r="H84" s="166"/>
      <c r="I84" s="13" t="s">
        <v>145</v>
      </c>
      <c r="J84" s="27">
        <f>(IF(B74&gt;4,(H74/(B74+2)+J83),0))</f>
        <v>0</v>
      </c>
    </row>
    <row r="85" spans="1:19" ht="15.75" customHeight="1" x14ac:dyDescent="0.35">
      <c r="A85" s="105" t="s">
        <v>133</v>
      </c>
      <c r="B85" s="106" t="s">
        <v>133</v>
      </c>
      <c r="C85" s="63">
        <v>1</v>
      </c>
      <c r="D85" s="64">
        <f ca="1">((100/(H74))*C85)/100</f>
        <v>9.0909090909090912E-2</v>
      </c>
      <c r="E85" s="161"/>
      <c r="F85" s="162"/>
      <c r="G85" s="161"/>
      <c r="H85" s="166"/>
      <c r="I85" s="13" t="s">
        <v>149</v>
      </c>
      <c r="J85" s="27">
        <f ca="1">(IF(B74=1,(H74/(B74+3)+J80),IF(B74=0,(H74/4+J80),IF(B74&gt;1,0))))</f>
        <v>8.25</v>
      </c>
    </row>
    <row r="86" spans="1:19" ht="16" thickBot="1" x14ac:dyDescent="0.4">
      <c r="A86" s="168" t="s">
        <v>134</v>
      </c>
      <c r="B86" s="169"/>
      <c r="C86" s="65">
        <v>0</v>
      </c>
      <c r="D86" s="66">
        <f ca="1">((100/(H74))*C86)/100</f>
        <v>0</v>
      </c>
      <c r="E86" s="163"/>
      <c r="F86" s="164"/>
      <c r="G86" s="163"/>
      <c r="H86" s="167"/>
      <c r="I86" s="14" t="s">
        <v>102</v>
      </c>
      <c r="J86" s="29">
        <f ca="1">(IF(B74&gt;1.5,(H74/(B74+2)+J80+MAX(0,J81-J80)+MAX(0,J82-J81)+MAX(0,J83-J82)+MAX(0,J84-J83)+MAX(0,J85-J84)),IF(B74=1,(H74/(B74+3)+J85),IF(B74=0,H74/4+J85))))</f>
        <v>11</v>
      </c>
    </row>
    <row r="87" spans="1:19" ht="15.75" hidden="1" customHeight="1" x14ac:dyDescent="0.35">
      <c r="A87" s="212" t="s">
        <v>140</v>
      </c>
      <c r="B87" s="213"/>
      <c r="C87" s="214" t="s">
        <v>337</v>
      </c>
      <c r="D87" s="215"/>
      <c r="E87" s="215"/>
      <c r="F87" s="215"/>
      <c r="G87" s="215"/>
      <c r="H87" s="216"/>
      <c r="I87" s="42" t="str">
        <f ca="1">IF(D100=100%,"All work Completed. Possession granted to the Building.",IF(D99=100%,"All work Completed, Waiting for OC",I88&amp;""&amp;I89&amp;""&amp;J88&amp;""&amp;J87&amp;" "&amp;J89))</f>
        <v>Excavation, Plinth, RCC Slab, Brickwork Completed, Internal Plaster upto 8 Floor Completed</v>
      </c>
      <c r="J87" s="43" t="str">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 Internal Plaster upto 8 Floor</v>
      </c>
      <c r="S87"/>
    </row>
    <row r="88" spans="1:19" hidden="1" x14ac:dyDescent="0.35">
      <c r="A88" s="15" t="s">
        <v>142</v>
      </c>
      <c r="B88" s="46">
        <f>IF(AND(ISNUMBER(SEARCH("1B",C87))),1,IF(AND(ISNUMBER(SEARCH("2B",C87))),2,IF(AND(ISNUMBER(SEARCH("3B",C87))),3,IF(AND(ISNUMBER(SEARCH("4B",C87))),4,IF(ISNUMBER(SEARCH("5B",C87)),5,0)))))</f>
        <v>1</v>
      </c>
      <c r="C88" s="46" t="s">
        <v>69</v>
      </c>
      <c r="D88" s="46">
        <v>1</v>
      </c>
      <c r="E88" s="46" t="s">
        <v>68</v>
      </c>
      <c r="F88" s="46">
        <v>0</v>
      </c>
      <c r="G88" s="46" t="s">
        <v>77</v>
      </c>
      <c r="H88" s="16">
        <f ca="1">--TRIM(RIGHT(SUBSTITUTE(LEFT(C87,_xlfn.AGGREGATE(16,6,FIND({0,1,2,3,4,5,6,7,8,9},C87,ROW(INDIRECT("1:"&amp;LEN(C87)))),1))," ",REPT(" ",LEN(C87))),LEN(C87)))</f>
        <v>11</v>
      </c>
      <c r="I88" s="44" t="str">
        <f ca="1">IF(D91=100%,"Excavation","")&amp;IF(D92=100%,", Plinth","")&amp;IF(D93=100%,", RCC Slab","")&amp;IF(D94=100%,", Brickwork","")&amp;IF(D95=100%,", Internal Plaster","")&amp;IF(D96=100%,", External Plaster","")&amp;IF(D97=100%,", Flooring","")&amp;IF(D98=100%,", Painting","")&amp;IF(D99=100%,", Building common Amenities","")</f>
        <v>Excavation, Plinth, RCC Slab, Brickwork</v>
      </c>
      <c r="J88" s="45" t="str">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
      </c>
      <c r="S88"/>
    </row>
    <row r="89" spans="1:19" ht="33.65" hidden="1" customHeight="1" x14ac:dyDescent="0.35">
      <c r="A89" s="217" t="s">
        <v>87</v>
      </c>
      <c r="B89" s="156"/>
      <c r="C89" s="87" t="str">
        <f ca="1">I87</f>
        <v>Excavation, Plinth, RCC Slab, Brickwork Completed, Internal Plaster upto 8 Floor Completed</v>
      </c>
      <c r="D89" s="87"/>
      <c r="E89" s="87"/>
      <c r="F89" s="87"/>
      <c r="G89" s="87"/>
      <c r="H89" s="112"/>
      <c r="I89" s="44" t="str">
        <f ca="1">IF(I88&lt;&gt;""," Completed","")</f>
        <v xml:space="preserve"> Completed</v>
      </c>
      <c r="J89" s="45" t="str">
        <f ca="1">IF(J87&lt;&gt;"","Completed","")</f>
        <v>Completed</v>
      </c>
      <c r="S89"/>
    </row>
    <row r="90" spans="1:19" ht="15.75" hidden="1" customHeight="1" x14ac:dyDescent="0.35">
      <c r="A90" s="105" t="s">
        <v>47</v>
      </c>
      <c r="B90" s="106"/>
      <c r="C90" s="63" t="s">
        <v>139</v>
      </c>
      <c r="D90" s="63" t="s">
        <v>80</v>
      </c>
      <c r="E90" s="106" t="s">
        <v>82</v>
      </c>
      <c r="F90" s="106"/>
      <c r="G90" s="106" t="s">
        <v>81</v>
      </c>
      <c r="H90" s="158"/>
      <c r="I90" s="13" t="s">
        <v>141</v>
      </c>
      <c r="J90" s="25">
        <f ca="1">H88*25%</f>
        <v>2.75</v>
      </c>
      <c r="S90"/>
    </row>
    <row r="91" spans="1:19" hidden="1" x14ac:dyDescent="0.35">
      <c r="A91" s="105" t="s">
        <v>128</v>
      </c>
      <c r="B91" s="106"/>
      <c r="C91" s="63">
        <f ca="1">J92</f>
        <v>11</v>
      </c>
      <c r="D91" s="64">
        <f ca="1">((100/H88)*C91)/100</f>
        <v>1.0000000000000002</v>
      </c>
      <c r="E91" s="159">
        <f ca="1">(((C92/H88*10)+(40/(D88+F88+H88)*C93)+(7.5/(H88)*C94)+(7.5/(H88)*C95)+(10/H88*C96)+(10/H88*C97)+(5/H88*C98)+(5/H88*C99)+(5/H88*C100))/100)</f>
        <v>0.62954545454545452</v>
      </c>
      <c r="F91" s="160"/>
      <c r="G91" s="159">
        <f ca="1">((((C91/H88)*20)+((C92/H88)*25)+(30/(H88+F88+D88)*C93)+(5/H88*C94)+(5/H88*C95)+(5/H88*C96)+(5/H88*C97)+(0/H88*C98)+(0/H88*C99)+(5/H88*C100))/100)</f>
        <v>0.83636363636363642</v>
      </c>
      <c r="H91" s="165"/>
      <c r="I91" s="13" t="s">
        <v>98</v>
      </c>
      <c r="J91" s="26">
        <f ca="1">H88*50%</f>
        <v>5.5</v>
      </c>
    </row>
    <row r="92" spans="1:19" hidden="1" x14ac:dyDescent="0.35">
      <c r="A92" s="105" t="s">
        <v>48</v>
      </c>
      <c r="B92" s="106"/>
      <c r="C92" s="63">
        <f ca="1">J100</f>
        <v>11</v>
      </c>
      <c r="D92" s="64">
        <f ca="1">((100/H88)*C92)/100</f>
        <v>1.0000000000000002</v>
      </c>
      <c r="E92" s="161"/>
      <c r="F92" s="162"/>
      <c r="G92" s="161"/>
      <c r="H92" s="166"/>
      <c r="I92" s="13" t="s">
        <v>99</v>
      </c>
      <c r="J92" s="26">
        <f ca="1">H88</f>
        <v>11</v>
      </c>
      <c r="S92"/>
    </row>
    <row r="93" spans="1:19" ht="15.75" hidden="1" customHeight="1" x14ac:dyDescent="0.35">
      <c r="A93" s="105" t="s">
        <v>129</v>
      </c>
      <c r="B93" s="106"/>
      <c r="C93" s="63">
        <v>12</v>
      </c>
      <c r="D93" s="64">
        <f ca="1">((100/(D88+F88+H88))*C93)/100</f>
        <v>1</v>
      </c>
      <c r="E93" s="161"/>
      <c r="F93" s="162"/>
      <c r="G93" s="161"/>
      <c r="H93" s="166"/>
      <c r="I93" s="13" t="s">
        <v>100</v>
      </c>
      <c r="J93" s="27">
        <f ca="1">(IF(B88&gt;1,(H88/(B88+2)),H88/4))</f>
        <v>2.75</v>
      </c>
      <c r="S93"/>
    </row>
    <row r="94" spans="1:19" ht="15.75" hidden="1" customHeight="1" x14ac:dyDescent="0.35">
      <c r="A94" s="105" t="s">
        <v>136</v>
      </c>
      <c r="B94" s="106" t="s">
        <v>130</v>
      </c>
      <c r="C94" s="63">
        <v>11</v>
      </c>
      <c r="D94" s="64">
        <f ca="1">((100/H88)*C94)/100</f>
        <v>1.0000000000000002</v>
      </c>
      <c r="E94" s="161"/>
      <c r="F94" s="162"/>
      <c r="G94" s="161"/>
      <c r="H94" s="166"/>
      <c r="I94" s="13" t="s">
        <v>101</v>
      </c>
      <c r="J94" s="27">
        <f ca="1">(IF(B88&gt;1,(H88/(B88+2)+J93),H88/4+J93))</f>
        <v>5.5</v>
      </c>
    </row>
    <row r="95" spans="1:19" ht="15.75" hidden="1" customHeight="1" x14ac:dyDescent="0.35">
      <c r="A95" s="105" t="s">
        <v>137</v>
      </c>
      <c r="B95" s="106" t="s">
        <v>130</v>
      </c>
      <c r="C95" s="63">
        <v>8</v>
      </c>
      <c r="D95" s="64">
        <f ca="1">((100/H88)*C95)/100</f>
        <v>0.72727272727272729</v>
      </c>
      <c r="E95" s="161"/>
      <c r="F95" s="162"/>
      <c r="G95" s="161"/>
      <c r="H95" s="166"/>
      <c r="I95" s="13" t="s">
        <v>148</v>
      </c>
      <c r="J95" s="27">
        <f>(IF(B88&gt;1,(H88/(B88+2)+J94),0))</f>
        <v>0</v>
      </c>
    </row>
    <row r="96" spans="1:19" ht="15" hidden="1" customHeight="1" x14ac:dyDescent="0.35">
      <c r="A96" s="105" t="s">
        <v>135</v>
      </c>
      <c r="B96" s="106" t="s">
        <v>132</v>
      </c>
      <c r="C96" s="63">
        <v>0</v>
      </c>
      <c r="D96" s="64">
        <f ca="1">((100/(H88))*C96)/100</f>
        <v>0</v>
      </c>
      <c r="E96" s="161"/>
      <c r="F96" s="162"/>
      <c r="G96" s="161"/>
      <c r="H96" s="166"/>
      <c r="I96" s="13" t="s">
        <v>143</v>
      </c>
      <c r="J96" s="27">
        <f>(IF(B88&gt;2,(H88/(B88+2)+J95),0))</f>
        <v>0</v>
      </c>
    </row>
    <row r="97" spans="1:22" ht="15.75" hidden="1" customHeight="1" x14ac:dyDescent="0.35">
      <c r="A97" s="105" t="s">
        <v>131</v>
      </c>
      <c r="B97" s="106" t="s">
        <v>131</v>
      </c>
      <c r="C97" s="63">
        <v>0</v>
      </c>
      <c r="D97" s="64">
        <f ca="1">((100/H88)*C97)/100</f>
        <v>0</v>
      </c>
      <c r="E97" s="161"/>
      <c r="F97" s="162"/>
      <c r="G97" s="161"/>
      <c r="H97" s="166"/>
      <c r="I97" s="13" t="s">
        <v>144</v>
      </c>
      <c r="J97" s="28">
        <f>(IF(B88&gt;3,(H88/(B88+2)+J96),0))</f>
        <v>0</v>
      </c>
    </row>
    <row r="98" spans="1:22" ht="15.75" hidden="1" customHeight="1" x14ac:dyDescent="0.35">
      <c r="A98" s="105" t="s">
        <v>138</v>
      </c>
      <c r="B98" s="106"/>
      <c r="C98" s="63">
        <v>0</v>
      </c>
      <c r="D98" s="64">
        <f ca="1">((100/H88)*C98)/100</f>
        <v>0</v>
      </c>
      <c r="E98" s="161"/>
      <c r="F98" s="162"/>
      <c r="G98" s="161"/>
      <c r="H98" s="166"/>
      <c r="I98" s="13" t="s">
        <v>145</v>
      </c>
      <c r="J98" s="27">
        <f>(IF(B88&gt;4,(H88/(B88+2)+J97),0))</f>
        <v>0</v>
      </c>
    </row>
    <row r="99" spans="1:22" ht="15.75" hidden="1" customHeight="1" x14ac:dyDescent="0.35">
      <c r="A99" s="105" t="s">
        <v>133</v>
      </c>
      <c r="B99" s="106" t="s">
        <v>133</v>
      </c>
      <c r="C99" s="63">
        <v>0</v>
      </c>
      <c r="D99" s="64">
        <f ca="1">((100/(H88))*C99)/100</f>
        <v>0</v>
      </c>
      <c r="E99" s="161"/>
      <c r="F99" s="162"/>
      <c r="G99" s="161"/>
      <c r="H99" s="166"/>
      <c r="I99" s="13" t="s">
        <v>149</v>
      </c>
      <c r="J99" s="27">
        <f ca="1">(IF(B88=1,(H88/(B88+3)+J94),IF(B88=0,(H88/4+J94),IF(B88&gt;1,0))))</f>
        <v>8.25</v>
      </c>
    </row>
    <row r="100" spans="1:22" ht="16" hidden="1" thickBot="1" x14ac:dyDescent="0.4">
      <c r="A100" s="168" t="s">
        <v>134</v>
      </c>
      <c r="B100" s="169"/>
      <c r="C100" s="65">
        <v>0</v>
      </c>
      <c r="D100" s="66">
        <f ca="1">((100/(H88))*C100)/100</f>
        <v>0</v>
      </c>
      <c r="E100" s="163"/>
      <c r="F100" s="164"/>
      <c r="G100" s="163"/>
      <c r="H100" s="167"/>
      <c r="I100" s="14" t="s">
        <v>102</v>
      </c>
      <c r="J100" s="29">
        <f ca="1">(IF(B88&gt;1.5,(H88/(B88+2)+J94+MAX(0,J95-J94)+MAX(0,J96-J95)+MAX(0,J97-J96)+MAX(0,J98-J97)+MAX(0,J99-J98)),IF(B88=1,(H88/(B88+3)+J99),IF(B88=0,H88/4+J99))))</f>
        <v>11</v>
      </c>
    </row>
    <row r="101" spans="1:22" ht="31.5" hidden="1" customHeight="1" thickBot="1" x14ac:dyDescent="0.4">
      <c r="A101" s="107" t="s">
        <v>343</v>
      </c>
      <c r="B101" s="108"/>
      <c r="C101" s="218">
        <f ca="1">AVERAGE(E77,E91)</f>
        <v>0.76022727272727275</v>
      </c>
      <c r="D101" s="219"/>
      <c r="E101" s="108" t="s">
        <v>344</v>
      </c>
      <c r="F101" s="220"/>
      <c r="G101" s="218">
        <f ca="1">AVERAGE(G77,G91)</f>
        <v>0.89090909090909087</v>
      </c>
      <c r="H101" s="221"/>
      <c r="I101" s="14" t="s">
        <v>102</v>
      </c>
      <c r="J101" s="29">
        <f ca="1">(IF(B89&gt;1.5,(H89/(B89+2)+J95+MAX(0,J96-J95)+MAX(0,J97-J96)+MAX(0,J98-J97)+MAX(0,J99-J98)+MAX(0,J100-J99)),IF(B89=1,(H89/(B89+3)+J100),IF(B89=0,H89/4+J100))))</f>
        <v>11</v>
      </c>
    </row>
    <row r="102" spans="1:22" x14ac:dyDescent="0.35">
      <c r="A102" s="203" t="s">
        <v>160</v>
      </c>
      <c r="B102" s="203"/>
      <c r="C102" s="203"/>
      <c r="D102" s="203"/>
      <c r="E102" s="203"/>
      <c r="F102" s="202" t="s">
        <v>164</v>
      </c>
      <c r="G102" s="202"/>
      <c r="H102" s="202"/>
      <c r="I102" s="67"/>
      <c r="J102" s="67" t="s">
        <v>338</v>
      </c>
      <c r="K102" s="67" t="s">
        <v>339</v>
      </c>
      <c r="L102" s="67"/>
      <c r="M102" s="67"/>
      <c r="N102" s="67"/>
      <c r="R102" t="s">
        <v>256</v>
      </c>
      <c r="S102" t="s">
        <v>176</v>
      </c>
      <c r="T102" t="s">
        <v>182</v>
      </c>
      <c r="U102" t="s">
        <v>197</v>
      </c>
      <c r="V102" t="s">
        <v>192</v>
      </c>
    </row>
    <row r="103" spans="1:22" x14ac:dyDescent="0.35">
      <c r="A103" s="80" t="s">
        <v>162</v>
      </c>
      <c r="B103" s="80"/>
      <c r="C103" s="80"/>
      <c r="D103" s="80"/>
      <c r="E103" s="80"/>
      <c r="F103" s="173">
        <v>9600</v>
      </c>
      <c r="G103" s="173"/>
      <c r="H103" s="173"/>
      <c r="I103" s="70">
        <f>AVERAGE(J103:K103)</f>
        <v>10251.54717831115</v>
      </c>
      <c r="J103" s="70">
        <f>AVERAGE(J156,J159,J171)</f>
        <v>10203.094356622298</v>
      </c>
      <c r="K103" s="67">
        <v>10300</v>
      </c>
      <c r="L103" s="67"/>
      <c r="M103" s="67"/>
      <c r="N103" s="67"/>
      <c r="R103"/>
      <c r="S103">
        <v>800000</v>
      </c>
      <c r="T103">
        <v>300000</v>
      </c>
      <c r="U103">
        <v>100000</v>
      </c>
      <c r="V103">
        <v>100000</v>
      </c>
    </row>
    <row r="104" spans="1:22" x14ac:dyDescent="0.35">
      <c r="A104" s="80" t="s">
        <v>161</v>
      </c>
      <c r="B104" s="80"/>
      <c r="C104" s="80"/>
      <c r="D104" s="80"/>
      <c r="E104" s="80"/>
      <c r="F104" s="173">
        <v>15000</v>
      </c>
      <c r="G104" s="173"/>
      <c r="H104" s="173"/>
      <c r="I104" s="78" t="s">
        <v>345</v>
      </c>
      <c r="J104" s="79"/>
      <c r="K104" s="79"/>
      <c r="L104" s="79"/>
      <c r="M104" s="67"/>
      <c r="N104" s="67"/>
      <c r="R104"/>
      <c r="S104">
        <v>900000</v>
      </c>
      <c r="T104">
        <v>350000</v>
      </c>
      <c r="U104">
        <v>150000</v>
      </c>
      <c r="V104">
        <v>150000</v>
      </c>
    </row>
    <row r="105" spans="1:22" x14ac:dyDescent="0.35">
      <c r="A105" s="80" t="s">
        <v>163</v>
      </c>
      <c r="B105" s="80"/>
      <c r="C105" s="80"/>
      <c r="D105" s="80"/>
      <c r="E105" s="80"/>
      <c r="F105" s="172">
        <v>13000</v>
      </c>
      <c r="G105" s="172"/>
      <c r="H105" s="172"/>
      <c r="I105" s="75" t="s">
        <v>349</v>
      </c>
      <c r="J105" s="67"/>
      <c r="K105" s="67"/>
      <c r="L105" s="67"/>
      <c r="M105" s="67"/>
      <c r="N105" s="67"/>
      <c r="R105"/>
      <c r="S105">
        <v>1000000</v>
      </c>
      <c r="T105">
        <v>400000</v>
      </c>
      <c r="U105">
        <v>200000</v>
      </c>
      <c r="V105">
        <v>200000</v>
      </c>
    </row>
    <row r="106" spans="1:22" s="30" customFormat="1" hidden="1" x14ac:dyDescent="0.35">
      <c r="A106" s="80" t="s">
        <v>179</v>
      </c>
      <c r="B106" s="80"/>
      <c r="C106" s="80"/>
      <c r="D106" s="80"/>
      <c r="E106" s="80"/>
      <c r="F106" s="172"/>
      <c r="G106" s="172"/>
      <c r="H106" s="172"/>
      <c r="I106" s="68"/>
      <c r="J106" s="68"/>
      <c r="K106" s="68"/>
      <c r="L106" s="68"/>
      <c r="M106" s="68"/>
      <c r="N106" s="68"/>
      <c r="R106"/>
      <c r="S106">
        <v>1100000</v>
      </c>
      <c r="T106">
        <v>500000</v>
      </c>
      <c r="U106">
        <v>250000</v>
      </c>
      <c r="V106" s="20">
        <v>250000</v>
      </c>
    </row>
    <row r="107" spans="1:22" s="30" customFormat="1" x14ac:dyDescent="0.35">
      <c r="A107" s="80" t="s">
        <v>350</v>
      </c>
      <c r="B107" s="80"/>
      <c r="C107" s="80"/>
      <c r="D107" s="80"/>
      <c r="E107" s="80"/>
      <c r="F107" s="172">
        <v>500000</v>
      </c>
      <c r="G107" s="172"/>
      <c r="H107" s="172"/>
      <c r="I107" s="68"/>
      <c r="J107" s="68"/>
      <c r="K107" s="68"/>
      <c r="L107" s="68"/>
      <c r="M107" s="68"/>
      <c r="N107" s="68"/>
      <c r="R107"/>
      <c r="S107">
        <v>1300000</v>
      </c>
      <c r="T107">
        <v>700000</v>
      </c>
      <c r="U107">
        <v>350000</v>
      </c>
      <c r="V107" s="20">
        <v>400000</v>
      </c>
    </row>
    <row r="108" spans="1:22" s="30" customFormat="1" hidden="1" x14ac:dyDescent="0.35">
      <c r="A108" s="80" t="s">
        <v>92</v>
      </c>
      <c r="B108" s="80"/>
      <c r="C108" s="80"/>
      <c r="D108" s="80"/>
      <c r="E108" s="80"/>
      <c r="F108" s="172"/>
      <c r="G108" s="172"/>
      <c r="H108" s="172"/>
      <c r="I108" s="68"/>
      <c r="J108" s="68"/>
      <c r="K108" s="68"/>
      <c r="L108" s="68"/>
      <c r="M108" s="68"/>
      <c r="N108" s="68"/>
      <c r="R108"/>
      <c r="S108">
        <v>1200000</v>
      </c>
      <c r="T108">
        <v>600000</v>
      </c>
      <c r="U108">
        <v>300000</v>
      </c>
      <c r="V108">
        <v>300000</v>
      </c>
    </row>
    <row r="109" spans="1:22" s="30" customFormat="1" hidden="1" x14ac:dyDescent="0.35">
      <c r="A109" s="80" t="s">
        <v>93</v>
      </c>
      <c r="B109" s="80"/>
      <c r="C109" s="80"/>
      <c r="D109" s="80"/>
      <c r="E109" s="80"/>
      <c r="F109" s="172"/>
      <c r="G109" s="172"/>
      <c r="H109" s="172"/>
      <c r="I109" s="68"/>
      <c r="J109" s="68"/>
      <c r="K109" s="68"/>
      <c r="L109" s="68"/>
      <c r="M109" s="68"/>
      <c r="N109" s="68"/>
      <c r="R109"/>
      <c r="S109">
        <v>1300000</v>
      </c>
      <c r="T109">
        <v>700000</v>
      </c>
      <c r="U109">
        <v>350000</v>
      </c>
      <c r="V109" s="20">
        <v>400000</v>
      </c>
    </row>
    <row r="110" spans="1:22" s="30" customFormat="1" hidden="1" x14ac:dyDescent="0.35">
      <c r="A110" s="80" t="s">
        <v>94</v>
      </c>
      <c r="B110" s="80"/>
      <c r="C110" s="80"/>
      <c r="D110" s="80"/>
      <c r="E110" s="80"/>
      <c r="F110" s="172"/>
      <c r="G110" s="172"/>
      <c r="H110" s="172"/>
      <c r="I110" s="68"/>
      <c r="J110" s="68"/>
      <c r="K110" s="68"/>
      <c r="L110" s="68"/>
      <c r="M110" s="68"/>
      <c r="N110" s="68"/>
      <c r="R110"/>
      <c r="S110">
        <v>1400000</v>
      </c>
      <c r="T110">
        <v>800000</v>
      </c>
      <c r="U110">
        <v>400000</v>
      </c>
      <c r="V110"/>
    </row>
    <row r="111" spans="1:22" s="30" customFormat="1" hidden="1" x14ac:dyDescent="0.35">
      <c r="A111" s="80" t="s">
        <v>95</v>
      </c>
      <c r="B111" s="80"/>
      <c r="C111" s="80"/>
      <c r="D111" s="80"/>
      <c r="E111" s="80"/>
      <c r="F111" s="172"/>
      <c r="G111" s="172"/>
      <c r="H111" s="172"/>
      <c r="I111" s="68"/>
      <c r="J111" s="68"/>
      <c r="K111" s="68"/>
      <c r="L111" s="68"/>
      <c r="M111" s="68"/>
      <c r="N111" s="68"/>
      <c r="R111"/>
      <c r="S111">
        <v>1500000</v>
      </c>
      <c r="T111">
        <v>900000</v>
      </c>
      <c r="U111">
        <v>500000</v>
      </c>
      <c r="V111" s="20"/>
    </row>
    <row r="112" spans="1:22" s="30" customFormat="1" hidden="1" x14ac:dyDescent="0.35">
      <c r="A112" s="80" t="s">
        <v>96</v>
      </c>
      <c r="B112" s="80"/>
      <c r="C112" s="80"/>
      <c r="D112" s="80"/>
      <c r="E112" s="80"/>
      <c r="F112" s="172"/>
      <c r="G112" s="172"/>
      <c r="H112" s="172"/>
      <c r="I112" s="68"/>
      <c r="J112" s="68"/>
      <c r="K112" s="68"/>
      <c r="L112" s="68"/>
      <c r="M112" s="68"/>
      <c r="N112" s="68"/>
      <c r="R112"/>
      <c r="S112">
        <v>1600000</v>
      </c>
      <c r="T112">
        <v>1000000</v>
      </c>
      <c r="U112">
        <v>600000</v>
      </c>
      <c r="V112"/>
    </row>
    <row r="113" spans="1:22" s="30" customFormat="1" hidden="1" x14ac:dyDescent="0.35">
      <c r="A113" s="80" t="s">
        <v>97</v>
      </c>
      <c r="B113" s="80"/>
      <c r="C113" s="80"/>
      <c r="D113" s="80"/>
      <c r="E113" s="80"/>
      <c r="F113" s="172"/>
      <c r="G113" s="172"/>
      <c r="H113" s="172"/>
      <c r="I113" s="68"/>
      <c r="J113" s="68"/>
      <c r="K113" s="68"/>
      <c r="L113" s="68"/>
      <c r="M113" s="68"/>
      <c r="N113" s="68"/>
      <c r="R113"/>
      <c r="S113">
        <v>1700000</v>
      </c>
      <c r="T113"/>
      <c r="U113"/>
      <c r="V113" s="20"/>
    </row>
    <row r="114" spans="1:22" x14ac:dyDescent="0.35">
      <c r="A114" s="80" t="s">
        <v>49</v>
      </c>
      <c r="B114" s="80"/>
      <c r="C114" s="80"/>
      <c r="D114" s="80"/>
      <c r="E114" s="80"/>
      <c r="F114" s="172">
        <v>500000</v>
      </c>
      <c r="G114" s="172"/>
      <c r="H114" s="172"/>
      <c r="I114" s="67"/>
      <c r="J114" s="67"/>
      <c r="K114" s="67"/>
      <c r="L114" s="67"/>
      <c r="M114" s="67"/>
      <c r="N114" s="67"/>
      <c r="R114"/>
      <c r="S114">
        <v>1800000</v>
      </c>
      <c r="T114"/>
      <c r="U114"/>
    </row>
    <row r="115" spans="1:22" s="31" customFormat="1" x14ac:dyDescent="0.35">
      <c r="A115" s="122" t="s">
        <v>50</v>
      </c>
      <c r="B115" s="122"/>
      <c r="C115" s="122"/>
      <c r="D115" s="122"/>
      <c r="E115" s="122"/>
      <c r="F115" s="173">
        <f>F103*0.8</f>
        <v>7680</v>
      </c>
      <c r="G115" s="173"/>
      <c r="H115" s="173"/>
      <c r="I115" s="69"/>
      <c r="J115" s="69"/>
      <c r="K115" s="69"/>
      <c r="L115" s="69"/>
      <c r="M115" s="69"/>
      <c r="N115" s="69"/>
      <c r="R115" s="18"/>
      <c r="S115" s="18"/>
      <c r="T115"/>
      <c r="U115"/>
      <c r="V115" s="18"/>
    </row>
    <row r="116" spans="1:22" s="32" customFormat="1" ht="15.75" customHeight="1" x14ac:dyDescent="0.35">
      <c r="A116" s="113" t="s">
        <v>72</v>
      </c>
      <c r="B116" s="113"/>
      <c r="C116" s="113"/>
      <c r="D116" s="113"/>
      <c r="E116" s="113"/>
      <c r="F116" s="113"/>
      <c r="G116" s="113"/>
      <c r="H116" s="113"/>
      <c r="R116"/>
      <c r="S116" s="18"/>
      <c r="T116"/>
      <c r="U116"/>
      <c r="V116" s="18"/>
    </row>
    <row r="117" spans="1:22" s="32" customFormat="1" ht="15.75" customHeight="1" x14ac:dyDescent="0.35">
      <c r="A117" s="86" t="s">
        <v>51</v>
      </c>
      <c r="B117" s="86"/>
      <c r="C117" s="186" t="s">
        <v>75</v>
      </c>
      <c r="D117" s="186"/>
      <c r="E117" s="85" t="s">
        <v>52</v>
      </c>
      <c r="F117" s="85"/>
      <c r="G117" s="86" t="s">
        <v>53</v>
      </c>
      <c r="H117" s="86"/>
      <c r="R117"/>
      <c r="S117" s="18"/>
      <c r="T117"/>
      <c r="U117" s="18"/>
      <c r="V117" s="18"/>
    </row>
    <row r="118" spans="1:22" s="32" customFormat="1" x14ac:dyDescent="0.35">
      <c r="A118" s="175" t="s">
        <v>320</v>
      </c>
      <c r="B118" s="175"/>
      <c r="C118" s="94">
        <f>COUNT(F132:F139)</f>
        <v>8</v>
      </c>
      <c r="D118" s="95"/>
      <c r="E118" s="94">
        <f>SUM(F132:F139)</f>
        <v>4251.5647200000003</v>
      </c>
      <c r="F118" s="95"/>
      <c r="G118" s="94">
        <f>SUM(H132:H139)</f>
        <v>6589.9253159999998</v>
      </c>
      <c r="H118" s="95"/>
      <c r="R118"/>
      <c r="S118" s="18"/>
      <c r="T118"/>
      <c r="U118" s="18"/>
      <c r="V118" s="18"/>
    </row>
    <row r="119" spans="1:22" s="32" customFormat="1" x14ac:dyDescent="0.35">
      <c r="A119" s="175" t="s">
        <v>323</v>
      </c>
      <c r="B119" s="175"/>
      <c r="C119" s="94">
        <f>COUNT(F141:F148)</f>
        <v>8</v>
      </c>
      <c r="D119" s="95"/>
      <c r="E119" s="94">
        <f>SUM(F141:F148)</f>
        <v>3743.7192</v>
      </c>
      <c r="F119" s="95"/>
      <c r="G119" s="94">
        <f>SUM(H141:H148)</f>
        <v>5802.7647599999982</v>
      </c>
      <c r="H119" s="95"/>
      <c r="R119"/>
      <c r="S119" s="18"/>
      <c r="T119"/>
      <c r="U119" s="18"/>
      <c r="V119" s="18"/>
    </row>
    <row r="120" spans="1:22" s="32" customFormat="1" x14ac:dyDescent="0.35">
      <c r="A120" s="113" t="s">
        <v>153</v>
      </c>
      <c r="B120" s="113"/>
      <c r="C120" s="185">
        <f>SUM(C118:C119)</f>
        <v>16</v>
      </c>
      <c r="D120" s="186"/>
      <c r="E120" s="84">
        <f>SUM(E118:E119)</f>
        <v>7995.2839199999999</v>
      </c>
      <c r="F120" s="85"/>
      <c r="G120" s="86">
        <f>SUM(G118:G119)</f>
        <v>12392.690075999999</v>
      </c>
      <c r="H120" s="86"/>
      <c r="R120"/>
      <c r="S120" s="18"/>
      <c r="T120"/>
      <c r="U120" s="18"/>
      <c r="V120" s="18"/>
    </row>
    <row r="121" spans="1:22" s="32" customFormat="1" x14ac:dyDescent="0.35">
      <c r="A121" s="113" t="s">
        <v>67</v>
      </c>
      <c r="B121" s="113"/>
      <c r="C121" s="113"/>
      <c r="D121" s="113"/>
      <c r="E121" s="113"/>
      <c r="F121" s="113"/>
      <c r="G121" s="113"/>
      <c r="H121" s="113"/>
      <c r="T121"/>
    </row>
    <row r="122" spans="1:22" s="32" customFormat="1" ht="15.75" customHeight="1" x14ac:dyDescent="0.35">
      <c r="A122" s="86" t="s">
        <v>51</v>
      </c>
      <c r="B122" s="86"/>
      <c r="C122" s="186" t="s">
        <v>75</v>
      </c>
      <c r="D122" s="186"/>
      <c r="E122" s="85" t="s">
        <v>52</v>
      </c>
      <c r="F122" s="85"/>
      <c r="G122" s="86" t="s">
        <v>53</v>
      </c>
      <c r="H122" s="86"/>
      <c r="T122"/>
    </row>
    <row r="123" spans="1:22" s="32" customFormat="1" x14ac:dyDescent="0.35">
      <c r="A123" s="175" t="s">
        <v>331</v>
      </c>
      <c r="B123" s="175"/>
      <c r="C123" s="94">
        <f>COUNT(F153:F157)+COUNT(F159:F166)+COUNT(F168:F175)*5+COUNT(F177:F184)+COUNT(F186:F193)+COUNT(F195:F202)</f>
        <v>77</v>
      </c>
      <c r="D123" s="94"/>
      <c r="E123" s="94">
        <f>SUM(F153:F157)+SUM(F159:F166)+SUM(F168:F175)*5+SUM(F177:F184)+SUM(F186:F193)+SUM(F195:F202)</f>
        <v>59989.914036000009</v>
      </c>
      <c r="F123" s="94"/>
      <c r="G123" s="94">
        <f>SUM(H153:H157)+SUM(H159:H166)+SUM(H168:H175)*5+SUM(H177:H184)+SUM(H186:H193)+SUM(H195:H202)</f>
        <v>90370.854638999968</v>
      </c>
      <c r="H123" s="94"/>
      <c r="T123"/>
    </row>
    <row r="124" spans="1:22" s="32" customFormat="1" ht="16" thickBot="1" x14ac:dyDescent="0.4">
      <c r="A124" s="178" t="s">
        <v>153</v>
      </c>
      <c r="B124" s="178"/>
      <c r="C124" s="200">
        <f>SUM(C123)</f>
        <v>77</v>
      </c>
      <c r="D124" s="201"/>
      <c r="E124" s="179">
        <f>SUM(E123)</f>
        <v>59989.914036000009</v>
      </c>
      <c r="F124" s="180"/>
      <c r="G124" s="204">
        <f>SUM(G123)</f>
        <v>90370.854638999968</v>
      </c>
      <c r="H124" s="204"/>
      <c r="K124" s="32">
        <f>8*9+5</f>
        <v>77</v>
      </c>
    </row>
    <row r="125" spans="1:22" s="32" customFormat="1" ht="16" thickBot="1" x14ac:dyDescent="0.4">
      <c r="A125" s="181" t="s">
        <v>170</v>
      </c>
      <c r="B125" s="182"/>
      <c r="C125" s="183">
        <f>C120+C124</f>
        <v>93</v>
      </c>
      <c r="D125" s="183"/>
      <c r="E125" s="184">
        <f>E120+E124</f>
        <v>67985.197956000004</v>
      </c>
      <c r="F125" s="184"/>
      <c r="G125" s="100">
        <f>G120+G124</f>
        <v>102763.54471499997</v>
      </c>
      <c r="H125" s="101"/>
    </row>
    <row r="126" spans="1:22" s="31" customFormat="1" x14ac:dyDescent="0.35">
      <c r="A126" s="177" t="s">
        <v>54</v>
      </c>
      <c r="B126" s="177"/>
      <c r="C126" s="177"/>
      <c r="D126" s="177"/>
      <c r="E126" s="177"/>
      <c r="F126" s="177"/>
      <c r="G126" s="177"/>
      <c r="H126" s="177"/>
      <c r="T126" s="32"/>
    </row>
    <row r="127" spans="1:22" x14ac:dyDescent="0.35">
      <c r="A127" s="155" t="s">
        <v>178</v>
      </c>
      <c r="B127" s="155"/>
      <c r="C127" s="155"/>
      <c r="D127" s="155"/>
      <c r="E127" s="155"/>
      <c r="F127" s="155"/>
      <c r="G127" s="155"/>
      <c r="H127" s="155"/>
      <c r="T127" s="32"/>
    </row>
    <row r="128" spans="1:22" ht="47.25" customHeight="1" x14ac:dyDescent="0.35">
      <c r="A128" s="92" t="s">
        <v>332</v>
      </c>
      <c r="B128" s="92" t="s">
        <v>180</v>
      </c>
      <c r="C128" s="92" t="s">
        <v>55</v>
      </c>
      <c r="D128" s="92" t="s">
        <v>235</v>
      </c>
      <c r="E128" s="110" t="s">
        <v>159</v>
      </c>
      <c r="F128" s="92" t="s">
        <v>56</v>
      </c>
      <c r="G128" s="110" t="s">
        <v>57</v>
      </c>
      <c r="H128" s="61" t="s">
        <v>151</v>
      </c>
      <c r="T128" s="32"/>
    </row>
    <row r="129" spans="1:20" s="34" customFormat="1" x14ac:dyDescent="0.35">
      <c r="A129" s="93"/>
      <c r="B129" s="93"/>
      <c r="C129" s="93"/>
      <c r="D129" s="93"/>
      <c r="E129" s="111"/>
      <c r="F129" s="93"/>
      <c r="G129" s="111"/>
      <c r="H129" s="62">
        <v>0.55000000000000004</v>
      </c>
      <c r="T129" s="31"/>
    </row>
    <row r="130" spans="1:20" s="58" customFormat="1" x14ac:dyDescent="0.35">
      <c r="A130" s="109" t="s">
        <v>319</v>
      </c>
      <c r="B130" s="109"/>
      <c r="C130" s="109"/>
      <c r="D130" s="109"/>
      <c r="E130" s="109"/>
      <c r="F130" s="109"/>
      <c r="G130" s="109"/>
      <c r="H130" s="109"/>
      <c r="J130" s="60">
        <v>10.763999999999999</v>
      </c>
      <c r="T130" s="18"/>
    </row>
    <row r="131" spans="1:20" s="34" customFormat="1" x14ac:dyDescent="0.35">
      <c r="A131" s="109" t="s">
        <v>322</v>
      </c>
      <c r="B131" s="109"/>
      <c r="C131" s="109"/>
      <c r="D131" s="109"/>
      <c r="E131" s="109"/>
      <c r="F131" s="109"/>
      <c r="G131" s="109"/>
      <c r="H131" s="109"/>
      <c r="J131" s="33"/>
      <c r="K131" s="34">
        <v>12000</v>
      </c>
      <c r="T131" s="18"/>
    </row>
    <row r="132" spans="1:20" s="34" customFormat="1" ht="15.75" customHeight="1" x14ac:dyDescent="0.35">
      <c r="A132" s="81">
        <v>1</v>
      </c>
      <c r="B132" s="81"/>
      <c r="C132" s="74" t="s">
        <v>320</v>
      </c>
      <c r="D132" s="60">
        <f>(51.09)*10.764</f>
        <v>549.93276000000003</v>
      </c>
      <c r="E132" s="74">
        <v>0</v>
      </c>
      <c r="F132" s="74">
        <f>D132+(IF(E132&lt;201,E132,IF(E132&lt;301,E132/2,E132/3)))</f>
        <v>549.93276000000003</v>
      </c>
      <c r="G132" s="56">
        <v>0</v>
      </c>
      <c r="H132" s="74">
        <f>(F132+(IF(G132&lt;101,G132,IF(G132&lt;201,G132/2,IF(G132&lt;=301,G132/3,G132/4)))))*(($H$129)+1)</f>
        <v>852.39577800000006</v>
      </c>
      <c r="I132" s="59">
        <f>3.35*14.25+1.75*1+1.5*0.9</f>
        <v>50.837500000000006</v>
      </c>
      <c r="K132" s="34">
        <f>K$131*H132</f>
        <v>10228749.336000001</v>
      </c>
      <c r="L132" s="79"/>
      <c r="M132" s="79"/>
      <c r="N132" s="33"/>
      <c r="T132" s="18"/>
    </row>
    <row r="133" spans="1:20" s="34" customFormat="1" ht="15.75" customHeight="1" x14ac:dyDescent="0.35">
      <c r="A133" s="81">
        <f t="shared" ref="A133:A139" si="0">A132+1</f>
        <v>2</v>
      </c>
      <c r="B133" s="81"/>
      <c r="C133" s="74" t="s">
        <v>320</v>
      </c>
      <c r="D133" s="60">
        <f>(53.38)*10.764</f>
        <v>574.58231999999998</v>
      </c>
      <c r="E133" s="74">
        <v>0</v>
      </c>
      <c r="F133" s="74">
        <f t="shared" ref="F133:F135" si="1">D133+(IF(E133&lt;201,E133,IF(E133&lt;301,E133/2,E133/3)))</f>
        <v>574.58231999999998</v>
      </c>
      <c r="G133" s="74">
        <v>0</v>
      </c>
      <c r="H133" s="74">
        <f t="shared" ref="H133:H135" si="2">(F133+(IF(G133&lt;101,G133,IF(G133&lt;201,G133/2,IF(G133&lt;=301,G133/3,G133/4)))))*(($H$129)+1)</f>
        <v>890.60259599999995</v>
      </c>
      <c r="I133" s="33"/>
      <c r="K133" s="71">
        <f t="shared" ref="K133:K139" si="3">K$131*H133</f>
        <v>10687231.151999999</v>
      </c>
      <c r="L133" s="79"/>
      <c r="M133" s="79"/>
      <c r="N133" s="33"/>
    </row>
    <row r="134" spans="1:20" s="34" customFormat="1" ht="15.75" customHeight="1" x14ac:dyDescent="0.35">
      <c r="A134" s="81">
        <f t="shared" si="0"/>
        <v>3</v>
      </c>
      <c r="B134" s="81"/>
      <c r="C134" s="74" t="s">
        <v>320</v>
      </c>
      <c r="D134" s="60">
        <f>(46.51)*10.764</f>
        <v>500.63363999999996</v>
      </c>
      <c r="E134" s="74">
        <v>0</v>
      </c>
      <c r="F134" s="74">
        <f t="shared" si="1"/>
        <v>500.63363999999996</v>
      </c>
      <c r="G134" s="74">
        <v>0</v>
      </c>
      <c r="H134" s="74">
        <f t="shared" si="2"/>
        <v>775.98214199999995</v>
      </c>
      <c r="I134" s="33"/>
      <c r="K134" s="71">
        <f t="shared" si="3"/>
        <v>9311785.7039999999</v>
      </c>
      <c r="L134" s="79"/>
      <c r="M134" s="79"/>
      <c r="N134" s="33"/>
    </row>
    <row r="135" spans="1:20" s="34" customFormat="1" ht="15.75" customHeight="1" x14ac:dyDescent="0.35">
      <c r="A135" s="81">
        <f t="shared" si="0"/>
        <v>4</v>
      </c>
      <c r="B135" s="81"/>
      <c r="C135" s="74" t="s">
        <v>320</v>
      </c>
      <c r="D135" s="60">
        <f>(46.51)*10.764</f>
        <v>500.63363999999996</v>
      </c>
      <c r="E135" s="74">
        <v>0</v>
      </c>
      <c r="F135" s="74">
        <f t="shared" si="1"/>
        <v>500.63363999999996</v>
      </c>
      <c r="G135" s="74">
        <v>0</v>
      </c>
      <c r="H135" s="74">
        <f t="shared" si="2"/>
        <v>775.98214199999995</v>
      </c>
      <c r="I135" s="33"/>
      <c r="K135" s="71">
        <f t="shared" si="3"/>
        <v>9311785.7039999999</v>
      </c>
      <c r="L135" s="79"/>
      <c r="M135" s="79"/>
      <c r="N135" s="33"/>
    </row>
    <row r="136" spans="1:20" s="58" customFormat="1" ht="15.75" customHeight="1" x14ac:dyDescent="0.35">
      <c r="A136" s="81">
        <f t="shared" si="0"/>
        <v>5</v>
      </c>
      <c r="B136" s="81"/>
      <c r="C136" s="74" t="s">
        <v>320</v>
      </c>
      <c r="D136" s="60">
        <f>(46.51)*10.764</f>
        <v>500.63363999999996</v>
      </c>
      <c r="E136" s="74">
        <v>0</v>
      </c>
      <c r="F136" s="74">
        <f t="shared" ref="F136:F138" si="4">D136+(IF(E136&lt;201,E136,IF(E136&lt;301,E136/2,E136/3)))</f>
        <v>500.63363999999996</v>
      </c>
      <c r="G136" s="74">
        <v>0</v>
      </c>
      <c r="H136" s="74">
        <f t="shared" ref="H136:H138" si="5">(F136+(IF(G136&lt;101,G136,IF(G136&lt;201,G136/2,IF(G136&lt;=301,G136/3,G136/4)))))*(($H$129)+1)</f>
        <v>775.98214199999995</v>
      </c>
      <c r="I136" s="33"/>
      <c r="K136" s="71">
        <f t="shared" si="3"/>
        <v>9311785.7039999999</v>
      </c>
      <c r="L136" s="79"/>
      <c r="M136" s="79"/>
      <c r="N136" s="33"/>
    </row>
    <row r="137" spans="1:20" s="58" customFormat="1" ht="15.75" customHeight="1" x14ac:dyDescent="0.35">
      <c r="A137" s="81">
        <f t="shared" si="0"/>
        <v>6</v>
      </c>
      <c r="B137" s="81"/>
      <c r="C137" s="74" t="s">
        <v>320</v>
      </c>
      <c r="D137" s="60">
        <f>(46.51)*10.764</f>
        <v>500.63363999999996</v>
      </c>
      <c r="E137" s="74">
        <v>0</v>
      </c>
      <c r="F137" s="74">
        <f t="shared" si="4"/>
        <v>500.63363999999996</v>
      </c>
      <c r="G137" s="74">
        <v>0</v>
      </c>
      <c r="H137" s="74">
        <f t="shared" si="5"/>
        <v>775.98214199999995</v>
      </c>
      <c r="I137" s="33"/>
      <c r="K137" s="71">
        <f t="shared" si="3"/>
        <v>9311785.7039999999</v>
      </c>
      <c r="L137" s="79"/>
      <c r="M137" s="79"/>
      <c r="N137" s="33"/>
    </row>
    <row r="138" spans="1:20" s="58" customFormat="1" ht="15.75" customHeight="1" x14ac:dyDescent="0.35">
      <c r="A138" s="81">
        <f t="shared" si="0"/>
        <v>7</v>
      </c>
      <c r="B138" s="81"/>
      <c r="C138" s="74" t="s">
        <v>320</v>
      </c>
      <c r="D138" s="60">
        <f>(53.38)*10.764</f>
        <v>574.58231999999998</v>
      </c>
      <c r="E138" s="74">
        <v>0</v>
      </c>
      <c r="F138" s="74">
        <f t="shared" si="4"/>
        <v>574.58231999999998</v>
      </c>
      <c r="G138" s="74">
        <v>0</v>
      </c>
      <c r="H138" s="74">
        <f t="shared" si="5"/>
        <v>890.60259599999995</v>
      </c>
      <c r="I138" s="33"/>
      <c r="K138" s="71">
        <f t="shared" si="3"/>
        <v>10687231.151999999</v>
      </c>
      <c r="L138" s="79"/>
      <c r="M138" s="79"/>
      <c r="N138" s="33"/>
    </row>
    <row r="139" spans="1:20" s="58" customFormat="1" ht="15.75" customHeight="1" x14ac:dyDescent="0.35">
      <c r="A139" s="82">
        <f t="shared" si="0"/>
        <v>8</v>
      </c>
      <c r="B139" s="83"/>
      <c r="C139" s="57" t="s">
        <v>320</v>
      </c>
      <c r="D139" s="60">
        <f>(51.09)*10.764</f>
        <v>549.93276000000003</v>
      </c>
      <c r="E139" s="57">
        <v>0</v>
      </c>
      <c r="F139" s="57">
        <f t="shared" ref="F139" si="6">D139+(IF(E139&lt;201,E139,IF(E139&lt;301,E139/2,E139/3)))</f>
        <v>549.93276000000003</v>
      </c>
      <c r="G139" s="57">
        <v>0</v>
      </c>
      <c r="H139" s="57">
        <f t="shared" ref="H139" si="7">(F139+(IF(G139&lt;101,G139,IF(G139&lt;201,G139/2,IF(G139&lt;=301,G139/3,G139/4)))))*(($H$129)+1)</f>
        <v>852.39577800000006</v>
      </c>
      <c r="I139" s="33"/>
      <c r="K139" s="71">
        <f t="shared" si="3"/>
        <v>10228749.336000001</v>
      </c>
      <c r="L139" s="79"/>
      <c r="M139" s="79"/>
      <c r="N139" s="33"/>
    </row>
    <row r="140" spans="1:20" s="58" customFormat="1" x14ac:dyDescent="0.35">
      <c r="A140" s="187" t="s">
        <v>321</v>
      </c>
      <c r="B140" s="188"/>
      <c r="C140" s="188"/>
      <c r="D140" s="188"/>
      <c r="E140" s="188"/>
      <c r="F140" s="188"/>
      <c r="G140" s="188"/>
      <c r="H140" s="189"/>
      <c r="J140" s="33"/>
      <c r="T140" s="18"/>
    </row>
    <row r="141" spans="1:20" s="58" customFormat="1" ht="15.75" customHeight="1" x14ac:dyDescent="0.35">
      <c r="A141" s="82">
        <v>1</v>
      </c>
      <c r="B141" s="83"/>
      <c r="C141" s="57" t="s">
        <v>323</v>
      </c>
      <c r="D141" s="60">
        <f>(44.97)*10.764</f>
        <v>484.05707999999998</v>
      </c>
      <c r="E141" s="57">
        <v>0</v>
      </c>
      <c r="F141" s="57">
        <f>D141+(IF(E141&lt;201,E141,IF(E141&lt;301,E141/2,E141/3)))</f>
        <v>484.05707999999998</v>
      </c>
      <c r="G141" s="56">
        <v>0</v>
      </c>
      <c r="H141" s="57">
        <f>(F141+(IF(G141&lt;101,G141,IF(G141&lt;201,G141/2,IF(G141&lt;=301,G141/3,G141/4)))))*(($H$129)+1)</f>
        <v>750.28847399999995</v>
      </c>
      <c r="I141" s="33"/>
      <c r="L141" s="79"/>
      <c r="M141" s="79"/>
      <c r="N141" s="33"/>
      <c r="T141" s="18"/>
    </row>
    <row r="142" spans="1:20" s="58" customFormat="1" ht="15.75" customHeight="1" x14ac:dyDescent="0.35">
      <c r="A142" s="82">
        <f t="shared" ref="A142:A148" si="8">A141+1</f>
        <v>2</v>
      </c>
      <c r="B142" s="83"/>
      <c r="C142" s="57" t="s">
        <v>323</v>
      </c>
      <c r="D142" s="60">
        <f>(46.98)*10.764</f>
        <v>505.69271999999995</v>
      </c>
      <c r="E142" s="57">
        <v>0</v>
      </c>
      <c r="F142" s="57">
        <f t="shared" ref="F142:F148" si="9">D142+(IF(E142&lt;201,E142,IF(E142&lt;301,E142/2,E142/3)))</f>
        <v>505.69271999999995</v>
      </c>
      <c r="G142" s="57">
        <v>0</v>
      </c>
      <c r="H142" s="57">
        <f t="shared" ref="H142:H148" si="10">(F142+(IF(G142&lt;101,G142,IF(G142&lt;201,G142/2,IF(G142&lt;=301,G142/3,G142/4)))))*(($H$129)+1)</f>
        <v>783.82371599999999</v>
      </c>
      <c r="I142" s="33"/>
      <c r="L142" s="79"/>
      <c r="M142" s="79"/>
      <c r="N142" s="33"/>
    </row>
    <row r="143" spans="1:20" s="58" customFormat="1" ht="15.75" customHeight="1" x14ac:dyDescent="0.35">
      <c r="A143" s="82">
        <f t="shared" si="8"/>
        <v>3</v>
      </c>
      <c r="B143" s="83"/>
      <c r="C143" s="57" t="s">
        <v>323</v>
      </c>
      <c r="D143" s="60">
        <f>(40.96)*10.764</f>
        <v>440.89344</v>
      </c>
      <c r="E143" s="57">
        <v>0</v>
      </c>
      <c r="F143" s="57">
        <f t="shared" si="9"/>
        <v>440.89344</v>
      </c>
      <c r="G143" s="57">
        <v>0</v>
      </c>
      <c r="H143" s="57">
        <f t="shared" si="10"/>
        <v>683.38483199999996</v>
      </c>
      <c r="I143" s="33"/>
      <c r="L143" s="79"/>
      <c r="M143" s="79"/>
      <c r="N143" s="33"/>
    </row>
    <row r="144" spans="1:20" s="58" customFormat="1" ht="15.75" customHeight="1" x14ac:dyDescent="0.35">
      <c r="A144" s="82">
        <f t="shared" si="8"/>
        <v>4</v>
      </c>
      <c r="B144" s="83"/>
      <c r="C144" s="57" t="s">
        <v>323</v>
      </c>
      <c r="D144" s="60">
        <f>(40.96)*10.764</f>
        <v>440.89344</v>
      </c>
      <c r="E144" s="57">
        <v>0</v>
      </c>
      <c r="F144" s="57">
        <f t="shared" si="9"/>
        <v>440.89344</v>
      </c>
      <c r="G144" s="57">
        <v>0</v>
      </c>
      <c r="H144" s="57">
        <f t="shared" si="10"/>
        <v>683.38483199999996</v>
      </c>
      <c r="I144" s="33"/>
      <c r="L144" s="79"/>
      <c r="M144" s="79"/>
      <c r="N144" s="33"/>
    </row>
    <row r="145" spans="1:20" s="58" customFormat="1" ht="15.75" customHeight="1" x14ac:dyDescent="0.35">
      <c r="A145" s="82">
        <f t="shared" si="8"/>
        <v>5</v>
      </c>
      <c r="B145" s="83"/>
      <c r="C145" s="57" t="s">
        <v>323</v>
      </c>
      <c r="D145" s="60">
        <f>(40.96)*10.764</f>
        <v>440.89344</v>
      </c>
      <c r="E145" s="57">
        <v>0</v>
      </c>
      <c r="F145" s="57">
        <f t="shared" si="9"/>
        <v>440.89344</v>
      </c>
      <c r="G145" s="57">
        <v>0</v>
      </c>
      <c r="H145" s="57">
        <f t="shared" si="10"/>
        <v>683.38483199999996</v>
      </c>
      <c r="I145" s="33"/>
      <c r="L145" s="79"/>
      <c r="M145" s="79"/>
      <c r="N145" s="33"/>
    </row>
    <row r="146" spans="1:20" s="58" customFormat="1" ht="15.75" customHeight="1" x14ac:dyDescent="0.35">
      <c r="A146" s="82">
        <f t="shared" si="8"/>
        <v>6</v>
      </c>
      <c r="B146" s="83"/>
      <c r="C146" s="57" t="s">
        <v>323</v>
      </c>
      <c r="D146" s="60">
        <f>(40.96)*10.764</f>
        <v>440.89344</v>
      </c>
      <c r="E146" s="57">
        <v>0</v>
      </c>
      <c r="F146" s="57">
        <f t="shared" si="9"/>
        <v>440.89344</v>
      </c>
      <c r="G146" s="57">
        <v>0</v>
      </c>
      <c r="H146" s="57">
        <f t="shared" si="10"/>
        <v>683.38483199999996</v>
      </c>
      <c r="I146" s="33"/>
      <c r="L146" s="79"/>
      <c r="M146" s="79"/>
      <c r="N146" s="33"/>
    </row>
    <row r="147" spans="1:20" s="58" customFormat="1" ht="15.75" customHeight="1" x14ac:dyDescent="0.35">
      <c r="A147" s="82">
        <f t="shared" si="8"/>
        <v>7</v>
      </c>
      <c r="B147" s="83"/>
      <c r="C147" s="57" t="s">
        <v>323</v>
      </c>
      <c r="D147" s="60">
        <f>(47.01)*10.764</f>
        <v>506.01563999999996</v>
      </c>
      <c r="E147" s="57">
        <v>0</v>
      </c>
      <c r="F147" s="57">
        <f t="shared" si="9"/>
        <v>506.01563999999996</v>
      </c>
      <c r="G147" s="57">
        <v>0</v>
      </c>
      <c r="H147" s="57">
        <f t="shared" si="10"/>
        <v>784.32424199999991</v>
      </c>
      <c r="I147" s="33"/>
      <c r="L147" s="79"/>
      <c r="M147" s="79"/>
      <c r="N147" s="33"/>
    </row>
    <row r="148" spans="1:20" s="58" customFormat="1" ht="15.75" customHeight="1" x14ac:dyDescent="0.35">
      <c r="A148" s="82">
        <f t="shared" si="8"/>
        <v>8</v>
      </c>
      <c r="B148" s="83"/>
      <c r="C148" s="57" t="s">
        <v>323</v>
      </c>
      <c r="D148" s="60">
        <f>(45)*10.764</f>
        <v>484.38</v>
      </c>
      <c r="E148" s="57">
        <v>0</v>
      </c>
      <c r="F148" s="57">
        <f t="shared" si="9"/>
        <v>484.38</v>
      </c>
      <c r="G148" s="57">
        <v>0</v>
      </c>
      <c r="H148" s="57">
        <f t="shared" si="10"/>
        <v>750.78899999999999</v>
      </c>
      <c r="I148" s="33"/>
      <c r="L148" s="79"/>
      <c r="M148" s="79"/>
      <c r="N148" s="33"/>
    </row>
    <row r="149" spans="1:20" s="34" customFormat="1" x14ac:dyDescent="0.35">
      <c r="A149" s="82"/>
      <c r="B149" s="176"/>
      <c r="C149" s="176"/>
      <c r="D149" s="176"/>
      <c r="E149" s="176"/>
      <c r="F149" s="176"/>
      <c r="G149" s="176"/>
      <c r="H149" s="83"/>
      <c r="I149" s="33"/>
      <c r="N149" s="33"/>
    </row>
    <row r="150" spans="1:20" ht="47.25" customHeight="1" x14ac:dyDescent="0.35">
      <c r="A150" s="198" t="s">
        <v>119</v>
      </c>
      <c r="B150" s="96" t="s">
        <v>181</v>
      </c>
      <c r="C150" s="96" t="s">
        <v>55</v>
      </c>
      <c r="D150" s="96" t="s">
        <v>235</v>
      </c>
      <c r="E150" s="96" t="s">
        <v>326</v>
      </c>
      <c r="F150" s="96" t="s">
        <v>56</v>
      </c>
      <c r="G150" s="98" t="s">
        <v>57</v>
      </c>
      <c r="H150" s="50" t="s">
        <v>151</v>
      </c>
      <c r="I150" s="33"/>
      <c r="T150" s="34"/>
    </row>
    <row r="151" spans="1:20" s="34" customFormat="1" x14ac:dyDescent="0.35">
      <c r="A151" s="199"/>
      <c r="B151" s="97"/>
      <c r="C151" s="97"/>
      <c r="D151" s="97"/>
      <c r="E151" s="97"/>
      <c r="F151" s="97"/>
      <c r="G151" s="99"/>
      <c r="H151" s="62">
        <v>0.5</v>
      </c>
      <c r="I151" s="33"/>
    </row>
    <row r="152" spans="1:20" s="58" customFormat="1" x14ac:dyDescent="0.35">
      <c r="A152" s="174" t="s">
        <v>324</v>
      </c>
      <c r="B152" s="174"/>
      <c r="C152" s="174"/>
      <c r="D152" s="174"/>
      <c r="E152" s="174"/>
      <c r="F152" s="174"/>
      <c r="G152" s="174"/>
      <c r="H152" s="174"/>
      <c r="I152" s="33"/>
      <c r="L152" s="79"/>
      <c r="M152" s="79"/>
    </row>
    <row r="153" spans="1:20" s="58" customFormat="1" x14ac:dyDescent="0.35">
      <c r="A153" s="81">
        <v>1</v>
      </c>
      <c r="B153" s="81"/>
      <c r="C153" s="57" t="s">
        <v>325</v>
      </c>
      <c r="D153" s="60">
        <f>(61.26)*10.764</f>
        <v>659.40263999999991</v>
      </c>
      <c r="E153" s="60">
        <v>0</v>
      </c>
      <c r="F153" s="57">
        <f>D153+E153</f>
        <v>659.40263999999991</v>
      </c>
      <c r="G153" s="60">
        <f>(2.3*1.3+3.35*1+3.35*1+3.5*2.2)*10.764</f>
        <v>187.18595999999999</v>
      </c>
      <c r="H153" s="57">
        <f>F153*(($H$151)+1)+(IF(G153&lt;101,G153,IF(G153&lt;201,G153/2,IF(G153&lt;=301,G153/3,G153/4))))</f>
        <v>1082.6969399999998</v>
      </c>
      <c r="I153" s="33">
        <f>1.65*1.05+3.5*5.2+2.3*3.05+3.35*3.35+3.35*3.7+0.9*1.25+1.35*1.25+1.8*1.25+2.35*1.25</f>
        <v>58.565000000000005</v>
      </c>
      <c r="N153" s="33"/>
    </row>
    <row r="154" spans="1:20" s="58" customFormat="1" x14ac:dyDescent="0.35">
      <c r="A154" s="81">
        <f>A153+1</f>
        <v>2</v>
      </c>
      <c r="B154" s="81"/>
      <c r="C154" s="57" t="s">
        <v>325</v>
      </c>
      <c r="D154" s="60">
        <f>(61.94)*10.764</f>
        <v>666.72215999999992</v>
      </c>
      <c r="E154" s="60">
        <f>2.75*10.764</f>
        <v>29.600999999999999</v>
      </c>
      <c r="F154" s="57">
        <f>D154+E154</f>
        <v>696.32315999999992</v>
      </c>
      <c r="G154" s="60">
        <f>(3.05*2.2+2.75*1.45+6.5*1)*10.764</f>
        <v>185.11388999999997</v>
      </c>
      <c r="H154" s="57">
        <f>F154*(($H$151)+1)+(IF(G154&lt;101,G154,IF(G154&lt;201,G154/2,IF(G154&lt;=301,G154/3,G154/4))))</f>
        <v>1137.0416849999999</v>
      </c>
      <c r="I154" s="33">
        <f>3.05*5.1+1.75*1+3.4*1.55+2.75*2.35+3.35*2.8+3.05*3.8+1.8*1.2+2.4*1.2+2.3*0.9+2.55*0.9</f>
        <v>59.412500000000009</v>
      </c>
      <c r="J154" s="58">
        <f>1.45*1+1.3*1</f>
        <v>2.75</v>
      </c>
      <c r="N154" s="33"/>
    </row>
    <row r="155" spans="1:20" s="58" customFormat="1" x14ac:dyDescent="0.35">
      <c r="A155" s="81">
        <f>A154+1</f>
        <v>3</v>
      </c>
      <c r="B155" s="81"/>
      <c r="C155" s="57" t="s">
        <v>325</v>
      </c>
      <c r="D155" s="60">
        <f>(61.26)*10.764</f>
        <v>659.40263999999991</v>
      </c>
      <c r="E155" s="60">
        <v>0</v>
      </c>
      <c r="F155" s="57">
        <f>D155+E155</f>
        <v>659.40263999999991</v>
      </c>
      <c r="G155" s="60">
        <f>(3.5*2.2+3.35*1+3.35*1+2.3*1.3)*10.764</f>
        <v>187.18595999999999</v>
      </c>
      <c r="H155" s="57">
        <f>F155*(($H$151)+1)+(IF(G155&lt;101,G155,IF(G155&lt;201,G155/2,IF(G155&lt;=301,G155/3,G155/4))))</f>
        <v>1082.6969399999998</v>
      </c>
      <c r="I155" s="33"/>
      <c r="N155" s="33"/>
    </row>
    <row r="156" spans="1:20" s="58" customFormat="1" x14ac:dyDescent="0.35">
      <c r="A156" s="81">
        <f>A155+1</f>
        <v>4</v>
      </c>
      <c r="B156" s="81"/>
      <c r="C156" s="57" t="s">
        <v>325</v>
      </c>
      <c r="D156" s="60">
        <f>(60.39)*10.764</f>
        <v>650.03796</v>
      </c>
      <c r="E156" s="60">
        <f>(11)*10.764</f>
        <v>118.404</v>
      </c>
      <c r="F156" s="57">
        <f>D156+E156</f>
        <v>768.44195999999999</v>
      </c>
      <c r="G156" s="60">
        <v>0</v>
      </c>
      <c r="H156" s="57">
        <f>F156*(($H$151)+1)+(IF(G156&lt;101,G156,IF(G156&lt;201,G156/2,IF(G156&lt;=301,G156/3,G156/4))))</f>
        <v>1152.6629399999999</v>
      </c>
      <c r="I156" s="59">
        <f>2.75*1.2+2.1*1+5.6*1</f>
        <v>11</v>
      </c>
      <c r="J156" s="33">
        <f>12000000/H156</f>
        <v>10410.675648164763</v>
      </c>
      <c r="N156" s="33"/>
    </row>
    <row r="157" spans="1:20" s="58" customFormat="1" x14ac:dyDescent="0.35">
      <c r="A157" s="81">
        <f>A156+1</f>
        <v>5</v>
      </c>
      <c r="B157" s="81"/>
      <c r="C157" s="57" t="s">
        <v>325</v>
      </c>
      <c r="D157" s="60">
        <f>(55.82)*10.764</f>
        <v>600.84647999999993</v>
      </c>
      <c r="E157" s="60">
        <f>(7.12)*10.764</f>
        <v>76.639679999999998</v>
      </c>
      <c r="F157" s="57">
        <f>D157+E157</f>
        <v>677.48615999999993</v>
      </c>
      <c r="G157" s="60">
        <f>(2.2*1.25+3.1*1)*10.764</f>
        <v>62.969399999999993</v>
      </c>
      <c r="H157" s="57">
        <f>F157*(($H$151)+1)+(IF(G157&lt;101,G157,IF(G157&lt;201,G157/2,IF(G157&lt;=301,G157/3,G157/4))))</f>
        <v>1079.1986399999998</v>
      </c>
      <c r="I157" s="33"/>
      <c r="N157" s="33"/>
    </row>
    <row r="158" spans="1:20" s="58" customFormat="1" x14ac:dyDescent="0.35">
      <c r="A158" s="174" t="s">
        <v>327</v>
      </c>
      <c r="B158" s="174"/>
      <c r="C158" s="174"/>
      <c r="D158" s="174"/>
      <c r="E158" s="174"/>
      <c r="F158" s="174"/>
      <c r="G158" s="174"/>
      <c r="H158" s="174"/>
      <c r="I158" s="33"/>
      <c r="K158" s="58">
        <v>9000</v>
      </c>
      <c r="L158" s="79"/>
      <c r="M158" s="79"/>
    </row>
    <row r="159" spans="1:20" s="58" customFormat="1" x14ac:dyDescent="0.35">
      <c r="A159" s="81">
        <v>1</v>
      </c>
      <c r="B159" s="81"/>
      <c r="C159" s="57" t="s">
        <v>325</v>
      </c>
      <c r="D159" s="60">
        <f>(61.26)*10.764</f>
        <v>659.40263999999991</v>
      </c>
      <c r="E159" s="60">
        <f>(13.89)*10.764</f>
        <v>149.51195999999999</v>
      </c>
      <c r="F159" s="57">
        <f t="shared" ref="F159:F166" si="11">D159+E159</f>
        <v>808.91459999999984</v>
      </c>
      <c r="G159" s="60">
        <v>0</v>
      </c>
      <c r="H159" s="57">
        <f t="shared" ref="H159:H166" si="12">F159*(($H$151)+1)+(IF(G159&lt;101,G159,IF(G159&lt;201,G159/2,IF(G159&lt;=301,G159/3,G159/4))))</f>
        <v>1213.3718999999996</v>
      </c>
      <c r="I159" s="33"/>
      <c r="J159" s="33">
        <f>13000000/H159</f>
        <v>10713.945163885865</v>
      </c>
      <c r="K159" s="58">
        <f>K$158*H159</f>
        <v>10920347.099999996</v>
      </c>
      <c r="N159" s="33"/>
    </row>
    <row r="160" spans="1:20" s="58" customFormat="1" x14ac:dyDescent="0.35">
      <c r="A160" s="81">
        <f t="shared" ref="A160:A166" si="13">A159+1</f>
        <v>2</v>
      </c>
      <c r="B160" s="81"/>
      <c r="C160" s="57" t="s">
        <v>325</v>
      </c>
      <c r="D160" s="60">
        <f>(61.94)*10.764</f>
        <v>666.72215999999992</v>
      </c>
      <c r="E160" s="60">
        <f>(14.14+2.75)*10.764</f>
        <v>181.80395999999999</v>
      </c>
      <c r="F160" s="57">
        <f t="shared" si="11"/>
        <v>848.52611999999988</v>
      </c>
      <c r="G160" s="60">
        <v>0</v>
      </c>
      <c r="H160" s="57">
        <f t="shared" si="12"/>
        <v>1272.7891799999998</v>
      </c>
      <c r="I160" s="33"/>
      <c r="K160" s="71">
        <f t="shared" ref="K160:K193" si="14">K$158*H160</f>
        <v>11455102.619999997</v>
      </c>
      <c r="N160" s="33"/>
    </row>
    <row r="161" spans="1:14" s="58" customFormat="1" x14ac:dyDescent="0.35">
      <c r="A161" s="81">
        <f t="shared" si="13"/>
        <v>3</v>
      </c>
      <c r="B161" s="81"/>
      <c r="C161" s="57" t="s">
        <v>325</v>
      </c>
      <c r="D161" s="60">
        <f>(61.26)*10.764</f>
        <v>659.40263999999991</v>
      </c>
      <c r="E161" s="60">
        <f>(13.89)*10.764</f>
        <v>149.51195999999999</v>
      </c>
      <c r="F161" s="57">
        <f t="shared" si="11"/>
        <v>808.91459999999984</v>
      </c>
      <c r="G161" s="60">
        <v>0</v>
      </c>
      <c r="H161" s="57">
        <f t="shared" si="12"/>
        <v>1213.3718999999996</v>
      </c>
      <c r="I161" s="33"/>
      <c r="K161" s="71">
        <f t="shared" si="14"/>
        <v>10920347.099999996</v>
      </c>
      <c r="N161" s="33"/>
    </row>
    <row r="162" spans="1:14" s="58" customFormat="1" x14ac:dyDescent="0.35">
      <c r="A162" s="81">
        <f t="shared" si="13"/>
        <v>4</v>
      </c>
      <c r="B162" s="81"/>
      <c r="C162" s="57" t="s">
        <v>325</v>
      </c>
      <c r="D162" s="60">
        <f>(55.28)*10.764</f>
        <v>595.03391999999997</v>
      </c>
      <c r="E162" s="60">
        <f>(12.15+4.4)*10.764</f>
        <v>178.14419999999998</v>
      </c>
      <c r="F162" s="57">
        <f t="shared" si="11"/>
        <v>773.17811999999992</v>
      </c>
      <c r="G162" s="60">
        <v>0</v>
      </c>
      <c r="H162" s="57">
        <f t="shared" si="12"/>
        <v>1159.7671799999998</v>
      </c>
      <c r="I162" s="33"/>
      <c r="K162" s="71">
        <f t="shared" si="14"/>
        <v>10437904.619999999</v>
      </c>
      <c r="N162" s="33"/>
    </row>
    <row r="163" spans="1:14" s="58" customFormat="1" x14ac:dyDescent="0.35">
      <c r="A163" s="81">
        <f t="shared" si="13"/>
        <v>5</v>
      </c>
      <c r="B163" s="81"/>
      <c r="C163" s="57" t="s">
        <v>325</v>
      </c>
      <c r="D163" s="60">
        <f>(55.28)*10.764</f>
        <v>595.03391999999997</v>
      </c>
      <c r="E163" s="60">
        <f>(12.15+4.4)*10.764</f>
        <v>178.14419999999998</v>
      </c>
      <c r="F163" s="57">
        <f t="shared" si="11"/>
        <v>773.17811999999992</v>
      </c>
      <c r="G163" s="60">
        <v>0</v>
      </c>
      <c r="H163" s="57">
        <f t="shared" si="12"/>
        <v>1159.7671799999998</v>
      </c>
      <c r="I163" s="33"/>
      <c r="K163" s="71">
        <f t="shared" si="14"/>
        <v>10437904.619999999</v>
      </c>
      <c r="N163" s="33"/>
    </row>
    <row r="164" spans="1:14" s="58" customFormat="1" x14ac:dyDescent="0.35">
      <c r="A164" s="81">
        <f t="shared" si="13"/>
        <v>6</v>
      </c>
      <c r="B164" s="81"/>
      <c r="C164" s="57" t="s">
        <v>325</v>
      </c>
      <c r="D164" s="60">
        <f>(55.83)*10.764</f>
        <v>600.95411999999999</v>
      </c>
      <c r="E164" s="60">
        <f>(8.95)*10.764</f>
        <v>96.337799999999987</v>
      </c>
      <c r="F164" s="57">
        <f t="shared" si="11"/>
        <v>697.29192</v>
      </c>
      <c r="G164" s="60">
        <f>(3.35*1.2)*10.764</f>
        <v>43.27127999999999</v>
      </c>
      <c r="H164" s="57">
        <f t="shared" si="12"/>
        <v>1089.2091599999999</v>
      </c>
      <c r="I164" s="33">
        <f>10500000/H164</f>
        <v>9640.0217567028176</v>
      </c>
      <c r="K164" s="71">
        <f t="shared" si="14"/>
        <v>9802882.4399999995</v>
      </c>
      <c r="N164" s="33"/>
    </row>
    <row r="165" spans="1:14" s="58" customFormat="1" x14ac:dyDescent="0.35">
      <c r="A165" s="81">
        <f t="shared" si="13"/>
        <v>7</v>
      </c>
      <c r="B165" s="81"/>
      <c r="C165" s="57" t="s">
        <v>325</v>
      </c>
      <c r="D165" s="60">
        <f>(60.39)*10.764</f>
        <v>650.03796</v>
      </c>
      <c r="E165" s="60">
        <f>(11)*10.764</f>
        <v>118.404</v>
      </c>
      <c r="F165" s="57">
        <f t="shared" si="11"/>
        <v>768.44195999999999</v>
      </c>
      <c r="G165" s="60">
        <v>0</v>
      </c>
      <c r="H165" s="57">
        <f t="shared" si="12"/>
        <v>1152.6629399999999</v>
      </c>
      <c r="I165" s="33"/>
      <c r="K165" s="71">
        <f t="shared" si="14"/>
        <v>10373966.459999999</v>
      </c>
      <c r="N165" s="33"/>
    </row>
    <row r="166" spans="1:14" s="58" customFormat="1" x14ac:dyDescent="0.35">
      <c r="A166" s="81">
        <f t="shared" si="13"/>
        <v>8</v>
      </c>
      <c r="B166" s="81"/>
      <c r="C166" s="57" t="s">
        <v>325</v>
      </c>
      <c r="D166" s="60">
        <f>(55.82)*10.764</f>
        <v>600.84647999999993</v>
      </c>
      <c r="E166" s="60">
        <f>(12.97)*10.764</f>
        <v>139.60908000000001</v>
      </c>
      <c r="F166" s="57">
        <f t="shared" si="11"/>
        <v>740.45555999999988</v>
      </c>
      <c r="G166" s="60">
        <v>0</v>
      </c>
      <c r="H166" s="57">
        <f t="shared" si="12"/>
        <v>1110.6833399999998</v>
      </c>
      <c r="I166" s="33"/>
      <c r="K166" s="71">
        <f t="shared" si="14"/>
        <v>9996150.0599999987</v>
      </c>
      <c r="N166" s="33"/>
    </row>
    <row r="167" spans="1:14" s="58" customFormat="1" x14ac:dyDescent="0.35">
      <c r="A167" s="174" t="s">
        <v>328</v>
      </c>
      <c r="B167" s="174"/>
      <c r="C167" s="174"/>
      <c r="D167" s="174"/>
      <c r="E167" s="174"/>
      <c r="F167" s="174"/>
      <c r="G167" s="174"/>
      <c r="H167" s="174"/>
      <c r="I167" s="33"/>
      <c r="K167" s="71">
        <f t="shared" si="14"/>
        <v>0</v>
      </c>
    </row>
    <row r="168" spans="1:14" s="58" customFormat="1" ht="15.75" customHeight="1" x14ac:dyDescent="0.35">
      <c r="A168" s="81">
        <v>1</v>
      </c>
      <c r="B168" s="81"/>
      <c r="C168" s="74" t="s">
        <v>325</v>
      </c>
      <c r="D168" s="60">
        <f>(61.26)*10.764</f>
        <v>659.40263999999991</v>
      </c>
      <c r="E168" s="60">
        <f>(13.89)*10.764</f>
        <v>149.51195999999999</v>
      </c>
      <c r="F168" s="74">
        <f t="shared" ref="F168:F175" si="15">D168+E168</f>
        <v>808.91459999999984</v>
      </c>
      <c r="G168" s="74">
        <v>0</v>
      </c>
      <c r="H168" s="74">
        <f t="shared" ref="H168:H175" si="16">F168*(($H$151)+1)+(IF(G168&lt;101,G168,IF(G168&lt;201,G168/2,IF(G168&lt;=301,G168/3,G168/4))))</f>
        <v>1213.3718999999996</v>
      </c>
      <c r="I168" s="33"/>
      <c r="K168" s="71">
        <f t="shared" si="14"/>
        <v>10920347.099999996</v>
      </c>
    </row>
    <row r="169" spans="1:14" s="58" customFormat="1" ht="15.75" customHeight="1" x14ac:dyDescent="0.35">
      <c r="A169" s="81">
        <f>A168+1</f>
        <v>2</v>
      </c>
      <c r="B169" s="81"/>
      <c r="C169" s="74" t="s">
        <v>325</v>
      </c>
      <c r="D169" s="60">
        <f>(61.94)*10.764</f>
        <v>666.72215999999992</v>
      </c>
      <c r="E169" s="60">
        <f>(14.14+2.75)*10.764</f>
        <v>181.80395999999999</v>
      </c>
      <c r="F169" s="74">
        <f t="shared" si="15"/>
        <v>848.52611999999988</v>
      </c>
      <c r="G169" s="74">
        <v>0</v>
      </c>
      <c r="H169" s="74">
        <f t="shared" si="16"/>
        <v>1272.7891799999998</v>
      </c>
      <c r="I169" s="33"/>
      <c r="K169" s="71">
        <f t="shared" si="14"/>
        <v>11455102.619999997</v>
      </c>
    </row>
    <row r="170" spans="1:14" s="58" customFormat="1" ht="15.75" customHeight="1" x14ac:dyDescent="0.35">
      <c r="A170" s="81">
        <f t="shared" ref="A170:A172" si="17">A169+1</f>
        <v>3</v>
      </c>
      <c r="B170" s="81"/>
      <c r="C170" s="74" t="s">
        <v>325</v>
      </c>
      <c r="D170" s="60">
        <f>(61.26)*10.764</f>
        <v>659.40263999999991</v>
      </c>
      <c r="E170" s="60">
        <f>(13.89)*10.764</f>
        <v>149.51195999999999</v>
      </c>
      <c r="F170" s="74">
        <f t="shared" si="15"/>
        <v>808.91459999999984</v>
      </c>
      <c r="G170" s="74">
        <v>0</v>
      </c>
      <c r="H170" s="74">
        <f t="shared" si="16"/>
        <v>1213.3718999999996</v>
      </c>
      <c r="I170" s="33"/>
      <c r="K170" s="71">
        <f t="shared" si="14"/>
        <v>10920347.099999996</v>
      </c>
    </row>
    <row r="171" spans="1:14" s="58" customFormat="1" ht="15.75" customHeight="1" x14ac:dyDescent="0.35">
      <c r="A171" s="81">
        <f t="shared" si="17"/>
        <v>4</v>
      </c>
      <c r="B171" s="81"/>
      <c r="C171" s="74" t="s">
        <v>325</v>
      </c>
      <c r="D171" s="60">
        <f>(55.28)*10.764</f>
        <v>595.03391999999997</v>
      </c>
      <c r="E171" s="60">
        <f>(12.15+4.4)*10.764</f>
        <v>178.14419999999998</v>
      </c>
      <c r="F171" s="74">
        <f t="shared" si="15"/>
        <v>773.17811999999992</v>
      </c>
      <c r="G171" s="74">
        <v>0</v>
      </c>
      <c r="H171" s="74">
        <f t="shared" si="16"/>
        <v>1159.7671799999998</v>
      </c>
      <c r="I171" s="33"/>
      <c r="J171" s="33">
        <f>11000000/H171</f>
        <v>9484.6622578162642</v>
      </c>
      <c r="K171" s="71">
        <f t="shared" si="14"/>
        <v>10437904.619999999</v>
      </c>
    </row>
    <row r="172" spans="1:14" s="58" customFormat="1" ht="15.75" customHeight="1" x14ac:dyDescent="0.35">
      <c r="A172" s="81">
        <f t="shared" si="17"/>
        <v>5</v>
      </c>
      <c r="B172" s="81"/>
      <c r="C172" s="74" t="s">
        <v>325</v>
      </c>
      <c r="D172" s="60">
        <f>(55.28)*10.764</f>
        <v>595.03391999999997</v>
      </c>
      <c r="E172" s="60">
        <f>(12.15+4.4)*10.764</f>
        <v>178.14419999999998</v>
      </c>
      <c r="F172" s="74">
        <f t="shared" si="15"/>
        <v>773.17811999999992</v>
      </c>
      <c r="G172" s="74">
        <v>0</v>
      </c>
      <c r="H172" s="74">
        <f t="shared" si="16"/>
        <v>1159.7671799999998</v>
      </c>
      <c r="I172" s="33"/>
      <c r="K172" s="71">
        <f t="shared" si="14"/>
        <v>10437904.619999999</v>
      </c>
    </row>
    <row r="173" spans="1:14" s="58" customFormat="1" ht="15.75" customHeight="1" x14ac:dyDescent="0.35">
      <c r="A173" s="81">
        <f t="shared" ref="A173:A175" si="18">A172+1</f>
        <v>6</v>
      </c>
      <c r="B173" s="81"/>
      <c r="C173" s="74" t="s">
        <v>325</v>
      </c>
      <c r="D173" s="60">
        <f>(55.83)*10.764</f>
        <v>600.95411999999999</v>
      </c>
      <c r="E173" s="60">
        <f>(12.97)*10.764</f>
        <v>139.60908000000001</v>
      </c>
      <c r="F173" s="74">
        <f t="shared" si="15"/>
        <v>740.56320000000005</v>
      </c>
      <c r="G173" s="74">
        <v>0</v>
      </c>
      <c r="H173" s="74">
        <f t="shared" si="16"/>
        <v>1110.8448000000001</v>
      </c>
      <c r="I173" s="33"/>
      <c r="K173" s="71">
        <f t="shared" si="14"/>
        <v>9997603.2000000011</v>
      </c>
    </row>
    <row r="174" spans="1:14" s="58" customFormat="1" ht="15.75" customHeight="1" x14ac:dyDescent="0.35">
      <c r="A174" s="81">
        <f t="shared" si="18"/>
        <v>7</v>
      </c>
      <c r="B174" s="81"/>
      <c r="C174" s="74" t="s">
        <v>325</v>
      </c>
      <c r="D174" s="60">
        <f>(60.39)*10.764</f>
        <v>650.03796</v>
      </c>
      <c r="E174" s="60">
        <f>(11)*10.764</f>
        <v>118.404</v>
      </c>
      <c r="F174" s="74">
        <f t="shared" si="15"/>
        <v>768.44195999999999</v>
      </c>
      <c r="G174" s="74">
        <v>0</v>
      </c>
      <c r="H174" s="74">
        <f t="shared" si="16"/>
        <v>1152.6629399999999</v>
      </c>
      <c r="I174" s="33"/>
      <c r="K174" s="71">
        <f t="shared" si="14"/>
        <v>10373966.459999999</v>
      </c>
    </row>
    <row r="175" spans="1:14" s="58" customFormat="1" ht="15.75" customHeight="1" x14ac:dyDescent="0.35">
      <c r="A175" s="81">
        <f t="shared" si="18"/>
        <v>8</v>
      </c>
      <c r="B175" s="81"/>
      <c r="C175" s="74" t="s">
        <v>325</v>
      </c>
      <c r="D175" s="60">
        <f>(55.82)*10.764</f>
        <v>600.84647999999993</v>
      </c>
      <c r="E175" s="60">
        <f>(12.97)*10.764</f>
        <v>139.60908000000001</v>
      </c>
      <c r="F175" s="74">
        <f t="shared" si="15"/>
        <v>740.45555999999988</v>
      </c>
      <c r="G175" s="74">
        <v>0</v>
      </c>
      <c r="H175" s="74">
        <f t="shared" si="16"/>
        <v>1110.6833399999998</v>
      </c>
      <c r="I175" s="33"/>
      <c r="K175" s="71">
        <f t="shared" si="14"/>
        <v>9996150.0599999987</v>
      </c>
    </row>
    <row r="176" spans="1:14" s="58" customFormat="1" x14ac:dyDescent="0.35">
      <c r="A176" s="174" t="s">
        <v>329</v>
      </c>
      <c r="B176" s="174"/>
      <c r="C176" s="174"/>
      <c r="D176" s="174"/>
      <c r="E176" s="174"/>
      <c r="F176" s="174"/>
      <c r="G176" s="174"/>
      <c r="H176" s="174"/>
      <c r="I176" s="33"/>
      <c r="K176" s="71">
        <f t="shared" si="14"/>
        <v>0</v>
      </c>
      <c r="L176" s="79"/>
      <c r="M176" s="79"/>
    </row>
    <row r="177" spans="1:14" s="58" customFormat="1" x14ac:dyDescent="0.35">
      <c r="A177" s="81">
        <v>1</v>
      </c>
      <c r="B177" s="81"/>
      <c r="C177" s="57" t="s">
        <v>325</v>
      </c>
      <c r="D177" s="60">
        <f>(61.06)*10.764</f>
        <v>657.24983999999995</v>
      </c>
      <c r="E177" s="60">
        <f>(13.89+2.996)*10.764</f>
        <v>181.76090399999998</v>
      </c>
      <c r="F177" s="57">
        <f t="shared" ref="F177:F184" si="19">D177+E177</f>
        <v>839.01074399999993</v>
      </c>
      <c r="G177" s="57">
        <v>0</v>
      </c>
      <c r="H177" s="57">
        <f t="shared" ref="H177:H184" si="20">F177*(($H$151)+1)+(IF(G177&lt;101,G177,IF(G177&lt;201,G177/2,IF(G177&lt;=301,G177/3,G177/4))))</f>
        <v>1258.5161159999998</v>
      </c>
      <c r="I177" s="33"/>
      <c r="K177" s="71">
        <f t="shared" si="14"/>
        <v>11326645.043999998</v>
      </c>
      <c r="N177" s="33"/>
    </row>
    <row r="178" spans="1:14" s="58" customFormat="1" x14ac:dyDescent="0.35">
      <c r="A178" s="81">
        <f t="shared" ref="A178:A184" si="21">A177+1</f>
        <v>2</v>
      </c>
      <c r="B178" s="81"/>
      <c r="C178" s="57" t="s">
        <v>325</v>
      </c>
      <c r="D178" s="60">
        <f>(61.94)*10.764</f>
        <v>666.72215999999992</v>
      </c>
      <c r="E178" s="60">
        <f>(14.14+2.75)*10.764</f>
        <v>181.80395999999999</v>
      </c>
      <c r="F178" s="57">
        <f t="shared" si="19"/>
        <v>848.52611999999988</v>
      </c>
      <c r="G178" s="57">
        <v>0</v>
      </c>
      <c r="H178" s="57">
        <f t="shared" si="20"/>
        <v>1272.7891799999998</v>
      </c>
      <c r="I178" s="33"/>
      <c r="K178" s="71">
        <f t="shared" si="14"/>
        <v>11455102.619999997</v>
      </c>
      <c r="N178" s="33"/>
    </row>
    <row r="179" spans="1:14" s="58" customFormat="1" x14ac:dyDescent="0.35">
      <c r="A179" s="81">
        <f t="shared" si="21"/>
        <v>3</v>
      </c>
      <c r="B179" s="81"/>
      <c r="C179" s="57" t="s">
        <v>325</v>
      </c>
      <c r="D179" s="60">
        <f>(61.26)*10.764</f>
        <v>659.40263999999991</v>
      </c>
      <c r="E179" s="60">
        <f>(13.89)*10.764</f>
        <v>149.51195999999999</v>
      </c>
      <c r="F179" s="57">
        <f t="shared" si="19"/>
        <v>808.91459999999984</v>
      </c>
      <c r="G179" s="57">
        <v>0</v>
      </c>
      <c r="H179" s="57">
        <f t="shared" si="20"/>
        <v>1213.3718999999996</v>
      </c>
      <c r="I179" s="33"/>
      <c r="K179" s="71">
        <f t="shared" si="14"/>
        <v>10920347.099999996</v>
      </c>
      <c r="N179" s="33"/>
    </row>
    <row r="180" spans="1:14" s="58" customFormat="1" x14ac:dyDescent="0.35">
      <c r="A180" s="81">
        <f t="shared" si="21"/>
        <v>4</v>
      </c>
      <c r="B180" s="81"/>
      <c r="C180" s="57" t="s">
        <v>325</v>
      </c>
      <c r="D180" s="60">
        <f>(55.28)*10.764</f>
        <v>595.03391999999997</v>
      </c>
      <c r="E180" s="60">
        <f>(12.15+4.4)*10.764</f>
        <v>178.14419999999998</v>
      </c>
      <c r="F180" s="57">
        <f t="shared" si="19"/>
        <v>773.17811999999992</v>
      </c>
      <c r="G180" s="57">
        <v>0</v>
      </c>
      <c r="H180" s="57">
        <f t="shared" si="20"/>
        <v>1159.7671799999998</v>
      </c>
      <c r="I180" s="33"/>
      <c r="K180" s="71">
        <f t="shared" si="14"/>
        <v>10437904.619999999</v>
      </c>
      <c r="N180" s="33"/>
    </row>
    <row r="181" spans="1:14" s="58" customFormat="1" x14ac:dyDescent="0.35">
      <c r="A181" s="81">
        <f t="shared" si="21"/>
        <v>5</v>
      </c>
      <c r="B181" s="81"/>
      <c r="C181" s="57" t="s">
        <v>325</v>
      </c>
      <c r="D181" s="60">
        <f>(55.28)*10.764</f>
        <v>595.03391999999997</v>
      </c>
      <c r="E181" s="60">
        <f>(12.15+4.4)*10.764</f>
        <v>178.14419999999998</v>
      </c>
      <c r="F181" s="57">
        <f t="shared" si="19"/>
        <v>773.17811999999992</v>
      </c>
      <c r="G181" s="57">
        <v>0</v>
      </c>
      <c r="H181" s="57">
        <f t="shared" si="20"/>
        <v>1159.7671799999998</v>
      </c>
      <c r="I181" s="33"/>
      <c r="K181" s="71">
        <f t="shared" si="14"/>
        <v>10437904.619999999</v>
      </c>
      <c r="N181" s="33"/>
    </row>
    <row r="182" spans="1:14" s="58" customFormat="1" x14ac:dyDescent="0.35">
      <c r="A182" s="81">
        <f t="shared" si="21"/>
        <v>6</v>
      </c>
      <c r="B182" s="81"/>
      <c r="C182" s="57" t="s">
        <v>325</v>
      </c>
      <c r="D182" s="60">
        <f>(55.83)*10.764</f>
        <v>600.95411999999999</v>
      </c>
      <c r="E182" s="60">
        <f>(12.97)*10.764</f>
        <v>139.60908000000001</v>
      </c>
      <c r="F182" s="57">
        <f t="shared" si="19"/>
        <v>740.56320000000005</v>
      </c>
      <c r="G182" s="57">
        <v>0</v>
      </c>
      <c r="H182" s="57">
        <f t="shared" si="20"/>
        <v>1110.8448000000001</v>
      </c>
      <c r="I182" s="33"/>
      <c r="K182" s="71">
        <f t="shared" si="14"/>
        <v>9997603.2000000011</v>
      </c>
      <c r="N182" s="33"/>
    </row>
    <row r="183" spans="1:14" s="58" customFormat="1" x14ac:dyDescent="0.35">
      <c r="A183" s="81">
        <f t="shared" si="21"/>
        <v>7</v>
      </c>
      <c r="B183" s="81"/>
      <c r="C183" s="57" t="s">
        <v>325</v>
      </c>
      <c r="D183" s="60">
        <f>(60.39)*10.764</f>
        <v>650.03796</v>
      </c>
      <c r="E183" s="60">
        <f>(11)*10.764</f>
        <v>118.404</v>
      </c>
      <c r="F183" s="57">
        <f t="shared" si="19"/>
        <v>768.44195999999999</v>
      </c>
      <c r="G183" s="57">
        <v>0</v>
      </c>
      <c r="H183" s="57">
        <f t="shared" si="20"/>
        <v>1152.6629399999999</v>
      </c>
      <c r="I183" s="33"/>
      <c r="K183" s="71">
        <f t="shared" si="14"/>
        <v>10373966.459999999</v>
      </c>
      <c r="N183" s="33"/>
    </row>
    <row r="184" spans="1:14" s="58" customFormat="1" x14ac:dyDescent="0.35">
      <c r="A184" s="81">
        <f t="shared" si="21"/>
        <v>8</v>
      </c>
      <c r="B184" s="81"/>
      <c r="C184" s="57" t="s">
        <v>325</v>
      </c>
      <c r="D184" s="60">
        <f>(55.42)*10.764</f>
        <v>596.54088000000002</v>
      </c>
      <c r="E184" s="60">
        <f>(12.97+3.105)*10.764</f>
        <v>173.03129999999999</v>
      </c>
      <c r="F184" s="57">
        <f t="shared" si="19"/>
        <v>769.57218</v>
      </c>
      <c r="G184" s="57">
        <v>0</v>
      </c>
      <c r="H184" s="57">
        <f t="shared" si="20"/>
        <v>1154.3582699999999</v>
      </c>
      <c r="I184" s="33"/>
      <c r="K184" s="71">
        <f t="shared" si="14"/>
        <v>10389224.43</v>
      </c>
      <c r="N184" s="33"/>
    </row>
    <row r="185" spans="1:14" s="58" customFormat="1" x14ac:dyDescent="0.35">
      <c r="A185" s="174" t="s">
        <v>341</v>
      </c>
      <c r="B185" s="174"/>
      <c r="C185" s="174"/>
      <c r="D185" s="174"/>
      <c r="E185" s="174"/>
      <c r="F185" s="174"/>
      <c r="G185" s="174"/>
      <c r="H185" s="174"/>
      <c r="I185" s="33"/>
      <c r="K185" s="71">
        <f t="shared" si="14"/>
        <v>0</v>
      </c>
      <c r="L185" s="79"/>
      <c r="M185" s="79"/>
    </row>
    <row r="186" spans="1:14" s="58" customFormat="1" x14ac:dyDescent="0.35">
      <c r="A186" s="81">
        <v>1</v>
      </c>
      <c r="B186" s="81"/>
      <c r="C186" s="57" t="s">
        <v>325</v>
      </c>
      <c r="D186" s="60">
        <f>(59.49)*10.764</f>
        <v>640.35036000000002</v>
      </c>
      <c r="E186" s="60">
        <f>(13.89+4.264)*10.764</f>
        <v>195.40965599999998</v>
      </c>
      <c r="F186" s="57">
        <f t="shared" ref="F186:F193" si="22">D186+E186</f>
        <v>835.76001599999995</v>
      </c>
      <c r="G186" s="57">
        <v>0</v>
      </c>
      <c r="H186" s="57">
        <f t="shared" ref="H186:H193" si="23">F186*(($H$151)+1)+(IF(G186&lt;101,G186,IF(G186&lt;201,G186/2,IF(G186&lt;=301,G186/3,G186/4))))</f>
        <v>1253.6400239999998</v>
      </c>
      <c r="I186" s="33"/>
      <c r="K186" s="71">
        <f t="shared" si="14"/>
        <v>11282760.215999998</v>
      </c>
      <c r="N186" s="33"/>
    </row>
    <row r="187" spans="1:14" s="58" customFormat="1" x14ac:dyDescent="0.35">
      <c r="A187" s="81">
        <f t="shared" ref="A187:A193" si="24">A186+1</f>
        <v>2</v>
      </c>
      <c r="B187" s="81"/>
      <c r="C187" s="57" t="s">
        <v>325</v>
      </c>
      <c r="D187" s="60">
        <f>(61.94)*10.764</f>
        <v>666.72215999999992</v>
      </c>
      <c r="E187" s="60">
        <f>(14.14+2.75)*10.764</f>
        <v>181.80395999999999</v>
      </c>
      <c r="F187" s="57">
        <f t="shared" si="22"/>
        <v>848.52611999999988</v>
      </c>
      <c r="G187" s="57">
        <v>0</v>
      </c>
      <c r="H187" s="57">
        <f t="shared" si="23"/>
        <v>1272.7891799999998</v>
      </c>
      <c r="I187" s="33"/>
      <c r="K187" s="71">
        <f t="shared" si="14"/>
        <v>11455102.619999997</v>
      </c>
      <c r="N187" s="33"/>
    </row>
    <row r="188" spans="1:14" s="58" customFormat="1" x14ac:dyDescent="0.35">
      <c r="A188" s="81">
        <f t="shared" si="24"/>
        <v>3</v>
      </c>
      <c r="B188" s="81"/>
      <c r="C188" s="57" t="s">
        <v>325</v>
      </c>
      <c r="D188" s="60">
        <f>(61.26)*10.764</f>
        <v>659.40263999999991</v>
      </c>
      <c r="E188" s="60">
        <f>(13.89)*10.764</f>
        <v>149.51195999999999</v>
      </c>
      <c r="F188" s="57">
        <f t="shared" si="22"/>
        <v>808.91459999999984</v>
      </c>
      <c r="G188" s="57">
        <v>0</v>
      </c>
      <c r="H188" s="57">
        <f t="shared" si="23"/>
        <v>1213.3718999999996</v>
      </c>
      <c r="I188" s="33"/>
      <c r="K188" s="71">
        <f t="shared" si="14"/>
        <v>10920347.099999996</v>
      </c>
      <c r="N188" s="33"/>
    </row>
    <row r="189" spans="1:14" s="58" customFormat="1" x14ac:dyDescent="0.35">
      <c r="A189" s="81">
        <f t="shared" si="24"/>
        <v>4</v>
      </c>
      <c r="B189" s="81"/>
      <c r="C189" s="57" t="s">
        <v>325</v>
      </c>
      <c r="D189" s="60">
        <f>(55.28)*10.764</f>
        <v>595.03391999999997</v>
      </c>
      <c r="E189" s="60">
        <f>(12.15)*10.764</f>
        <v>130.7826</v>
      </c>
      <c r="F189" s="57">
        <f t="shared" si="22"/>
        <v>725.81651999999997</v>
      </c>
      <c r="G189" s="57">
        <v>0</v>
      </c>
      <c r="H189" s="57">
        <f t="shared" si="23"/>
        <v>1088.72478</v>
      </c>
      <c r="I189" s="33"/>
      <c r="K189" s="71">
        <f t="shared" si="14"/>
        <v>9798523.0199999996</v>
      </c>
      <c r="N189" s="33"/>
    </row>
    <row r="190" spans="1:14" s="58" customFormat="1" x14ac:dyDescent="0.35">
      <c r="A190" s="81">
        <f t="shared" si="24"/>
        <v>5</v>
      </c>
      <c r="B190" s="81"/>
      <c r="C190" s="57" t="s">
        <v>325</v>
      </c>
      <c r="D190" s="60">
        <f>(55.28)*10.764</f>
        <v>595.03391999999997</v>
      </c>
      <c r="E190" s="60">
        <f>(12.15)*10.764</f>
        <v>130.7826</v>
      </c>
      <c r="F190" s="57">
        <f t="shared" si="22"/>
        <v>725.81651999999997</v>
      </c>
      <c r="G190" s="57">
        <v>0</v>
      </c>
      <c r="H190" s="57">
        <f t="shared" si="23"/>
        <v>1088.72478</v>
      </c>
      <c r="I190" s="33"/>
      <c r="K190" s="71">
        <f t="shared" si="14"/>
        <v>9798523.0199999996</v>
      </c>
      <c r="N190" s="33"/>
    </row>
    <row r="191" spans="1:14" s="58" customFormat="1" x14ac:dyDescent="0.35">
      <c r="A191" s="81">
        <f t="shared" si="24"/>
        <v>6</v>
      </c>
      <c r="B191" s="81"/>
      <c r="C191" s="57" t="s">
        <v>325</v>
      </c>
      <c r="D191" s="60">
        <f>(54.57)*10.764</f>
        <v>587.39148</v>
      </c>
      <c r="E191" s="60">
        <f>(12.97+3.735)*10.764</f>
        <v>179.81262000000001</v>
      </c>
      <c r="F191" s="57">
        <f t="shared" si="22"/>
        <v>767.20410000000004</v>
      </c>
      <c r="G191" s="57">
        <v>0</v>
      </c>
      <c r="H191" s="57">
        <f t="shared" si="23"/>
        <v>1150.8061500000001</v>
      </c>
      <c r="I191" s="33"/>
      <c r="K191" s="71">
        <f t="shared" si="14"/>
        <v>10357255.350000001</v>
      </c>
      <c r="N191" s="33"/>
    </row>
    <row r="192" spans="1:14" s="58" customFormat="1" x14ac:dyDescent="0.35">
      <c r="A192" s="81">
        <f t="shared" si="24"/>
        <v>7</v>
      </c>
      <c r="B192" s="81"/>
      <c r="C192" s="57" t="s">
        <v>325</v>
      </c>
      <c r="D192" s="60">
        <f>(60.39)*10.764</f>
        <v>650.03796</v>
      </c>
      <c r="E192" s="60">
        <f>(11)*10.764</f>
        <v>118.404</v>
      </c>
      <c r="F192" s="57">
        <f t="shared" si="22"/>
        <v>768.44195999999999</v>
      </c>
      <c r="G192" s="57">
        <v>0</v>
      </c>
      <c r="H192" s="57">
        <f t="shared" si="23"/>
        <v>1152.6629399999999</v>
      </c>
      <c r="I192" s="33"/>
      <c r="K192" s="71">
        <f t="shared" si="14"/>
        <v>10373966.459999999</v>
      </c>
      <c r="N192" s="33"/>
    </row>
    <row r="193" spans="1:20" s="58" customFormat="1" x14ac:dyDescent="0.35">
      <c r="A193" s="81">
        <f t="shared" si="24"/>
        <v>8</v>
      </c>
      <c r="B193" s="81"/>
      <c r="C193" s="57" t="s">
        <v>325</v>
      </c>
      <c r="D193" s="60">
        <f>(54.01)*10.764</f>
        <v>581.36363999999992</v>
      </c>
      <c r="E193" s="60">
        <f>(12.97+4.195)*10.764</f>
        <v>184.76405999999997</v>
      </c>
      <c r="F193" s="57">
        <f t="shared" si="22"/>
        <v>766.12769999999989</v>
      </c>
      <c r="G193" s="57">
        <v>0</v>
      </c>
      <c r="H193" s="57">
        <f t="shared" si="23"/>
        <v>1149.1915499999998</v>
      </c>
      <c r="I193" s="33"/>
      <c r="K193" s="71">
        <f t="shared" si="14"/>
        <v>10342723.949999997</v>
      </c>
      <c r="N193" s="33"/>
    </row>
    <row r="194" spans="1:20" s="58" customFormat="1" x14ac:dyDescent="0.35">
      <c r="A194" s="174" t="s">
        <v>330</v>
      </c>
      <c r="B194" s="174"/>
      <c r="C194" s="174"/>
      <c r="D194" s="174"/>
      <c r="E194" s="174"/>
      <c r="F194" s="174"/>
      <c r="G194" s="174"/>
      <c r="H194" s="174"/>
      <c r="I194" s="33"/>
      <c r="L194" s="79"/>
      <c r="M194" s="79"/>
    </row>
    <row r="195" spans="1:20" s="58" customFormat="1" x14ac:dyDescent="0.35">
      <c r="A195" s="81">
        <v>1</v>
      </c>
      <c r="B195" s="81"/>
      <c r="C195" s="57" t="s">
        <v>325</v>
      </c>
      <c r="D195" s="60">
        <f>(59.49)*10.764</f>
        <v>640.35036000000002</v>
      </c>
      <c r="E195" s="60">
        <f>(13.89+4.264)*10.764</f>
        <v>195.40965599999998</v>
      </c>
      <c r="F195" s="57">
        <f t="shared" ref="F195:F202" si="25">D195+E195</f>
        <v>835.76001599999995</v>
      </c>
      <c r="G195" s="57">
        <v>0</v>
      </c>
      <c r="H195" s="57">
        <f t="shared" ref="H195:H202" si="26">F195*(($H$151)+1)+(IF(G195&lt;101,G195,IF(G195&lt;201,G195/2,IF(G195&lt;=301,G195/3,G195/4))))</f>
        <v>1253.6400239999998</v>
      </c>
      <c r="I195" s="33"/>
      <c r="N195" s="33"/>
    </row>
    <row r="196" spans="1:20" s="58" customFormat="1" x14ac:dyDescent="0.35">
      <c r="A196" s="81">
        <f t="shared" ref="A196:A202" si="27">A195+1</f>
        <v>2</v>
      </c>
      <c r="B196" s="81"/>
      <c r="C196" s="57" t="s">
        <v>325</v>
      </c>
      <c r="D196" s="60">
        <f>(61.94)*10.764</f>
        <v>666.72215999999992</v>
      </c>
      <c r="E196" s="60">
        <f>(14.14+2.75)*10.764</f>
        <v>181.80395999999999</v>
      </c>
      <c r="F196" s="57">
        <f t="shared" si="25"/>
        <v>848.52611999999988</v>
      </c>
      <c r="G196" s="57">
        <v>0</v>
      </c>
      <c r="H196" s="57">
        <f t="shared" si="26"/>
        <v>1272.7891799999998</v>
      </c>
      <c r="I196" s="33"/>
      <c r="N196" s="33"/>
    </row>
    <row r="197" spans="1:20" s="58" customFormat="1" x14ac:dyDescent="0.35">
      <c r="A197" s="81">
        <f t="shared" si="27"/>
        <v>3</v>
      </c>
      <c r="B197" s="81"/>
      <c r="C197" s="57" t="s">
        <v>325</v>
      </c>
      <c r="D197" s="60">
        <f>(59.95)*10.764</f>
        <v>645.30179999999996</v>
      </c>
      <c r="E197" s="60">
        <f>(13.89+2.8*1+0.9*1.2+3.88)*10.764</f>
        <v>233.04060000000001</v>
      </c>
      <c r="F197" s="57">
        <f t="shared" si="25"/>
        <v>878.3424</v>
      </c>
      <c r="G197" s="57">
        <v>0</v>
      </c>
      <c r="H197" s="57">
        <f t="shared" si="26"/>
        <v>1317.5136</v>
      </c>
      <c r="I197" s="33">
        <f>1.65*1.05+3.5*5.2+2.3*3.05+3.35*3.35+3.35*3.7+0.9*2.8+2.35*1.25+1.45*1.35</f>
        <v>57.980000000000011</v>
      </c>
      <c r="N197" s="33"/>
    </row>
    <row r="198" spans="1:20" s="58" customFormat="1" x14ac:dyDescent="0.35">
      <c r="A198" s="81">
        <f t="shared" si="27"/>
        <v>4</v>
      </c>
      <c r="B198" s="81"/>
      <c r="C198" s="57" t="s">
        <v>325</v>
      </c>
      <c r="D198" s="60">
        <f>(55.28)*10.764</f>
        <v>595.03391999999997</v>
      </c>
      <c r="E198" s="60">
        <f>(12.15+4.4)*10.764</f>
        <v>178.14419999999998</v>
      </c>
      <c r="F198" s="57">
        <f t="shared" si="25"/>
        <v>773.17811999999992</v>
      </c>
      <c r="G198" s="57">
        <v>0</v>
      </c>
      <c r="H198" s="57">
        <f t="shared" si="26"/>
        <v>1159.7671799999998</v>
      </c>
      <c r="I198" s="33"/>
      <c r="N198" s="33"/>
    </row>
    <row r="199" spans="1:20" s="58" customFormat="1" x14ac:dyDescent="0.35">
      <c r="A199" s="81">
        <f t="shared" si="27"/>
        <v>5</v>
      </c>
      <c r="B199" s="81"/>
      <c r="C199" s="57" t="s">
        <v>325</v>
      </c>
      <c r="D199" s="60">
        <f>(55.28)*10.764</f>
        <v>595.03391999999997</v>
      </c>
      <c r="E199" s="60">
        <f>(12.15+4.4)*10.764</f>
        <v>178.14419999999998</v>
      </c>
      <c r="F199" s="57">
        <f t="shared" si="25"/>
        <v>773.17811999999992</v>
      </c>
      <c r="G199" s="57">
        <v>0</v>
      </c>
      <c r="H199" s="57">
        <f t="shared" si="26"/>
        <v>1159.7671799999998</v>
      </c>
      <c r="I199" s="33"/>
      <c r="N199" s="33"/>
    </row>
    <row r="200" spans="1:20" s="58" customFormat="1" x14ac:dyDescent="0.35">
      <c r="A200" s="81">
        <f t="shared" si="27"/>
        <v>6</v>
      </c>
      <c r="B200" s="81"/>
      <c r="C200" s="57" t="s">
        <v>325</v>
      </c>
      <c r="D200" s="60">
        <f>(51.93)*10.764</f>
        <v>558.97451999999998</v>
      </c>
      <c r="E200" s="60">
        <f>(12.97+3.1+3.735)*10.764</f>
        <v>213.18101999999999</v>
      </c>
      <c r="F200" s="57">
        <f t="shared" si="25"/>
        <v>772.15553999999997</v>
      </c>
      <c r="G200" s="57">
        <v>0</v>
      </c>
      <c r="H200" s="57">
        <f t="shared" si="26"/>
        <v>1158.2333100000001</v>
      </c>
      <c r="I200" s="72">
        <f>2.7*1+0.9*1.15</f>
        <v>3.7350000000000003</v>
      </c>
      <c r="N200" s="33"/>
    </row>
    <row r="201" spans="1:20" s="58" customFormat="1" x14ac:dyDescent="0.35">
      <c r="A201" s="81">
        <f t="shared" si="27"/>
        <v>7</v>
      </c>
      <c r="B201" s="81"/>
      <c r="C201" s="57" t="s">
        <v>325</v>
      </c>
      <c r="D201" s="60">
        <f>(53.76)*10.764</f>
        <v>578.67263999999989</v>
      </c>
      <c r="E201" s="60">
        <f>(11+7.6)*10.764</f>
        <v>200.21039999999999</v>
      </c>
      <c r="F201" s="57">
        <f t="shared" si="25"/>
        <v>778.88303999999994</v>
      </c>
      <c r="G201" s="57">
        <v>0</v>
      </c>
      <c r="H201" s="57">
        <f t="shared" si="26"/>
        <v>1168.32456</v>
      </c>
      <c r="I201" s="33"/>
      <c r="N201" s="33"/>
    </row>
    <row r="202" spans="1:20" s="58" customFormat="1" x14ac:dyDescent="0.35">
      <c r="A202" s="81">
        <f t="shared" si="27"/>
        <v>8</v>
      </c>
      <c r="B202" s="81"/>
      <c r="C202" s="57" t="s">
        <v>325</v>
      </c>
      <c r="D202" s="60">
        <f>(51.37)*10.764</f>
        <v>552.9466799999999</v>
      </c>
      <c r="E202" s="60">
        <f>(12.97+3.1+4.195)*10.764</f>
        <v>218.13245999999998</v>
      </c>
      <c r="F202" s="57">
        <f t="shared" si="25"/>
        <v>771.07913999999982</v>
      </c>
      <c r="G202" s="57">
        <v>0</v>
      </c>
      <c r="H202" s="57">
        <f t="shared" si="26"/>
        <v>1156.6187099999997</v>
      </c>
      <c r="I202" s="33"/>
      <c r="N202" s="33"/>
    </row>
    <row r="203" spans="1:20" s="34" customFormat="1" hidden="1" x14ac:dyDescent="0.35">
      <c r="A203" s="187" t="s">
        <v>117</v>
      </c>
      <c r="B203" s="188"/>
      <c r="C203" s="188"/>
      <c r="D203" s="188"/>
      <c r="E203" s="188"/>
      <c r="F203" s="188"/>
      <c r="G203" s="188"/>
      <c r="H203" s="189"/>
      <c r="J203" s="33"/>
    </row>
    <row r="204" spans="1:20" s="34" customFormat="1" ht="15.75" hidden="1" customHeight="1" x14ac:dyDescent="0.35">
      <c r="A204" s="82">
        <v>1</v>
      </c>
      <c r="B204" s="83"/>
      <c r="C204" s="39"/>
      <c r="D204" s="39"/>
      <c r="E204" s="39">
        <v>0</v>
      </c>
      <c r="F204" s="39">
        <f>D204+E204</f>
        <v>0</v>
      </c>
      <c r="G204" s="49">
        <v>0</v>
      </c>
      <c r="H204" s="49">
        <f>F204*(($H$151)+1)+(IF(G204&lt;101,G204,IF(G204&lt;201,G204/2,IF(G204&lt;=301,G204/3,G204/4))))</f>
        <v>0</v>
      </c>
      <c r="I204" s="33"/>
      <c r="L204" s="79"/>
      <c r="M204" s="79"/>
      <c r="N204" s="33"/>
      <c r="T204" s="18"/>
    </row>
    <row r="205" spans="1:20" s="34" customFormat="1" ht="15.75" hidden="1" customHeight="1" x14ac:dyDescent="0.35">
      <c r="A205" s="82">
        <f>A204+1</f>
        <v>2</v>
      </c>
      <c r="B205" s="83"/>
      <c r="C205" s="39"/>
      <c r="D205" s="39"/>
      <c r="E205" s="39">
        <v>0</v>
      </c>
      <c r="F205" s="49">
        <f>D205+E205</f>
        <v>0</v>
      </c>
      <c r="G205" s="49">
        <v>0</v>
      </c>
      <c r="H205" s="49">
        <f>F205*(($H$151)+1)+(IF(G205&lt;101,G205,IF(G205&lt;201,G205/2,IF(G205&lt;=301,G205/3,G205/4))))</f>
        <v>0</v>
      </c>
      <c r="I205" s="33"/>
      <c r="L205" s="79"/>
      <c r="M205" s="79"/>
      <c r="N205" s="33"/>
    </row>
    <row r="206" spans="1:20" s="34" customFormat="1" ht="15.75" hidden="1" customHeight="1" x14ac:dyDescent="0.35">
      <c r="A206" s="82">
        <f>A205+1</f>
        <v>3</v>
      </c>
      <c r="B206" s="83"/>
      <c r="C206" s="39"/>
      <c r="D206" s="39"/>
      <c r="E206" s="39">
        <v>0</v>
      </c>
      <c r="F206" s="49">
        <f>D206+E206</f>
        <v>0</v>
      </c>
      <c r="G206" s="49">
        <v>0</v>
      </c>
      <c r="H206" s="49">
        <f>F206*(($H$151)+1)+(IF(G206&lt;101,G206,IF(G206&lt;201,G206/2,IF(G206&lt;=301,G206/3,G206/4))))</f>
        <v>0</v>
      </c>
      <c r="I206" s="33"/>
      <c r="L206" s="79"/>
      <c r="M206" s="79"/>
      <c r="N206" s="33"/>
    </row>
    <row r="207" spans="1:20" s="34" customFormat="1" ht="15.75" hidden="1" customHeight="1" x14ac:dyDescent="0.35">
      <c r="A207" s="82">
        <f>A206+1</f>
        <v>4</v>
      </c>
      <c r="B207" s="83"/>
      <c r="C207" s="39"/>
      <c r="D207" s="39"/>
      <c r="E207" s="39">
        <v>0</v>
      </c>
      <c r="F207" s="49">
        <f>D207+E207</f>
        <v>0</v>
      </c>
      <c r="G207" s="49">
        <v>0</v>
      </c>
      <c r="H207" s="49">
        <f>F207*(($H$151)+1)+(IF(G207&lt;101,G207,IF(G207&lt;201,G207/2,IF(G207&lt;=301,G207/3,G207/4))))</f>
        <v>0</v>
      </c>
      <c r="I207" s="33"/>
      <c r="L207" s="79"/>
      <c r="M207" s="79"/>
      <c r="N207" s="33"/>
    </row>
    <row r="208" spans="1:20" s="34" customFormat="1" hidden="1" x14ac:dyDescent="0.35">
      <c r="A208" s="174" t="s">
        <v>118</v>
      </c>
      <c r="B208" s="174"/>
      <c r="C208" s="174"/>
      <c r="D208" s="174"/>
      <c r="E208" s="174"/>
      <c r="F208" s="174"/>
      <c r="G208" s="174"/>
      <c r="H208" s="174"/>
      <c r="I208" s="33"/>
      <c r="L208" s="79"/>
      <c r="M208" s="79"/>
    </row>
    <row r="209" spans="1:14" s="34" customFormat="1" hidden="1" x14ac:dyDescent="0.35">
      <c r="A209" s="81">
        <f>LEFT(A208,SUM(LEN(A208)-LEN(SUBSTITUTE(A208,{"0","1","2","3","4","5","6","7","8","9"},""))))*100+1</f>
        <v>201</v>
      </c>
      <c r="B209" s="81"/>
      <c r="C209" s="39"/>
      <c r="D209" s="39"/>
      <c r="E209" s="49">
        <v>0</v>
      </c>
      <c r="F209" s="49">
        <f>D209+E209</f>
        <v>0</v>
      </c>
      <c r="G209" s="49">
        <v>0</v>
      </c>
      <c r="H209" s="49">
        <f>F209*(($H$151)+1)+(IF(G209&lt;101,G209,IF(G209&lt;201,G209/2,IF(G209&lt;=301,G209/3,G209/4))))</f>
        <v>0</v>
      </c>
      <c r="I209" s="33"/>
      <c r="N209" s="33"/>
    </row>
    <row r="210" spans="1:14" s="34" customFormat="1" hidden="1" x14ac:dyDescent="0.35">
      <c r="A210" s="81">
        <f>A209+1</f>
        <v>202</v>
      </c>
      <c r="B210" s="81"/>
      <c r="C210" s="39"/>
      <c r="D210" s="39"/>
      <c r="E210" s="49">
        <v>0</v>
      </c>
      <c r="F210" s="49">
        <f>D210+E210</f>
        <v>0</v>
      </c>
      <c r="G210" s="49">
        <v>0</v>
      </c>
      <c r="H210" s="49">
        <f>F210*(($H$151)+1)+(IF(G210&lt;101,G210,IF(G210&lt;201,G210/2,IF(G210&lt;=301,G210/3,G210/4))))</f>
        <v>0</v>
      </c>
      <c r="I210" s="33"/>
      <c r="N210" s="33"/>
    </row>
    <row r="211" spans="1:14" s="34" customFormat="1" hidden="1" x14ac:dyDescent="0.35">
      <c r="A211" s="81">
        <f>A210+1</f>
        <v>203</v>
      </c>
      <c r="B211" s="81"/>
      <c r="C211" s="39"/>
      <c r="D211" s="39"/>
      <c r="E211" s="49">
        <v>0</v>
      </c>
      <c r="F211" s="49">
        <f>D211+E211</f>
        <v>0</v>
      </c>
      <c r="G211" s="49">
        <v>0</v>
      </c>
      <c r="H211" s="49">
        <f>F211*(($H$151)+1)+(IF(G211&lt;101,G211,IF(G211&lt;201,G211/2,IF(G211&lt;=301,G211/3,G211/4))))</f>
        <v>0</v>
      </c>
      <c r="I211" s="33"/>
      <c r="N211" s="33"/>
    </row>
    <row r="212" spans="1:14" s="34" customFormat="1" hidden="1" x14ac:dyDescent="0.35">
      <c r="A212" s="81">
        <f>A211+1</f>
        <v>204</v>
      </c>
      <c r="B212" s="81"/>
      <c r="C212" s="39"/>
      <c r="D212" s="39"/>
      <c r="E212" s="49">
        <v>0</v>
      </c>
      <c r="F212" s="49">
        <f>D212+E212</f>
        <v>0</v>
      </c>
      <c r="G212" s="49">
        <v>0</v>
      </c>
      <c r="H212" s="49">
        <f>F212*(($H$151)+1)+(IF(G212&lt;101,G212,IF(G212&lt;201,G212/2,IF(G212&lt;=301,G212/3,G212/4))))</f>
        <v>0</v>
      </c>
      <c r="I212" s="33"/>
      <c r="N212" s="33"/>
    </row>
    <row r="213" spans="1:14" s="34" customFormat="1" hidden="1" x14ac:dyDescent="0.35">
      <c r="A213" s="81">
        <f>A212+1</f>
        <v>205</v>
      </c>
      <c r="B213" s="81"/>
      <c r="C213" s="39"/>
      <c r="D213" s="39"/>
      <c r="E213" s="49">
        <v>0</v>
      </c>
      <c r="F213" s="49">
        <f>D213+E213</f>
        <v>0</v>
      </c>
      <c r="G213" s="49">
        <v>0</v>
      </c>
      <c r="H213" s="49">
        <f>F213*(($H$151)+1)+(IF(G213&lt;101,G213,IF(G213&lt;201,G213/2,IF(G213&lt;=301,G213/3,G213/4))))</f>
        <v>0</v>
      </c>
      <c r="I213" s="33"/>
      <c r="N213" s="33"/>
    </row>
    <row r="214" spans="1:14" s="34" customFormat="1" ht="15.75" hidden="1" customHeight="1" x14ac:dyDescent="0.35">
      <c r="A214" s="187" t="s">
        <v>152</v>
      </c>
      <c r="B214" s="188"/>
      <c r="C214" s="188"/>
      <c r="D214" s="188"/>
      <c r="E214" s="188"/>
      <c r="F214" s="188"/>
      <c r="G214" s="188"/>
      <c r="H214" s="189"/>
      <c r="I214" s="33"/>
    </row>
    <row r="215" spans="1:14" s="34" customFormat="1" ht="15.75" hidden="1" customHeight="1" x14ac:dyDescent="0.35">
      <c r="A215" s="82" t="str">
        <f ca="1">(SUMPRODUCT(MID(0&amp;(LEFT(A214,SUM(LEN(A214)-LEN(SUBSTITUTE(A214,{"0","1","2"},""))))), LARGE(INDEX(ISNUMBER(--MID((LEFT(A214,SUM(LEN(A214)-LEN(SUBSTITUTE(A214,{"0","1","2"},""))))), ROW(INDIRECT("1:"&amp;LEN((LEFT(A214,SUM(LEN(A214)-LEN(SUBSTITUTE(A214,{"0","1","2"},"")))))))), 1)) * ROW(INDIRECT("1:"&amp;LEN((LEFT(A214,SUM(LEN(A214)-LEN(SUBSTITUTE(A214,{"0","1","2"},"")))))))), 0), ROW(INDIRECT("1:"&amp;LEN((LEFT(A214,SUM(LEN(A214)-LEN(SUBSTITUTE(A214,{"0","1","2"},"")))))))))+1, 1) * 10^ROW(INDIRECT("1:"&amp;LEN((LEFT(A214,SUM(LEN(A214)-LEN(SUBSTITUTE(A214,{"0","1","2"},""))))))))/10))*100+1&amp;""&amp;" ,.., "&amp;""&amp;(SUMPRODUCT(MID(0&amp;(--TRIM(RIGHT(SUBSTITUTE(LEFT(A214,_xlfn.AGGREGATE(16,6,FIND({0,1,2,3,4,5,6,7,8,9},A214,ROW(INDIRECT("1:"&amp;LEN(A214)))),1))," ",REPT(" ",LEN(A214))),LEN(A214)))), LARGE(INDEX(ISNUMBER(--MID((--TRIM(RIGHT(SUBSTITUTE(LEFT(A214,_xlfn.AGGREGATE(16,6,FIND({0,1,2,3,4,5,6,7,8,9},A214,ROW(INDIRECT("1:"&amp;LEN(A214)))),1))," ",REPT(" ",LEN(A214))),LEN(A214)))), ROW(INDIRECT("1:"&amp;LEN((--TRIM(RIGHT(SUBSTITUTE(LEFT(A214,_xlfn.AGGREGATE(16,6,FIND({0,1,2,3,4,5,6,7,8,9},A214,ROW(INDIRECT("1:"&amp;LEN(A214)))),1))," ",REPT(" ",LEN(A214))),LEN(A214))))))), 1)) * ROW(INDIRECT("1:"&amp;LEN((--TRIM(RIGHT(SUBSTITUTE(LEFT(A214,_xlfn.AGGREGATE(16,6,FIND({0,1,2,3,4,5,6,7,8,9},A214,ROW(INDIRECT("1:"&amp;LEN(A214)))),1))," ",REPT(" ",LEN(A214))),LEN(A214))))))), 0), ROW(INDIRECT("1:"&amp;LEN((--TRIM(RIGHT(SUBSTITUTE(LEFT(A214,_xlfn.AGGREGATE(16,6,FIND({0,1,2,3,4,5,6,7,8,9},A214,ROW(INDIRECT("1:"&amp;LEN(A214)))),1))," ",REPT(" ",LEN(A214))),LEN(A214))))))))+1, 1) * 10^ROW(INDIRECT("1:"&amp;LEN((--TRIM(RIGHT(SUBSTITUTE(LEFT(A214,_xlfn.AGGREGATE(16,6,FIND({0,1,2,3,4,5,6,7,8,9},A214,ROW(INDIRECT("1:"&amp;LEN(A214)))),1))," ",REPT(" ",LEN(A214))),LEN(A214)))))))/10))*100+1</f>
        <v>301 ,.., 1501</v>
      </c>
      <c r="B215" s="83"/>
      <c r="C215" s="39"/>
      <c r="D215" s="39"/>
      <c r="E215" s="49">
        <v>0</v>
      </c>
      <c r="F215" s="49">
        <f>D215+E215</f>
        <v>0</v>
      </c>
      <c r="G215" s="49">
        <v>0</v>
      </c>
      <c r="H215" s="49">
        <f>F215*(($H$151)+1)+(IF(G215&lt;101,G215,IF(G215&lt;201,G215/2,IF(G215&lt;=301,G215/3,G215/4))))</f>
        <v>0</v>
      </c>
      <c r="I215" s="33"/>
    </row>
    <row r="216" spans="1:14" s="34" customFormat="1" ht="15.75" hidden="1" customHeight="1" x14ac:dyDescent="0.35">
      <c r="A216" s="82" t="str">
        <f ca="1">(SUMPRODUCT(MID(0&amp;(LEFT(A215,SUM(LEN(A215)-LEN(SUBSTITUTE(A215,{"0","1","2"},""))))), LARGE(INDEX(ISNUMBER(--MID((LEFT(A215,SUM(LEN(A215)-LEN(SUBSTITUTE(A215,{"0","1","2"},""))))), ROW(INDIRECT("1:"&amp;LEN((LEFT(A215,SUM(LEN(A215)-LEN(SUBSTITUTE(A215,{"0","1","2"},"")))))))), 1)) * ROW(INDIRECT("1:"&amp;LEN((LEFT(A215,SUM(LEN(A215)-LEN(SUBSTITUTE(A215,{"0","1","2"},"")))))))), 0), ROW(INDIRECT("1:"&amp;LEN((LEFT(A215,SUM(LEN(A215)-LEN(SUBSTITUTE(A215,{"0","1","2"},"")))))))))+1, 1) * 10^ROW(INDIRECT("1:"&amp;LEN((LEFT(A215,SUM(LEN(A215)-LEN(SUBSTITUTE(A215,{"0","1","2"},""))))))))/10))*1+1&amp;""&amp;" ,.., "&amp;""&amp;(SUMPRODUCT(MID(0&amp;(--TRIM(RIGHT(SUBSTITUTE(LEFT(A215,_xlfn.AGGREGATE(16,6,FIND({0,1,2,3,4,5,6,7,8,9},A215,ROW(INDIRECT("1:"&amp;LEN(A215)))),1))," ",REPT(" ",LEN(A215))),LEN(A215)))), LARGE(INDEX(ISNUMBER(--MID((--TRIM(RIGHT(SUBSTITUTE(LEFT(A215,_xlfn.AGGREGATE(16,6,FIND({0,1,2,3,4,5,6,7,8,9},A215,ROW(INDIRECT("1:"&amp;LEN(A215)))),1))," ",REPT(" ",LEN(A215))),LEN(A215)))), ROW(INDIRECT("1:"&amp;LEN((--TRIM(RIGHT(SUBSTITUTE(LEFT(A215,_xlfn.AGGREGATE(16,6,FIND({0,1,2,3,4,5,6,7,8,9},A215,ROW(INDIRECT("1:"&amp;LEN(A215)))),1))," ",REPT(" ",LEN(A215))),LEN(A215))))))), 1)) * ROW(INDIRECT("1:"&amp;LEN((--TRIM(RIGHT(SUBSTITUTE(LEFT(A215,_xlfn.AGGREGATE(16,6,FIND({0,1,2,3,4,5,6,7,8,9},A215,ROW(INDIRECT("1:"&amp;LEN(A215)))),1))," ",REPT(" ",LEN(A215))),LEN(A215))))))), 0), ROW(INDIRECT("1:"&amp;LEN((--TRIM(RIGHT(SUBSTITUTE(LEFT(A215,_xlfn.AGGREGATE(16,6,FIND({0,1,2,3,4,5,6,7,8,9},A215,ROW(INDIRECT("1:"&amp;LEN(A215)))),1))," ",REPT(" ",LEN(A215))),LEN(A215))))))))+1, 1) * 10^ROW(INDIRECT("1:"&amp;LEN((--TRIM(RIGHT(SUBSTITUTE(LEFT(A215,_xlfn.AGGREGATE(16,6,FIND({0,1,2,3,4,5,6,7,8,9},A215,ROW(INDIRECT("1:"&amp;LEN(A215)))),1))," ",REPT(" ",LEN(A215))),LEN(A215)))))))/10))*1+1</f>
        <v>302 ,.., 1502</v>
      </c>
      <c r="B216" s="83"/>
      <c r="C216" s="39"/>
      <c r="D216" s="39"/>
      <c r="E216" s="49">
        <v>0</v>
      </c>
      <c r="F216" s="49">
        <f>D216+E216</f>
        <v>0</v>
      </c>
      <c r="G216" s="49">
        <v>0</v>
      </c>
      <c r="H216" s="49">
        <f>F216*(($H$151)+1)+(IF(G216&lt;101,G216,IF(G216&lt;201,G216/2,IF(G216&lt;=301,G216/3,G216/4))))</f>
        <v>0</v>
      </c>
      <c r="I216" s="33"/>
    </row>
    <row r="217" spans="1:14" s="34" customFormat="1" ht="15.75" hidden="1" customHeight="1" x14ac:dyDescent="0.35">
      <c r="A217" s="82" t="str">
        <f ca="1">(SUMPRODUCT(MID(0&amp;(LEFT(A216,SUM(LEN(A216)-LEN(SUBSTITUTE(A216,{"0","1","2"},""))))), LARGE(INDEX(ISNUMBER(--MID((LEFT(A216,SUM(LEN(A216)-LEN(SUBSTITUTE(A216,{"0","1","2"},""))))), ROW(INDIRECT("1:"&amp;LEN((LEFT(A216,SUM(LEN(A216)-LEN(SUBSTITUTE(A216,{"0","1","2"},"")))))))), 1)) * ROW(INDIRECT("1:"&amp;LEN((LEFT(A216,SUM(LEN(A216)-LEN(SUBSTITUTE(A216,{"0","1","2"},"")))))))), 0), ROW(INDIRECT("1:"&amp;LEN((LEFT(A216,SUM(LEN(A216)-LEN(SUBSTITUTE(A216,{"0","1","2"},"")))))))))+1, 1) * 10^ROW(INDIRECT("1:"&amp;LEN((LEFT(A216,SUM(LEN(A216)-LEN(SUBSTITUTE(A216,{"0","1","2"},""))))))))/10))*1+1&amp;""&amp;" ,.., "&amp;""&amp;(SUMPRODUCT(MID(0&amp;(--TRIM(RIGHT(SUBSTITUTE(LEFT(A216,_xlfn.AGGREGATE(16,6,FIND({0,1,2,3,4,5,6,7,8,9},A216,ROW(INDIRECT("1:"&amp;LEN(A216)))),1))," ",REPT(" ",LEN(A216))),LEN(A216)))), LARGE(INDEX(ISNUMBER(--MID((--TRIM(RIGHT(SUBSTITUTE(LEFT(A216,_xlfn.AGGREGATE(16,6,FIND({0,1,2,3,4,5,6,7,8,9},A216,ROW(INDIRECT("1:"&amp;LEN(A216)))),1))," ",REPT(" ",LEN(A216))),LEN(A216)))), ROW(INDIRECT("1:"&amp;LEN((--TRIM(RIGHT(SUBSTITUTE(LEFT(A216,_xlfn.AGGREGATE(16,6,FIND({0,1,2,3,4,5,6,7,8,9},A216,ROW(INDIRECT("1:"&amp;LEN(A216)))),1))," ",REPT(" ",LEN(A216))),LEN(A216))))))), 1)) * ROW(INDIRECT("1:"&amp;LEN((--TRIM(RIGHT(SUBSTITUTE(LEFT(A216,_xlfn.AGGREGATE(16,6,FIND({0,1,2,3,4,5,6,7,8,9},A216,ROW(INDIRECT("1:"&amp;LEN(A216)))),1))," ",REPT(" ",LEN(A216))),LEN(A216))))))), 0), ROW(INDIRECT("1:"&amp;LEN((--TRIM(RIGHT(SUBSTITUTE(LEFT(A216,_xlfn.AGGREGATE(16,6,FIND({0,1,2,3,4,5,6,7,8,9},A216,ROW(INDIRECT("1:"&amp;LEN(A216)))),1))," ",REPT(" ",LEN(A216))),LEN(A216))))))))+1, 1) * 10^ROW(INDIRECT("1:"&amp;LEN((--TRIM(RIGHT(SUBSTITUTE(LEFT(A216,_xlfn.AGGREGATE(16,6,FIND({0,1,2,3,4,5,6,7,8,9},A216,ROW(INDIRECT("1:"&amp;LEN(A216)))),1))," ",REPT(" ",LEN(A216))),LEN(A216)))))))/10))*1+1</f>
        <v>303 ,.., 1503</v>
      </c>
      <c r="B217" s="83"/>
      <c r="C217" s="39"/>
      <c r="D217" s="39"/>
      <c r="E217" s="49">
        <v>0</v>
      </c>
      <c r="F217" s="49">
        <f>D217+E217</f>
        <v>0</v>
      </c>
      <c r="G217" s="49">
        <v>0</v>
      </c>
      <c r="H217" s="49">
        <f>F217*(($H$151)+1)+(IF(G217&lt;101,G217,IF(G217&lt;201,G217/2,IF(G217&lt;=301,G217/3,G217/4))))</f>
        <v>0</v>
      </c>
      <c r="I217" s="33"/>
    </row>
    <row r="218" spans="1:14" s="34" customFormat="1" ht="15.75" hidden="1" customHeight="1" x14ac:dyDescent="0.35">
      <c r="A218" s="82" t="str">
        <f ca="1">(SUMPRODUCT(MID(0&amp;(LEFT(A217,SUM(LEN(A217)-LEN(SUBSTITUTE(A217,{"0","1","2"},""))))), LARGE(INDEX(ISNUMBER(--MID((LEFT(A217,SUM(LEN(A217)-LEN(SUBSTITUTE(A217,{"0","1","2"},""))))), ROW(INDIRECT("1:"&amp;LEN((LEFT(A217,SUM(LEN(A217)-LEN(SUBSTITUTE(A217,{"0","1","2"},"")))))))), 1)) * ROW(INDIRECT("1:"&amp;LEN((LEFT(A217,SUM(LEN(A217)-LEN(SUBSTITUTE(A217,{"0","1","2"},"")))))))), 0), ROW(INDIRECT("1:"&amp;LEN((LEFT(A217,SUM(LEN(A217)-LEN(SUBSTITUTE(A217,{"0","1","2"},"")))))))))+1, 1) * 10^ROW(INDIRECT("1:"&amp;LEN((LEFT(A217,SUM(LEN(A217)-LEN(SUBSTITUTE(A217,{"0","1","2"},""))))))))/10))*1+1&amp;""&amp;" ,.., "&amp;""&amp;(SUMPRODUCT(MID(0&amp;(--TRIM(RIGHT(SUBSTITUTE(LEFT(A217,_xlfn.AGGREGATE(16,6,FIND({0,1,2,3,4,5,6,7,8,9},A217,ROW(INDIRECT("1:"&amp;LEN(A217)))),1))," ",REPT(" ",LEN(A217))),LEN(A217)))), LARGE(INDEX(ISNUMBER(--MID((--TRIM(RIGHT(SUBSTITUTE(LEFT(A217,_xlfn.AGGREGATE(16,6,FIND({0,1,2,3,4,5,6,7,8,9},A217,ROW(INDIRECT("1:"&amp;LEN(A217)))),1))," ",REPT(" ",LEN(A217))),LEN(A217)))), ROW(INDIRECT("1:"&amp;LEN((--TRIM(RIGHT(SUBSTITUTE(LEFT(A217,_xlfn.AGGREGATE(16,6,FIND({0,1,2,3,4,5,6,7,8,9},A217,ROW(INDIRECT("1:"&amp;LEN(A217)))),1))," ",REPT(" ",LEN(A217))),LEN(A217))))))), 1)) * ROW(INDIRECT("1:"&amp;LEN((--TRIM(RIGHT(SUBSTITUTE(LEFT(A217,_xlfn.AGGREGATE(16,6,FIND({0,1,2,3,4,5,6,7,8,9},A217,ROW(INDIRECT("1:"&amp;LEN(A217)))),1))," ",REPT(" ",LEN(A217))),LEN(A217))))))), 0), ROW(INDIRECT("1:"&amp;LEN((--TRIM(RIGHT(SUBSTITUTE(LEFT(A217,_xlfn.AGGREGATE(16,6,FIND({0,1,2,3,4,5,6,7,8,9},A217,ROW(INDIRECT("1:"&amp;LEN(A217)))),1))," ",REPT(" ",LEN(A217))),LEN(A217))))))))+1, 1) * 10^ROW(INDIRECT("1:"&amp;LEN((--TRIM(RIGHT(SUBSTITUTE(LEFT(A217,_xlfn.AGGREGATE(16,6,FIND({0,1,2,3,4,5,6,7,8,9},A217,ROW(INDIRECT("1:"&amp;LEN(A217)))),1))," ",REPT(" ",LEN(A217))),LEN(A217)))))))/10))*1+1</f>
        <v>304 ,.., 1504</v>
      </c>
      <c r="B218" s="83"/>
      <c r="C218" s="39"/>
      <c r="D218" s="39"/>
      <c r="E218" s="49">
        <v>0</v>
      </c>
      <c r="F218" s="49">
        <f>D218+E218</f>
        <v>0</v>
      </c>
      <c r="G218" s="49">
        <v>0</v>
      </c>
      <c r="H218" s="49">
        <f>F218*(($H$151)+1)+(IF(G218&lt;101,G218,IF(G218&lt;201,G218/2,IF(G218&lt;=301,G218/3,G218/4))))</f>
        <v>0</v>
      </c>
      <c r="I218" s="33"/>
    </row>
    <row r="219" spans="1:14" s="34" customFormat="1" ht="15.75" hidden="1" customHeight="1" x14ac:dyDescent="0.35">
      <c r="A219" s="82" t="str">
        <f ca="1">(SUMPRODUCT(MID(0&amp;(LEFT(A218,SUM(LEN(A218)-LEN(SUBSTITUTE(A218,{"0","1","2"},""))))), LARGE(INDEX(ISNUMBER(--MID((LEFT(A218,SUM(LEN(A218)-LEN(SUBSTITUTE(A218,{"0","1","2"},""))))), ROW(INDIRECT("1:"&amp;LEN((LEFT(A218,SUM(LEN(A218)-LEN(SUBSTITUTE(A218,{"0","1","2"},"")))))))), 1)) * ROW(INDIRECT("1:"&amp;LEN((LEFT(A218,SUM(LEN(A218)-LEN(SUBSTITUTE(A218,{"0","1","2"},"")))))))), 0), ROW(INDIRECT("1:"&amp;LEN((LEFT(A218,SUM(LEN(A218)-LEN(SUBSTITUTE(A218,{"0","1","2"},"")))))))))+1, 1) * 10^ROW(INDIRECT("1:"&amp;LEN((LEFT(A218,SUM(LEN(A218)-LEN(SUBSTITUTE(A218,{"0","1","2"},""))))))))/10))*1+1&amp;""&amp;" ,.., "&amp;""&amp;(SUMPRODUCT(MID(0&amp;(--TRIM(RIGHT(SUBSTITUTE(LEFT(A218,_xlfn.AGGREGATE(16,6,FIND({0,1,2,3,4,5,6,7,8,9},A218,ROW(INDIRECT("1:"&amp;LEN(A218)))),1))," ",REPT(" ",LEN(A218))),LEN(A218)))), LARGE(INDEX(ISNUMBER(--MID((--TRIM(RIGHT(SUBSTITUTE(LEFT(A218,_xlfn.AGGREGATE(16,6,FIND({0,1,2,3,4,5,6,7,8,9},A218,ROW(INDIRECT("1:"&amp;LEN(A218)))),1))," ",REPT(" ",LEN(A218))),LEN(A218)))), ROW(INDIRECT("1:"&amp;LEN((--TRIM(RIGHT(SUBSTITUTE(LEFT(A218,_xlfn.AGGREGATE(16,6,FIND({0,1,2,3,4,5,6,7,8,9},A218,ROW(INDIRECT("1:"&amp;LEN(A218)))),1))," ",REPT(" ",LEN(A218))),LEN(A218))))))), 1)) * ROW(INDIRECT("1:"&amp;LEN((--TRIM(RIGHT(SUBSTITUTE(LEFT(A218,_xlfn.AGGREGATE(16,6,FIND({0,1,2,3,4,5,6,7,8,9},A218,ROW(INDIRECT("1:"&amp;LEN(A218)))),1))," ",REPT(" ",LEN(A218))),LEN(A218))))))), 0), ROW(INDIRECT("1:"&amp;LEN((--TRIM(RIGHT(SUBSTITUTE(LEFT(A218,_xlfn.AGGREGATE(16,6,FIND({0,1,2,3,4,5,6,7,8,9},A218,ROW(INDIRECT("1:"&amp;LEN(A218)))),1))," ",REPT(" ",LEN(A218))),LEN(A218))))))))+1, 1) * 10^ROW(INDIRECT("1:"&amp;LEN((--TRIM(RIGHT(SUBSTITUTE(LEFT(A218,_xlfn.AGGREGATE(16,6,FIND({0,1,2,3,4,5,6,7,8,9},A218,ROW(INDIRECT("1:"&amp;LEN(A218)))),1))," ",REPT(" ",LEN(A218))),LEN(A218)))))))/10))*1+1</f>
        <v>305 ,.., 1505</v>
      </c>
      <c r="B219" s="83"/>
      <c r="C219" s="39"/>
      <c r="D219" s="39"/>
      <c r="E219" s="49">
        <v>0</v>
      </c>
      <c r="F219" s="49">
        <f>D219+E219</f>
        <v>0</v>
      </c>
      <c r="G219" s="49">
        <v>0</v>
      </c>
      <c r="H219" s="49">
        <f>F219*(($H$151)+1)+(IF(G219&lt;101,G219,IF(G219&lt;201,G219/2,IF(G219&lt;=301,G219/3,G219/4))))</f>
        <v>0</v>
      </c>
      <c r="I219" s="33"/>
    </row>
    <row r="220" spans="1:14" s="34" customFormat="1" hidden="1" x14ac:dyDescent="0.35">
      <c r="A220" s="187" t="s">
        <v>146</v>
      </c>
      <c r="B220" s="188"/>
      <c r="C220" s="188"/>
      <c r="D220" s="188"/>
      <c r="E220" s="188"/>
      <c r="F220" s="188"/>
      <c r="G220" s="188"/>
      <c r="H220" s="189"/>
      <c r="I220" s="33"/>
    </row>
    <row r="221" spans="1:14" s="34" customFormat="1" ht="15.75" hidden="1" customHeight="1" x14ac:dyDescent="0.35">
      <c r="A221" s="82" t="str">
        <f ca="1">(SUMPRODUCT(MID(0&amp;(LEFT(A220,SUM(LEN(A220)-LEN(SUBSTITUTE(A220,{"0","1","2"},""))))), LARGE(INDEX(ISNUMBER(--MID((LEFT(A220,SUM(LEN(A220)-LEN(SUBSTITUTE(A220,{"0","1","2"},""))))), ROW(INDIRECT("1:"&amp;LEN((LEFT(A220,SUM(LEN(A220)-LEN(SUBSTITUTE(A220,{"0","1","2"},"")))))))), 1)) * ROW(INDIRECT("1:"&amp;LEN((LEFT(A220,SUM(LEN(A220)-LEN(SUBSTITUTE(A220,{"0","1","2"},"")))))))), 0), ROW(INDIRECT("1:"&amp;LEN((LEFT(A220,SUM(LEN(A220)-LEN(SUBSTITUTE(A220,{"0","1","2"},"")))))))))+1, 1) * 10^ROW(INDIRECT("1:"&amp;LEN((LEFT(A220,SUM(LEN(A220)-LEN(SUBSTITUTE(A220,{"0","1","2"},""))))))))/10))*100+1&amp;""&amp;" to "&amp;""&amp;(SUMPRODUCT(MID(0&amp;(--TRIM(RIGHT(SUBSTITUTE(LEFT(A220,_xlfn.AGGREGATE(16,6,FIND({0,1,2,3,4,5,6,7,8,9},A220,ROW(INDIRECT("1:"&amp;LEN(A220)))),1))," ",REPT(" ",LEN(A220))),LEN(A220)))), LARGE(INDEX(ISNUMBER(--MID((--TRIM(RIGHT(SUBSTITUTE(LEFT(A220,_xlfn.AGGREGATE(16,6,FIND({0,1,2,3,4,5,6,7,8,9},A220,ROW(INDIRECT("1:"&amp;LEN(A220)))),1))," ",REPT(" ",LEN(A220))),LEN(A220)))), ROW(INDIRECT("1:"&amp;LEN((--TRIM(RIGHT(SUBSTITUTE(LEFT(A220,_xlfn.AGGREGATE(16,6,FIND({0,1,2,3,4,5,6,7,8,9},A220,ROW(INDIRECT("1:"&amp;LEN(A220)))),1))," ",REPT(" ",LEN(A220))),LEN(A220))))))), 1)) * ROW(INDIRECT("1:"&amp;LEN((--TRIM(RIGHT(SUBSTITUTE(LEFT(A220,_xlfn.AGGREGATE(16,6,FIND({0,1,2,3,4,5,6,7,8,9},A220,ROW(INDIRECT("1:"&amp;LEN(A220)))),1))," ",REPT(" ",LEN(A220))),LEN(A220))))))), 0), ROW(INDIRECT("1:"&amp;LEN((--TRIM(RIGHT(SUBSTITUTE(LEFT(A220,_xlfn.AGGREGATE(16,6,FIND({0,1,2,3,4,5,6,7,8,9},A220,ROW(INDIRECT("1:"&amp;LEN(A220)))),1))," ",REPT(" ",LEN(A220))),LEN(A220))))))))+1, 1) * 10^ROW(INDIRECT("1:"&amp;LEN((--TRIM(RIGHT(SUBSTITUTE(LEFT(A220,_xlfn.AGGREGATE(16,6,FIND({0,1,2,3,4,5,6,7,8,9},A220,ROW(INDIRECT("1:"&amp;LEN(A220)))),1))," ",REPT(" ",LEN(A220))),LEN(A220)))))))/10))*100+1</f>
        <v>201 to 501</v>
      </c>
      <c r="B221" s="83"/>
      <c r="C221" s="39"/>
      <c r="D221" s="39"/>
      <c r="E221" s="49">
        <v>0</v>
      </c>
      <c r="F221" s="49">
        <f>D221+E221</f>
        <v>0</v>
      </c>
      <c r="G221" s="49">
        <v>0</v>
      </c>
      <c r="H221" s="49">
        <f>F221*(($H$151)+1)+(IF(G221&lt;101,G221,IF(G221&lt;201,G221/2,IF(G221&lt;=301,G221/3,G221/4))))</f>
        <v>0</v>
      </c>
      <c r="I221" s="33"/>
    </row>
    <row r="222" spans="1:14" s="34" customFormat="1" ht="15.75" hidden="1" customHeight="1" x14ac:dyDescent="0.35">
      <c r="A222" s="82" t="str">
        <f ca="1">(SUMPRODUCT(MID(0&amp;(LEFT(A221,SUM(LEN(A221)-LEN(SUBSTITUTE(A221,{"0","1","2"},""))))), LARGE(INDEX(ISNUMBER(--MID((LEFT(A221,SUM(LEN(A221)-LEN(SUBSTITUTE(A221,{"0","1","2"},""))))), ROW(INDIRECT("1:"&amp;LEN((LEFT(A221,SUM(LEN(A221)-LEN(SUBSTITUTE(A221,{"0","1","2"},"")))))))), 1)) * ROW(INDIRECT("1:"&amp;LEN((LEFT(A221,SUM(LEN(A221)-LEN(SUBSTITUTE(A221,{"0","1","2"},"")))))))), 0), ROW(INDIRECT("1:"&amp;LEN((LEFT(A221,SUM(LEN(A221)-LEN(SUBSTITUTE(A221,{"0","1","2"},"")))))))))+1, 1) * 10^ROW(INDIRECT("1:"&amp;LEN((LEFT(A221,SUM(LEN(A221)-LEN(SUBSTITUTE(A221,{"0","1","2"},""))))))))/10))*1+1&amp;""&amp;" to "&amp;""&amp;(SUMPRODUCT(MID(0&amp;(--TRIM(RIGHT(SUBSTITUTE(LEFT(A221,_xlfn.AGGREGATE(16,6,FIND({0,1,2,3,4,5,6,7,8,9},A221,ROW(INDIRECT("1:"&amp;LEN(A221)))),1))," ",REPT(" ",LEN(A221))),LEN(A221)))), LARGE(INDEX(ISNUMBER(--MID((--TRIM(RIGHT(SUBSTITUTE(LEFT(A221,_xlfn.AGGREGATE(16,6,FIND({0,1,2,3,4,5,6,7,8,9},A221,ROW(INDIRECT("1:"&amp;LEN(A221)))),1))," ",REPT(" ",LEN(A221))),LEN(A221)))), ROW(INDIRECT("1:"&amp;LEN((--TRIM(RIGHT(SUBSTITUTE(LEFT(A221,_xlfn.AGGREGATE(16,6,FIND({0,1,2,3,4,5,6,7,8,9},A221,ROW(INDIRECT("1:"&amp;LEN(A221)))),1))," ",REPT(" ",LEN(A221))),LEN(A221))))))), 1)) * ROW(INDIRECT("1:"&amp;LEN((--TRIM(RIGHT(SUBSTITUTE(LEFT(A221,_xlfn.AGGREGATE(16,6,FIND({0,1,2,3,4,5,6,7,8,9},A221,ROW(INDIRECT("1:"&amp;LEN(A221)))),1))," ",REPT(" ",LEN(A221))),LEN(A221))))))), 0), ROW(INDIRECT("1:"&amp;LEN((--TRIM(RIGHT(SUBSTITUTE(LEFT(A221,_xlfn.AGGREGATE(16,6,FIND({0,1,2,3,4,5,6,7,8,9},A221,ROW(INDIRECT("1:"&amp;LEN(A221)))),1))," ",REPT(" ",LEN(A221))),LEN(A221))))))))+1, 1) * 10^ROW(INDIRECT("1:"&amp;LEN((--TRIM(RIGHT(SUBSTITUTE(LEFT(A221,_xlfn.AGGREGATE(16,6,FIND({0,1,2,3,4,5,6,7,8,9},A221,ROW(INDIRECT("1:"&amp;LEN(A221)))),1))," ",REPT(" ",LEN(A221))),LEN(A221)))))))/10))*1+1</f>
        <v>202 to 502</v>
      </c>
      <c r="B222" s="83"/>
      <c r="C222" s="39"/>
      <c r="D222" s="39"/>
      <c r="E222" s="49">
        <v>0</v>
      </c>
      <c r="F222" s="49">
        <f>D222+E222</f>
        <v>0</v>
      </c>
      <c r="G222" s="49">
        <v>0</v>
      </c>
      <c r="H222" s="49">
        <f>F222*(($H$151)+1)+(IF(G222&lt;101,G222,IF(G222&lt;201,G222/2,IF(G222&lt;=301,G222/3,G222/4))))</f>
        <v>0</v>
      </c>
      <c r="I222" s="33"/>
    </row>
    <row r="223" spans="1:14" s="34" customFormat="1" ht="15.75" hidden="1" customHeight="1" x14ac:dyDescent="0.35">
      <c r="A223" s="82" t="str">
        <f ca="1">(SUMPRODUCT(MID(0&amp;(LEFT(A222,SUM(LEN(A222)-LEN(SUBSTITUTE(A222,{"0","1","2"},""))))), LARGE(INDEX(ISNUMBER(--MID((LEFT(A222,SUM(LEN(A222)-LEN(SUBSTITUTE(A222,{"0","1","2"},""))))), ROW(INDIRECT("1:"&amp;LEN((LEFT(A222,SUM(LEN(A222)-LEN(SUBSTITUTE(A222,{"0","1","2"},"")))))))), 1)) * ROW(INDIRECT("1:"&amp;LEN((LEFT(A222,SUM(LEN(A222)-LEN(SUBSTITUTE(A222,{"0","1","2"},"")))))))), 0), ROW(INDIRECT("1:"&amp;LEN((LEFT(A222,SUM(LEN(A222)-LEN(SUBSTITUTE(A222,{"0","1","2"},"")))))))))+1, 1) * 10^ROW(INDIRECT("1:"&amp;LEN((LEFT(A222,SUM(LEN(A222)-LEN(SUBSTITUTE(A222,{"0","1","2"},""))))))))/10))*1+1&amp;""&amp;" to "&amp;""&amp;(SUMPRODUCT(MID(0&amp;(--TRIM(RIGHT(SUBSTITUTE(LEFT(A222,_xlfn.AGGREGATE(16,6,FIND({0,1,2,3,4,5,6,7,8,9},A222,ROW(INDIRECT("1:"&amp;LEN(A222)))),1))," ",REPT(" ",LEN(A222))),LEN(A222)))), LARGE(INDEX(ISNUMBER(--MID((--TRIM(RIGHT(SUBSTITUTE(LEFT(A222,_xlfn.AGGREGATE(16,6,FIND({0,1,2,3,4,5,6,7,8,9},A222,ROW(INDIRECT("1:"&amp;LEN(A222)))),1))," ",REPT(" ",LEN(A222))),LEN(A222)))), ROW(INDIRECT("1:"&amp;LEN((--TRIM(RIGHT(SUBSTITUTE(LEFT(A222,_xlfn.AGGREGATE(16,6,FIND({0,1,2,3,4,5,6,7,8,9},A222,ROW(INDIRECT("1:"&amp;LEN(A222)))),1))," ",REPT(" ",LEN(A222))),LEN(A222))))))), 1)) * ROW(INDIRECT("1:"&amp;LEN((--TRIM(RIGHT(SUBSTITUTE(LEFT(A222,_xlfn.AGGREGATE(16,6,FIND({0,1,2,3,4,5,6,7,8,9},A222,ROW(INDIRECT("1:"&amp;LEN(A222)))),1))," ",REPT(" ",LEN(A222))),LEN(A222))))))), 0), ROW(INDIRECT("1:"&amp;LEN((--TRIM(RIGHT(SUBSTITUTE(LEFT(A222,_xlfn.AGGREGATE(16,6,FIND({0,1,2,3,4,5,6,7,8,9},A222,ROW(INDIRECT("1:"&amp;LEN(A222)))),1))," ",REPT(" ",LEN(A222))),LEN(A222))))))))+1, 1) * 10^ROW(INDIRECT("1:"&amp;LEN((--TRIM(RIGHT(SUBSTITUTE(LEFT(A222,_xlfn.AGGREGATE(16,6,FIND({0,1,2,3,4,5,6,7,8,9},A222,ROW(INDIRECT("1:"&amp;LEN(A222)))),1))," ",REPT(" ",LEN(A222))),LEN(A222)))))))/10))*1+1</f>
        <v>203 to 503</v>
      </c>
      <c r="B223" s="83"/>
      <c r="C223" s="39"/>
      <c r="D223" s="39"/>
      <c r="E223" s="49">
        <v>0</v>
      </c>
      <c r="F223" s="49">
        <f>D223+E223</f>
        <v>0</v>
      </c>
      <c r="G223" s="49">
        <v>0</v>
      </c>
      <c r="H223" s="49">
        <f>F223*(($H$151)+1)+(IF(G223&lt;101,G223,IF(G223&lt;201,G223/2,IF(G223&lt;=301,G223/3,G223/4))))</f>
        <v>0</v>
      </c>
      <c r="I223" s="33"/>
    </row>
    <row r="224" spans="1:14" s="34" customFormat="1" ht="15.75" hidden="1" customHeight="1" x14ac:dyDescent="0.35">
      <c r="A224" s="82" t="str">
        <f ca="1">(SUMPRODUCT(MID(0&amp;(LEFT(A223,SUM(LEN(A223)-LEN(SUBSTITUTE(A223,{"0","1","2"},""))))), LARGE(INDEX(ISNUMBER(--MID((LEFT(A223,SUM(LEN(A223)-LEN(SUBSTITUTE(A223,{"0","1","2"},""))))), ROW(INDIRECT("1:"&amp;LEN((LEFT(A223,SUM(LEN(A223)-LEN(SUBSTITUTE(A223,{"0","1","2"},"")))))))), 1)) * ROW(INDIRECT("1:"&amp;LEN((LEFT(A223,SUM(LEN(A223)-LEN(SUBSTITUTE(A223,{"0","1","2"},"")))))))), 0), ROW(INDIRECT("1:"&amp;LEN((LEFT(A223,SUM(LEN(A223)-LEN(SUBSTITUTE(A223,{"0","1","2"},"")))))))))+1, 1) * 10^ROW(INDIRECT("1:"&amp;LEN((LEFT(A223,SUM(LEN(A223)-LEN(SUBSTITUTE(A223,{"0","1","2"},""))))))))/10))*1+1&amp;""&amp;" to "&amp;""&amp;(SUMPRODUCT(MID(0&amp;(--TRIM(RIGHT(SUBSTITUTE(LEFT(A223,_xlfn.AGGREGATE(16,6,FIND({0,1,2,3,4,5,6,7,8,9},A223,ROW(INDIRECT("1:"&amp;LEN(A223)))),1))," ",REPT(" ",LEN(A223))),LEN(A223)))), LARGE(INDEX(ISNUMBER(--MID((--TRIM(RIGHT(SUBSTITUTE(LEFT(A223,_xlfn.AGGREGATE(16,6,FIND({0,1,2,3,4,5,6,7,8,9},A223,ROW(INDIRECT("1:"&amp;LEN(A223)))),1))," ",REPT(" ",LEN(A223))),LEN(A223)))), ROW(INDIRECT("1:"&amp;LEN((--TRIM(RIGHT(SUBSTITUTE(LEFT(A223,_xlfn.AGGREGATE(16,6,FIND({0,1,2,3,4,5,6,7,8,9},A223,ROW(INDIRECT("1:"&amp;LEN(A223)))),1))," ",REPT(" ",LEN(A223))),LEN(A223))))))), 1)) * ROW(INDIRECT("1:"&amp;LEN((--TRIM(RIGHT(SUBSTITUTE(LEFT(A223,_xlfn.AGGREGATE(16,6,FIND({0,1,2,3,4,5,6,7,8,9},A223,ROW(INDIRECT("1:"&amp;LEN(A223)))),1))," ",REPT(" ",LEN(A223))),LEN(A223))))))), 0), ROW(INDIRECT("1:"&amp;LEN((--TRIM(RIGHT(SUBSTITUTE(LEFT(A223,_xlfn.AGGREGATE(16,6,FIND({0,1,2,3,4,5,6,7,8,9},A223,ROW(INDIRECT("1:"&amp;LEN(A223)))),1))," ",REPT(" ",LEN(A223))),LEN(A223))))))))+1, 1) * 10^ROW(INDIRECT("1:"&amp;LEN((--TRIM(RIGHT(SUBSTITUTE(LEFT(A223,_xlfn.AGGREGATE(16,6,FIND({0,1,2,3,4,5,6,7,8,9},A223,ROW(INDIRECT("1:"&amp;LEN(A223)))),1))," ",REPT(" ",LEN(A223))),LEN(A223)))))))/10))*1+1</f>
        <v>204 to 504</v>
      </c>
      <c r="B224" s="83"/>
      <c r="C224" s="39"/>
      <c r="D224" s="39"/>
      <c r="E224" s="49">
        <v>0</v>
      </c>
      <c r="F224" s="49">
        <f>D224+E224</f>
        <v>0</v>
      </c>
      <c r="G224" s="49">
        <v>0</v>
      </c>
      <c r="H224" s="49">
        <f>F224*(($H$151)+1)+(IF(G224&lt;101,G224,IF(G224&lt;201,G224/2,IF(G224&lt;=301,G224/3,G224/4))))</f>
        <v>0</v>
      </c>
      <c r="I224" s="33"/>
    </row>
    <row r="225" spans="1:20" s="34" customFormat="1" ht="15.75" hidden="1" customHeight="1" x14ac:dyDescent="0.35">
      <c r="A225" s="82" t="str">
        <f ca="1">(SUMPRODUCT(MID(0&amp;(LEFT(A224,SUM(LEN(A224)-LEN(SUBSTITUTE(A224,{"0","1","2"},""))))), LARGE(INDEX(ISNUMBER(--MID((LEFT(A224,SUM(LEN(A224)-LEN(SUBSTITUTE(A224,{"0","1","2"},""))))), ROW(INDIRECT("1:"&amp;LEN((LEFT(A224,SUM(LEN(A224)-LEN(SUBSTITUTE(A224,{"0","1","2"},"")))))))), 1)) * ROW(INDIRECT("1:"&amp;LEN((LEFT(A224,SUM(LEN(A224)-LEN(SUBSTITUTE(A224,{"0","1","2"},"")))))))), 0), ROW(INDIRECT("1:"&amp;LEN((LEFT(A224,SUM(LEN(A224)-LEN(SUBSTITUTE(A224,{"0","1","2"},"")))))))))+1, 1) * 10^ROW(INDIRECT("1:"&amp;LEN((LEFT(A224,SUM(LEN(A224)-LEN(SUBSTITUTE(A224,{"0","1","2"},""))))))))/10))*1+1&amp;""&amp;" to "&amp;""&amp;(SUMPRODUCT(MID(0&amp;(--TRIM(RIGHT(SUBSTITUTE(LEFT(A224,_xlfn.AGGREGATE(16,6,FIND({0,1,2,3,4,5,6,7,8,9},A224,ROW(INDIRECT("1:"&amp;LEN(A224)))),1))," ",REPT(" ",LEN(A224))),LEN(A224)))), LARGE(INDEX(ISNUMBER(--MID((--TRIM(RIGHT(SUBSTITUTE(LEFT(A224,_xlfn.AGGREGATE(16,6,FIND({0,1,2,3,4,5,6,7,8,9},A224,ROW(INDIRECT("1:"&amp;LEN(A224)))),1))," ",REPT(" ",LEN(A224))),LEN(A224)))), ROW(INDIRECT("1:"&amp;LEN((--TRIM(RIGHT(SUBSTITUTE(LEFT(A224,_xlfn.AGGREGATE(16,6,FIND({0,1,2,3,4,5,6,7,8,9},A224,ROW(INDIRECT("1:"&amp;LEN(A224)))),1))," ",REPT(" ",LEN(A224))),LEN(A224))))))), 1)) * ROW(INDIRECT("1:"&amp;LEN((--TRIM(RIGHT(SUBSTITUTE(LEFT(A224,_xlfn.AGGREGATE(16,6,FIND({0,1,2,3,4,5,6,7,8,9},A224,ROW(INDIRECT("1:"&amp;LEN(A224)))),1))," ",REPT(" ",LEN(A224))),LEN(A224))))))), 0), ROW(INDIRECT("1:"&amp;LEN((--TRIM(RIGHT(SUBSTITUTE(LEFT(A224,_xlfn.AGGREGATE(16,6,FIND({0,1,2,3,4,5,6,7,8,9},A224,ROW(INDIRECT("1:"&amp;LEN(A224)))),1))," ",REPT(" ",LEN(A224))),LEN(A224))))))))+1, 1) * 10^ROW(INDIRECT("1:"&amp;LEN((--TRIM(RIGHT(SUBSTITUTE(LEFT(A224,_xlfn.AGGREGATE(16,6,FIND({0,1,2,3,4,5,6,7,8,9},A224,ROW(INDIRECT("1:"&amp;LEN(A224)))),1))," ",REPT(" ",LEN(A224))),LEN(A224)))))))/10))*1+1</f>
        <v>205 to 505</v>
      </c>
      <c r="B225" s="83"/>
      <c r="C225" s="39"/>
      <c r="D225" s="39"/>
      <c r="E225" s="49">
        <v>0</v>
      </c>
      <c r="F225" s="49">
        <f>D225+E225</f>
        <v>0</v>
      </c>
      <c r="G225" s="49">
        <v>0</v>
      </c>
      <c r="H225" s="49">
        <f>F225*(($H$151)+1)+(IF(G225&lt;101,G225,IF(G225&lt;201,G225/2,IF(G225&lt;=301,G225/3,G225/4))))</f>
        <v>0</v>
      </c>
      <c r="I225" s="33"/>
    </row>
    <row r="226" spans="1:20" s="34" customFormat="1" hidden="1" x14ac:dyDescent="0.35">
      <c r="A226" s="187" t="s">
        <v>147</v>
      </c>
      <c r="B226" s="188"/>
      <c r="C226" s="188"/>
      <c r="D226" s="188"/>
      <c r="E226" s="188"/>
      <c r="F226" s="188"/>
      <c r="G226" s="188"/>
      <c r="H226" s="189"/>
      <c r="I226" s="33"/>
    </row>
    <row r="227" spans="1:20" s="34" customFormat="1" ht="15.75" hidden="1" customHeight="1" x14ac:dyDescent="0.35">
      <c r="A227" s="82" t="str">
        <f ca="1">(SUMPRODUCT(MID(0&amp;(LEFT(A226,SUM(LEN(A226)-LEN(SUBSTITUTE(A226,{"0","1","2"},""))))), LARGE(INDEX(ISNUMBER(--MID((LEFT(A226,SUM(LEN(A226)-LEN(SUBSTITUTE(A226,{"0","1","2"},""))))), ROW(INDIRECT("1:"&amp;LEN((LEFT(A226,SUM(LEN(A226)-LEN(SUBSTITUTE(A226,{"0","1","2"},"")))))))), 1)) * ROW(INDIRECT("1:"&amp;LEN((LEFT(A226,SUM(LEN(A226)-LEN(SUBSTITUTE(A226,{"0","1","2"},"")))))))), 0), ROW(INDIRECT("1:"&amp;LEN((LEFT(A226,SUM(LEN(A226)-LEN(SUBSTITUTE(A226,{"0","1","2"},"")))))))))+1, 1) * 10^ROW(INDIRECT("1:"&amp;LEN((LEFT(A226,SUM(LEN(A226)-LEN(SUBSTITUTE(A226,{"0","1","2"},""))))))))/10))*100+1&amp;""&amp;" &amp; "&amp;""&amp;(SUMPRODUCT(MID(0&amp;(--TRIM(RIGHT(SUBSTITUTE(LEFT(A226,_xlfn.AGGREGATE(16,6,FIND({0,1,2,3,4,5,6,7,8,9},A226,ROW(INDIRECT("1:"&amp;LEN(A226)))),1))," ",REPT(" ",LEN(A226))),LEN(A226)))), LARGE(INDEX(ISNUMBER(--MID((--TRIM(RIGHT(SUBSTITUTE(LEFT(A226,_xlfn.AGGREGATE(16,6,FIND({0,1,2,3,4,5,6,7,8,9},A226,ROW(INDIRECT("1:"&amp;LEN(A226)))),1))," ",REPT(" ",LEN(A226))),LEN(A226)))), ROW(INDIRECT("1:"&amp;LEN((--TRIM(RIGHT(SUBSTITUTE(LEFT(A226,_xlfn.AGGREGATE(16,6,FIND({0,1,2,3,4,5,6,7,8,9},A226,ROW(INDIRECT("1:"&amp;LEN(A226)))),1))," ",REPT(" ",LEN(A226))),LEN(A226))))))), 1)) * ROW(INDIRECT("1:"&amp;LEN((--TRIM(RIGHT(SUBSTITUTE(LEFT(A226,_xlfn.AGGREGATE(16,6,FIND({0,1,2,3,4,5,6,7,8,9},A226,ROW(INDIRECT("1:"&amp;LEN(A226)))),1))," ",REPT(" ",LEN(A226))),LEN(A226))))))), 0), ROW(INDIRECT("1:"&amp;LEN((--TRIM(RIGHT(SUBSTITUTE(LEFT(A226,_xlfn.AGGREGATE(16,6,FIND({0,1,2,3,4,5,6,7,8,9},A226,ROW(INDIRECT("1:"&amp;LEN(A226)))),1))," ",REPT(" ",LEN(A226))),LEN(A226))))))))+1, 1) * 10^ROW(INDIRECT("1:"&amp;LEN((--TRIM(RIGHT(SUBSTITUTE(LEFT(A226,_xlfn.AGGREGATE(16,6,FIND({0,1,2,3,4,5,6,7,8,9},A226,ROW(INDIRECT("1:"&amp;LEN(A226)))),1))," ",REPT(" ",LEN(A226))),LEN(A226)))))))/10))*100+1</f>
        <v>201 &amp; 501</v>
      </c>
      <c r="B227" s="83"/>
      <c r="C227" s="39"/>
      <c r="D227" s="39"/>
      <c r="E227" s="49">
        <v>0</v>
      </c>
      <c r="F227" s="49">
        <f>D227+E227</f>
        <v>0</v>
      </c>
      <c r="G227" s="49">
        <v>0</v>
      </c>
      <c r="H227" s="49">
        <f>F227*(($H$151)+1)+(IF(G227&lt;101,G227,IF(G227&lt;201,G227/2,IF(G227&lt;=301,G227/3,G227/4))))</f>
        <v>0</v>
      </c>
      <c r="I227" s="33"/>
    </row>
    <row r="228" spans="1:20" s="34" customFormat="1" ht="15.75" hidden="1" customHeight="1" x14ac:dyDescent="0.35">
      <c r="A228" s="82" t="str">
        <f ca="1">(SUMPRODUCT(MID(0&amp;(LEFT(A227,SUM(LEN(A227)-LEN(SUBSTITUTE(A227,{"0","1","2"},""))))), LARGE(INDEX(ISNUMBER(--MID((LEFT(A227,SUM(LEN(A227)-LEN(SUBSTITUTE(A227,{"0","1","2"},""))))), ROW(INDIRECT("1:"&amp;LEN((LEFT(A227,SUM(LEN(A227)-LEN(SUBSTITUTE(A227,{"0","1","2"},"")))))))), 1)) * ROW(INDIRECT("1:"&amp;LEN((LEFT(A227,SUM(LEN(A227)-LEN(SUBSTITUTE(A227,{"0","1","2"},"")))))))), 0), ROW(INDIRECT("1:"&amp;LEN((LEFT(A227,SUM(LEN(A227)-LEN(SUBSTITUTE(A227,{"0","1","2"},"")))))))))+1, 1) * 10^ROW(INDIRECT("1:"&amp;LEN((LEFT(A227,SUM(LEN(A227)-LEN(SUBSTITUTE(A227,{"0","1","2"},""))))))))/10))*1+1&amp;""&amp;" &amp; "&amp;""&amp;(SUMPRODUCT(MID(0&amp;(--TRIM(RIGHT(SUBSTITUTE(LEFT(A227,_xlfn.AGGREGATE(16,6,FIND({0,1,2,3,4,5,6,7,8,9},A227,ROW(INDIRECT("1:"&amp;LEN(A227)))),1))," ",REPT(" ",LEN(A227))),LEN(A227)))), LARGE(INDEX(ISNUMBER(--MID((--TRIM(RIGHT(SUBSTITUTE(LEFT(A227,_xlfn.AGGREGATE(16,6,FIND({0,1,2,3,4,5,6,7,8,9},A227,ROW(INDIRECT("1:"&amp;LEN(A227)))),1))," ",REPT(" ",LEN(A227))),LEN(A227)))), ROW(INDIRECT("1:"&amp;LEN((--TRIM(RIGHT(SUBSTITUTE(LEFT(A227,_xlfn.AGGREGATE(16,6,FIND({0,1,2,3,4,5,6,7,8,9},A227,ROW(INDIRECT("1:"&amp;LEN(A227)))),1))," ",REPT(" ",LEN(A227))),LEN(A227))))))), 1)) * ROW(INDIRECT("1:"&amp;LEN((--TRIM(RIGHT(SUBSTITUTE(LEFT(A227,_xlfn.AGGREGATE(16,6,FIND({0,1,2,3,4,5,6,7,8,9},A227,ROW(INDIRECT("1:"&amp;LEN(A227)))),1))," ",REPT(" ",LEN(A227))),LEN(A227))))))), 0), ROW(INDIRECT("1:"&amp;LEN((--TRIM(RIGHT(SUBSTITUTE(LEFT(A227,_xlfn.AGGREGATE(16,6,FIND({0,1,2,3,4,5,6,7,8,9},A227,ROW(INDIRECT("1:"&amp;LEN(A227)))),1))," ",REPT(" ",LEN(A227))),LEN(A227))))))))+1, 1) * 10^ROW(INDIRECT("1:"&amp;LEN((--TRIM(RIGHT(SUBSTITUTE(LEFT(A227,_xlfn.AGGREGATE(16,6,FIND({0,1,2,3,4,5,6,7,8,9},A227,ROW(INDIRECT("1:"&amp;LEN(A227)))),1))," ",REPT(" ",LEN(A227))),LEN(A227)))))))/10))*1+1</f>
        <v>202 &amp; 502</v>
      </c>
      <c r="B228" s="83"/>
      <c r="C228" s="39"/>
      <c r="D228" s="39"/>
      <c r="E228" s="49">
        <v>0</v>
      </c>
      <c r="F228" s="49">
        <f>D228+E228</f>
        <v>0</v>
      </c>
      <c r="G228" s="49">
        <v>0</v>
      </c>
      <c r="H228" s="49">
        <f>F228*(($H$151)+1)+(IF(G228&lt;101,G228,IF(G228&lt;201,G228/2,IF(G228&lt;=301,G228/3,G228/4))))</f>
        <v>0</v>
      </c>
      <c r="I228" s="33"/>
    </row>
    <row r="229" spans="1:20" s="34" customFormat="1" ht="15.75" hidden="1" customHeight="1" x14ac:dyDescent="0.35">
      <c r="A229" s="82" t="str">
        <f ca="1">(SUMPRODUCT(MID(0&amp;(LEFT(A228,SUM(LEN(A228)-LEN(SUBSTITUTE(A228,{"0","1","2"},""))))), LARGE(INDEX(ISNUMBER(--MID((LEFT(A228,SUM(LEN(A228)-LEN(SUBSTITUTE(A228,{"0","1","2"},""))))), ROW(INDIRECT("1:"&amp;LEN((LEFT(A228,SUM(LEN(A228)-LEN(SUBSTITUTE(A228,{"0","1","2"},"")))))))), 1)) * ROW(INDIRECT("1:"&amp;LEN((LEFT(A228,SUM(LEN(A228)-LEN(SUBSTITUTE(A228,{"0","1","2"},"")))))))), 0), ROW(INDIRECT("1:"&amp;LEN((LEFT(A228,SUM(LEN(A228)-LEN(SUBSTITUTE(A228,{"0","1","2"},"")))))))))+1, 1) * 10^ROW(INDIRECT("1:"&amp;LEN((LEFT(A228,SUM(LEN(A228)-LEN(SUBSTITUTE(A228,{"0","1","2"},""))))))))/10))*1+1&amp;""&amp;" &amp; "&amp;""&amp;(SUMPRODUCT(MID(0&amp;(--TRIM(RIGHT(SUBSTITUTE(LEFT(A228,_xlfn.AGGREGATE(16,6,FIND({0,1,2,3,4,5,6,7,8,9},A228,ROW(INDIRECT("1:"&amp;LEN(A228)))),1))," ",REPT(" ",LEN(A228))),LEN(A228)))), LARGE(INDEX(ISNUMBER(--MID((--TRIM(RIGHT(SUBSTITUTE(LEFT(A228,_xlfn.AGGREGATE(16,6,FIND({0,1,2,3,4,5,6,7,8,9},A228,ROW(INDIRECT("1:"&amp;LEN(A228)))),1))," ",REPT(" ",LEN(A228))),LEN(A228)))), ROW(INDIRECT("1:"&amp;LEN((--TRIM(RIGHT(SUBSTITUTE(LEFT(A228,_xlfn.AGGREGATE(16,6,FIND({0,1,2,3,4,5,6,7,8,9},A228,ROW(INDIRECT("1:"&amp;LEN(A228)))),1))," ",REPT(" ",LEN(A228))),LEN(A228))))))), 1)) * ROW(INDIRECT("1:"&amp;LEN((--TRIM(RIGHT(SUBSTITUTE(LEFT(A228,_xlfn.AGGREGATE(16,6,FIND({0,1,2,3,4,5,6,7,8,9},A228,ROW(INDIRECT("1:"&amp;LEN(A228)))),1))," ",REPT(" ",LEN(A228))),LEN(A228))))))), 0), ROW(INDIRECT("1:"&amp;LEN((--TRIM(RIGHT(SUBSTITUTE(LEFT(A228,_xlfn.AGGREGATE(16,6,FIND({0,1,2,3,4,5,6,7,8,9},A228,ROW(INDIRECT("1:"&amp;LEN(A228)))),1))," ",REPT(" ",LEN(A228))),LEN(A228))))))))+1, 1) * 10^ROW(INDIRECT("1:"&amp;LEN((--TRIM(RIGHT(SUBSTITUTE(LEFT(A228,_xlfn.AGGREGATE(16,6,FIND({0,1,2,3,4,5,6,7,8,9},A228,ROW(INDIRECT("1:"&amp;LEN(A228)))),1))," ",REPT(" ",LEN(A228))),LEN(A228)))))))/10))*1+1</f>
        <v>203 &amp; 503</v>
      </c>
      <c r="B229" s="83"/>
      <c r="C229" s="39"/>
      <c r="D229" s="39"/>
      <c r="E229" s="49">
        <v>0</v>
      </c>
      <c r="F229" s="49">
        <f>D229+E229</f>
        <v>0</v>
      </c>
      <c r="G229" s="49">
        <v>0</v>
      </c>
      <c r="H229" s="49">
        <f>F229*(($H$151)+1)+(IF(G229&lt;101,G229,IF(G229&lt;201,G229/2,IF(G229&lt;=301,G229/3,G229/4))))</f>
        <v>0</v>
      </c>
      <c r="I229" s="33"/>
    </row>
    <row r="230" spans="1:20" s="34" customFormat="1" ht="15.75" hidden="1" customHeight="1" x14ac:dyDescent="0.35">
      <c r="A230" s="82" t="str">
        <f ca="1">(SUMPRODUCT(MID(0&amp;(LEFT(A229,SUM(LEN(A229)-LEN(SUBSTITUTE(A229,{"0","1","2"},""))))), LARGE(INDEX(ISNUMBER(--MID((LEFT(A229,SUM(LEN(A229)-LEN(SUBSTITUTE(A229,{"0","1","2"},""))))), ROW(INDIRECT("1:"&amp;LEN((LEFT(A229,SUM(LEN(A229)-LEN(SUBSTITUTE(A229,{"0","1","2"},"")))))))), 1)) * ROW(INDIRECT("1:"&amp;LEN((LEFT(A229,SUM(LEN(A229)-LEN(SUBSTITUTE(A229,{"0","1","2"},"")))))))), 0), ROW(INDIRECT("1:"&amp;LEN((LEFT(A229,SUM(LEN(A229)-LEN(SUBSTITUTE(A229,{"0","1","2"},"")))))))))+1, 1) * 10^ROW(INDIRECT("1:"&amp;LEN((LEFT(A229,SUM(LEN(A229)-LEN(SUBSTITUTE(A229,{"0","1","2"},""))))))))/10))*1+1&amp;""&amp;" &amp; "&amp;""&amp;(SUMPRODUCT(MID(0&amp;(--TRIM(RIGHT(SUBSTITUTE(LEFT(A229,_xlfn.AGGREGATE(16,6,FIND({0,1,2,3,4,5,6,7,8,9},A229,ROW(INDIRECT("1:"&amp;LEN(A229)))),1))," ",REPT(" ",LEN(A229))),LEN(A229)))), LARGE(INDEX(ISNUMBER(--MID((--TRIM(RIGHT(SUBSTITUTE(LEFT(A229,_xlfn.AGGREGATE(16,6,FIND({0,1,2,3,4,5,6,7,8,9},A229,ROW(INDIRECT("1:"&amp;LEN(A229)))),1))," ",REPT(" ",LEN(A229))),LEN(A229)))), ROW(INDIRECT("1:"&amp;LEN((--TRIM(RIGHT(SUBSTITUTE(LEFT(A229,_xlfn.AGGREGATE(16,6,FIND({0,1,2,3,4,5,6,7,8,9},A229,ROW(INDIRECT("1:"&amp;LEN(A229)))),1))," ",REPT(" ",LEN(A229))),LEN(A229))))))), 1)) * ROW(INDIRECT("1:"&amp;LEN((--TRIM(RIGHT(SUBSTITUTE(LEFT(A229,_xlfn.AGGREGATE(16,6,FIND({0,1,2,3,4,5,6,7,8,9},A229,ROW(INDIRECT("1:"&amp;LEN(A229)))),1))," ",REPT(" ",LEN(A229))),LEN(A229))))))), 0), ROW(INDIRECT("1:"&amp;LEN((--TRIM(RIGHT(SUBSTITUTE(LEFT(A229,_xlfn.AGGREGATE(16,6,FIND({0,1,2,3,4,5,6,7,8,9},A229,ROW(INDIRECT("1:"&amp;LEN(A229)))),1))," ",REPT(" ",LEN(A229))),LEN(A229))))))))+1, 1) * 10^ROW(INDIRECT("1:"&amp;LEN((--TRIM(RIGHT(SUBSTITUTE(LEFT(A229,_xlfn.AGGREGATE(16,6,FIND({0,1,2,3,4,5,6,7,8,9},A229,ROW(INDIRECT("1:"&amp;LEN(A229)))),1))," ",REPT(" ",LEN(A229))),LEN(A229)))))))/10))*1+1</f>
        <v>204 &amp; 504</v>
      </c>
      <c r="B230" s="83"/>
      <c r="C230" s="39"/>
      <c r="D230" s="39"/>
      <c r="E230" s="49">
        <v>0</v>
      </c>
      <c r="F230" s="49">
        <f>D230+E230</f>
        <v>0</v>
      </c>
      <c r="G230" s="49">
        <v>0</v>
      </c>
      <c r="H230" s="49">
        <f>F230*(($H$151)+1)+(IF(G230&lt;101,G230,IF(G230&lt;201,G230/2,IF(G230&lt;=301,G230/3,G230/4))))</f>
        <v>0</v>
      </c>
      <c r="I230" s="33"/>
    </row>
    <row r="231" spans="1:20" s="34" customFormat="1" ht="15.75" hidden="1" customHeight="1" x14ac:dyDescent="0.35">
      <c r="A231" s="82" t="str">
        <f ca="1">(SUMPRODUCT(MID(0&amp;(LEFT(A230,SUM(LEN(A230)-LEN(SUBSTITUTE(A230,{"0","1","2"},""))))), LARGE(INDEX(ISNUMBER(--MID((LEFT(A230,SUM(LEN(A230)-LEN(SUBSTITUTE(A230,{"0","1","2"},""))))), ROW(INDIRECT("1:"&amp;LEN((LEFT(A230,SUM(LEN(A230)-LEN(SUBSTITUTE(A230,{"0","1","2"},"")))))))), 1)) * ROW(INDIRECT("1:"&amp;LEN((LEFT(A230,SUM(LEN(A230)-LEN(SUBSTITUTE(A230,{"0","1","2"},"")))))))), 0), ROW(INDIRECT("1:"&amp;LEN((LEFT(A230,SUM(LEN(A230)-LEN(SUBSTITUTE(A230,{"0","1","2"},"")))))))))+1, 1) * 10^ROW(INDIRECT("1:"&amp;LEN((LEFT(A230,SUM(LEN(A230)-LEN(SUBSTITUTE(A230,{"0","1","2"},""))))))))/10))*1+1&amp;""&amp;" &amp; "&amp;""&amp;(SUMPRODUCT(MID(0&amp;(--TRIM(RIGHT(SUBSTITUTE(LEFT(A230,_xlfn.AGGREGATE(16,6,FIND({0,1,2,3,4,5,6,7,8,9},A230,ROW(INDIRECT("1:"&amp;LEN(A230)))),1))," ",REPT(" ",LEN(A230))),LEN(A230)))), LARGE(INDEX(ISNUMBER(--MID((--TRIM(RIGHT(SUBSTITUTE(LEFT(A230,_xlfn.AGGREGATE(16,6,FIND({0,1,2,3,4,5,6,7,8,9},A230,ROW(INDIRECT("1:"&amp;LEN(A230)))),1))," ",REPT(" ",LEN(A230))),LEN(A230)))), ROW(INDIRECT("1:"&amp;LEN((--TRIM(RIGHT(SUBSTITUTE(LEFT(A230,_xlfn.AGGREGATE(16,6,FIND({0,1,2,3,4,5,6,7,8,9},A230,ROW(INDIRECT("1:"&amp;LEN(A230)))),1))," ",REPT(" ",LEN(A230))),LEN(A230))))))), 1)) * ROW(INDIRECT("1:"&amp;LEN((--TRIM(RIGHT(SUBSTITUTE(LEFT(A230,_xlfn.AGGREGATE(16,6,FIND({0,1,2,3,4,5,6,7,8,9},A230,ROW(INDIRECT("1:"&amp;LEN(A230)))),1))," ",REPT(" ",LEN(A230))),LEN(A230))))))), 0), ROW(INDIRECT("1:"&amp;LEN((--TRIM(RIGHT(SUBSTITUTE(LEFT(A230,_xlfn.AGGREGATE(16,6,FIND({0,1,2,3,4,5,6,7,8,9},A230,ROW(INDIRECT("1:"&amp;LEN(A230)))),1))," ",REPT(" ",LEN(A230))),LEN(A230))))))))+1, 1) * 10^ROW(INDIRECT("1:"&amp;LEN((--TRIM(RIGHT(SUBSTITUTE(LEFT(A230,_xlfn.AGGREGATE(16,6,FIND({0,1,2,3,4,5,6,7,8,9},A230,ROW(INDIRECT("1:"&amp;LEN(A230)))),1))," ",REPT(" ",LEN(A230))),LEN(A230)))))))/10))*1+1</f>
        <v>205 &amp; 505</v>
      </c>
      <c r="B231" s="83"/>
      <c r="C231" s="39"/>
      <c r="D231" s="39"/>
      <c r="E231" s="49">
        <v>0</v>
      </c>
      <c r="F231" s="49">
        <f>D231+E231</f>
        <v>0</v>
      </c>
      <c r="G231" s="49">
        <v>0</v>
      </c>
      <c r="H231" s="49">
        <f>F231*(($H$151)+1)+(IF(G231&lt;101,G231,IF(G231&lt;201,G231/2,IF(G231&lt;=301,G231/3,G231/4))))</f>
        <v>0</v>
      </c>
      <c r="I231" s="33"/>
    </row>
    <row r="232" spans="1:20" s="32" customFormat="1" x14ac:dyDescent="0.35">
      <c r="A232" s="194" t="s">
        <v>65</v>
      </c>
      <c r="B232" s="194"/>
      <c r="C232" s="194"/>
      <c r="D232" s="194"/>
      <c r="E232" s="194"/>
      <c r="F232" s="194"/>
      <c r="G232" s="194"/>
      <c r="H232" s="194"/>
      <c r="T232" s="34"/>
    </row>
    <row r="233" spans="1:20" s="32" customFormat="1" x14ac:dyDescent="0.35">
      <c r="A233" s="41" t="s">
        <v>156</v>
      </c>
      <c r="B233" s="195" t="s">
        <v>352</v>
      </c>
      <c r="C233" s="196"/>
      <c r="D233" s="196"/>
      <c r="E233" s="196"/>
      <c r="F233" s="196"/>
      <c r="G233" s="196"/>
      <c r="H233" s="197"/>
      <c r="T233" s="34"/>
    </row>
    <row r="234" spans="1:20" s="32" customFormat="1" x14ac:dyDescent="0.35">
      <c r="A234" s="41" t="s">
        <v>156</v>
      </c>
      <c r="B234" s="195" t="str">
        <f>(IF(H150="Saleable area Loading :","We have considered Saleable area of Flats as per our Calculation.","We considered Saleable area of Flat as per Builder area Sheet."))</f>
        <v>We have considered Saleable area of Flats as per our Calculation.</v>
      </c>
      <c r="C234" s="196"/>
      <c r="D234" s="196"/>
      <c r="E234" s="196"/>
      <c r="F234" s="196"/>
      <c r="G234" s="196"/>
      <c r="H234" s="197"/>
      <c r="T234" s="34"/>
    </row>
    <row r="235" spans="1:20" s="32" customFormat="1" x14ac:dyDescent="0.35">
      <c r="A235" s="41" t="s">
        <v>156</v>
      </c>
      <c r="B235" s="195" t="str">
        <f>(IF(H128="Saleable area Loading :","We have considered Saleable area of Commercial as per our Calculation.","We considered Saleable area of Commercial as per Builder area Sheet."))</f>
        <v>We have considered Saleable area of Commercial as per our Calculation.</v>
      </c>
      <c r="C235" s="196"/>
      <c r="D235" s="196"/>
      <c r="E235" s="196"/>
      <c r="F235" s="196"/>
      <c r="G235" s="196"/>
      <c r="H235" s="197"/>
    </row>
    <row r="236" spans="1:20" s="32" customFormat="1" x14ac:dyDescent="0.35">
      <c r="A236" s="41" t="s">
        <v>156</v>
      </c>
      <c r="B236" s="190" t="s">
        <v>123</v>
      </c>
      <c r="C236" s="191"/>
      <c r="D236" s="191"/>
      <c r="E236" s="191"/>
      <c r="F236" s="191"/>
      <c r="G236" s="191"/>
      <c r="H236" s="192"/>
    </row>
    <row r="237" spans="1:20" s="32" customFormat="1" x14ac:dyDescent="0.35">
      <c r="A237" s="41" t="s">
        <v>156</v>
      </c>
      <c r="B237" s="190" t="s">
        <v>342</v>
      </c>
      <c r="C237" s="191"/>
      <c r="D237" s="191"/>
      <c r="E237" s="191"/>
      <c r="F237" s="191"/>
      <c r="G237" s="191"/>
      <c r="H237" s="192"/>
    </row>
    <row r="238" spans="1:20" s="32" customFormat="1" x14ac:dyDescent="0.35">
      <c r="A238" s="41" t="s">
        <v>156</v>
      </c>
      <c r="B238" s="190" t="s">
        <v>155</v>
      </c>
      <c r="C238" s="191"/>
      <c r="D238" s="191"/>
      <c r="E238" s="191"/>
      <c r="F238" s="191"/>
      <c r="G238" s="191"/>
      <c r="H238" s="192"/>
    </row>
    <row r="239" spans="1:20" s="32" customFormat="1" x14ac:dyDescent="0.35">
      <c r="A239" s="41" t="s">
        <v>156</v>
      </c>
      <c r="B239" s="190" t="s">
        <v>124</v>
      </c>
      <c r="C239" s="191"/>
      <c r="D239" s="191"/>
      <c r="E239" s="191"/>
      <c r="F239" s="191"/>
      <c r="G239" s="191"/>
      <c r="H239" s="192"/>
    </row>
    <row r="240" spans="1:20" s="32" customFormat="1" ht="34.5" customHeight="1" x14ac:dyDescent="0.35">
      <c r="A240" s="41" t="s">
        <v>156</v>
      </c>
      <c r="B240" s="190" t="s">
        <v>157</v>
      </c>
      <c r="C240" s="191"/>
      <c r="D240" s="191"/>
      <c r="E240" s="191"/>
      <c r="F240" s="191"/>
      <c r="G240" s="191"/>
      <c r="H240" s="192"/>
    </row>
    <row r="241" spans="1:20" s="32" customFormat="1" x14ac:dyDescent="0.35">
      <c r="A241" s="41" t="s">
        <v>156</v>
      </c>
      <c r="B241" s="190" t="s">
        <v>125</v>
      </c>
      <c r="C241" s="191"/>
      <c r="D241" s="191"/>
      <c r="E241" s="191"/>
      <c r="F241" s="191"/>
      <c r="G241" s="191"/>
      <c r="H241" s="192"/>
    </row>
    <row r="242" spans="1:20" s="32" customFormat="1" x14ac:dyDescent="0.35">
      <c r="A242" s="73" t="s">
        <v>156</v>
      </c>
      <c r="B242" s="190" t="s">
        <v>351</v>
      </c>
      <c r="C242" s="191"/>
      <c r="D242" s="191"/>
      <c r="E242" s="191"/>
      <c r="F242" s="191"/>
      <c r="G242" s="191"/>
      <c r="H242" s="192"/>
    </row>
    <row r="243" spans="1:20" x14ac:dyDescent="0.35">
      <c r="A243" s="140" t="s">
        <v>58</v>
      </c>
      <c r="B243" s="140"/>
      <c r="C243" s="140"/>
      <c r="D243" s="140"/>
      <c r="E243" s="140"/>
      <c r="F243" s="140"/>
      <c r="G243" s="140"/>
      <c r="H243" s="140"/>
      <c r="T243" s="32"/>
    </row>
    <row r="244" spans="1:20" x14ac:dyDescent="0.35">
      <c r="A244" s="80" t="s">
        <v>59</v>
      </c>
      <c r="B244" s="80"/>
      <c r="C244" s="80"/>
      <c r="D244" s="80"/>
      <c r="E244" s="80"/>
      <c r="F244" s="80"/>
      <c r="G244" s="80"/>
      <c r="H244" s="80"/>
      <c r="T244" s="32"/>
    </row>
    <row r="245" spans="1:20" ht="15.75" customHeight="1" x14ac:dyDescent="0.35">
      <c r="A245" s="193" t="s">
        <v>60</v>
      </c>
      <c r="B245" s="193"/>
      <c r="C245" s="193"/>
      <c r="D245" s="193"/>
      <c r="E245" s="193"/>
      <c r="F245" s="193"/>
      <c r="G245" s="193"/>
      <c r="H245" s="193"/>
      <c r="T245" s="32"/>
    </row>
    <row r="246" spans="1:20" x14ac:dyDescent="0.35">
      <c r="A246" s="80" t="s">
        <v>61</v>
      </c>
      <c r="B246" s="80"/>
      <c r="C246" s="80"/>
      <c r="D246" s="80"/>
      <c r="E246" s="80"/>
      <c r="F246" s="80"/>
      <c r="G246" s="80"/>
      <c r="H246" s="80"/>
    </row>
    <row r="247" spans="1:20" x14ac:dyDescent="0.35">
      <c r="A247" s="80" t="s">
        <v>62</v>
      </c>
      <c r="B247" s="80"/>
      <c r="C247" s="80"/>
      <c r="D247" s="80"/>
      <c r="E247" s="80"/>
      <c r="F247" s="80"/>
      <c r="G247" s="80"/>
      <c r="H247" s="80"/>
    </row>
    <row r="248" spans="1:20" x14ac:dyDescent="0.35">
      <c r="A248" s="80" t="s">
        <v>126</v>
      </c>
      <c r="B248" s="80"/>
      <c r="C248" s="80"/>
      <c r="D248" s="80"/>
      <c r="E248" s="80"/>
      <c r="F248" s="80"/>
      <c r="G248" s="80"/>
      <c r="H248" s="80"/>
    </row>
    <row r="249" spans="1:20" ht="34" customHeight="1" x14ac:dyDescent="0.35">
      <c r="A249" s="149" t="s">
        <v>127</v>
      </c>
      <c r="B249" s="149"/>
      <c r="C249" s="149"/>
      <c r="D249" s="149"/>
      <c r="E249" s="149"/>
      <c r="F249" s="149"/>
      <c r="G249" s="149"/>
      <c r="H249" s="149"/>
    </row>
    <row r="250" spans="1:20" x14ac:dyDescent="0.35">
      <c r="A250" s="171" t="s">
        <v>74</v>
      </c>
      <c r="B250" s="171"/>
      <c r="C250" s="171" t="s">
        <v>347</v>
      </c>
      <c r="D250" s="171"/>
      <c r="E250" s="171" t="s">
        <v>104</v>
      </c>
      <c r="F250" s="171"/>
      <c r="G250" s="171" t="s">
        <v>348</v>
      </c>
      <c r="H250" s="171"/>
    </row>
    <row r="251" spans="1:20" x14ac:dyDescent="0.35">
      <c r="A251" s="170" t="s">
        <v>76</v>
      </c>
      <c r="B251" s="170"/>
      <c r="C251" s="170"/>
      <c r="D251" s="170"/>
      <c r="E251" s="170"/>
      <c r="F251" s="170"/>
      <c r="G251" s="170"/>
      <c r="H251" s="170"/>
    </row>
    <row r="252" spans="1:20" x14ac:dyDescent="0.35">
      <c r="A252" s="170"/>
      <c r="B252" s="170"/>
      <c r="C252" s="170"/>
      <c r="D252" s="170"/>
      <c r="E252" s="170"/>
      <c r="F252" s="170"/>
      <c r="G252" s="170"/>
      <c r="H252" s="170"/>
    </row>
    <row r="253" spans="1:20" x14ac:dyDescent="0.35">
      <c r="A253" s="170"/>
      <c r="B253" s="170"/>
      <c r="C253" s="170"/>
      <c r="D253" s="170"/>
      <c r="E253" s="170"/>
      <c r="F253" s="170"/>
      <c r="G253" s="170"/>
      <c r="H253" s="170"/>
    </row>
    <row r="254" spans="1:20" x14ac:dyDescent="0.35">
      <c r="A254" s="170"/>
      <c r="B254" s="170"/>
      <c r="C254" s="170"/>
      <c r="D254" s="170"/>
      <c r="E254" s="170"/>
      <c r="F254" s="170"/>
      <c r="G254" s="170"/>
      <c r="H254" s="170"/>
    </row>
    <row r="255" spans="1:20" x14ac:dyDescent="0.35">
      <c r="A255" s="35" t="s">
        <v>63</v>
      </c>
      <c r="B255" s="36"/>
      <c r="C255" s="36"/>
      <c r="D255" s="35" t="str">
        <f>E9</f>
        <v>Bhagwati Belleza</v>
      </c>
      <c r="F255" s="36"/>
      <c r="G255" s="36"/>
      <c r="H255" s="36"/>
    </row>
    <row r="256" spans="1:20" x14ac:dyDescent="0.35">
      <c r="A256" s="36"/>
      <c r="B256" s="36"/>
      <c r="C256" s="36"/>
      <c r="D256" s="36"/>
      <c r="E256" s="36"/>
      <c r="F256" s="36"/>
      <c r="G256" s="36"/>
      <c r="H256" s="36"/>
    </row>
    <row r="257" spans="1:8" x14ac:dyDescent="0.35">
      <c r="A257" s="36"/>
      <c r="B257" s="36"/>
      <c r="C257" s="36"/>
      <c r="D257" s="36"/>
      <c r="E257" s="36"/>
      <c r="F257" s="36"/>
      <c r="G257" s="36"/>
      <c r="H257" s="36"/>
    </row>
    <row r="258" spans="1:8" ht="15" customHeight="1" x14ac:dyDescent="0.35"/>
    <row r="298" spans="1:1" x14ac:dyDescent="0.35">
      <c r="A298" s="38" t="s">
        <v>167</v>
      </c>
    </row>
    <row r="341" spans="1:1" x14ac:dyDescent="0.35">
      <c r="A341" s="38" t="s">
        <v>64</v>
      </c>
    </row>
  </sheetData>
  <mergeCells count="424">
    <mergeCell ref="L176:M176"/>
    <mergeCell ref="A177:B177"/>
    <mergeCell ref="A178:B178"/>
    <mergeCell ref="A179:B179"/>
    <mergeCell ref="A180:B180"/>
    <mergeCell ref="A181:B181"/>
    <mergeCell ref="L194:M194"/>
    <mergeCell ref="A195:B195"/>
    <mergeCell ref="A196:B196"/>
    <mergeCell ref="A182:B182"/>
    <mergeCell ref="A183:B183"/>
    <mergeCell ref="A184:B184"/>
    <mergeCell ref="A185:H185"/>
    <mergeCell ref="L185:M185"/>
    <mergeCell ref="A186:B186"/>
    <mergeCell ref="A187:B187"/>
    <mergeCell ref="A188:B188"/>
    <mergeCell ref="A189:B189"/>
    <mergeCell ref="A190:B190"/>
    <mergeCell ref="A191:B191"/>
    <mergeCell ref="A192:B192"/>
    <mergeCell ref="A193:B193"/>
    <mergeCell ref="A194:H194"/>
    <mergeCell ref="L158:M158"/>
    <mergeCell ref="A159:B159"/>
    <mergeCell ref="A160:B160"/>
    <mergeCell ref="A161:B161"/>
    <mergeCell ref="A162:B162"/>
    <mergeCell ref="A163:B163"/>
    <mergeCell ref="A164:B164"/>
    <mergeCell ref="A165:B165"/>
    <mergeCell ref="A166:B166"/>
    <mergeCell ref="L146:M146"/>
    <mergeCell ref="A147:B147"/>
    <mergeCell ref="L147:M147"/>
    <mergeCell ref="A148:B148"/>
    <mergeCell ref="L148:M148"/>
    <mergeCell ref="A152:H152"/>
    <mergeCell ref="L152:M152"/>
    <mergeCell ref="A153:B153"/>
    <mergeCell ref="A154:B154"/>
    <mergeCell ref="L141:M141"/>
    <mergeCell ref="A142:B142"/>
    <mergeCell ref="L142:M142"/>
    <mergeCell ref="A143:B143"/>
    <mergeCell ref="L143:M143"/>
    <mergeCell ref="A144:B144"/>
    <mergeCell ref="L144:M144"/>
    <mergeCell ref="A145:B145"/>
    <mergeCell ref="L145:M145"/>
    <mergeCell ref="L136:M136"/>
    <mergeCell ref="A137:B137"/>
    <mergeCell ref="L137:M137"/>
    <mergeCell ref="A138:B138"/>
    <mergeCell ref="L138:M138"/>
    <mergeCell ref="A139:B139"/>
    <mergeCell ref="L139:M139"/>
    <mergeCell ref="A133:B133"/>
    <mergeCell ref="A135:B135"/>
    <mergeCell ref="A134:B134"/>
    <mergeCell ref="A89:B89"/>
    <mergeCell ref="A90:B90"/>
    <mergeCell ref="E90:F90"/>
    <mergeCell ref="G90:H90"/>
    <mergeCell ref="E91:F100"/>
    <mergeCell ref="A98:B98"/>
    <mergeCell ref="A99:B99"/>
    <mergeCell ref="A100:B100"/>
    <mergeCell ref="C101:D101"/>
    <mergeCell ref="E101:F101"/>
    <mergeCell ref="G101:H101"/>
    <mergeCell ref="A95:B95"/>
    <mergeCell ref="A96:B96"/>
    <mergeCell ref="A97:B97"/>
    <mergeCell ref="G91:H100"/>
    <mergeCell ref="A92:B92"/>
    <mergeCell ref="A93:B93"/>
    <mergeCell ref="A94:B94"/>
    <mergeCell ref="I15:P15"/>
    <mergeCell ref="F113:H113"/>
    <mergeCell ref="F111:H111"/>
    <mergeCell ref="A112:E112"/>
    <mergeCell ref="A60:B60"/>
    <mergeCell ref="C60:E60"/>
    <mergeCell ref="D62:H62"/>
    <mergeCell ref="F112:H112"/>
    <mergeCell ref="A65:C65"/>
    <mergeCell ref="D65:H65"/>
    <mergeCell ref="A75:B75"/>
    <mergeCell ref="A62:C62"/>
    <mergeCell ref="A63:C63"/>
    <mergeCell ref="D63:H63"/>
    <mergeCell ref="G60:H60"/>
    <mergeCell ref="A54:B55"/>
    <mergeCell ref="C54:E54"/>
    <mergeCell ref="G54:H54"/>
    <mergeCell ref="D70:H70"/>
    <mergeCell ref="A71:C71"/>
    <mergeCell ref="E43:H43"/>
    <mergeCell ref="A43:D43"/>
    <mergeCell ref="A87:B87"/>
    <mergeCell ref="C87:H87"/>
    <mergeCell ref="F102:H102"/>
    <mergeCell ref="F108:H108"/>
    <mergeCell ref="E117:F117"/>
    <mergeCell ref="A117:B117"/>
    <mergeCell ref="A119:B119"/>
    <mergeCell ref="C122:D122"/>
    <mergeCell ref="F104:H104"/>
    <mergeCell ref="A104:E104"/>
    <mergeCell ref="A102:E102"/>
    <mergeCell ref="A113:E113"/>
    <mergeCell ref="F105:H105"/>
    <mergeCell ref="C119:D119"/>
    <mergeCell ref="E119:F119"/>
    <mergeCell ref="A107:E107"/>
    <mergeCell ref="F107:H107"/>
    <mergeCell ref="A109:E109"/>
    <mergeCell ref="F109:H109"/>
    <mergeCell ref="A111:E111"/>
    <mergeCell ref="A202:B202"/>
    <mergeCell ref="A216:B216"/>
    <mergeCell ref="A150:A151"/>
    <mergeCell ref="F150:F151"/>
    <mergeCell ref="A204:B204"/>
    <mergeCell ref="A169:B169"/>
    <mergeCell ref="A170:B170"/>
    <mergeCell ref="F103:H103"/>
    <mergeCell ref="G118:H118"/>
    <mergeCell ref="F110:H110"/>
    <mergeCell ref="C117:D117"/>
    <mergeCell ref="C124:D124"/>
    <mergeCell ref="G124:H124"/>
    <mergeCell ref="A136:B136"/>
    <mergeCell ref="A248:H248"/>
    <mergeCell ref="A245:H245"/>
    <mergeCell ref="A209:B209"/>
    <mergeCell ref="B237:H237"/>
    <mergeCell ref="A232:H232"/>
    <mergeCell ref="A224:B224"/>
    <mergeCell ref="A225:B225"/>
    <mergeCell ref="A220:H220"/>
    <mergeCell ref="A214:H214"/>
    <mergeCell ref="A229:B229"/>
    <mergeCell ref="A226:H226"/>
    <mergeCell ref="A227:B227"/>
    <mergeCell ref="B240:H240"/>
    <mergeCell ref="A223:B223"/>
    <mergeCell ref="B238:H238"/>
    <mergeCell ref="A222:B222"/>
    <mergeCell ref="B241:H241"/>
    <mergeCell ref="B239:H239"/>
    <mergeCell ref="B235:H235"/>
    <mergeCell ref="B233:H233"/>
    <mergeCell ref="B242:H242"/>
    <mergeCell ref="B234:H234"/>
    <mergeCell ref="A228:B228"/>
    <mergeCell ref="A231:B231"/>
    <mergeCell ref="A141:B141"/>
    <mergeCell ref="A146:B146"/>
    <mergeCell ref="A155:B155"/>
    <mergeCell ref="A156:B156"/>
    <mergeCell ref="A157:B157"/>
    <mergeCell ref="A158:H158"/>
    <mergeCell ref="A167:H167"/>
    <mergeCell ref="A168:B168"/>
    <mergeCell ref="B236:H236"/>
    <mergeCell ref="A173:B173"/>
    <mergeCell ref="D150:D151"/>
    <mergeCell ref="E150:E151"/>
    <mergeCell ref="A230:B230"/>
    <mergeCell ref="A203:H203"/>
    <mergeCell ref="A218:B218"/>
    <mergeCell ref="A215:B215"/>
    <mergeCell ref="A174:B174"/>
    <mergeCell ref="A175:B175"/>
    <mergeCell ref="A176:H176"/>
    <mergeCell ref="A197:B197"/>
    <mergeCell ref="A198:B198"/>
    <mergeCell ref="A199:B199"/>
    <mergeCell ref="A200:B200"/>
    <mergeCell ref="A201:B201"/>
    <mergeCell ref="A171:B171"/>
    <mergeCell ref="A172:B172"/>
    <mergeCell ref="A110:E110"/>
    <mergeCell ref="A149:H149"/>
    <mergeCell ref="E122:F122"/>
    <mergeCell ref="A126:H126"/>
    <mergeCell ref="D128:D129"/>
    <mergeCell ref="A106:E106"/>
    <mergeCell ref="A105:E105"/>
    <mergeCell ref="F106:H106"/>
    <mergeCell ref="G128:G129"/>
    <mergeCell ref="A108:E108"/>
    <mergeCell ref="A124:B124"/>
    <mergeCell ref="E124:F124"/>
    <mergeCell ref="A132:B132"/>
    <mergeCell ref="A125:B125"/>
    <mergeCell ref="C125:D125"/>
    <mergeCell ref="E125:F125"/>
    <mergeCell ref="A122:B122"/>
    <mergeCell ref="A130:H130"/>
    <mergeCell ref="A127:H127"/>
    <mergeCell ref="G117:H117"/>
    <mergeCell ref="C120:D120"/>
    <mergeCell ref="A140:H140"/>
    <mergeCell ref="A251:H254"/>
    <mergeCell ref="A250:B250"/>
    <mergeCell ref="E250:F250"/>
    <mergeCell ref="C250:D250"/>
    <mergeCell ref="G250:H250"/>
    <mergeCell ref="A116:H116"/>
    <mergeCell ref="A114:E114"/>
    <mergeCell ref="F114:H114"/>
    <mergeCell ref="A115:E115"/>
    <mergeCell ref="F115:H115"/>
    <mergeCell ref="A208:H208"/>
    <mergeCell ref="A123:B123"/>
    <mergeCell ref="A217:B217"/>
    <mergeCell ref="A118:B118"/>
    <mergeCell ref="A246:H246"/>
    <mergeCell ref="A121:H121"/>
    <mergeCell ref="A249:H249"/>
    <mergeCell ref="A247:H247"/>
    <mergeCell ref="A243:H243"/>
    <mergeCell ref="G122:H122"/>
    <mergeCell ref="A219:B219"/>
    <mergeCell ref="C128:C129"/>
    <mergeCell ref="B150:B151"/>
    <mergeCell ref="A244:H244"/>
    <mergeCell ref="A81:B81"/>
    <mergeCell ref="A68:C68"/>
    <mergeCell ref="D68:H68"/>
    <mergeCell ref="C75:H75"/>
    <mergeCell ref="A78:B78"/>
    <mergeCell ref="A80:B80"/>
    <mergeCell ref="E76:F76"/>
    <mergeCell ref="A69:C69"/>
    <mergeCell ref="D69:H69"/>
    <mergeCell ref="A72:C72"/>
    <mergeCell ref="D72:H72"/>
    <mergeCell ref="A70:C70"/>
    <mergeCell ref="D71:H71"/>
    <mergeCell ref="A77:B77"/>
    <mergeCell ref="G76:H76"/>
    <mergeCell ref="E77:F86"/>
    <mergeCell ref="G77:H86"/>
    <mergeCell ref="A85:B85"/>
    <mergeCell ref="A86:B86"/>
    <mergeCell ref="A83:B83"/>
    <mergeCell ref="A76:B76"/>
    <mergeCell ref="A79:B79"/>
    <mergeCell ref="A82:B82"/>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C50:E50"/>
    <mergeCell ref="G50:H50"/>
    <mergeCell ref="G52:H52"/>
    <mergeCell ref="A51:B51"/>
    <mergeCell ref="A61:H61"/>
    <mergeCell ref="E27:H27"/>
    <mergeCell ref="A29:D29"/>
    <mergeCell ref="E29:H29"/>
    <mergeCell ref="A26:D26"/>
    <mergeCell ref="E26:H26"/>
    <mergeCell ref="A56:B57"/>
    <mergeCell ref="C56:E56"/>
    <mergeCell ref="G56:H56"/>
    <mergeCell ref="A58:B59"/>
    <mergeCell ref="C58:E58"/>
    <mergeCell ref="G58:H58"/>
    <mergeCell ref="G51:H51"/>
    <mergeCell ref="A52:B53"/>
    <mergeCell ref="C59:E59"/>
    <mergeCell ref="G59:H59"/>
    <mergeCell ref="C52:E52"/>
    <mergeCell ref="C51:E51"/>
    <mergeCell ref="A50:B50"/>
    <mergeCell ref="C53:H53"/>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F37:H37"/>
    <mergeCell ref="A39:B39"/>
    <mergeCell ref="C39:H39"/>
    <mergeCell ref="A46:D46"/>
    <mergeCell ref="A47:D47"/>
    <mergeCell ref="A48:H48"/>
    <mergeCell ref="D64:H64"/>
    <mergeCell ref="C49:H49"/>
    <mergeCell ref="A40:B40"/>
    <mergeCell ref="C40:H40"/>
    <mergeCell ref="F128:F129"/>
    <mergeCell ref="C118:D118"/>
    <mergeCell ref="E118:F118"/>
    <mergeCell ref="B128:B129"/>
    <mergeCell ref="A128:A129"/>
    <mergeCell ref="C150:C151"/>
    <mergeCell ref="G150:G151"/>
    <mergeCell ref="G125:H125"/>
    <mergeCell ref="C55:H55"/>
    <mergeCell ref="A84:B84"/>
    <mergeCell ref="C123:D123"/>
    <mergeCell ref="E123:F123"/>
    <mergeCell ref="G123:H123"/>
    <mergeCell ref="A103:E103"/>
    <mergeCell ref="A101:B101"/>
    <mergeCell ref="A131:H131"/>
    <mergeCell ref="E128:E129"/>
    <mergeCell ref="A91:B91"/>
    <mergeCell ref="C89:H89"/>
    <mergeCell ref="G119:H119"/>
    <mergeCell ref="A120:B120"/>
    <mergeCell ref="A64:C64"/>
    <mergeCell ref="I104:L104"/>
    <mergeCell ref="A45:D45"/>
    <mergeCell ref="L208:M208"/>
    <mergeCell ref="A213:B213"/>
    <mergeCell ref="A210:B210"/>
    <mergeCell ref="A211:B211"/>
    <mergeCell ref="A221:B221"/>
    <mergeCell ref="L207:M207"/>
    <mergeCell ref="L204:M204"/>
    <mergeCell ref="A205:B205"/>
    <mergeCell ref="L205:M205"/>
    <mergeCell ref="A206:B206"/>
    <mergeCell ref="L206:M206"/>
    <mergeCell ref="A207:B207"/>
    <mergeCell ref="L135:M135"/>
    <mergeCell ref="L134:M134"/>
    <mergeCell ref="L133:M133"/>
    <mergeCell ref="L132:M132"/>
    <mergeCell ref="E120:F120"/>
    <mergeCell ref="G120:H120"/>
    <mergeCell ref="A73:B73"/>
    <mergeCell ref="C73:H73"/>
    <mergeCell ref="A212:B212"/>
    <mergeCell ref="A49:B49"/>
  </mergeCells>
  <dataValidations count="16">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8:E129">
      <formula1>"Attached Loft area,Attached Otla area,Attached Mezzanine area"</formula1>
    </dataValidation>
    <dataValidation type="list" allowBlank="1" showInputMessage="1" showErrorMessage="1" sqref="G250:H250">
      <formula1>"Kunal Kadam,Pranita Mhatre,Shruti Fule,Pooja Kawale,Mansee Mohite,Anjali Kamble, Hitakshi Mhatre, Sachin Sawant"</formula1>
    </dataValidation>
    <dataValidation type="list" allowBlank="1" showInputMessage="1" showErrorMessage="1" sqref="F102:H102">
      <formula1>"On Saleable Area,On Builtup Area,On Carpet Area,On Plot Area"</formula1>
    </dataValidation>
    <dataValidation type="list" allowBlank="1" showInputMessage="1" showErrorMessage="1" sqref="F114:H114">
      <formula1>OFFSET($S$102,1,MATCH($G20,$S$102:$W$102,0)-1,15,1)</formula1>
    </dataValidation>
    <dataValidation type="list" allowBlank="1" showInputMessage="1" showErrorMessage="1" sqref="B128:B129">
      <formula1>"Shop No. (Sale Plan),Sale / Rehab,Sale / Mhada"</formula1>
    </dataValidation>
    <dataValidation type="list" allowBlank="1" showInputMessage="1" showErrorMessage="1" sqref="B150:B151">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0:E151">
      <formula1>"Fungible area,Balcony Area,Chajja Area,Cornice Area,AP Area,WS Area"</formula1>
    </dataValidation>
    <dataValidation type="list" allowBlank="1" showInputMessage="1" showErrorMessage="1" sqref="H129 H151">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C96">
      <formula1>0</formula1>
      <formula2>H74</formula2>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72" max="16383" man="1"/>
    <brk id="254" max="16383" man="1"/>
    <brk id="297" max="16383" man="1"/>
    <brk id="340"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25" zoomScale="85" zoomScaleNormal="85" workbookViewId="0">
      <selection activeCell="G36" sqref="G36"/>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22" t="s">
        <v>105</v>
      </c>
      <c r="C3" s="222"/>
      <c r="D3" s="222"/>
      <c r="E3" s="222"/>
      <c r="F3" s="222"/>
      <c r="G3" s="222"/>
      <c r="H3" s="222"/>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7"/>
      <c r="C4" s="47" t="s">
        <v>11</v>
      </c>
      <c r="D4" s="48" t="s">
        <v>182</v>
      </c>
      <c r="E4" s="48" t="s">
        <v>192</v>
      </c>
      <c r="F4" s="48" t="s">
        <v>176</v>
      </c>
      <c r="G4" s="48" t="s">
        <v>197</v>
      </c>
      <c r="H4" s="48" t="s">
        <v>215</v>
      </c>
      <c r="J4" t="s">
        <v>197</v>
      </c>
      <c r="K4" t="s">
        <v>213</v>
      </c>
    </row>
    <row r="5" spans="2:11" x14ac:dyDescent="0.35">
      <c r="B5" s="47"/>
      <c r="C5" s="47"/>
      <c r="D5" s="48" t="s">
        <v>183</v>
      </c>
      <c r="E5" s="48" t="s">
        <v>190</v>
      </c>
      <c r="F5" s="48" t="s">
        <v>212</v>
      </c>
      <c r="G5" s="48" t="s">
        <v>198</v>
      </c>
      <c r="H5" s="48" t="s">
        <v>216</v>
      </c>
    </row>
    <row r="6" spans="2:11" x14ac:dyDescent="0.35">
      <c r="B6" s="47"/>
      <c r="C6" s="47"/>
      <c r="D6" s="48" t="s">
        <v>184</v>
      </c>
      <c r="E6" s="48" t="s">
        <v>191</v>
      </c>
      <c r="F6" s="48" t="s">
        <v>213</v>
      </c>
      <c r="G6" s="48" t="s">
        <v>199</v>
      </c>
      <c r="H6" s="48" t="s">
        <v>229</v>
      </c>
    </row>
    <row r="7" spans="2:11" x14ac:dyDescent="0.35">
      <c r="B7" s="47"/>
      <c r="C7" s="47"/>
      <c r="D7" s="48" t="s">
        <v>185</v>
      </c>
      <c r="E7" s="48" t="s">
        <v>193</v>
      </c>
      <c r="F7" s="48" t="s">
        <v>214</v>
      </c>
      <c r="G7" s="48" t="s">
        <v>200</v>
      </c>
      <c r="H7" s="48" t="s">
        <v>217</v>
      </c>
    </row>
    <row r="8" spans="2:11" x14ac:dyDescent="0.35">
      <c r="B8" s="47"/>
      <c r="C8" s="47"/>
      <c r="D8" s="48" t="s">
        <v>186</v>
      </c>
      <c r="E8" s="48" t="s">
        <v>194</v>
      </c>
      <c r="F8" s="48"/>
      <c r="G8" s="48" t="s">
        <v>201</v>
      </c>
      <c r="H8" s="48" t="s">
        <v>218</v>
      </c>
    </row>
    <row r="9" spans="2:11" x14ac:dyDescent="0.35">
      <c r="B9" s="47"/>
      <c r="C9" s="47"/>
      <c r="D9" s="48" t="s">
        <v>187</v>
      </c>
      <c r="E9" s="48" t="s">
        <v>192</v>
      </c>
      <c r="F9" s="48"/>
      <c r="G9" s="48" t="s">
        <v>202</v>
      </c>
      <c r="H9" s="48" t="s">
        <v>219</v>
      </c>
    </row>
    <row r="10" spans="2:11" x14ac:dyDescent="0.35">
      <c r="B10" s="47"/>
      <c r="C10" s="47"/>
      <c r="D10" s="48" t="s">
        <v>188</v>
      </c>
      <c r="E10" s="48" t="s">
        <v>195</v>
      </c>
      <c r="F10" s="48"/>
      <c r="G10" s="48" t="s">
        <v>203</v>
      </c>
      <c r="H10" s="48" t="s">
        <v>220</v>
      </c>
    </row>
    <row r="11" spans="2:11" x14ac:dyDescent="0.35">
      <c r="B11" s="47"/>
      <c r="C11" s="47"/>
      <c r="D11" s="48" t="s">
        <v>189</v>
      </c>
      <c r="E11" s="48" t="s">
        <v>196</v>
      </c>
      <c r="F11" s="48"/>
      <c r="G11" s="48" t="s">
        <v>204</v>
      </c>
      <c r="H11" s="48" t="s">
        <v>221</v>
      </c>
    </row>
    <row r="12" spans="2:11" x14ac:dyDescent="0.35">
      <c r="B12" s="47"/>
      <c r="C12" s="47"/>
      <c r="D12" s="48"/>
      <c r="E12" s="48"/>
      <c r="F12" s="48"/>
      <c r="G12" s="48" t="s">
        <v>205</v>
      </c>
      <c r="H12" s="48" t="s">
        <v>222</v>
      </c>
    </row>
    <row r="13" spans="2:11" x14ac:dyDescent="0.35">
      <c r="B13" s="47"/>
      <c r="C13" s="47"/>
      <c r="D13" s="48"/>
      <c r="E13" s="48"/>
      <c r="F13" s="48"/>
      <c r="G13" s="48" t="s">
        <v>206</v>
      </c>
      <c r="H13" s="48" t="s">
        <v>223</v>
      </c>
    </row>
    <row r="14" spans="2:11" x14ac:dyDescent="0.35">
      <c r="B14" s="47"/>
      <c r="C14" s="47"/>
      <c r="D14" s="48"/>
      <c r="E14" s="48"/>
      <c r="F14" s="48"/>
      <c r="G14" s="48" t="s">
        <v>207</v>
      </c>
      <c r="H14" s="48" t="s">
        <v>224</v>
      </c>
    </row>
    <row r="15" spans="2:11" x14ac:dyDescent="0.35">
      <c r="B15" s="47"/>
      <c r="C15" s="47"/>
      <c r="D15" s="48"/>
      <c r="E15" s="48"/>
      <c r="F15" s="48"/>
      <c r="G15" s="48" t="s">
        <v>208</v>
      </c>
      <c r="H15" s="48" t="s">
        <v>225</v>
      </c>
    </row>
    <row r="16" spans="2:11" x14ac:dyDescent="0.35">
      <c r="B16" s="47"/>
      <c r="C16" s="47"/>
      <c r="D16" s="48"/>
      <c r="E16" s="48"/>
      <c r="F16" s="48"/>
      <c r="G16" s="48" t="s">
        <v>209</v>
      </c>
      <c r="H16" s="48" t="s">
        <v>226</v>
      </c>
    </row>
    <row r="17" spans="2:8" x14ac:dyDescent="0.35">
      <c r="B17" s="47"/>
      <c r="C17" s="47"/>
      <c r="D17" s="48"/>
      <c r="E17" s="48"/>
      <c r="F17" s="48"/>
      <c r="G17" s="48" t="s">
        <v>210</v>
      </c>
      <c r="H17" s="48" t="s">
        <v>227</v>
      </c>
    </row>
    <row r="18" spans="2:8" x14ac:dyDescent="0.35">
      <c r="B18" s="47"/>
      <c r="C18" s="47"/>
      <c r="D18" s="48"/>
      <c r="E18" s="48"/>
      <c r="F18" s="48"/>
      <c r="G18" s="48" t="s">
        <v>211</v>
      </c>
      <c r="H18" s="48" t="s">
        <v>228</v>
      </c>
    </row>
    <row r="24" spans="2:8" x14ac:dyDescent="0.35">
      <c r="C24" t="s">
        <v>173</v>
      </c>
    </row>
    <row r="25" spans="2:8" x14ac:dyDescent="0.35">
      <c r="C25" t="s">
        <v>230</v>
      </c>
    </row>
    <row r="26" spans="2:8" x14ac:dyDescent="0.35">
      <c r="C26" t="s">
        <v>231</v>
      </c>
    </row>
    <row r="27" spans="2:8" x14ac:dyDescent="0.35">
      <c r="C27" t="s">
        <v>232</v>
      </c>
    </row>
    <row r="28" spans="2:8" x14ac:dyDescent="0.35">
      <c r="C28" t="s">
        <v>233</v>
      </c>
    </row>
    <row r="29" spans="2:8" x14ac:dyDescent="0.35">
      <c r="C29" t="s">
        <v>234</v>
      </c>
    </row>
    <row r="30" spans="2:8" x14ac:dyDescent="0.35">
      <c r="C30" t="s">
        <v>173</v>
      </c>
    </row>
    <row r="33" spans="3:11" x14ac:dyDescent="0.35">
      <c r="J33">
        <v>1</v>
      </c>
      <c r="K33">
        <v>2</v>
      </c>
    </row>
    <row r="34" spans="3:11" x14ac:dyDescent="0.35">
      <c r="C34" s="51" t="s">
        <v>239</v>
      </c>
      <c r="D34" s="48" t="s">
        <v>237</v>
      </c>
      <c r="E34" s="48" t="s">
        <v>242</v>
      </c>
      <c r="F34" s="48" t="s">
        <v>240</v>
      </c>
      <c r="G34" s="48" t="s">
        <v>241</v>
      </c>
      <c r="H34" s="48" t="s">
        <v>243</v>
      </c>
      <c r="J34" t="s">
        <v>197</v>
      </c>
      <c r="K34" t="s">
        <v>213</v>
      </c>
    </row>
    <row r="35" spans="3:11" x14ac:dyDescent="0.35">
      <c r="C35" s="47" t="s">
        <v>238</v>
      </c>
      <c r="D35" s="48" t="s">
        <v>174</v>
      </c>
      <c r="E35" s="48" t="s">
        <v>247</v>
      </c>
      <c r="F35" s="48" t="s">
        <v>249</v>
      </c>
      <c r="G35" s="48" t="s">
        <v>251</v>
      </c>
      <c r="H35" s="48"/>
    </row>
    <row r="36" spans="3:11" x14ac:dyDescent="0.35">
      <c r="C36" s="47"/>
      <c r="D36" s="48" t="s">
        <v>244</v>
      </c>
      <c r="E36" s="48" t="s">
        <v>248</v>
      </c>
      <c r="F36" s="48" t="s">
        <v>250</v>
      </c>
      <c r="G36" s="48" t="s">
        <v>252</v>
      </c>
      <c r="H36" s="48"/>
    </row>
    <row r="37" spans="3:11" x14ac:dyDescent="0.35">
      <c r="C37" s="47"/>
      <c r="D37" s="48" t="s">
        <v>245</v>
      </c>
      <c r="E37" s="48"/>
      <c r="F37" s="48"/>
      <c r="G37" s="48" t="s">
        <v>253</v>
      </c>
      <c r="H37" s="48"/>
    </row>
    <row r="38" spans="3:11" x14ac:dyDescent="0.35">
      <c r="C38" s="47"/>
      <c r="D38" s="48" t="s">
        <v>246</v>
      </c>
      <c r="E38" s="48"/>
      <c r="F38" s="48"/>
      <c r="G38" s="48" t="s">
        <v>253</v>
      </c>
      <c r="H38" s="48"/>
    </row>
    <row r="39" spans="3:11" x14ac:dyDescent="0.35">
      <c r="C39" s="47"/>
      <c r="D39" s="48"/>
      <c r="E39" s="48"/>
      <c r="F39" s="48"/>
      <c r="G39" s="48" t="s">
        <v>254</v>
      </c>
      <c r="H39" s="48"/>
    </row>
    <row r="40" spans="3:11" x14ac:dyDescent="0.35">
      <c r="C40" s="47"/>
      <c r="D40" s="48"/>
      <c r="E40" s="48"/>
      <c r="F40" s="48"/>
      <c r="G40" s="48" t="s">
        <v>255</v>
      </c>
      <c r="H40" s="48"/>
    </row>
    <row r="41" spans="3:11" x14ac:dyDescent="0.35">
      <c r="C41" s="47"/>
      <c r="D41" s="48"/>
      <c r="E41" s="48"/>
      <c r="F41" s="48"/>
      <c r="G41" s="48"/>
      <c r="H41" s="48"/>
    </row>
    <row r="43" spans="3:11" x14ac:dyDescent="0.35">
      <c r="C43" t="s">
        <v>256</v>
      </c>
    </row>
    <row r="44" spans="3:11" x14ac:dyDescent="0.35">
      <c r="C44" t="s">
        <v>176</v>
      </c>
      <c r="D44" t="s">
        <v>257</v>
      </c>
    </row>
    <row r="45" spans="3:11" x14ac:dyDescent="0.35">
      <c r="D45" t="s">
        <v>258</v>
      </c>
    </row>
    <row r="46" spans="3:11" x14ac:dyDescent="0.35">
      <c r="D46" t="s">
        <v>259</v>
      </c>
    </row>
    <row r="47" spans="3:11" x14ac:dyDescent="0.35">
      <c r="D47" t="s">
        <v>260</v>
      </c>
    </row>
    <row r="48" spans="3:11" x14ac:dyDescent="0.35">
      <c r="D48" t="s">
        <v>261</v>
      </c>
    </row>
    <row r="49" spans="3:4" x14ac:dyDescent="0.35">
      <c r="C49" t="s">
        <v>182</v>
      </c>
      <c r="D49" t="s">
        <v>262</v>
      </c>
    </row>
    <row r="50" spans="3:4" x14ac:dyDescent="0.35">
      <c r="D50" t="s">
        <v>263</v>
      </c>
    </row>
    <row r="51" spans="3:4" x14ac:dyDescent="0.35">
      <c r="D51" t="s">
        <v>264</v>
      </c>
    </row>
    <row r="52" spans="3:4" x14ac:dyDescent="0.35">
      <c r="D52" t="s">
        <v>267</v>
      </c>
    </row>
    <row r="53" spans="3:4" x14ac:dyDescent="0.35">
      <c r="D53" t="s">
        <v>265</v>
      </c>
    </row>
    <row r="54" spans="3:4" x14ac:dyDescent="0.35">
      <c r="D54" t="s">
        <v>266</v>
      </c>
    </row>
    <row r="55" spans="3:4" x14ac:dyDescent="0.35">
      <c r="D55" t="s">
        <v>268</v>
      </c>
    </row>
    <row r="56" spans="3:4" x14ac:dyDescent="0.35">
      <c r="D56" t="s">
        <v>269</v>
      </c>
    </row>
    <row r="57" spans="3:4" x14ac:dyDescent="0.35">
      <c r="D57" t="s">
        <v>270</v>
      </c>
    </row>
    <row r="58" spans="3:4" x14ac:dyDescent="0.35">
      <c r="D58" t="s">
        <v>272</v>
      </c>
    </row>
    <row r="59" spans="3:4" x14ac:dyDescent="0.35">
      <c r="D59" t="s">
        <v>281</v>
      </c>
    </row>
    <row r="60" spans="3:4" x14ac:dyDescent="0.35">
      <c r="C60" t="s">
        <v>197</v>
      </c>
      <c r="D60" t="s">
        <v>273</v>
      </c>
    </row>
    <row r="61" spans="3:4" x14ac:dyDescent="0.35">
      <c r="D61" t="s">
        <v>271</v>
      </c>
    </row>
    <row r="62" spans="3:4" x14ac:dyDescent="0.35">
      <c r="D62" t="s">
        <v>261</v>
      </c>
    </row>
    <row r="63" spans="3:4" x14ac:dyDescent="0.35">
      <c r="D63" t="s">
        <v>274</v>
      </c>
    </row>
    <row r="64" spans="3:4" x14ac:dyDescent="0.35">
      <c r="D64" t="s">
        <v>275</v>
      </c>
    </row>
    <row r="65" spans="3:4" x14ac:dyDescent="0.35">
      <c r="D65" t="s">
        <v>276</v>
      </c>
    </row>
    <row r="66" spans="3:4" x14ac:dyDescent="0.35">
      <c r="D66" t="s">
        <v>277</v>
      </c>
    </row>
    <row r="67" spans="3:4" x14ac:dyDescent="0.35">
      <c r="C67" t="s">
        <v>192</v>
      </c>
      <c r="D67" t="s">
        <v>278</v>
      </c>
    </row>
    <row r="68" spans="3:4" x14ac:dyDescent="0.35">
      <c r="D68" t="s">
        <v>279</v>
      </c>
    </row>
    <row r="69" spans="3:4" x14ac:dyDescent="0.35">
      <c r="D69" t="s">
        <v>280</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workbookViewId="0">
      <selection activeCell="C22" sqref="C22"/>
    </sheetView>
  </sheetViews>
  <sheetFormatPr defaultRowHeight="14.5" x14ac:dyDescent="0.35"/>
  <cols>
    <col min="2" max="2" width="3" bestFit="1" customWidth="1"/>
    <col min="3" max="3" width="130" customWidth="1"/>
  </cols>
  <sheetData>
    <row r="2" spans="2:3" ht="15" customHeight="1" x14ac:dyDescent="0.35">
      <c r="B2" s="52">
        <v>1</v>
      </c>
      <c r="C2" s="55" t="s">
        <v>287</v>
      </c>
    </row>
    <row r="3" spans="2:3" x14ac:dyDescent="0.35">
      <c r="B3" s="52">
        <v>2</v>
      </c>
      <c r="C3" s="53" t="s">
        <v>288</v>
      </c>
    </row>
    <row r="4" spans="2:3" x14ac:dyDescent="0.35">
      <c r="B4" s="52">
        <v>3</v>
      </c>
      <c r="C4" s="54" t="s">
        <v>289</v>
      </c>
    </row>
    <row r="5" spans="2:3" x14ac:dyDescent="0.35">
      <c r="B5" s="52">
        <v>4</v>
      </c>
      <c r="C5" s="53" t="s">
        <v>290</v>
      </c>
    </row>
    <row r="6" spans="2:3" x14ac:dyDescent="0.35">
      <c r="B6" s="52">
        <v>5</v>
      </c>
      <c r="C6" s="54" t="s">
        <v>291</v>
      </c>
    </row>
    <row r="7" spans="2:3" ht="29" x14ac:dyDescent="0.35">
      <c r="B7" s="52">
        <v>6</v>
      </c>
      <c r="C7" s="53" t="s">
        <v>292</v>
      </c>
    </row>
    <row r="8" spans="2:3" ht="72.5" x14ac:dyDescent="0.35">
      <c r="B8" s="52">
        <v>7</v>
      </c>
      <c r="C8" s="53" t="s">
        <v>293</v>
      </c>
    </row>
    <row r="9" spans="2:3" x14ac:dyDescent="0.35">
      <c r="B9" s="52">
        <v>8</v>
      </c>
      <c r="C9" s="54" t="s">
        <v>294</v>
      </c>
    </row>
    <row r="10" spans="2:3" x14ac:dyDescent="0.35">
      <c r="B10" s="52">
        <v>9</v>
      </c>
      <c r="C10" s="54" t="s">
        <v>295</v>
      </c>
    </row>
    <row r="11" spans="2:3" x14ac:dyDescent="0.35">
      <c r="B11" s="52">
        <v>10</v>
      </c>
      <c r="C11" s="54" t="s">
        <v>296</v>
      </c>
    </row>
    <row r="12" spans="2:3" x14ac:dyDescent="0.35">
      <c r="B12" s="52">
        <v>11</v>
      </c>
      <c r="C12" s="54" t="s">
        <v>297</v>
      </c>
    </row>
    <row r="13" spans="2:3" x14ac:dyDescent="0.35">
      <c r="B13" s="52">
        <v>12</v>
      </c>
      <c r="C13" s="54" t="s">
        <v>298</v>
      </c>
    </row>
    <row r="14" spans="2:3" x14ac:dyDescent="0.35">
      <c r="B14" s="52">
        <v>13</v>
      </c>
      <c r="C14" s="54" t="s">
        <v>299</v>
      </c>
    </row>
    <row r="15" spans="2:3" x14ac:dyDescent="0.35">
      <c r="B15" s="52">
        <v>14</v>
      </c>
      <c r="C15" s="54"/>
    </row>
    <row r="16" spans="2:3" x14ac:dyDescent="0.35">
      <c r="B16" s="52">
        <v>15</v>
      </c>
      <c r="C16" s="54"/>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2025-07-11T05:29:39Z</cp:lastPrinted>
  <dcterms:created xsi:type="dcterms:W3CDTF">2019-07-16T09:29:46Z</dcterms:created>
  <dcterms:modified xsi:type="dcterms:W3CDTF">2025-07-11T05:30:07Z</dcterms:modified>
</cp:coreProperties>
</file>