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0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G99" i="1"/>
  <c r="D143" i="1"/>
  <c r="D217" i="1" l="1"/>
  <c r="D222" i="1"/>
  <c r="D221" i="1"/>
  <c r="D220" i="1"/>
  <c r="D219" i="1"/>
  <c r="D203" i="1"/>
  <c r="D208" i="1"/>
  <c r="D207" i="1"/>
  <c r="D206" i="1"/>
  <c r="D205" i="1"/>
  <c r="D194" i="1"/>
  <c r="D193" i="1"/>
  <c r="D192" i="1"/>
  <c r="D191" i="1"/>
  <c r="D190" i="1"/>
  <c r="D189" i="1"/>
  <c r="D170" i="1"/>
  <c r="D169" i="1"/>
  <c r="D168" i="1"/>
  <c r="D167" i="1"/>
  <c r="D181" i="1"/>
  <c r="D180" i="1"/>
  <c r="D179" i="1"/>
  <c r="D178" i="1"/>
  <c r="D177" i="1"/>
  <c r="D176" i="1"/>
  <c r="D175" i="1"/>
  <c r="D165" i="1"/>
  <c r="D164" i="1"/>
  <c r="D163" i="1"/>
  <c r="D162" i="1"/>
  <c r="D161" i="1"/>
  <c r="D160" i="1"/>
  <c r="D159" i="1"/>
  <c r="D214" i="1"/>
  <c r="D213" i="1"/>
  <c r="D212" i="1"/>
  <c r="D210" i="1"/>
  <c r="D173" i="1"/>
  <c r="D172" i="1"/>
  <c r="G217" i="1"/>
  <c r="G210" i="1"/>
  <c r="G203" i="1"/>
  <c r="G175" i="1"/>
  <c r="G167" i="1"/>
  <c r="G159" i="1"/>
  <c r="D200" i="1"/>
  <c r="D199" i="1"/>
  <c r="D198" i="1"/>
  <c r="D196" i="1"/>
  <c r="D157" i="1"/>
  <c r="D156" i="1"/>
  <c r="D154" i="1"/>
  <c r="D153" i="1"/>
  <c r="D152" i="1"/>
  <c r="D151" i="1"/>
  <c r="D149" i="1"/>
  <c r="D148" i="1"/>
  <c r="D147" i="1"/>
  <c r="D146" i="1"/>
  <c r="D145" i="1"/>
  <c r="D144" i="1"/>
  <c r="G151" i="1"/>
  <c r="G196" i="1"/>
  <c r="E187" i="1"/>
  <c r="D187" i="1"/>
  <c r="E186" i="1"/>
  <c r="D186" i="1"/>
  <c r="E185" i="1"/>
  <c r="D185" i="1"/>
  <c r="C100" i="1" l="1"/>
  <c r="E100" i="1"/>
  <c r="E141" i="1"/>
  <c r="D141" i="1"/>
  <c r="E140" i="1"/>
  <c r="D140" i="1"/>
  <c r="E139" i="1"/>
  <c r="D139" i="1"/>
  <c r="E138" i="1"/>
  <c r="D138" i="1"/>
  <c r="E137" i="1"/>
  <c r="D137" i="1"/>
  <c r="C99" i="1" l="1"/>
  <c r="E99" i="1"/>
  <c r="G96" i="1"/>
  <c r="C66" i="1"/>
  <c r="J77" i="1"/>
  <c r="J76" i="1"/>
  <c r="J75" i="1"/>
  <c r="J74" i="1"/>
  <c r="H67" i="1"/>
  <c r="D79" i="1" l="1"/>
  <c r="D77" i="1"/>
  <c r="D75" i="1"/>
  <c r="D73" i="1"/>
  <c r="C70" i="1"/>
  <c r="D70" i="1" s="1"/>
  <c r="J66" i="1"/>
  <c r="J68" i="1" s="1"/>
  <c r="J71" i="1"/>
  <c r="J69" i="1"/>
  <c r="J72" i="1"/>
  <c r="J73" i="1" s="1"/>
  <c r="J78" i="1" s="1"/>
  <c r="D78" i="1"/>
  <c r="D76" i="1"/>
  <c r="D74" i="1"/>
  <c r="D72" i="1"/>
  <c r="J70" i="1"/>
  <c r="J79" i="1" l="1"/>
  <c r="C71" i="1" s="1"/>
  <c r="E70" i="1" s="1"/>
  <c r="J67" i="1" l="1"/>
  <c r="G70" i="1"/>
  <c r="D64" i="1" s="1"/>
  <c r="D71" i="1"/>
  <c r="I67" i="1" s="1"/>
  <c r="I68" i="1" s="1"/>
  <c r="I66" i="1" l="1"/>
  <c r="C68" i="1" s="1"/>
  <c r="D131" i="1" l="1"/>
  <c r="D130" i="1"/>
  <c r="D129" i="1"/>
  <c r="D128" i="1"/>
  <c r="D127" i="1"/>
  <c r="D126" i="1"/>
  <c r="D125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24" i="1" l="1"/>
  <c r="C96" i="1" l="1"/>
  <c r="E96" i="1"/>
  <c r="G189" i="1" l="1"/>
  <c r="G185" i="1"/>
  <c r="A186" i="1"/>
  <c r="A187" i="1" s="1"/>
  <c r="E101" i="1" l="1"/>
  <c r="E102" i="1" s="1"/>
  <c r="C101" i="1"/>
  <c r="C102" i="1" s="1"/>
  <c r="B226" i="1" l="1"/>
  <c r="C14" i="1" l="1"/>
  <c r="E29" i="1" l="1"/>
  <c r="F93" i="1" l="1"/>
  <c r="B225" i="1" l="1"/>
  <c r="G101" i="1" l="1"/>
  <c r="G102" i="1" s="1"/>
  <c r="F11" i="5"/>
  <c r="G11" i="5" s="1"/>
  <c r="F10" i="5"/>
  <c r="G10" i="5" s="1"/>
  <c r="F9" i="5"/>
  <c r="G9" i="5" s="1"/>
  <c r="G8" i="5"/>
  <c r="F8" i="5"/>
  <c r="F7" i="5"/>
  <c r="G7" i="5" s="1"/>
  <c r="G6" i="5"/>
  <c r="F6" i="5"/>
  <c r="F5" i="5"/>
  <c r="G5" i="5" s="1"/>
  <c r="G12" i="5" s="1"/>
  <c r="D247" i="1"/>
  <c r="G143" i="1"/>
  <c r="G137" i="1"/>
  <c r="A138" i="1"/>
  <c r="A139" i="1" s="1"/>
  <c r="A140" i="1" s="1"/>
  <c r="A141" i="1" s="1"/>
  <c r="A110" i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G109" i="1"/>
  <c r="D55" i="1"/>
  <c r="G49" i="1"/>
  <c r="C49" i="1"/>
  <c r="E42" i="1"/>
  <c r="E43" i="1" s="1"/>
  <c r="E26" i="1"/>
  <c r="E24" i="1"/>
  <c r="E7" i="1"/>
  <c r="E3" i="1"/>
  <c r="D60" i="1" l="1"/>
  <c r="D65" i="1" l="1"/>
  <c r="F65" i="1"/>
</calcChain>
</file>

<file path=xl/sharedStrings.xml><?xml version="1.0" encoding="utf-8"?>
<sst xmlns="http://schemas.openxmlformats.org/spreadsheetml/2006/main" count="399" uniqueCount="244">
  <si>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</si>
  <si>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</si>
  <si>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</si>
  <si>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</si>
  <si>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</si>
  <si>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</si>
  <si>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</si>
  <si>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</si>
  <si>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</si>
  <si>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</si>
  <si>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</si>
  <si>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</si>
  <si>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</si>
  <si>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</si>
  <si>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</si>
  <si>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</si>
  <si>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</si>
  <si>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</si>
  <si>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</si>
  <si>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</si>
  <si>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</si>
  <si>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</si>
  <si>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</si>
  <si>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</si>
  <si>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</si>
  <si>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</si>
  <si>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</si>
  <si>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</si>
  <si>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</si>
  <si>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</si>
  <si>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</si>
  <si>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</si>
  <si>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</si>
  <si>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</si>
  <si>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</si>
  <si>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</si>
  <si>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</si>
  <si>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</si>
  <si>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</si>
  <si>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</si>
  <si>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</si>
  <si>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</si>
  <si>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</si>
  <si>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</si>
  <si>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</si>
  <si>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</si>
  <si>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</si>
  <si>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</si>
  <si>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</si>
  <si>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</si>
  <si>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</si>
  <si>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</si>
  <si>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</si>
  <si>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</si>
  <si>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</si>
  <si>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</si>
  <si>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</si>
  <si>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</si>
  <si>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</si>
  <si>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</si>
  <si>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</si>
  <si>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</si>
  <si>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</si>
  <si>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</si>
  <si>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</si>
  <si>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</si>
  <si>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</si>
  <si>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</si>
  <si>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</si>
  <si>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</si>
  <si>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</si>
  <si>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</si>
  <si>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</si>
  <si>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</si>
  <si>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</si>
  <si>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</si>
  <si>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</si>
  <si>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</si>
  <si>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</si>
  <si>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</si>
  <si>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</si>
  <si>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</si>
  <si>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</si>
  <si>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</si>
  <si>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</si>
  <si>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</si>
  <si>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</si>
  <si>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</si>
  <si>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</si>
  <si>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</si>
  <si>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</si>
  <si>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</si>
  <si>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</si>
  <si>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</si>
  <si>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</si>
  <si>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</si>
  <si>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</si>
  <si>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</si>
  <si>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</si>
  <si>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</si>
  <si>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</si>
  <si>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</si>
  <si>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</si>
  <si>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</si>
  <si>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</si>
  <si>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</si>
  <si>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</si>
  <si>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</si>
  <si>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</si>
  <si>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</si>
  <si>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</si>
  <si>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</si>
  <si>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</si>
  <si>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</si>
  <si>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</si>
  <si>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</si>
  <si>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</si>
  <si>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</si>
  <si>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</si>
  <si>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</si>
  <si>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</si>
  <si>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</si>
  <si>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</si>
  <si>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</si>
  <si>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</si>
  <si>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</si>
  <si>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</si>
  <si>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</si>
  <si>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</si>
  <si>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</si>
  <si>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</si>
  <si>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</si>
  <si>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</si>
  <si>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</si>
  <si>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</si>
  <si>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</si>
  <si>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</si>
  <si>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</si>
  <si>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</si>
  <si>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</si>
  <si>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</si>
  <si>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</si>
  <si>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</si>
  <si>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</si>
  <si>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</si>
  <si>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</si>
  <si>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</si>
  <si>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</si>
  <si>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</si>
  <si>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</si>
  <si>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</si>
  <si>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</si>
  <si>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</si>
  <si>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</si>
  <si>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</si>
  <si>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</si>
  <si>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</si>
  <si>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</si>
  <si>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</si>
  <si>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</si>
  <si>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</si>
  <si>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</si>
  <si>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</si>
  <si>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</si>
  <si>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</si>
  <si>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</si>
  <si>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</si>
  <si>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</si>
  <si>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</si>
  <si>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Sanpada</t>
  </si>
  <si>
    <t>Delta Greens</t>
  </si>
  <si>
    <t>P52000034901</t>
  </si>
  <si>
    <t>Open Plot</t>
  </si>
  <si>
    <t>Internal Road</t>
  </si>
  <si>
    <r>
      <rPr>
        <sz val="12"/>
        <rFont val="Times New Roman"/>
        <family val="1"/>
      </rPr>
      <t>Approved Plans, CC,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Sale Plans, Builder Saleable Area, Cost Sheet</t>
    </r>
  </si>
  <si>
    <t>Plot No</t>
  </si>
  <si>
    <t>Pushpak Nagar</t>
  </si>
  <si>
    <t>Dapoli</t>
  </si>
  <si>
    <t>Panvel</t>
  </si>
  <si>
    <t>Raigad</t>
  </si>
  <si>
    <t>On Site, we meet Mr. Akshay Barkade (9112875592).</t>
  </si>
  <si>
    <t>Ranumata Mandir</t>
  </si>
  <si>
    <t>2 Wings</t>
  </si>
  <si>
    <t>As per RERA - 31/03/2027</t>
  </si>
  <si>
    <t>Wing A &amp; B</t>
  </si>
  <si>
    <t>Ground Floor For Commercial</t>
  </si>
  <si>
    <t>Shop</t>
  </si>
  <si>
    <t>2nd Floor For Residential</t>
  </si>
  <si>
    <t>Wing A</t>
  </si>
  <si>
    <t>Wing B</t>
  </si>
  <si>
    <t>8, Sector - 4</t>
  </si>
  <si>
    <t>7.4 KM from Khandeshwar Railway Station</t>
  </si>
  <si>
    <t>City and Industrial Development Corporation (CIDCO)</t>
  </si>
  <si>
    <t>Society Charges</t>
  </si>
  <si>
    <t>Basement Floor for Parking</t>
  </si>
  <si>
    <t>1st Floor For Parking</t>
  </si>
  <si>
    <t>We considered Gross carpet area = Net carpet.</t>
  </si>
  <si>
    <t>Builder Saleable Area</t>
  </si>
  <si>
    <t>Wing A + B</t>
  </si>
  <si>
    <t>Shop (Wing A &amp; B)</t>
  </si>
  <si>
    <t>2BHK</t>
  </si>
  <si>
    <t>1BHK</t>
  </si>
  <si>
    <t>3BHK</t>
  </si>
  <si>
    <t>3rd to 6th Floor</t>
  </si>
  <si>
    <t>301 to 601</t>
  </si>
  <si>
    <t>302 to 602</t>
  </si>
  <si>
    <t>303 to 603</t>
  </si>
  <si>
    <t>304 to 604</t>
  </si>
  <si>
    <t>305 to 605</t>
  </si>
  <si>
    <t>306 to 606</t>
  </si>
  <si>
    <t>307 to 607</t>
  </si>
  <si>
    <t>Shreenathji Enterprises</t>
  </si>
  <si>
    <t>7th Floor (Part Refuge Area)</t>
  </si>
  <si>
    <t>Refuge Area</t>
  </si>
  <si>
    <t>Natural Terrace</t>
  </si>
  <si>
    <t>7th Floor (Part Refuge Area &amp; Natural Terrace)</t>
  </si>
  <si>
    <t>8th to 10th Floor</t>
  </si>
  <si>
    <t>801 to 1001</t>
  </si>
  <si>
    <t>802 to 1002</t>
  </si>
  <si>
    <t>803 to 1003</t>
  </si>
  <si>
    <t>804 to 1004</t>
  </si>
  <si>
    <t>805 to 1005</t>
  </si>
  <si>
    <t>806 to 1006</t>
  </si>
  <si>
    <t>807 to 1007</t>
  </si>
  <si>
    <t>12th Floor</t>
  </si>
  <si>
    <t>11th Floor (Part Refuge Area)</t>
  </si>
  <si>
    <t>Natural Terrace on 7th Floor</t>
  </si>
  <si>
    <t>Flats -128, Shops -23</t>
  </si>
  <si>
    <t>Wing A &amp; B = B + Gr + P + 2nd to 12th Floor</t>
  </si>
  <si>
    <t>We have updated CC &amp; Approved Floor plans for wing A &amp; B (on 06/01/2023)</t>
  </si>
  <si>
    <t>Latitude, Longitude</t>
  </si>
  <si>
    <t>Vitrified tiles flooring, Kitchen Platform, Decorative Entrance, etc</t>
  </si>
  <si>
    <t>https://goo.gl/maps/cLWHvp4ykcAfyZ1M9</t>
  </si>
  <si>
    <t>Grand Total</t>
  </si>
  <si>
    <t>Office No. 1031, Wing J, Akshar Business Park, Plot No. 03 Sector 25, Near APMC Market, 
Vashi, Navi Mumbai, Maharashtra 400703 TEL: 022-46090378/79/8
E mail : vsjcapf@gmail.com. Web site : www.vsjadon.com</t>
  </si>
  <si>
    <t>Site Meet Person Contact Details ( Name &amp; Contact No.)</t>
  </si>
  <si>
    <t>Mr. Sanjeev 9920891911</t>
  </si>
  <si>
    <t>18.97186134,73.0804506</t>
  </si>
  <si>
    <t>CIDCO/BP-17925/TPO(NM &amp; K)/
2021/10062</t>
  </si>
  <si>
    <t xml:space="preserve">
as per site visit 07/10/2024 and site engineer B wing part II work is started</t>
  </si>
  <si>
    <t>as per approved plan Dtd 18/11/2022 B wing only part I is approved and as per
as per site visit 07/10/2024 and site engineer B wing part II work is started</t>
  </si>
  <si>
    <t>Finishing work is pending.</t>
  </si>
  <si>
    <t>Pooja</t>
  </si>
  <si>
    <t>Mayur Ranvare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</si>
</sst>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  <font>
      <sz val="12"/>
      <color theme="1" tint="4.9989318521683403E-2"/>
      <name val="Times New Roman"/>
      <family val="1"/>
    </font>
    <font>
      <b/>
      <sz val="12"/>
      <color theme="1" tint="4.9989318521683403E-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1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17" fillId="0" borderId="0" xfId="0" applyFont="1" applyFill="1" applyBorder="1" applyProtection="1">
      <protection hidden="1"/>
    </xf>
    <xf numFmtId="0" fontId="17" fillId="0" borderId="8" xfId="0" applyFont="1" applyFill="1" applyBorder="1" applyProtection="1">
      <protection hidden="1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0" fontId="7" fillId="0" borderId="0" xfId="1" applyNumberFormat="1" applyFont="1" applyFill="1"/>
    <xf numFmtId="0" fontId="23" fillId="0" borderId="0" xfId="1" applyFont="1" applyFill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0" fontId="25" fillId="0" borderId="21" xfId="0" applyFont="1" applyFill="1" applyBorder="1"/>
    <xf numFmtId="0" fontId="25" fillId="0" borderId="1" xfId="0" applyFont="1" applyFill="1" applyBorder="1"/>
    <xf numFmtId="0" fontId="25" fillId="0" borderId="4" xfId="0" applyFont="1" applyFill="1" applyBorder="1"/>
    <xf numFmtId="168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1" applyNumberFormat="1" applyFont="1" applyFill="1" applyAlignment="1">
      <alignment horizontal="center" vertical="center"/>
    </xf>
    <xf numFmtId="164" fontId="7" fillId="0" borderId="0" xfId="1" applyNumberFormat="1" applyFont="1" applyFill="1" applyAlignment="1">
      <alignment horizontal="center" vertical="center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Fill="1" applyBorder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1" applyFont="1" applyFill="1" applyBorder="1" applyAlignment="1" applyProtection="1">
      <alignment vertical="top" wrapText="1"/>
      <protection locked="0"/>
    </xf>
    <xf numFmtId="0" fontId="15" fillId="0" borderId="0" xfId="1" applyFont="1" applyFill="1" applyProtection="1">
      <protection locked="0"/>
    </xf>
    <xf numFmtId="0" fontId="15" fillId="0" borderId="0" xfId="0" applyFont="1" applyFill="1" applyAlignment="1">
      <alignment horizontal="center" vertical="center"/>
    </xf>
    <xf numFmtId="0" fontId="24" fillId="2" borderId="20" xfId="0" applyFont="1" applyFill="1" applyBorder="1"/>
    <xf numFmtId="0" fontId="7" fillId="0" borderId="7" xfId="1" applyFont="1" applyBorder="1"/>
    <xf numFmtId="0" fontId="17" fillId="0" borderId="7" xfId="0" applyNumberFormat="1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3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2" xfId="1" applyNumberFormat="1" applyFont="1" applyFill="1" applyBorder="1" applyAlignment="1" applyProtection="1">
      <alignment horizontal="center" vertical="top" wrapText="1"/>
      <protection locked="0"/>
    </xf>
    <xf numFmtId="168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5" fillId="0" borderId="0" xfId="1" applyNumberFormat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>
      <alignment horizontal="center" vertical="center"/>
    </xf>
    <xf numFmtId="0" fontId="27" fillId="0" borderId="0" xfId="1" applyFont="1" applyFill="1" applyAlignment="1">
      <alignment horizontal="center" vertical="center"/>
    </xf>
    <xf numFmtId="0" fontId="27" fillId="0" borderId="0" xfId="1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0" borderId="0" xfId="1" applyFont="1" applyFill="1" applyAlignment="1">
      <alignment horizontal="center"/>
    </xf>
    <xf numFmtId="1" fontId="28" fillId="0" borderId="0" xfId="1" applyNumberFormat="1" applyFont="1" applyFill="1"/>
    <xf numFmtId="0" fontId="28" fillId="0" borderId="0" xfId="1" applyFont="1" applyFill="1"/>
    <xf numFmtId="14" fontId="15" fillId="0" borderId="0" xfId="0" applyNumberFormat="1" applyFont="1" applyFill="1" applyAlignment="1">
      <alignment horizontal="left" vertical="top" wrapText="1"/>
    </xf>
    <xf numFmtId="0" fontId="7" fillId="0" borderId="0" xfId="1" applyFont="1" applyFill="1" applyAlignment="1">
      <alignment wrapText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1" applyFont="1" applyBorder="1" applyAlignment="1" applyProtection="1">
      <alignment horizontal="center" wrapText="1"/>
      <protection locked="0"/>
    </xf>
    <xf numFmtId="9" fontId="12" fillId="3" borderId="2" xfId="1" applyNumberFormat="1" applyFont="1" applyFill="1" applyBorder="1" applyAlignment="1" applyProtection="1">
      <alignment horizontal="center" vertical="center" wrapText="1"/>
      <protection hidden="1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1" fontId="4" fillId="0" borderId="1" xfId="1" applyNumberFormat="1" applyFont="1" applyFill="1" applyBorder="1" applyAlignment="1" applyProtection="1">
      <alignment horizontal="center" vertical="top" wrapText="1"/>
      <protection locked="0"/>
    </xf>
    <xf numFmtId="1" fontId="13" fillId="0" borderId="1" xfId="1" applyNumberFormat="1" applyFont="1" applyFill="1" applyBorder="1" applyAlignment="1" applyProtection="1">
      <alignment horizontal="center" vertical="top" wrapText="1"/>
      <protection locked="0"/>
    </xf>
    <xf numFmtId="0" fontId="10" fillId="0" borderId="1" xfId="1" applyFont="1" applyFill="1" applyBorder="1" applyAlignment="1" applyProtection="1">
      <alignment horizontal="left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26" fillId="0" borderId="1" xfId="9" applyFill="1" applyBorder="1" applyAlignment="1" applyProtection="1">
      <alignment horizontal="left" vertical="center" wrapText="1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167" fontId="28" fillId="0" borderId="1" xfId="8" applyNumberFormat="1" applyFont="1" applyFill="1" applyBorder="1" applyAlignment="1" applyProtection="1">
      <alignment horizontal="left" vertical="top"/>
      <protection locked="0"/>
    </xf>
    <xf numFmtId="1" fontId="8" fillId="0" borderId="5" xfId="1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6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5" xfId="0" applyNumberFormat="1" applyFont="1" applyFill="1" applyBorder="1" applyAlignment="1" applyProtection="1">
      <alignment vertical="top" wrapText="1"/>
      <protection locked="0"/>
    </xf>
    <xf numFmtId="1" fontId="8" fillId="0" borderId="15" xfId="0" applyNumberFormat="1" applyFont="1" applyFill="1" applyBorder="1" applyAlignment="1" applyProtection="1">
      <alignment vertical="top" wrapText="1"/>
      <protection locked="0"/>
    </xf>
    <xf numFmtId="1" fontId="8" fillId="0" borderId="6" xfId="0" applyNumberFormat="1" applyFont="1" applyFill="1" applyBorder="1" applyAlignment="1" applyProtection="1">
      <alignment vertical="top" wrapText="1"/>
      <protection locked="0"/>
    </xf>
    <xf numFmtId="0" fontId="6" fillId="0" borderId="5" xfId="1" applyFont="1" applyFill="1" applyBorder="1" applyAlignment="1" applyProtection="1">
      <alignment horizontal="left" vertical="top" wrapText="1"/>
      <protection locked="0"/>
    </xf>
    <xf numFmtId="0" fontId="6" fillId="0" borderId="6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/>
      <protection locked="0"/>
    </xf>
    <xf numFmtId="0" fontId="13" fillId="0" borderId="15" xfId="1" applyFont="1" applyFill="1" applyBorder="1" applyAlignment="1" applyProtection="1">
      <alignment horizontal="left" vertical="top"/>
      <protection locked="0"/>
    </xf>
    <xf numFmtId="0" fontId="13" fillId="0" borderId="6" xfId="1" applyFont="1" applyFill="1" applyBorder="1" applyAlignment="1" applyProtection="1">
      <alignment horizontal="left" vertical="top"/>
      <protection locked="0"/>
    </xf>
    <xf numFmtId="1" fontId="6" fillId="0" borderId="1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1" fontId="13" fillId="0" borderId="5" xfId="0" applyNumberFormat="1" applyFont="1" applyFill="1" applyBorder="1" applyAlignment="1" applyProtection="1">
      <alignment vertical="top" wrapText="1"/>
      <protection locked="0"/>
    </xf>
    <xf numFmtId="1" fontId="13" fillId="0" borderId="15" xfId="0" applyNumberFormat="1" applyFont="1" applyFill="1" applyBorder="1" applyAlignment="1" applyProtection="1">
      <alignment vertical="top" wrapText="1"/>
      <protection locked="0"/>
    </xf>
    <xf numFmtId="1" fontId="13" fillId="0" borderId="6" xfId="0" applyNumberFormat="1" applyFont="1" applyFill="1" applyBorder="1" applyAlignment="1" applyProtection="1">
      <alignment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28" fillId="0" borderId="1" xfId="1" applyFont="1" applyFill="1" applyBorder="1" applyAlignment="1" applyProtection="1">
      <alignment horizontal="left" vertical="top" wrapText="1"/>
      <protection locked="0"/>
    </xf>
    <xf numFmtId="0" fontId="28" fillId="0" borderId="1" xfId="1" applyFont="1" applyFill="1" applyBorder="1" applyAlignment="1" applyProtection="1">
      <alignment horizontal="left" vertical="top"/>
      <protection locked="0"/>
    </xf>
    <xf numFmtId="14" fontId="13" fillId="0" borderId="5" xfId="1" applyNumberFormat="1" applyFont="1" applyFill="1" applyBorder="1" applyAlignment="1" applyProtection="1">
      <alignment horizontal="left" vertical="top"/>
      <protection locked="0"/>
    </xf>
    <xf numFmtId="0" fontId="6" fillId="0" borderId="10" xfId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Fill="1" applyBorder="1" applyAlignment="1" applyProtection="1">
      <alignment horizontal="left" vertical="top" wrapText="1"/>
      <protection locked="0"/>
    </xf>
    <xf numFmtId="0" fontId="12" fillId="0" borderId="15" xfId="1" applyFont="1" applyFill="1" applyBorder="1" applyAlignment="1" applyProtection="1">
      <alignment horizontal="left" vertical="top" wrapText="1"/>
      <protection locked="0"/>
    </xf>
    <xf numFmtId="0" fontId="12" fillId="0" borderId="6" xfId="1" applyFont="1" applyFill="1" applyBorder="1" applyAlignment="1" applyProtection="1">
      <alignment horizontal="left" vertical="top" wrapText="1"/>
      <protection locked="0"/>
    </xf>
    <xf numFmtId="14" fontId="12" fillId="0" borderId="5" xfId="1" applyNumberFormat="1" applyFont="1" applyFill="1" applyBorder="1" applyAlignment="1" applyProtection="1">
      <alignment horizontal="left" vertical="top" wrapText="1"/>
      <protection locked="0"/>
    </xf>
    <xf numFmtId="14" fontId="12" fillId="0" borderId="6" xfId="1" applyNumberFormat="1" applyFont="1" applyFill="1" applyBorder="1" applyAlignment="1" applyProtection="1">
      <alignment horizontal="left" vertical="top" wrapText="1"/>
      <protection locked="0"/>
    </xf>
    <xf numFmtId="0" fontId="12" fillId="0" borderId="11" xfId="1" applyFont="1" applyFill="1" applyBorder="1" applyAlignment="1" applyProtection="1">
      <alignment horizontal="left" vertical="top" wrapText="1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12" fillId="0" borderId="15" xfId="1" applyFont="1" applyFill="1" applyBorder="1" applyAlignment="1" applyProtection="1">
      <alignment horizontal="left" vertical="top"/>
      <protection locked="0"/>
    </xf>
    <xf numFmtId="0" fontId="12" fillId="0" borderId="6" xfId="1" applyFont="1" applyFill="1" applyBorder="1" applyAlignment="1" applyProtection="1">
      <alignment horizontal="left" vertical="top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13" fillId="0" borderId="15" xfId="1" applyFont="1" applyFill="1" applyBorder="1" applyAlignment="1" applyProtection="1">
      <alignment horizontal="left" vertical="top" wrapText="1"/>
      <protection locked="0"/>
    </xf>
    <xf numFmtId="0" fontId="13" fillId="0" borderId="6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0" fontId="13" fillId="0" borderId="23" xfId="1" applyFont="1" applyFill="1" applyBorder="1" applyAlignment="1" applyProtection="1">
      <alignment horizontal="left" vertical="top" wrapText="1"/>
      <protection locked="0"/>
    </xf>
    <xf numFmtId="0" fontId="13" fillId="0" borderId="24" xfId="1" applyFont="1" applyFill="1" applyBorder="1" applyAlignment="1" applyProtection="1">
      <alignment horizontal="left" vertical="top" wrapText="1"/>
      <protection locked="0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0" fontId="13" fillId="0" borderId="26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12" xfId="1" applyFont="1" applyFill="1" applyBorder="1" applyAlignment="1" applyProtection="1">
      <alignment horizontal="left" vertical="top" wrapText="1"/>
      <protection locked="0"/>
    </xf>
    <xf numFmtId="0" fontId="6" fillId="0" borderId="11" xfId="1" applyFont="1" applyFill="1" applyBorder="1" applyAlignment="1" applyProtection="1">
      <alignment horizontal="left" vertical="top" wrapText="1"/>
      <protection locked="0"/>
    </xf>
    <xf numFmtId="0" fontId="6" fillId="0" borderId="12" xfId="1" applyFont="1" applyFill="1" applyBorder="1" applyAlignment="1" applyProtection="1">
      <alignment horizontal="left" vertical="top" wrapText="1"/>
      <protection locked="0"/>
    </xf>
    <xf numFmtId="0" fontId="6" fillId="0" borderId="13" xfId="1" applyFont="1" applyFill="1" applyBorder="1" applyAlignment="1" applyProtection="1">
      <alignment horizontal="left" vertical="top" wrapText="1"/>
      <protection locked="0"/>
    </xf>
    <xf numFmtId="0" fontId="6" fillId="0" borderId="14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5" fillId="0" borderId="1" xfId="1" applyFont="1" applyFill="1" applyBorder="1" applyAlignment="1" applyProtection="1">
      <alignment horizontal="left" vertical="top" wrapText="1"/>
      <protection locked="0"/>
    </xf>
    <xf numFmtId="1" fontId="8" fillId="0" borderId="11" xfId="1" applyNumberFormat="1" applyFont="1" applyFill="1" applyBorder="1" applyAlignment="1" applyProtection="1">
      <alignment horizontal="center" vertical="top" wrapText="1"/>
      <protection locked="0"/>
    </xf>
    <xf numFmtId="1" fontId="8" fillId="0" borderId="12" xfId="1" applyNumberFormat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left" vertical="top" wrapText="1"/>
      <protection locked="0"/>
    </xf>
    <xf numFmtId="0" fontId="8" fillId="0" borderId="12" xfId="1" applyFont="1" applyFill="1" applyBorder="1" applyAlignment="1" applyProtection="1">
      <alignment horizontal="left" vertical="top" wrapText="1"/>
      <protection locked="0"/>
    </xf>
    <xf numFmtId="0" fontId="8" fillId="0" borderId="13" xfId="1" applyFont="1" applyFill="1" applyBorder="1" applyAlignment="1" applyProtection="1">
      <alignment horizontal="left" vertical="top" wrapText="1"/>
      <protection locked="0"/>
    </xf>
    <xf numFmtId="0" fontId="8" fillId="0" borderId="14" xfId="1" applyFont="1" applyFill="1" applyBorder="1" applyAlignment="1" applyProtection="1">
      <alignment horizontal="left" vertical="top" wrapText="1"/>
      <protection locked="0"/>
    </xf>
    <xf numFmtId="0" fontId="8" fillId="0" borderId="5" xfId="1" applyFont="1" applyFill="1" applyBorder="1" applyAlignment="1" applyProtection="1">
      <alignment horizontal="left" vertical="top" wrapText="1"/>
      <protection locked="0"/>
    </xf>
    <xf numFmtId="0" fontId="8" fillId="0" borderId="15" xfId="1" applyFont="1" applyFill="1" applyBorder="1" applyAlignment="1" applyProtection="1">
      <alignment horizontal="left" vertical="top" wrapText="1"/>
      <protection locked="0"/>
    </xf>
    <xf numFmtId="0" fontId="8" fillId="0" borderId="6" xfId="1" applyFont="1" applyFill="1" applyBorder="1" applyAlignment="1" applyProtection="1">
      <alignment horizontal="left" vertical="top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27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27" xfId="1" applyFont="1" applyFill="1" applyBorder="1" applyAlignment="1" applyProtection="1">
      <alignment horizontal="center" vertical="top" wrapText="1"/>
      <protection locked="0"/>
    </xf>
    <xf numFmtId="9" fontId="12" fillId="3" borderId="11" xfId="1" applyNumberFormat="1" applyFont="1" applyFill="1" applyBorder="1" applyAlignment="1" applyProtection="1">
      <alignment horizontal="center" vertical="center" wrapText="1"/>
      <protection hidden="1"/>
    </xf>
    <xf numFmtId="9" fontId="12" fillId="3" borderId="12" xfId="1" applyNumberFormat="1" applyFont="1" applyFill="1" applyBorder="1" applyAlignment="1" applyProtection="1">
      <alignment horizontal="center" vertical="center" wrapText="1"/>
      <protection hidden="1"/>
    </xf>
    <xf numFmtId="9" fontId="12" fillId="3" borderId="17" xfId="1" applyNumberFormat="1" applyFont="1" applyFill="1" applyBorder="1" applyAlignment="1" applyProtection="1">
      <alignment horizontal="center" vertical="center" wrapText="1"/>
      <protection hidden="1"/>
    </xf>
    <xf numFmtId="9" fontId="12" fillId="3" borderId="18" xfId="1" applyNumberFormat="1" applyFont="1" applyFill="1" applyBorder="1" applyAlignment="1" applyProtection="1">
      <alignment horizontal="center" vertical="center" wrapText="1"/>
      <protection hidden="1"/>
    </xf>
    <xf numFmtId="9" fontId="12" fillId="3" borderId="19" xfId="1" applyNumberFormat="1" applyFont="1" applyFill="1" applyBorder="1" applyAlignment="1" applyProtection="1">
      <alignment horizontal="center" vertical="center" wrapText="1"/>
      <protection hidden="1"/>
    </xf>
    <xf numFmtId="9" fontId="12" fillId="3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28" xfId="1" applyFont="1" applyFill="1" applyBorder="1" applyAlignment="1" applyProtection="1">
      <alignment horizontal="center" vertical="top" wrapText="1"/>
      <protection locked="0"/>
    </xf>
    <xf numFmtId="0" fontId="12" fillId="0" borderId="2" xfId="1" applyFont="1" applyFill="1" applyBorder="1" applyAlignment="1" applyProtection="1">
      <alignment horizontal="center" vertical="top" wrapText="1"/>
      <protection locked="0"/>
    </xf>
    <xf numFmtId="0" fontId="29" fillId="0" borderId="1" xfId="1" applyFont="1" applyFill="1" applyBorder="1" applyAlignment="1" applyProtection="1">
      <alignment horizontal="center" vertical="top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1" fontId="13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2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4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0">
    <cellStyle name="Comma" xfId="8" builtinId="3"/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290</xdr:row>
      <xdr:rowOff>9525</xdr:rowOff>
    </xdr:from>
    <xdr:to>
      <xdr:col>7</xdr:col>
      <xdr:colOff>11775</xdr:colOff>
      <xdr:row>310</xdr:row>
      <xdr:rowOff>141679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8225" y="54911625"/>
          <a:ext cx="4860000" cy="4132653"/>
        </a:xfrm>
        <a:prstGeom prst="rect">
          <a:avLst/>
        </a:prstGeom>
        <a:ln>
          <a:solidFill>
            <a:schemeClr val="tx1">
              <a:lumMod val="85000"/>
              <a:lumOff val="15000"/>
            </a:schemeClr>
          </a:solidFill>
        </a:ln>
      </xdr:spPr>
    </xdr:pic>
    <xdr:clientData/>
  </xdr:twoCellAnchor>
  <xdr:twoCellAnchor editAs="oneCell">
    <xdr:from>
      <xdr:col>1</xdr:col>
      <xdr:colOff>219075</xdr:colOff>
      <xdr:row>311</xdr:row>
      <xdr:rowOff>89535</xdr:rowOff>
    </xdr:from>
    <xdr:to>
      <xdr:col>7</xdr:col>
      <xdr:colOff>11775</xdr:colOff>
      <xdr:row>331</xdr:row>
      <xdr:rowOff>114489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8225" y="59192160"/>
          <a:ext cx="4860000" cy="4025454"/>
        </a:xfrm>
        <a:prstGeom prst="rect">
          <a:avLst/>
        </a:prstGeom>
        <a:ln>
          <a:solidFill>
            <a:schemeClr val="tx1">
              <a:lumMod val="85000"/>
              <a:lumOff val="15000"/>
            </a:schemeClr>
          </a:solidFill>
        </a:ln>
      </xdr:spPr>
    </xdr:pic>
    <xdr:clientData/>
  </xdr:twoCellAnchor>
  <xdr:oneCellAnchor>
    <xdr:from>
      <xdr:col>8</xdr:col>
      <xdr:colOff>903239</xdr:colOff>
      <xdr:row>262</xdr:row>
      <xdr:rowOff>117750</xdr:rowOff>
    </xdr:from>
    <xdr:ext cx="288541" cy="311496"/>
    <xdr:sp macro="" textlink="">
      <xdr:nvSpPr>
        <xdr:cNvPr id="21" name="TextBox 20"/>
        <xdr:cNvSpPr txBox="1"/>
      </xdr:nvSpPr>
      <xdr:spPr>
        <a:xfrm>
          <a:off x="7218314" y="53914950"/>
          <a:ext cx="288541" cy="3114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</a:p>
      </xdr:txBody>
    </xdr:sp>
    <xdr:clientData/>
  </xdr:oneCellAnchor>
  <xdr:twoCellAnchor>
    <xdr:from>
      <xdr:col>11</xdr:col>
      <xdr:colOff>605703</xdr:colOff>
      <xdr:row>228</xdr:row>
      <xdr:rowOff>118976</xdr:rowOff>
    </xdr:from>
    <xdr:to>
      <xdr:col>13</xdr:col>
      <xdr:colOff>312335</xdr:colOff>
      <xdr:row>230</xdr:row>
      <xdr:rowOff>94170</xdr:rowOff>
    </xdr:to>
    <xdr:sp macro="" textlink="">
      <xdr:nvSpPr>
        <xdr:cNvPr id="31" name="Rectangle 30"/>
        <xdr:cNvSpPr/>
      </xdr:nvSpPr>
      <xdr:spPr>
        <a:xfrm>
          <a:off x="10787600" y="46719217"/>
          <a:ext cx="928459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 Wing </a:t>
          </a:r>
        </a:p>
      </xdr:txBody>
    </xdr:sp>
    <xdr:clientData/>
  </xdr:twoCellAnchor>
  <xdr:twoCellAnchor>
    <xdr:from>
      <xdr:col>10</xdr:col>
      <xdr:colOff>392073</xdr:colOff>
      <xdr:row>227</xdr:row>
      <xdr:rowOff>131379</xdr:rowOff>
    </xdr:from>
    <xdr:to>
      <xdr:col>12</xdr:col>
      <xdr:colOff>479666</xdr:colOff>
      <xdr:row>229</xdr:row>
      <xdr:rowOff>106573</xdr:rowOff>
    </xdr:to>
    <xdr:sp macro="" textlink="">
      <xdr:nvSpPr>
        <xdr:cNvPr id="32" name="Rectangle 31"/>
        <xdr:cNvSpPr/>
      </xdr:nvSpPr>
      <xdr:spPr>
        <a:xfrm>
          <a:off x="9792263" y="46534551"/>
          <a:ext cx="1480213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 Wing  Part I</a:t>
          </a:r>
        </a:p>
      </xdr:txBody>
    </xdr:sp>
    <xdr:clientData/>
  </xdr:twoCellAnchor>
  <xdr:twoCellAnchor>
    <xdr:from>
      <xdr:col>1</xdr:col>
      <xdr:colOff>215900</xdr:colOff>
      <xdr:row>247</xdr:row>
      <xdr:rowOff>95250</xdr:rowOff>
    </xdr:from>
    <xdr:to>
      <xdr:col>7</xdr:col>
      <xdr:colOff>638187</xdr:colOff>
      <xdr:row>282</xdr:row>
      <xdr:rowOff>189500</xdr:rowOff>
    </xdr:to>
    <xdr:grpSp>
      <xdr:nvGrpSpPr>
        <xdr:cNvPr id="3" name="Group 2"/>
        <xdr:cNvGrpSpPr/>
      </xdr:nvGrpSpPr>
      <xdr:grpSpPr>
        <a:xfrm>
          <a:off x="1016000" y="50133250"/>
          <a:ext cx="5375287" cy="6984000"/>
          <a:chOff x="1016000" y="50133250"/>
          <a:chExt cx="5375287" cy="6984000"/>
        </a:xfrm>
      </xdr:grpSpPr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84971" y="54957250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60043" y="54957250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6000" y="50133250"/>
            <a:ext cx="3520970" cy="46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84971" y="52545250"/>
            <a:ext cx="1706315" cy="2268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84972" y="50133250"/>
            <a:ext cx="1706315" cy="2268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25882" y="5495725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148364</xdr:colOff>
      <xdr:row>14</xdr:row>
      <xdr:rowOff>0</xdr:rowOff>
    </xdr:from>
    <xdr:to>
      <xdr:col>3</xdr:col>
      <xdr:colOff>45769</xdr:colOff>
      <xdr:row>25</xdr:row>
      <xdr:rowOff>64500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1070" y="267820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26</xdr:row>
      <xdr:rowOff>106934</xdr:rowOff>
    </xdr:from>
    <xdr:to>
      <xdr:col>2</xdr:col>
      <xdr:colOff>2362699</xdr:colOff>
      <xdr:row>37</xdr:row>
      <xdr:rowOff>171434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5071140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cLWHvp4ykcAfyZ1M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290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0" customWidth="1"/>
    <col min="2" max="2" width="12" style="30" customWidth="1"/>
    <col min="3" max="3" width="12.7265625" style="30" customWidth="1"/>
    <col min="4" max="4" width="8.26953125" style="30" customWidth="1"/>
    <col min="5" max="5" width="14.453125" style="30" customWidth="1"/>
    <col min="6" max="6" width="11.7265625" style="47" customWidth="1"/>
    <col min="7" max="7" width="11.7265625" style="30" customWidth="1"/>
    <col min="8" max="8" width="22.54296875" style="30" customWidth="1"/>
    <col min="9" max="9" width="26.26953125" style="18" bestFit="1" customWidth="1"/>
    <col min="10" max="10" width="9.81640625" style="18" customWidth="1"/>
    <col min="11" max="11" width="11.7265625" style="18" customWidth="1"/>
    <col min="12" max="242" width="9.1796875" style="18"/>
    <col min="243" max="243" width="8.7265625" style="18" customWidth="1"/>
    <col min="244" max="244" width="9.81640625" style="18" customWidth="1"/>
    <col min="245" max="245" width="14.453125" style="18" customWidth="1"/>
    <col min="246" max="246" width="7.26953125" style="18" customWidth="1"/>
    <col min="247" max="247" width="5.54296875" style="18" customWidth="1"/>
    <col min="248" max="248" width="9" style="18" customWidth="1"/>
    <col min="249" max="250" width="9.81640625" style="18" customWidth="1"/>
    <col min="251" max="251" width="11.1796875" style="18" customWidth="1"/>
    <col min="252" max="252" width="2.81640625" style="18" customWidth="1"/>
    <col min="253" max="253" width="3.54296875" style="18" customWidth="1"/>
    <col min="254" max="498" width="9.1796875" style="18"/>
    <col min="499" max="499" width="8.7265625" style="18" customWidth="1"/>
    <col min="500" max="500" width="9.81640625" style="18" customWidth="1"/>
    <col min="501" max="501" width="14.453125" style="18" customWidth="1"/>
    <col min="502" max="502" width="7.26953125" style="18" customWidth="1"/>
    <col min="503" max="503" width="5.54296875" style="18" customWidth="1"/>
    <col min="504" max="504" width="9" style="18" customWidth="1"/>
    <col min="505" max="506" width="9.81640625" style="18" customWidth="1"/>
    <col min="507" max="507" width="11.1796875" style="18" customWidth="1"/>
    <col min="508" max="508" width="2.81640625" style="18" customWidth="1"/>
    <col min="509" max="509" width="3.54296875" style="18" customWidth="1"/>
    <col min="510" max="754" width="9.1796875" style="18"/>
    <col min="755" max="755" width="8.7265625" style="18" customWidth="1"/>
    <col min="756" max="756" width="9.81640625" style="18" customWidth="1"/>
    <col min="757" max="757" width="14.453125" style="18" customWidth="1"/>
    <col min="758" max="758" width="7.26953125" style="18" customWidth="1"/>
    <col min="759" max="759" width="5.54296875" style="18" customWidth="1"/>
    <col min="760" max="760" width="9" style="18" customWidth="1"/>
    <col min="761" max="762" width="9.81640625" style="18" customWidth="1"/>
    <col min="763" max="763" width="11.1796875" style="18" customWidth="1"/>
    <col min="764" max="764" width="2.81640625" style="18" customWidth="1"/>
    <col min="765" max="765" width="3.54296875" style="18" customWidth="1"/>
    <col min="766" max="1010" width="9.1796875" style="18"/>
    <col min="1011" max="1011" width="8.7265625" style="18" customWidth="1"/>
    <col min="1012" max="1012" width="9.81640625" style="18" customWidth="1"/>
    <col min="1013" max="1013" width="14.453125" style="18" customWidth="1"/>
    <col min="1014" max="1014" width="7.26953125" style="18" customWidth="1"/>
    <col min="1015" max="1015" width="5.54296875" style="18" customWidth="1"/>
    <col min="1016" max="1016" width="9" style="18" customWidth="1"/>
    <col min="1017" max="1018" width="9.81640625" style="18" customWidth="1"/>
    <col min="1019" max="1019" width="11.1796875" style="18" customWidth="1"/>
    <col min="1020" max="1020" width="2.81640625" style="18" customWidth="1"/>
    <col min="1021" max="1021" width="3.54296875" style="18" customWidth="1"/>
    <col min="1022" max="1266" width="9.1796875" style="18"/>
    <col min="1267" max="1267" width="8.7265625" style="18" customWidth="1"/>
    <col min="1268" max="1268" width="9.81640625" style="18" customWidth="1"/>
    <col min="1269" max="1269" width="14.453125" style="18" customWidth="1"/>
    <col min="1270" max="1270" width="7.26953125" style="18" customWidth="1"/>
    <col min="1271" max="1271" width="5.54296875" style="18" customWidth="1"/>
    <col min="1272" max="1272" width="9" style="18" customWidth="1"/>
    <col min="1273" max="1274" width="9.81640625" style="18" customWidth="1"/>
    <col min="1275" max="1275" width="11.1796875" style="18" customWidth="1"/>
    <col min="1276" max="1276" width="2.81640625" style="18" customWidth="1"/>
    <col min="1277" max="1277" width="3.54296875" style="18" customWidth="1"/>
    <col min="1278" max="1522" width="9.1796875" style="18"/>
    <col min="1523" max="1523" width="8.7265625" style="18" customWidth="1"/>
    <col min="1524" max="1524" width="9.81640625" style="18" customWidth="1"/>
    <col min="1525" max="1525" width="14.453125" style="18" customWidth="1"/>
    <col min="1526" max="1526" width="7.26953125" style="18" customWidth="1"/>
    <col min="1527" max="1527" width="5.54296875" style="18" customWidth="1"/>
    <col min="1528" max="1528" width="9" style="18" customWidth="1"/>
    <col min="1529" max="1530" width="9.81640625" style="18" customWidth="1"/>
    <col min="1531" max="1531" width="11.1796875" style="18" customWidth="1"/>
    <col min="1532" max="1532" width="2.81640625" style="18" customWidth="1"/>
    <col min="1533" max="1533" width="3.54296875" style="18" customWidth="1"/>
    <col min="1534" max="1778" width="9.1796875" style="18"/>
    <col min="1779" max="1779" width="8.7265625" style="18" customWidth="1"/>
    <col min="1780" max="1780" width="9.81640625" style="18" customWidth="1"/>
    <col min="1781" max="1781" width="14.453125" style="18" customWidth="1"/>
    <col min="1782" max="1782" width="7.26953125" style="18" customWidth="1"/>
    <col min="1783" max="1783" width="5.54296875" style="18" customWidth="1"/>
    <col min="1784" max="1784" width="9" style="18" customWidth="1"/>
    <col min="1785" max="1786" width="9.81640625" style="18" customWidth="1"/>
    <col min="1787" max="1787" width="11.1796875" style="18" customWidth="1"/>
    <col min="1788" max="1788" width="2.81640625" style="18" customWidth="1"/>
    <col min="1789" max="1789" width="3.54296875" style="18" customWidth="1"/>
    <col min="1790" max="2034" width="9.1796875" style="18"/>
    <col min="2035" max="2035" width="8.7265625" style="18" customWidth="1"/>
    <col min="2036" max="2036" width="9.81640625" style="18" customWidth="1"/>
    <col min="2037" max="2037" width="14.453125" style="18" customWidth="1"/>
    <col min="2038" max="2038" width="7.26953125" style="18" customWidth="1"/>
    <col min="2039" max="2039" width="5.54296875" style="18" customWidth="1"/>
    <col min="2040" max="2040" width="9" style="18" customWidth="1"/>
    <col min="2041" max="2042" width="9.81640625" style="18" customWidth="1"/>
    <col min="2043" max="2043" width="11.1796875" style="18" customWidth="1"/>
    <col min="2044" max="2044" width="2.81640625" style="18" customWidth="1"/>
    <col min="2045" max="2045" width="3.54296875" style="18" customWidth="1"/>
    <col min="2046" max="2290" width="9.1796875" style="18"/>
    <col min="2291" max="2291" width="8.7265625" style="18" customWidth="1"/>
    <col min="2292" max="2292" width="9.81640625" style="18" customWidth="1"/>
    <col min="2293" max="2293" width="14.453125" style="18" customWidth="1"/>
    <col min="2294" max="2294" width="7.26953125" style="18" customWidth="1"/>
    <col min="2295" max="2295" width="5.54296875" style="18" customWidth="1"/>
    <col min="2296" max="2296" width="9" style="18" customWidth="1"/>
    <col min="2297" max="2298" width="9.81640625" style="18" customWidth="1"/>
    <col min="2299" max="2299" width="11.1796875" style="18" customWidth="1"/>
    <col min="2300" max="2300" width="2.81640625" style="18" customWidth="1"/>
    <col min="2301" max="2301" width="3.54296875" style="18" customWidth="1"/>
    <col min="2302" max="2546" width="9.1796875" style="18"/>
    <col min="2547" max="2547" width="8.7265625" style="18" customWidth="1"/>
    <col min="2548" max="2548" width="9.81640625" style="18" customWidth="1"/>
    <col min="2549" max="2549" width="14.453125" style="18" customWidth="1"/>
    <col min="2550" max="2550" width="7.26953125" style="18" customWidth="1"/>
    <col min="2551" max="2551" width="5.54296875" style="18" customWidth="1"/>
    <col min="2552" max="2552" width="9" style="18" customWidth="1"/>
    <col min="2553" max="2554" width="9.81640625" style="18" customWidth="1"/>
    <col min="2555" max="2555" width="11.1796875" style="18" customWidth="1"/>
    <col min="2556" max="2556" width="2.81640625" style="18" customWidth="1"/>
    <col min="2557" max="2557" width="3.54296875" style="18" customWidth="1"/>
    <col min="2558" max="2802" width="9.1796875" style="18"/>
    <col min="2803" max="2803" width="8.7265625" style="18" customWidth="1"/>
    <col min="2804" max="2804" width="9.81640625" style="18" customWidth="1"/>
    <col min="2805" max="2805" width="14.453125" style="18" customWidth="1"/>
    <col min="2806" max="2806" width="7.26953125" style="18" customWidth="1"/>
    <col min="2807" max="2807" width="5.54296875" style="18" customWidth="1"/>
    <col min="2808" max="2808" width="9" style="18" customWidth="1"/>
    <col min="2809" max="2810" width="9.81640625" style="18" customWidth="1"/>
    <col min="2811" max="2811" width="11.1796875" style="18" customWidth="1"/>
    <col min="2812" max="2812" width="2.81640625" style="18" customWidth="1"/>
    <col min="2813" max="2813" width="3.54296875" style="18" customWidth="1"/>
    <col min="2814" max="3058" width="9.1796875" style="18"/>
    <col min="3059" max="3059" width="8.7265625" style="18" customWidth="1"/>
    <col min="3060" max="3060" width="9.81640625" style="18" customWidth="1"/>
    <col min="3061" max="3061" width="14.453125" style="18" customWidth="1"/>
    <col min="3062" max="3062" width="7.26953125" style="18" customWidth="1"/>
    <col min="3063" max="3063" width="5.54296875" style="18" customWidth="1"/>
    <col min="3064" max="3064" width="9" style="18" customWidth="1"/>
    <col min="3065" max="3066" width="9.81640625" style="18" customWidth="1"/>
    <col min="3067" max="3067" width="11.1796875" style="18" customWidth="1"/>
    <col min="3068" max="3068" width="2.81640625" style="18" customWidth="1"/>
    <col min="3069" max="3069" width="3.54296875" style="18" customWidth="1"/>
    <col min="3070" max="3314" width="9.1796875" style="18"/>
    <col min="3315" max="3315" width="8.7265625" style="18" customWidth="1"/>
    <col min="3316" max="3316" width="9.81640625" style="18" customWidth="1"/>
    <col min="3317" max="3317" width="14.453125" style="18" customWidth="1"/>
    <col min="3318" max="3318" width="7.26953125" style="18" customWidth="1"/>
    <col min="3319" max="3319" width="5.54296875" style="18" customWidth="1"/>
    <col min="3320" max="3320" width="9" style="18" customWidth="1"/>
    <col min="3321" max="3322" width="9.81640625" style="18" customWidth="1"/>
    <col min="3323" max="3323" width="11.1796875" style="18" customWidth="1"/>
    <col min="3324" max="3324" width="2.81640625" style="18" customWidth="1"/>
    <col min="3325" max="3325" width="3.54296875" style="18" customWidth="1"/>
    <col min="3326" max="3570" width="9.1796875" style="18"/>
    <col min="3571" max="3571" width="8.7265625" style="18" customWidth="1"/>
    <col min="3572" max="3572" width="9.81640625" style="18" customWidth="1"/>
    <col min="3573" max="3573" width="14.453125" style="18" customWidth="1"/>
    <col min="3574" max="3574" width="7.26953125" style="18" customWidth="1"/>
    <col min="3575" max="3575" width="5.54296875" style="18" customWidth="1"/>
    <col min="3576" max="3576" width="9" style="18" customWidth="1"/>
    <col min="3577" max="3578" width="9.81640625" style="18" customWidth="1"/>
    <col min="3579" max="3579" width="11.1796875" style="18" customWidth="1"/>
    <col min="3580" max="3580" width="2.81640625" style="18" customWidth="1"/>
    <col min="3581" max="3581" width="3.54296875" style="18" customWidth="1"/>
    <col min="3582" max="3826" width="9.1796875" style="18"/>
    <col min="3827" max="3827" width="8.7265625" style="18" customWidth="1"/>
    <col min="3828" max="3828" width="9.81640625" style="18" customWidth="1"/>
    <col min="3829" max="3829" width="14.453125" style="18" customWidth="1"/>
    <col min="3830" max="3830" width="7.26953125" style="18" customWidth="1"/>
    <col min="3831" max="3831" width="5.54296875" style="18" customWidth="1"/>
    <col min="3832" max="3832" width="9" style="18" customWidth="1"/>
    <col min="3833" max="3834" width="9.81640625" style="18" customWidth="1"/>
    <col min="3835" max="3835" width="11.1796875" style="18" customWidth="1"/>
    <col min="3836" max="3836" width="2.81640625" style="18" customWidth="1"/>
    <col min="3837" max="3837" width="3.54296875" style="18" customWidth="1"/>
    <col min="3838" max="4082" width="9.1796875" style="18"/>
    <col min="4083" max="4083" width="8.7265625" style="18" customWidth="1"/>
    <col min="4084" max="4084" width="9.81640625" style="18" customWidth="1"/>
    <col min="4085" max="4085" width="14.453125" style="18" customWidth="1"/>
    <col min="4086" max="4086" width="7.26953125" style="18" customWidth="1"/>
    <col min="4087" max="4087" width="5.54296875" style="18" customWidth="1"/>
    <col min="4088" max="4088" width="9" style="18" customWidth="1"/>
    <col min="4089" max="4090" width="9.81640625" style="18" customWidth="1"/>
    <col min="4091" max="4091" width="11.1796875" style="18" customWidth="1"/>
    <col min="4092" max="4092" width="2.81640625" style="18" customWidth="1"/>
    <col min="4093" max="4093" width="3.54296875" style="18" customWidth="1"/>
    <col min="4094" max="4338" width="9.1796875" style="18"/>
    <col min="4339" max="4339" width="8.7265625" style="18" customWidth="1"/>
    <col min="4340" max="4340" width="9.81640625" style="18" customWidth="1"/>
    <col min="4341" max="4341" width="14.453125" style="18" customWidth="1"/>
    <col min="4342" max="4342" width="7.26953125" style="18" customWidth="1"/>
    <col min="4343" max="4343" width="5.54296875" style="18" customWidth="1"/>
    <col min="4344" max="4344" width="9" style="18" customWidth="1"/>
    <col min="4345" max="4346" width="9.81640625" style="18" customWidth="1"/>
    <col min="4347" max="4347" width="11.1796875" style="18" customWidth="1"/>
    <col min="4348" max="4348" width="2.81640625" style="18" customWidth="1"/>
    <col min="4349" max="4349" width="3.54296875" style="18" customWidth="1"/>
    <col min="4350" max="4594" width="9.1796875" style="18"/>
    <col min="4595" max="4595" width="8.7265625" style="18" customWidth="1"/>
    <col min="4596" max="4596" width="9.81640625" style="18" customWidth="1"/>
    <col min="4597" max="4597" width="14.453125" style="18" customWidth="1"/>
    <col min="4598" max="4598" width="7.26953125" style="18" customWidth="1"/>
    <col min="4599" max="4599" width="5.54296875" style="18" customWidth="1"/>
    <col min="4600" max="4600" width="9" style="18" customWidth="1"/>
    <col min="4601" max="4602" width="9.81640625" style="18" customWidth="1"/>
    <col min="4603" max="4603" width="11.1796875" style="18" customWidth="1"/>
    <col min="4604" max="4604" width="2.81640625" style="18" customWidth="1"/>
    <col min="4605" max="4605" width="3.54296875" style="18" customWidth="1"/>
    <col min="4606" max="4850" width="9.1796875" style="18"/>
    <col min="4851" max="4851" width="8.7265625" style="18" customWidth="1"/>
    <col min="4852" max="4852" width="9.81640625" style="18" customWidth="1"/>
    <col min="4853" max="4853" width="14.453125" style="18" customWidth="1"/>
    <col min="4854" max="4854" width="7.26953125" style="18" customWidth="1"/>
    <col min="4855" max="4855" width="5.54296875" style="18" customWidth="1"/>
    <col min="4856" max="4856" width="9" style="18" customWidth="1"/>
    <col min="4857" max="4858" width="9.81640625" style="18" customWidth="1"/>
    <col min="4859" max="4859" width="11.1796875" style="18" customWidth="1"/>
    <col min="4860" max="4860" width="2.81640625" style="18" customWidth="1"/>
    <col min="4861" max="4861" width="3.54296875" style="18" customWidth="1"/>
    <col min="4862" max="5106" width="9.1796875" style="18"/>
    <col min="5107" max="5107" width="8.7265625" style="18" customWidth="1"/>
    <col min="5108" max="5108" width="9.81640625" style="18" customWidth="1"/>
    <col min="5109" max="5109" width="14.453125" style="18" customWidth="1"/>
    <col min="5110" max="5110" width="7.26953125" style="18" customWidth="1"/>
    <col min="5111" max="5111" width="5.54296875" style="18" customWidth="1"/>
    <col min="5112" max="5112" width="9" style="18" customWidth="1"/>
    <col min="5113" max="5114" width="9.81640625" style="18" customWidth="1"/>
    <col min="5115" max="5115" width="11.1796875" style="18" customWidth="1"/>
    <col min="5116" max="5116" width="2.81640625" style="18" customWidth="1"/>
    <col min="5117" max="5117" width="3.54296875" style="18" customWidth="1"/>
    <col min="5118" max="5362" width="9.1796875" style="18"/>
    <col min="5363" max="5363" width="8.7265625" style="18" customWidth="1"/>
    <col min="5364" max="5364" width="9.81640625" style="18" customWidth="1"/>
    <col min="5365" max="5365" width="14.453125" style="18" customWidth="1"/>
    <col min="5366" max="5366" width="7.26953125" style="18" customWidth="1"/>
    <col min="5367" max="5367" width="5.54296875" style="18" customWidth="1"/>
    <col min="5368" max="5368" width="9" style="18" customWidth="1"/>
    <col min="5369" max="5370" width="9.81640625" style="18" customWidth="1"/>
    <col min="5371" max="5371" width="11.1796875" style="18" customWidth="1"/>
    <col min="5372" max="5372" width="2.81640625" style="18" customWidth="1"/>
    <col min="5373" max="5373" width="3.54296875" style="18" customWidth="1"/>
    <col min="5374" max="5618" width="9.1796875" style="18"/>
    <col min="5619" max="5619" width="8.7265625" style="18" customWidth="1"/>
    <col min="5620" max="5620" width="9.81640625" style="18" customWidth="1"/>
    <col min="5621" max="5621" width="14.453125" style="18" customWidth="1"/>
    <col min="5622" max="5622" width="7.26953125" style="18" customWidth="1"/>
    <col min="5623" max="5623" width="5.54296875" style="18" customWidth="1"/>
    <col min="5624" max="5624" width="9" style="18" customWidth="1"/>
    <col min="5625" max="5626" width="9.81640625" style="18" customWidth="1"/>
    <col min="5627" max="5627" width="11.1796875" style="18" customWidth="1"/>
    <col min="5628" max="5628" width="2.81640625" style="18" customWidth="1"/>
    <col min="5629" max="5629" width="3.54296875" style="18" customWidth="1"/>
    <col min="5630" max="5874" width="9.1796875" style="18"/>
    <col min="5875" max="5875" width="8.7265625" style="18" customWidth="1"/>
    <col min="5876" max="5876" width="9.81640625" style="18" customWidth="1"/>
    <col min="5877" max="5877" width="14.453125" style="18" customWidth="1"/>
    <col min="5878" max="5878" width="7.26953125" style="18" customWidth="1"/>
    <col min="5879" max="5879" width="5.54296875" style="18" customWidth="1"/>
    <col min="5880" max="5880" width="9" style="18" customWidth="1"/>
    <col min="5881" max="5882" width="9.81640625" style="18" customWidth="1"/>
    <col min="5883" max="5883" width="11.1796875" style="18" customWidth="1"/>
    <col min="5884" max="5884" width="2.81640625" style="18" customWidth="1"/>
    <col min="5885" max="5885" width="3.54296875" style="18" customWidth="1"/>
    <col min="5886" max="6130" width="9.1796875" style="18"/>
    <col min="6131" max="6131" width="8.7265625" style="18" customWidth="1"/>
    <col min="6132" max="6132" width="9.81640625" style="18" customWidth="1"/>
    <col min="6133" max="6133" width="14.453125" style="18" customWidth="1"/>
    <col min="6134" max="6134" width="7.26953125" style="18" customWidth="1"/>
    <col min="6135" max="6135" width="5.54296875" style="18" customWidth="1"/>
    <col min="6136" max="6136" width="9" style="18" customWidth="1"/>
    <col min="6137" max="6138" width="9.81640625" style="18" customWidth="1"/>
    <col min="6139" max="6139" width="11.1796875" style="18" customWidth="1"/>
    <col min="6140" max="6140" width="2.81640625" style="18" customWidth="1"/>
    <col min="6141" max="6141" width="3.54296875" style="18" customWidth="1"/>
    <col min="6142" max="6386" width="9.1796875" style="18"/>
    <col min="6387" max="6387" width="8.7265625" style="18" customWidth="1"/>
    <col min="6388" max="6388" width="9.81640625" style="18" customWidth="1"/>
    <col min="6389" max="6389" width="14.453125" style="18" customWidth="1"/>
    <col min="6390" max="6390" width="7.26953125" style="18" customWidth="1"/>
    <col min="6391" max="6391" width="5.54296875" style="18" customWidth="1"/>
    <col min="6392" max="6392" width="9" style="18" customWidth="1"/>
    <col min="6393" max="6394" width="9.81640625" style="18" customWidth="1"/>
    <col min="6395" max="6395" width="11.1796875" style="18" customWidth="1"/>
    <col min="6396" max="6396" width="2.81640625" style="18" customWidth="1"/>
    <col min="6397" max="6397" width="3.54296875" style="18" customWidth="1"/>
    <col min="6398" max="6642" width="9.1796875" style="18"/>
    <col min="6643" max="6643" width="8.7265625" style="18" customWidth="1"/>
    <col min="6644" max="6644" width="9.81640625" style="18" customWidth="1"/>
    <col min="6645" max="6645" width="14.453125" style="18" customWidth="1"/>
    <col min="6646" max="6646" width="7.26953125" style="18" customWidth="1"/>
    <col min="6647" max="6647" width="5.54296875" style="18" customWidth="1"/>
    <col min="6648" max="6648" width="9" style="18" customWidth="1"/>
    <col min="6649" max="6650" width="9.81640625" style="18" customWidth="1"/>
    <col min="6651" max="6651" width="11.1796875" style="18" customWidth="1"/>
    <col min="6652" max="6652" width="2.81640625" style="18" customWidth="1"/>
    <col min="6653" max="6653" width="3.54296875" style="18" customWidth="1"/>
    <col min="6654" max="6898" width="9.1796875" style="18"/>
    <col min="6899" max="6899" width="8.7265625" style="18" customWidth="1"/>
    <col min="6900" max="6900" width="9.81640625" style="18" customWidth="1"/>
    <col min="6901" max="6901" width="14.453125" style="18" customWidth="1"/>
    <col min="6902" max="6902" width="7.26953125" style="18" customWidth="1"/>
    <col min="6903" max="6903" width="5.54296875" style="18" customWidth="1"/>
    <col min="6904" max="6904" width="9" style="18" customWidth="1"/>
    <col min="6905" max="6906" width="9.81640625" style="18" customWidth="1"/>
    <col min="6907" max="6907" width="11.1796875" style="18" customWidth="1"/>
    <col min="6908" max="6908" width="2.81640625" style="18" customWidth="1"/>
    <col min="6909" max="6909" width="3.54296875" style="18" customWidth="1"/>
    <col min="6910" max="7154" width="9.1796875" style="18"/>
    <col min="7155" max="7155" width="8.7265625" style="18" customWidth="1"/>
    <col min="7156" max="7156" width="9.81640625" style="18" customWidth="1"/>
    <col min="7157" max="7157" width="14.453125" style="18" customWidth="1"/>
    <col min="7158" max="7158" width="7.26953125" style="18" customWidth="1"/>
    <col min="7159" max="7159" width="5.54296875" style="18" customWidth="1"/>
    <col min="7160" max="7160" width="9" style="18" customWidth="1"/>
    <col min="7161" max="7162" width="9.81640625" style="18" customWidth="1"/>
    <col min="7163" max="7163" width="11.1796875" style="18" customWidth="1"/>
    <col min="7164" max="7164" width="2.81640625" style="18" customWidth="1"/>
    <col min="7165" max="7165" width="3.54296875" style="18" customWidth="1"/>
    <col min="7166" max="7410" width="9.1796875" style="18"/>
    <col min="7411" max="7411" width="8.7265625" style="18" customWidth="1"/>
    <col min="7412" max="7412" width="9.81640625" style="18" customWidth="1"/>
    <col min="7413" max="7413" width="14.453125" style="18" customWidth="1"/>
    <col min="7414" max="7414" width="7.26953125" style="18" customWidth="1"/>
    <col min="7415" max="7415" width="5.54296875" style="18" customWidth="1"/>
    <col min="7416" max="7416" width="9" style="18" customWidth="1"/>
    <col min="7417" max="7418" width="9.81640625" style="18" customWidth="1"/>
    <col min="7419" max="7419" width="11.1796875" style="18" customWidth="1"/>
    <col min="7420" max="7420" width="2.81640625" style="18" customWidth="1"/>
    <col min="7421" max="7421" width="3.54296875" style="18" customWidth="1"/>
    <col min="7422" max="7666" width="9.1796875" style="18"/>
    <col min="7667" max="7667" width="8.7265625" style="18" customWidth="1"/>
    <col min="7668" max="7668" width="9.81640625" style="18" customWidth="1"/>
    <col min="7669" max="7669" width="14.453125" style="18" customWidth="1"/>
    <col min="7670" max="7670" width="7.26953125" style="18" customWidth="1"/>
    <col min="7671" max="7671" width="5.54296875" style="18" customWidth="1"/>
    <col min="7672" max="7672" width="9" style="18" customWidth="1"/>
    <col min="7673" max="7674" width="9.81640625" style="18" customWidth="1"/>
    <col min="7675" max="7675" width="11.1796875" style="18" customWidth="1"/>
    <col min="7676" max="7676" width="2.81640625" style="18" customWidth="1"/>
    <col min="7677" max="7677" width="3.54296875" style="18" customWidth="1"/>
    <col min="7678" max="7922" width="9.1796875" style="18"/>
    <col min="7923" max="7923" width="8.7265625" style="18" customWidth="1"/>
    <col min="7924" max="7924" width="9.81640625" style="18" customWidth="1"/>
    <col min="7925" max="7925" width="14.453125" style="18" customWidth="1"/>
    <col min="7926" max="7926" width="7.26953125" style="18" customWidth="1"/>
    <col min="7927" max="7927" width="5.54296875" style="18" customWidth="1"/>
    <col min="7928" max="7928" width="9" style="18" customWidth="1"/>
    <col min="7929" max="7930" width="9.81640625" style="18" customWidth="1"/>
    <col min="7931" max="7931" width="11.1796875" style="18" customWidth="1"/>
    <col min="7932" max="7932" width="2.81640625" style="18" customWidth="1"/>
    <col min="7933" max="7933" width="3.54296875" style="18" customWidth="1"/>
    <col min="7934" max="8178" width="9.1796875" style="18"/>
    <col min="8179" max="8179" width="8.7265625" style="18" customWidth="1"/>
    <col min="8180" max="8180" width="9.81640625" style="18" customWidth="1"/>
    <col min="8181" max="8181" width="14.453125" style="18" customWidth="1"/>
    <col min="8182" max="8182" width="7.26953125" style="18" customWidth="1"/>
    <col min="8183" max="8183" width="5.54296875" style="18" customWidth="1"/>
    <col min="8184" max="8184" width="9" style="18" customWidth="1"/>
    <col min="8185" max="8186" width="9.81640625" style="18" customWidth="1"/>
    <col min="8187" max="8187" width="11.1796875" style="18" customWidth="1"/>
    <col min="8188" max="8188" width="2.81640625" style="18" customWidth="1"/>
    <col min="8189" max="8189" width="3.54296875" style="18" customWidth="1"/>
    <col min="8190" max="8434" width="9.1796875" style="18"/>
    <col min="8435" max="8435" width="8.7265625" style="18" customWidth="1"/>
    <col min="8436" max="8436" width="9.81640625" style="18" customWidth="1"/>
    <col min="8437" max="8437" width="14.453125" style="18" customWidth="1"/>
    <col min="8438" max="8438" width="7.26953125" style="18" customWidth="1"/>
    <col min="8439" max="8439" width="5.54296875" style="18" customWidth="1"/>
    <col min="8440" max="8440" width="9" style="18" customWidth="1"/>
    <col min="8441" max="8442" width="9.81640625" style="18" customWidth="1"/>
    <col min="8443" max="8443" width="11.1796875" style="18" customWidth="1"/>
    <col min="8444" max="8444" width="2.81640625" style="18" customWidth="1"/>
    <col min="8445" max="8445" width="3.54296875" style="18" customWidth="1"/>
    <col min="8446" max="8690" width="9.1796875" style="18"/>
    <col min="8691" max="8691" width="8.7265625" style="18" customWidth="1"/>
    <col min="8692" max="8692" width="9.81640625" style="18" customWidth="1"/>
    <col min="8693" max="8693" width="14.453125" style="18" customWidth="1"/>
    <col min="8694" max="8694" width="7.26953125" style="18" customWidth="1"/>
    <col min="8695" max="8695" width="5.54296875" style="18" customWidth="1"/>
    <col min="8696" max="8696" width="9" style="18" customWidth="1"/>
    <col min="8697" max="8698" width="9.81640625" style="18" customWidth="1"/>
    <col min="8699" max="8699" width="11.1796875" style="18" customWidth="1"/>
    <col min="8700" max="8700" width="2.81640625" style="18" customWidth="1"/>
    <col min="8701" max="8701" width="3.54296875" style="18" customWidth="1"/>
    <col min="8702" max="8946" width="9.1796875" style="18"/>
    <col min="8947" max="8947" width="8.7265625" style="18" customWidth="1"/>
    <col min="8948" max="8948" width="9.81640625" style="18" customWidth="1"/>
    <col min="8949" max="8949" width="14.453125" style="18" customWidth="1"/>
    <col min="8950" max="8950" width="7.26953125" style="18" customWidth="1"/>
    <col min="8951" max="8951" width="5.54296875" style="18" customWidth="1"/>
    <col min="8952" max="8952" width="9" style="18" customWidth="1"/>
    <col min="8953" max="8954" width="9.81640625" style="18" customWidth="1"/>
    <col min="8955" max="8955" width="11.1796875" style="18" customWidth="1"/>
    <col min="8956" max="8956" width="2.81640625" style="18" customWidth="1"/>
    <col min="8957" max="8957" width="3.54296875" style="18" customWidth="1"/>
    <col min="8958" max="9202" width="9.1796875" style="18"/>
    <col min="9203" max="9203" width="8.7265625" style="18" customWidth="1"/>
    <col min="9204" max="9204" width="9.81640625" style="18" customWidth="1"/>
    <col min="9205" max="9205" width="14.453125" style="18" customWidth="1"/>
    <col min="9206" max="9206" width="7.26953125" style="18" customWidth="1"/>
    <col min="9207" max="9207" width="5.54296875" style="18" customWidth="1"/>
    <col min="9208" max="9208" width="9" style="18" customWidth="1"/>
    <col min="9209" max="9210" width="9.81640625" style="18" customWidth="1"/>
    <col min="9211" max="9211" width="11.1796875" style="18" customWidth="1"/>
    <col min="9212" max="9212" width="2.81640625" style="18" customWidth="1"/>
    <col min="9213" max="9213" width="3.54296875" style="18" customWidth="1"/>
    <col min="9214" max="9458" width="9.1796875" style="18"/>
    <col min="9459" max="9459" width="8.7265625" style="18" customWidth="1"/>
    <col min="9460" max="9460" width="9.81640625" style="18" customWidth="1"/>
    <col min="9461" max="9461" width="14.453125" style="18" customWidth="1"/>
    <col min="9462" max="9462" width="7.26953125" style="18" customWidth="1"/>
    <col min="9463" max="9463" width="5.54296875" style="18" customWidth="1"/>
    <col min="9464" max="9464" width="9" style="18" customWidth="1"/>
    <col min="9465" max="9466" width="9.81640625" style="18" customWidth="1"/>
    <col min="9467" max="9467" width="11.1796875" style="18" customWidth="1"/>
    <col min="9468" max="9468" width="2.81640625" style="18" customWidth="1"/>
    <col min="9469" max="9469" width="3.54296875" style="18" customWidth="1"/>
    <col min="9470" max="9714" width="9.1796875" style="18"/>
    <col min="9715" max="9715" width="8.7265625" style="18" customWidth="1"/>
    <col min="9716" max="9716" width="9.81640625" style="18" customWidth="1"/>
    <col min="9717" max="9717" width="14.453125" style="18" customWidth="1"/>
    <col min="9718" max="9718" width="7.26953125" style="18" customWidth="1"/>
    <col min="9719" max="9719" width="5.54296875" style="18" customWidth="1"/>
    <col min="9720" max="9720" width="9" style="18" customWidth="1"/>
    <col min="9721" max="9722" width="9.81640625" style="18" customWidth="1"/>
    <col min="9723" max="9723" width="11.1796875" style="18" customWidth="1"/>
    <col min="9724" max="9724" width="2.81640625" style="18" customWidth="1"/>
    <col min="9725" max="9725" width="3.54296875" style="18" customWidth="1"/>
    <col min="9726" max="9970" width="9.1796875" style="18"/>
    <col min="9971" max="9971" width="8.7265625" style="18" customWidth="1"/>
    <col min="9972" max="9972" width="9.81640625" style="18" customWidth="1"/>
    <col min="9973" max="9973" width="14.453125" style="18" customWidth="1"/>
    <col min="9974" max="9974" width="7.26953125" style="18" customWidth="1"/>
    <col min="9975" max="9975" width="5.54296875" style="18" customWidth="1"/>
    <col min="9976" max="9976" width="9" style="18" customWidth="1"/>
    <col min="9977" max="9978" width="9.81640625" style="18" customWidth="1"/>
    <col min="9979" max="9979" width="11.1796875" style="18" customWidth="1"/>
    <col min="9980" max="9980" width="2.81640625" style="18" customWidth="1"/>
    <col min="9981" max="9981" width="3.54296875" style="18" customWidth="1"/>
    <col min="9982" max="10226" width="9.1796875" style="18"/>
    <col min="10227" max="10227" width="8.7265625" style="18" customWidth="1"/>
    <col min="10228" max="10228" width="9.81640625" style="18" customWidth="1"/>
    <col min="10229" max="10229" width="14.453125" style="18" customWidth="1"/>
    <col min="10230" max="10230" width="7.26953125" style="18" customWidth="1"/>
    <col min="10231" max="10231" width="5.54296875" style="18" customWidth="1"/>
    <col min="10232" max="10232" width="9" style="18" customWidth="1"/>
    <col min="10233" max="10234" width="9.81640625" style="18" customWidth="1"/>
    <col min="10235" max="10235" width="11.1796875" style="18" customWidth="1"/>
    <col min="10236" max="10236" width="2.81640625" style="18" customWidth="1"/>
    <col min="10237" max="10237" width="3.54296875" style="18" customWidth="1"/>
    <col min="10238" max="10482" width="9.1796875" style="18"/>
    <col min="10483" max="10483" width="8.7265625" style="18" customWidth="1"/>
    <col min="10484" max="10484" width="9.81640625" style="18" customWidth="1"/>
    <col min="10485" max="10485" width="14.453125" style="18" customWidth="1"/>
    <col min="10486" max="10486" width="7.26953125" style="18" customWidth="1"/>
    <col min="10487" max="10487" width="5.54296875" style="18" customWidth="1"/>
    <col min="10488" max="10488" width="9" style="18" customWidth="1"/>
    <col min="10489" max="10490" width="9.81640625" style="18" customWidth="1"/>
    <col min="10491" max="10491" width="11.1796875" style="18" customWidth="1"/>
    <col min="10492" max="10492" width="2.81640625" style="18" customWidth="1"/>
    <col min="10493" max="10493" width="3.54296875" style="18" customWidth="1"/>
    <col min="10494" max="10738" width="9.1796875" style="18"/>
    <col min="10739" max="10739" width="8.7265625" style="18" customWidth="1"/>
    <col min="10740" max="10740" width="9.81640625" style="18" customWidth="1"/>
    <col min="10741" max="10741" width="14.453125" style="18" customWidth="1"/>
    <col min="10742" max="10742" width="7.26953125" style="18" customWidth="1"/>
    <col min="10743" max="10743" width="5.54296875" style="18" customWidth="1"/>
    <col min="10744" max="10744" width="9" style="18" customWidth="1"/>
    <col min="10745" max="10746" width="9.81640625" style="18" customWidth="1"/>
    <col min="10747" max="10747" width="11.1796875" style="18" customWidth="1"/>
    <col min="10748" max="10748" width="2.81640625" style="18" customWidth="1"/>
    <col min="10749" max="10749" width="3.54296875" style="18" customWidth="1"/>
    <col min="10750" max="10994" width="9.1796875" style="18"/>
    <col min="10995" max="10995" width="8.7265625" style="18" customWidth="1"/>
    <col min="10996" max="10996" width="9.81640625" style="18" customWidth="1"/>
    <col min="10997" max="10997" width="14.453125" style="18" customWidth="1"/>
    <col min="10998" max="10998" width="7.26953125" style="18" customWidth="1"/>
    <col min="10999" max="10999" width="5.54296875" style="18" customWidth="1"/>
    <col min="11000" max="11000" width="9" style="18" customWidth="1"/>
    <col min="11001" max="11002" width="9.81640625" style="18" customWidth="1"/>
    <col min="11003" max="11003" width="11.1796875" style="18" customWidth="1"/>
    <col min="11004" max="11004" width="2.81640625" style="18" customWidth="1"/>
    <col min="11005" max="11005" width="3.54296875" style="18" customWidth="1"/>
    <col min="11006" max="11250" width="9.1796875" style="18"/>
    <col min="11251" max="11251" width="8.7265625" style="18" customWidth="1"/>
    <col min="11252" max="11252" width="9.81640625" style="18" customWidth="1"/>
    <col min="11253" max="11253" width="14.453125" style="18" customWidth="1"/>
    <col min="11254" max="11254" width="7.26953125" style="18" customWidth="1"/>
    <col min="11255" max="11255" width="5.54296875" style="18" customWidth="1"/>
    <col min="11256" max="11256" width="9" style="18" customWidth="1"/>
    <col min="11257" max="11258" width="9.81640625" style="18" customWidth="1"/>
    <col min="11259" max="11259" width="11.1796875" style="18" customWidth="1"/>
    <col min="11260" max="11260" width="2.81640625" style="18" customWidth="1"/>
    <col min="11261" max="11261" width="3.54296875" style="18" customWidth="1"/>
    <col min="11262" max="11506" width="9.1796875" style="18"/>
    <col min="11507" max="11507" width="8.7265625" style="18" customWidth="1"/>
    <col min="11508" max="11508" width="9.81640625" style="18" customWidth="1"/>
    <col min="11509" max="11509" width="14.453125" style="18" customWidth="1"/>
    <col min="11510" max="11510" width="7.26953125" style="18" customWidth="1"/>
    <col min="11511" max="11511" width="5.54296875" style="18" customWidth="1"/>
    <col min="11512" max="11512" width="9" style="18" customWidth="1"/>
    <col min="11513" max="11514" width="9.81640625" style="18" customWidth="1"/>
    <col min="11515" max="11515" width="11.1796875" style="18" customWidth="1"/>
    <col min="11516" max="11516" width="2.81640625" style="18" customWidth="1"/>
    <col min="11517" max="11517" width="3.54296875" style="18" customWidth="1"/>
    <col min="11518" max="11762" width="9.1796875" style="18"/>
    <col min="11763" max="11763" width="8.7265625" style="18" customWidth="1"/>
    <col min="11764" max="11764" width="9.81640625" style="18" customWidth="1"/>
    <col min="11765" max="11765" width="14.453125" style="18" customWidth="1"/>
    <col min="11766" max="11766" width="7.26953125" style="18" customWidth="1"/>
    <col min="11767" max="11767" width="5.54296875" style="18" customWidth="1"/>
    <col min="11768" max="11768" width="9" style="18" customWidth="1"/>
    <col min="11769" max="11770" width="9.81640625" style="18" customWidth="1"/>
    <col min="11771" max="11771" width="11.1796875" style="18" customWidth="1"/>
    <col min="11772" max="11772" width="2.81640625" style="18" customWidth="1"/>
    <col min="11773" max="11773" width="3.54296875" style="18" customWidth="1"/>
    <col min="11774" max="12018" width="9.1796875" style="18"/>
    <col min="12019" max="12019" width="8.7265625" style="18" customWidth="1"/>
    <col min="12020" max="12020" width="9.81640625" style="18" customWidth="1"/>
    <col min="12021" max="12021" width="14.453125" style="18" customWidth="1"/>
    <col min="12022" max="12022" width="7.26953125" style="18" customWidth="1"/>
    <col min="12023" max="12023" width="5.54296875" style="18" customWidth="1"/>
    <col min="12024" max="12024" width="9" style="18" customWidth="1"/>
    <col min="12025" max="12026" width="9.81640625" style="18" customWidth="1"/>
    <col min="12027" max="12027" width="11.1796875" style="18" customWidth="1"/>
    <col min="12028" max="12028" width="2.81640625" style="18" customWidth="1"/>
    <col min="12029" max="12029" width="3.54296875" style="18" customWidth="1"/>
    <col min="12030" max="12274" width="9.1796875" style="18"/>
    <col min="12275" max="12275" width="8.7265625" style="18" customWidth="1"/>
    <col min="12276" max="12276" width="9.81640625" style="18" customWidth="1"/>
    <col min="12277" max="12277" width="14.453125" style="18" customWidth="1"/>
    <col min="12278" max="12278" width="7.26953125" style="18" customWidth="1"/>
    <col min="12279" max="12279" width="5.54296875" style="18" customWidth="1"/>
    <col min="12280" max="12280" width="9" style="18" customWidth="1"/>
    <col min="12281" max="12282" width="9.81640625" style="18" customWidth="1"/>
    <col min="12283" max="12283" width="11.1796875" style="18" customWidth="1"/>
    <col min="12284" max="12284" width="2.81640625" style="18" customWidth="1"/>
    <col min="12285" max="12285" width="3.54296875" style="18" customWidth="1"/>
    <col min="12286" max="12530" width="9.1796875" style="18"/>
    <col min="12531" max="12531" width="8.7265625" style="18" customWidth="1"/>
    <col min="12532" max="12532" width="9.81640625" style="18" customWidth="1"/>
    <col min="12533" max="12533" width="14.453125" style="18" customWidth="1"/>
    <col min="12534" max="12534" width="7.26953125" style="18" customWidth="1"/>
    <col min="12535" max="12535" width="5.54296875" style="18" customWidth="1"/>
    <col min="12536" max="12536" width="9" style="18" customWidth="1"/>
    <col min="12537" max="12538" width="9.81640625" style="18" customWidth="1"/>
    <col min="12539" max="12539" width="11.1796875" style="18" customWidth="1"/>
    <col min="12540" max="12540" width="2.81640625" style="18" customWidth="1"/>
    <col min="12541" max="12541" width="3.54296875" style="18" customWidth="1"/>
    <col min="12542" max="12786" width="9.1796875" style="18"/>
    <col min="12787" max="12787" width="8.7265625" style="18" customWidth="1"/>
    <col min="12788" max="12788" width="9.81640625" style="18" customWidth="1"/>
    <col min="12789" max="12789" width="14.453125" style="18" customWidth="1"/>
    <col min="12790" max="12790" width="7.26953125" style="18" customWidth="1"/>
    <col min="12791" max="12791" width="5.54296875" style="18" customWidth="1"/>
    <col min="12792" max="12792" width="9" style="18" customWidth="1"/>
    <col min="12793" max="12794" width="9.81640625" style="18" customWidth="1"/>
    <col min="12795" max="12795" width="11.1796875" style="18" customWidth="1"/>
    <col min="12796" max="12796" width="2.81640625" style="18" customWidth="1"/>
    <col min="12797" max="12797" width="3.54296875" style="18" customWidth="1"/>
    <col min="12798" max="13042" width="9.1796875" style="18"/>
    <col min="13043" max="13043" width="8.7265625" style="18" customWidth="1"/>
    <col min="13044" max="13044" width="9.81640625" style="18" customWidth="1"/>
    <col min="13045" max="13045" width="14.453125" style="18" customWidth="1"/>
    <col min="13046" max="13046" width="7.26953125" style="18" customWidth="1"/>
    <col min="13047" max="13047" width="5.54296875" style="18" customWidth="1"/>
    <col min="13048" max="13048" width="9" style="18" customWidth="1"/>
    <col min="13049" max="13050" width="9.81640625" style="18" customWidth="1"/>
    <col min="13051" max="13051" width="11.1796875" style="18" customWidth="1"/>
    <col min="13052" max="13052" width="2.81640625" style="18" customWidth="1"/>
    <col min="13053" max="13053" width="3.54296875" style="18" customWidth="1"/>
    <col min="13054" max="13298" width="9.1796875" style="18"/>
    <col min="13299" max="13299" width="8.7265625" style="18" customWidth="1"/>
    <col min="13300" max="13300" width="9.81640625" style="18" customWidth="1"/>
    <col min="13301" max="13301" width="14.453125" style="18" customWidth="1"/>
    <col min="13302" max="13302" width="7.26953125" style="18" customWidth="1"/>
    <col min="13303" max="13303" width="5.54296875" style="18" customWidth="1"/>
    <col min="13304" max="13304" width="9" style="18" customWidth="1"/>
    <col min="13305" max="13306" width="9.81640625" style="18" customWidth="1"/>
    <col min="13307" max="13307" width="11.1796875" style="18" customWidth="1"/>
    <col min="13308" max="13308" width="2.81640625" style="18" customWidth="1"/>
    <col min="13309" max="13309" width="3.54296875" style="18" customWidth="1"/>
    <col min="13310" max="13554" width="9.1796875" style="18"/>
    <col min="13555" max="13555" width="8.7265625" style="18" customWidth="1"/>
    <col min="13556" max="13556" width="9.81640625" style="18" customWidth="1"/>
    <col min="13557" max="13557" width="14.453125" style="18" customWidth="1"/>
    <col min="13558" max="13558" width="7.26953125" style="18" customWidth="1"/>
    <col min="13559" max="13559" width="5.54296875" style="18" customWidth="1"/>
    <col min="13560" max="13560" width="9" style="18" customWidth="1"/>
    <col min="13561" max="13562" width="9.81640625" style="18" customWidth="1"/>
    <col min="13563" max="13563" width="11.1796875" style="18" customWidth="1"/>
    <col min="13564" max="13564" width="2.81640625" style="18" customWidth="1"/>
    <col min="13565" max="13565" width="3.54296875" style="18" customWidth="1"/>
    <col min="13566" max="13810" width="9.1796875" style="18"/>
    <col min="13811" max="13811" width="8.7265625" style="18" customWidth="1"/>
    <col min="13812" max="13812" width="9.81640625" style="18" customWidth="1"/>
    <col min="13813" max="13813" width="14.453125" style="18" customWidth="1"/>
    <col min="13814" max="13814" width="7.26953125" style="18" customWidth="1"/>
    <col min="13815" max="13815" width="5.54296875" style="18" customWidth="1"/>
    <col min="13816" max="13816" width="9" style="18" customWidth="1"/>
    <col min="13817" max="13818" width="9.81640625" style="18" customWidth="1"/>
    <col min="13819" max="13819" width="11.1796875" style="18" customWidth="1"/>
    <col min="13820" max="13820" width="2.81640625" style="18" customWidth="1"/>
    <col min="13821" max="13821" width="3.54296875" style="18" customWidth="1"/>
    <col min="13822" max="14066" width="9.1796875" style="18"/>
    <col min="14067" max="14067" width="8.7265625" style="18" customWidth="1"/>
    <col min="14068" max="14068" width="9.81640625" style="18" customWidth="1"/>
    <col min="14069" max="14069" width="14.453125" style="18" customWidth="1"/>
    <col min="14070" max="14070" width="7.26953125" style="18" customWidth="1"/>
    <col min="14071" max="14071" width="5.54296875" style="18" customWidth="1"/>
    <col min="14072" max="14072" width="9" style="18" customWidth="1"/>
    <col min="14073" max="14074" width="9.81640625" style="18" customWidth="1"/>
    <col min="14075" max="14075" width="11.1796875" style="18" customWidth="1"/>
    <col min="14076" max="14076" width="2.81640625" style="18" customWidth="1"/>
    <col min="14077" max="14077" width="3.54296875" style="18" customWidth="1"/>
    <col min="14078" max="14322" width="9.1796875" style="18"/>
    <col min="14323" max="14323" width="8.7265625" style="18" customWidth="1"/>
    <col min="14324" max="14324" width="9.81640625" style="18" customWidth="1"/>
    <col min="14325" max="14325" width="14.453125" style="18" customWidth="1"/>
    <col min="14326" max="14326" width="7.26953125" style="18" customWidth="1"/>
    <col min="14327" max="14327" width="5.54296875" style="18" customWidth="1"/>
    <col min="14328" max="14328" width="9" style="18" customWidth="1"/>
    <col min="14329" max="14330" width="9.81640625" style="18" customWidth="1"/>
    <col min="14331" max="14331" width="11.1796875" style="18" customWidth="1"/>
    <col min="14332" max="14332" width="2.81640625" style="18" customWidth="1"/>
    <col min="14333" max="14333" width="3.54296875" style="18" customWidth="1"/>
    <col min="14334" max="14578" width="9.1796875" style="18"/>
    <col min="14579" max="14579" width="8.7265625" style="18" customWidth="1"/>
    <col min="14580" max="14580" width="9.81640625" style="18" customWidth="1"/>
    <col min="14581" max="14581" width="14.453125" style="18" customWidth="1"/>
    <col min="14582" max="14582" width="7.26953125" style="18" customWidth="1"/>
    <col min="14583" max="14583" width="5.54296875" style="18" customWidth="1"/>
    <col min="14584" max="14584" width="9" style="18" customWidth="1"/>
    <col min="14585" max="14586" width="9.81640625" style="18" customWidth="1"/>
    <col min="14587" max="14587" width="11.1796875" style="18" customWidth="1"/>
    <col min="14588" max="14588" width="2.81640625" style="18" customWidth="1"/>
    <col min="14589" max="14589" width="3.54296875" style="18" customWidth="1"/>
    <col min="14590" max="14834" width="9.1796875" style="18"/>
    <col min="14835" max="14835" width="8.7265625" style="18" customWidth="1"/>
    <col min="14836" max="14836" width="9.81640625" style="18" customWidth="1"/>
    <col min="14837" max="14837" width="14.453125" style="18" customWidth="1"/>
    <col min="14838" max="14838" width="7.26953125" style="18" customWidth="1"/>
    <col min="14839" max="14839" width="5.54296875" style="18" customWidth="1"/>
    <col min="14840" max="14840" width="9" style="18" customWidth="1"/>
    <col min="14841" max="14842" width="9.81640625" style="18" customWidth="1"/>
    <col min="14843" max="14843" width="11.1796875" style="18" customWidth="1"/>
    <col min="14844" max="14844" width="2.81640625" style="18" customWidth="1"/>
    <col min="14845" max="14845" width="3.54296875" style="18" customWidth="1"/>
    <col min="14846" max="15090" width="9.1796875" style="18"/>
    <col min="15091" max="15091" width="8.7265625" style="18" customWidth="1"/>
    <col min="15092" max="15092" width="9.81640625" style="18" customWidth="1"/>
    <col min="15093" max="15093" width="14.453125" style="18" customWidth="1"/>
    <col min="15094" max="15094" width="7.26953125" style="18" customWidth="1"/>
    <col min="15095" max="15095" width="5.54296875" style="18" customWidth="1"/>
    <col min="15096" max="15096" width="9" style="18" customWidth="1"/>
    <col min="15097" max="15098" width="9.81640625" style="18" customWidth="1"/>
    <col min="15099" max="15099" width="11.1796875" style="18" customWidth="1"/>
    <col min="15100" max="15100" width="2.81640625" style="18" customWidth="1"/>
    <col min="15101" max="15101" width="3.54296875" style="18" customWidth="1"/>
    <col min="15102" max="15346" width="9.1796875" style="18"/>
    <col min="15347" max="15347" width="8.7265625" style="18" customWidth="1"/>
    <col min="15348" max="15348" width="9.81640625" style="18" customWidth="1"/>
    <col min="15349" max="15349" width="14.453125" style="18" customWidth="1"/>
    <col min="15350" max="15350" width="7.26953125" style="18" customWidth="1"/>
    <col min="15351" max="15351" width="5.54296875" style="18" customWidth="1"/>
    <col min="15352" max="15352" width="9" style="18" customWidth="1"/>
    <col min="15353" max="15354" width="9.81640625" style="18" customWidth="1"/>
    <col min="15355" max="15355" width="11.1796875" style="18" customWidth="1"/>
    <col min="15356" max="15356" width="2.81640625" style="18" customWidth="1"/>
    <col min="15357" max="15357" width="3.54296875" style="18" customWidth="1"/>
    <col min="15358" max="15602" width="9.1796875" style="18"/>
    <col min="15603" max="15603" width="8.7265625" style="18" customWidth="1"/>
    <col min="15604" max="15604" width="9.81640625" style="18" customWidth="1"/>
    <col min="15605" max="15605" width="14.453125" style="18" customWidth="1"/>
    <col min="15606" max="15606" width="7.26953125" style="18" customWidth="1"/>
    <col min="15607" max="15607" width="5.54296875" style="18" customWidth="1"/>
    <col min="15608" max="15608" width="9" style="18" customWidth="1"/>
    <col min="15609" max="15610" width="9.81640625" style="18" customWidth="1"/>
    <col min="15611" max="15611" width="11.1796875" style="18" customWidth="1"/>
    <col min="15612" max="15612" width="2.81640625" style="18" customWidth="1"/>
    <col min="15613" max="15613" width="3.54296875" style="18" customWidth="1"/>
    <col min="15614" max="15858" width="9.1796875" style="18"/>
    <col min="15859" max="15859" width="8.7265625" style="18" customWidth="1"/>
    <col min="15860" max="15860" width="9.81640625" style="18" customWidth="1"/>
    <col min="15861" max="15861" width="14.453125" style="18" customWidth="1"/>
    <col min="15862" max="15862" width="7.26953125" style="18" customWidth="1"/>
    <col min="15863" max="15863" width="5.54296875" style="18" customWidth="1"/>
    <col min="15864" max="15864" width="9" style="18" customWidth="1"/>
    <col min="15865" max="15866" width="9.81640625" style="18" customWidth="1"/>
    <col min="15867" max="15867" width="11.1796875" style="18" customWidth="1"/>
    <col min="15868" max="15868" width="2.81640625" style="18" customWidth="1"/>
    <col min="15869" max="15869" width="3.54296875" style="18" customWidth="1"/>
    <col min="15870" max="16114" width="9.1796875" style="18"/>
    <col min="16115" max="16115" width="8.7265625" style="18" customWidth="1"/>
    <col min="16116" max="16116" width="9.81640625" style="18" customWidth="1"/>
    <col min="16117" max="16117" width="14.453125" style="18" customWidth="1"/>
    <col min="16118" max="16118" width="7.26953125" style="18" customWidth="1"/>
    <col min="16119" max="16119" width="5.54296875" style="18" customWidth="1"/>
    <col min="16120" max="16120" width="9" style="18" customWidth="1"/>
    <col min="16121" max="16122" width="9.81640625" style="18" customWidth="1"/>
    <col min="16123" max="16123" width="11.1796875" style="18" customWidth="1"/>
    <col min="16124" max="16124" width="2.81640625" style="18" customWidth="1"/>
    <col min="16125" max="16125" width="3.54296875" style="18" customWidth="1"/>
    <col min="16126" max="16384" width="9.1796875" style="18"/>
  </cols>
  <sheetData>
    <row r="1" spans="1:12" ht="46.5" customHeight="1" x14ac:dyDescent="0.35">
      <c r="A1" s="172" t="s">
        <v>234</v>
      </c>
      <c r="B1" s="172"/>
      <c r="C1" s="172"/>
      <c r="D1" s="172"/>
      <c r="E1" s="172"/>
      <c r="F1" s="172"/>
      <c r="G1" s="172"/>
      <c r="H1" s="172"/>
    </row>
    <row r="2" spans="1:12" ht="16.5" customHeight="1" x14ac:dyDescent="0.35">
      <c r="A2" s="173" t="s">
        <v>0</v>
      </c>
      <c r="B2" s="173"/>
      <c r="C2" s="173"/>
      <c r="D2" s="173"/>
      <c r="E2" s="173"/>
      <c r="F2" s="173"/>
      <c r="G2" s="173"/>
      <c r="H2" s="173"/>
    </row>
    <row r="3" spans="1:12" x14ac:dyDescent="0.35">
      <c r="A3" s="130" t="s">
        <v>1</v>
      </c>
      <c r="B3" s="130"/>
      <c r="C3" s="130"/>
      <c r="D3" s="130"/>
      <c r="E3" s="130" t="str">
        <f ca="1">TEXT(TODAY(),"DD/MM/YYYY")</f>
        <v>10/07/2025</v>
      </c>
      <c r="F3" s="130"/>
      <c r="G3" s="130"/>
      <c r="H3" s="130"/>
    </row>
    <row r="4" spans="1:12" ht="15" customHeight="1" x14ac:dyDescent="0.35">
      <c r="A4" s="130" t="s">
        <v>2</v>
      </c>
      <c r="B4" s="130"/>
      <c r="C4" s="130"/>
      <c r="D4" s="130"/>
      <c r="E4" s="130" t="s">
        <v>169</v>
      </c>
      <c r="F4" s="130"/>
      <c r="G4" s="130"/>
      <c r="H4" s="130"/>
    </row>
    <row r="5" spans="1:12" x14ac:dyDescent="0.35">
      <c r="A5" s="130" t="s">
        <v>3</v>
      </c>
      <c r="B5" s="130"/>
      <c r="C5" s="130"/>
      <c r="D5" s="130"/>
      <c r="E5" s="175">
        <v>45847</v>
      </c>
      <c r="F5" s="130"/>
      <c r="G5" s="130"/>
      <c r="H5" s="130"/>
    </row>
    <row r="6" spans="1:12" ht="16.5" customHeight="1" x14ac:dyDescent="0.35">
      <c r="A6" s="130" t="s">
        <v>4</v>
      </c>
      <c r="B6" s="130"/>
      <c r="C6" s="130"/>
      <c r="D6" s="130"/>
      <c r="E6" s="165" t="s">
        <v>211</v>
      </c>
      <c r="F6" s="130"/>
      <c r="G6" s="130"/>
      <c r="H6" s="130"/>
    </row>
    <row r="7" spans="1:12" ht="15" customHeight="1" x14ac:dyDescent="0.35">
      <c r="A7" s="130" t="s">
        <v>5</v>
      </c>
      <c r="B7" s="130"/>
      <c r="C7" s="130"/>
      <c r="D7" s="130"/>
      <c r="E7" s="130" t="str">
        <f>E6</f>
        <v>Shreenathji Enterprises</v>
      </c>
      <c r="F7" s="130"/>
      <c r="G7" s="130"/>
      <c r="H7" s="130"/>
    </row>
    <row r="8" spans="1:12" x14ac:dyDescent="0.35">
      <c r="A8" s="130" t="s">
        <v>6</v>
      </c>
      <c r="B8" s="130"/>
      <c r="C8" s="130"/>
      <c r="D8" s="130"/>
      <c r="E8" s="174" t="s">
        <v>170</v>
      </c>
      <c r="F8" s="174"/>
      <c r="G8" s="174"/>
      <c r="H8" s="174"/>
    </row>
    <row r="9" spans="1:12" x14ac:dyDescent="0.35">
      <c r="A9" s="130" t="s">
        <v>123</v>
      </c>
      <c r="B9" s="130"/>
      <c r="C9" s="130"/>
      <c r="D9" s="130"/>
      <c r="E9" s="130">
        <v>9428617913</v>
      </c>
      <c r="F9" s="130"/>
      <c r="G9" s="130"/>
      <c r="H9" s="130"/>
    </row>
    <row r="10" spans="1:12" x14ac:dyDescent="0.35">
      <c r="A10" s="130" t="s">
        <v>235</v>
      </c>
      <c r="B10" s="130"/>
      <c r="C10" s="130"/>
      <c r="D10" s="130"/>
      <c r="E10" s="130" t="s">
        <v>30</v>
      </c>
      <c r="F10" s="130"/>
      <c r="G10" s="130"/>
      <c r="H10" s="130"/>
      <c r="I10" s="130" t="s">
        <v>236</v>
      </c>
      <c r="J10" s="130"/>
      <c r="K10" s="130"/>
      <c r="L10" s="130"/>
    </row>
    <row r="11" spans="1:12" x14ac:dyDescent="0.35">
      <c r="A11" s="130" t="s">
        <v>7</v>
      </c>
      <c r="B11" s="130"/>
      <c r="C11" s="130"/>
      <c r="D11" s="130"/>
      <c r="E11" s="165" t="s">
        <v>184</v>
      </c>
      <c r="F11" s="130"/>
      <c r="G11" s="130"/>
      <c r="H11" s="130"/>
    </row>
    <row r="12" spans="1:12" x14ac:dyDescent="0.35">
      <c r="A12" s="92" t="s">
        <v>8</v>
      </c>
      <c r="B12" s="92"/>
      <c r="C12" s="92"/>
      <c r="D12" s="92"/>
      <c r="E12" s="169" t="s">
        <v>174</v>
      </c>
      <c r="F12" s="169"/>
      <c r="G12" s="169"/>
      <c r="H12" s="169"/>
    </row>
    <row r="13" spans="1:12" x14ac:dyDescent="0.35">
      <c r="A13" s="92" t="s">
        <v>9</v>
      </c>
      <c r="B13" s="92"/>
      <c r="C13" s="92"/>
      <c r="D13" s="92"/>
      <c r="E13" s="165" t="s">
        <v>171</v>
      </c>
      <c r="F13" s="130"/>
      <c r="G13" s="130"/>
      <c r="H13" s="130"/>
    </row>
    <row r="14" spans="1:12" ht="35.25" customHeight="1" x14ac:dyDescent="0.35">
      <c r="A14" s="131" t="s">
        <v>10</v>
      </c>
      <c r="B14" s="131"/>
      <c r="C14" s="13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Delta Greens, Plot No.8, Sector - 4, near Ranumata Mandir, Internal Road, Pushpak Nagar, Dapoli, Dapoli, Panvel, Raigad - 410206.</v>
      </c>
      <c r="D14" s="131"/>
      <c r="E14" s="131"/>
      <c r="F14" s="131"/>
      <c r="G14" s="131"/>
      <c r="H14" s="131"/>
    </row>
    <row r="15" spans="1:12" x14ac:dyDescent="0.35">
      <c r="A15" s="165" t="s">
        <v>175</v>
      </c>
      <c r="B15" s="165"/>
      <c r="C15" s="165" t="s">
        <v>190</v>
      </c>
      <c r="D15" s="165"/>
      <c r="E15" s="165"/>
      <c r="F15" s="165"/>
      <c r="G15" s="165"/>
      <c r="H15" s="165"/>
    </row>
    <row r="16" spans="1:12" ht="15.75" customHeight="1" x14ac:dyDescent="0.35">
      <c r="A16" s="136" t="s">
        <v>166</v>
      </c>
      <c r="B16" s="138"/>
      <c r="C16" s="136" t="s">
        <v>176</v>
      </c>
      <c r="D16" s="137"/>
      <c r="E16" s="137"/>
      <c r="F16" s="137"/>
      <c r="G16" s="137"/>
      <c r="H16" s="138"/>
    </row>
    <row r="17" spans="1:8" ht="15.75" customHeight="1" x14ac:dyDescent="0.35">
      <c r="A17" s="131" t="s">
        <v>11</v>
      </c>
      <c r="B17" s="131"/>
      <c r="C17" s="130" t="s">
        <v>173</v>
      </c>
      <c r="D17" s="130"/>
      <c r="E17" s="131" t="s">
        <v>167</v>
      </c>
      <c r="F17" s="131"/>
      <c r="G17" s="165" t="s">
        <v>177</v>
      </c>
      <c r="H17" s="165"/>
    </row>
    <row r="18" spans="1:8" x14ac:dyDescent="0.35">
      <c r="A18" s="92" t="s">
        <v>13</v>
      </c>
      <c r="B18" s="92"/>
      <c r="C18" s="165" t="s">
        <v>177</v>
      </c>
      <c r="D18" s="165"/>
      <c r="E18" s="131" t="s">
        <v>12</v>
      </c>
      <c r="F18" s="131"/>
      <c r="G18" s="168" t="s">
        <v>179</v>
      </c>
      <c r="H18" s="168"/>
    </row>
    <row r="19" spans="1:8" x14ac:dyDescent="0.35">
      <c r="A19" s="92" t="s">
        <v>74</v>
      </c>
      <c r="B19" s="92"/>
      <c r="C19" s="165" t="s">
        <v>178</v>
      </c>
      <c r="D19" s="165"/>
      <c r="E19" s="131" t="s">
        <v>14</v>
      </c>
      <c r="F19" s="131"/>
      <c r="G19" s="165">
        <v>410206</v>
      </c>
      <c r="H19" s="165"/>
    </row>
    <row r="20" spans="1:8" ht="32.25" customHeight="1" x14ac:dyDescent="0.35">
      <c r="A20" s="92" t="s">
        <v>124</v>
      </c>
      <c r="B20" s="92"/>
      <c r="C20" s="165" t="s">
        <v>181</v>
      </c>
      <c r="D20" s="165"/>
      <c r="E20" s="131" t="s">
        <v>15</v>
      </c>
      <c r="F20" s="131"/>
      <c r="G20" s="165" t="s">
        <v>191</v>
      </c>
      <c r="H20" s="165"/>
    </row>
    <row r="21" spans="1:8" ht="15" customHeight="1" x14ac:dyDescent="0.35">
      <c r="A21" s="131" t="s">
        <v>77</v>
      </c>
      <c r="B21" s="131"/>
      <c r="C21" s="131"/>
      <c r="D21" s="131"/>
      <c r="E21" s="130" t="s">
        <v>16</v>
      </c>
      <c r="F21" s="130"/>
      <c r="G21" s="130"/>
      <c r="H21" s="130"/>
    </row>
    <row r="22" spans="1:8" ht="18.75" customHeight="1" x14ac:dyDescent="0.35">
      <c r="A22" s="131"/>
      <c r="B22" s="131"/>
      <c r="C22" s="131"/>
      <c r="D22" s="131"/>
      <c r="E22" s="130"/>
      <c r="F22" s="130"/>
      <c r="G22" s="130"/>
      <c r="H22" s="130"/>
    </row>
    <row r="23" spans="1:8" ht="15" customHeight="1" x14ac:dyDescent="0.35">
      <c r="A23" s="131" t="s">
        <v>17</v>
      </c>
      <c r="B23" s="131"/>
      <c r="C23" s="131"/>
      <c r="D23" s="131"/>
      <c r="E23" s="165" t="s">
        <v>18</v>
      </c>
      <c r="F23" s="165"/>
      <c r="G23" s="165"/>
      <c r="H23" s="165"/>
    </row>
    <row r="24" spans="1:8" ht="15" customHeight="1" x14ac:dyDescent="0.35">
      <c r="A24" s="92" t="s">
        <v>19</v>
      </c>
      <c r="B24" s="92"/>
      <c r="C24" s="92"/>
      <c r="D24" s="92"/>
      <c r="E24" s="165" t="str">
        <f>IF(AND(G18="Mumbai"),"Upper Class","Middle Class")</f>
        <v>Middle Class</v>
      </c>
      <c r="F24" s="165"/>
      <c r="G24" s="165"/>
      <c r="H24" s="165"/>
    </row>
    <row r="25" spans="1:8" x14ac:dyDescent="0.35">
      <c r="A25" s="92" t="s">
        <v>20</v>
      </c>
      <c r="B25" s="92"/>
      <c r="C25" s="92"/>
      <c r="D25" s="92"/>
      <c r="E25" s="165" t="s">
        <v>21</v>
      </c>
      <c r="F25" s="165"/>
      <c r="G25" s="165"/>
      <c r="H25" s="165"/>
    </row>
    <row r="26" spans="1:8" ht="15.75" customHeight="1" x14ac:dyDescent="0.35">
      <c r="A26" s="92" t="s">
        <v>22</v>
      </c>
      <c r="B26" s="92"/>
      <c r="C26" s="92"/>
      <c r="D26" s="92"/>
      <c r="E26" s="165" t="str">
        <f>IF(AND(G18="Mumbai"),"Developed","Developing")</f>
        <v>Developing</v>
      </c>
      <c r="F26" s="165"/>
      <c r="G26" s="165"/>
      <c r="H26" s="165"/>
    </row>
    <row r="27" spans="1:8" x14ac:dyDescent="0.35">
      <c r="A27" s="92" t="s">
        <v>23</v>
      </c>
      <c r="B27" s="92"/>
      <c r="C27" s="92"/>
      <c r="D27" s="92"/>
      <c r="E27" s="165" t="s">
        <v>24</v>
      </c>
      <c r="F27" s="165"/>
      <c r="G27" s="165"/>
      <c r="H27" s="165"/>
    </row>
    <row r="28" spans="1:8" ht="15.75" customHeight="1" x14ac:dyDescent="0.35">
      <c r="A28" s="92" t="s">
        <v>82</v>
      </c>
      <c r="B28" s="92"/>
      <c r="C28" s="92"/>
      <c r="D28" s="92"/>
      <c r="E28" s="165" t="s">
        <v>83</v>
      </c>
      <c r="F28" s="165"/>
      <c r="G28" s="165"/>
      <c r="H28" s="165"/>
    </row>
    <row r="29" spans="1:8" ht="15" customHeight="1" x14ac:dyDescent="0.35">
      <c r="A29" s="92" t="s">
        <v>33</v>
      </c>
      <c r="B29" s="92"/>
      <c r="C29" s="92"/>
      <c r="D29" s="92"/>
      <c r="E29" s="165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165"/>
      <c r="G29" s="165"/>
      <c r="H29" s="165"/>
    </row>
    <row r="30" spans="1:8" ht="15.75" customHeight="1" x14ac:dyDescent="0.35">
      <c r="A30" s="92" t="s">
        <v>94</v>
      </c>
      <c r="B30" s="92"/>
      <c r="C30" s="92"/>
      <c r="D30" s="92"/>
      <c r="E30" s="165" t="s">
        <v>34</v>
      </c>
      <c r="F30" s="165"/>
      <c r="G30" s="165"/>
      <c r="H30" s="165"/>
    </row>
    <row r="31" spans="1:8" s="19" customFormat="1" x14ac:dyDescent="0.35">
      <c r="A31" s="167" t="s">
        <v>95</v>
      </c>
      <c r="B31" s="167"/>
      <c r="C31" s="166" t="s">
        <v>29</v>
      </c>
      <c r="D31" s="166"/>
      <c r="E31" s="166"/>
      <c r="F31" s="166" t="s">
        <v>31</v>
      </c>
      <c r="G31" s="166"/>
      <c r="H31" s="166"/>
    </row>
    <row r="32" spans="1:8" s="19" customFormat="1" x14ac:dyDescent="0.35">
      <c r="A32" s="154" t="s">
        <v>25</v>
      </c>
      <c r="B32" s="154" t="s">
        <v>30</v>
      </c>
      <c r="C32" s="155" t="s">
        <v>30</v>
      </c>
      <c r="D32" s="155"/>
      <c r="E32" s="155"/>
      <c r="F32" s="155" t="s">
        <v>172</v>
      </c>
      <c r="G32" s="155"/>
      <c r="H32" s="155"/>
    </row>
    <row r="33" spans="1:8" x14ac:dyDescent="0.35">
      <c r="A33" s="154" t="s">
        <v>26</v>
      </c>
      <c r="B33" s="154" t="s">
        <v>30</v>
      </c>
      <c r="C33" s="155" t="s">
        <v>30</v>
      </c>
      <c r="D33" s="155"/>
      <c r="E33" s="155"/>
      <c r="F33" s="155" t="s">
        <v>173</v>
      </c>
      <c r="G33" s="155"/>
      <c r="H33" s="155"/>
    </row>
    <row r="34" spans="1:8" s="19" customFormat="1" x14ac:dyDescent="0.35">
      <c r="A34" s="154" t="s">
        <v>28</v>
      </c>
      <c r="B34" s="154" t="s">
        <v>30</v>
      </c>
      <c r="C34" s="155" t="s">
        <v>30</v>
      </c>
      <c r="D34" s="155"/>
      <c r="E34" s="155"/>
      <c r="F34" s="155" t="s">
        <v>172</v>
      </c>
      <c r="G34" s="155"/>
      <c r="H34" s="155"/>
    </row>
    <row r="35" spans="1:8" x14ac:dyDescent="0.35">
      <c r="A35" s="154" t="s">
        <v>27</v>
      </c>
      <c r="B35" s="154" t="s">
        <v>30</v>
      </c>
      <c r="C35" s="155" t="s">
        <v>30</v>
      </c>
      <c r="D35" s="155"/>
      <c r="E35" s="155"/>
      <c r="F35" s="155" t="s">
        <v>173</v>
      </c>
      <c r="G35" s="155"/>
      <c r="H35" s="155"/>
    </row>
    <row r="36" spans="1:8" x14ac:dyDescent="0.35">
      <c r="A36" s="92" t="s">
        <v>32</v>
      </c>
      <c r="B36" s="92"/>
      <c r="C36" s="92"/>
      <c r="D36" s="92"/>
      <c r="E36" s="92"/>
      <c r="F36" s="92"/>
      <c r="G36" s="92"/>
      <c r="H36" s="92"/>
    </row>
    <row r="37" spans="1:8" ht="15.75" customHeight="1" x14ac:dyDescent="0.35">
      <c r="A37" s="92" t="s">
        <v>230</v>
      </c>
      <c r="B37" s="92"/>
      <c r="C37" s="84" t="s">
        <v>237</v>
      </c>
      <c r="D37" s="84"/>
      <c r="E37" s="84"/>
      <c r="F37" s="84"/>
      <c r="G37" s="84"/>
      <c r="H37" s="84"/>
    </row>
    <row r="38" spans="1:8" x14ac:dyDescent="0.35">
      <c r="A38" s="92" t="s">
        <v>165</v>
      </c>
      <c r="B38" s="92"/>
      <c r="C38" s="93" t="s">
        <v>232</v>
      </c>
      <c r="D38" s="94"/>
      <c r="E38" s="94"/>
      <c r="F38" s="94"/>
      <c r="G38" s="94"/>
      <c r="H38" s="94"/>
    </row>
    <row r="39" spans="1:8" x14ac:dyDescent="0.35">
      <c r="A39" s="157" t="s">
        <v>35</v>
      </c>
      <c r="B39" s="157"/>
      <c r="C39" s="157"/>
      <c r="D39" s="157"/>
      <c r="E39" s="157"/>
      <c r="F39" s="157"/>
      <c r="G39" s="157"/>
      <c r="H39" s="157"/>
    </row>
    <row r="40" spans="1:8" x14ac:dyDescent="0.35">
      <c r="A40" s="92" t="s">
        <v>36</v>
      </c>
      <c r="B40" s="92"/>
      <c r="C40" s="92"/>
      <c r="D40" s="92"/>
      <c r="E40" s="156">
        <v>3409.67</v>
      </c>
      <c r="F40" s="156"/>
      <c r="G40" s="156"/>
      <c r="H40" s="156"/>
    </row>
    <row r="41" spans="1:8" x14ac:dyDescent="0.35">
      <c r="A41" s="92" t="s">
        <v>37</v>
      </c>
      <c r="B41" s="92"/>
      <c r="C41" s="92"/>
      <c r="D41" s="92"/>
      <c r="E41" s="128">
        <v>2</v>
      </c>
      <c r="F41" s="128"/>
      <c r="G41" s="128"/>
      <c r="H41" s="128"/>
    </row>
    <row r="42" spans="1:8" x14ac:dyDescent="0.35">
      <c r="A42" s="92" t="s">
        <v>38</v>
      </c>
      <c r="B42" s="92"/>
      <c r="C42" s="92"/>
      <c r="D42" s="92"/>
      <c r="E42" s="128">
        <f>E44/E40-E41</f>
        <v>1.2148853114817562</v>
      </c>
      <c r="F42" s="128"/>
      <c r="G42" s="128"/>
      <c r="H42" s="128"/>
    </row>
    <row r="43" spans="1:8" x14ac:dyDescent="0.35">
      <c r="A43" s="92" t="s">
        <v>39</v>
      </c>
      <c r="B43" s="92"/>
      <c r="C43" s="92"/>
      <c r="D43" s="92"/>
      <c r="E43" s="128">
        <f>E41+E42</f>
        <v>3.2148853114817562</v>
      </c>
      <c r="F43" s="128"/>
      <c r="G43" s="128"/>
      <c r="H43" s="128"/>
    </row>
    <row r="44" spans="1:8" x14ac:dyDescent="0.35">
      <c r="A44" s="92" t="s">
        <v>93</v>
      </c>
      <c r="B44" s="92"/>
      <c r="C44" s="92"/>
      <c r="D44" s="92"/>
      <c r="E44" s="129">
        <v>10961.698</v>
      </c>
      <c r="F44" s="129"/>
      <c r="G44" s="129"/>
      <c r="H44" s="129"/>
    </row>
    <row r="45" spans="1:8" x14ac:dyDescent="0.35">
      <c r="A45" s="130" t="s">
        <v>40</v>
      </c>
      <c r="B45" s="130"/>
      <c r="C45" s="130"/>
      <c r="D45" s="130"/>
      <c r="E45" s="130" t="s">
        <v>182</v>
      </c>
      <c r="F45" s="130"/>
      <c r="G45" s="130"/>
      <c r="H45" s="130"/>
    </row>
    <row r="46" spans="1:8" x14ac:dyDescent="0.35">
      <c r="A46" s="157" t="s">
        <v>41</v>
      </c>
      <c r="B46" s="157"/>
      <c r="C46" s="157"/>
      <c r="D46" s="157"/>
      <c r="E46" s="157"/>
      <c r="F46" s="157"/>
      <c r="G46" s="157"/>
      <c r="H46" s="157"/>
    </row>
    <row r="47" spans="1:8" ht="33.75" customHeight="1" x14ac:dyDescent="0.35">
      <c r="A47" s="109" t="s">
        <v>152</v>
      </c>
      <c r="B47" s="110"/>
      <c r="C47" s="111" t="s">
        <v>192</v>
      </c>
      <c r="D47" s="112"/>
      <c r="E47" s="112"/>
      <c r="F47" s="112"/>
      <c r="G47" s="112"/>
      <c r="H47" s="113"/>
    </row>
    <row r="48" spans="1:8" ht="35.25" customHeight="1" x14ac:dyDescent="0.35">
      <c r="A48" s="109" t="s">
        <v>42</v>
      </c>
      <c r="B48" s="110"/>
      <c r="C48" s="136" t="s">
        <v>238</v>
      </c>
      <c r="D48" s="137"/>
      <c r="E48" s="138"/>
      <c r="F48" s="60" t="s">
        <v>43</v>
      </c>
      <c r="G48" s="139">
        <v>44883</v>
      </c>
      <c r="H48" s="138"/>
    </row>
    <row r="49" spans="1:9" ht="33" customHeight="1" x14ac:dyDescent="0.35">
      <c r="A49" s="109" t="s">
        <v>44</v>
      </c>
      <c r="B49" s="110"/>
      <c r="C49" s="136" t="str">
        <f>C48</f>
        <v>CIDCO/BP-17925/TPO(NM &amp; K)/
2021/10062</v>
      </c>
      <c r="D49" s="137"/>
      <c r="E49" s="138"/>
      <c r="F49" s="60" t="s">
        <v>43</v>
      </c>
      <c r="G49" s="139">
        <f>G48</f>
        <v>44883</v>
      </c>
      <c r="H49" s="140"/>
    </row>
    <row r="50" spans="1:9" s="20" customFormat="1" ht="33.75" customHeight="1" x14ac:dyDescent="0.35">
      <c r="A50" s="161" t="s">
        <v>156</v>
      </c>
      <c r="B50" s="162"/>
      <c r="C50" s="136" t="s">
        <v>238</v>
      </c>
      <c r="D50" s="137"/>
      <c r="E50" s="138"/>
      <c r="F50" s="60" t="s">
        <v>43</v>
      </c>
      <c r="G50" s="139">
        <v>44882</v>
      </c>
      <c r="H50" s="140"/>
    </row>
    <row r="51" spans="1:9" s="20" customFormat="1" x14ac:dyDescent="0.35">
      <c r="A51" s="163"/>
      <c r="B51" s="164"/>
      <c r="C51" s="136" t="s">
        <v>228</v>
      </c>
      <c r="D51" s="137"/>
      <c r="E51" s="137"/>
      <c r="F51" s="137"/>
      <c r="G51" s="137"/>
      <c r="H51" s="138"/>
    </row>
    <row r="52" spans="1:9" x14ac:dyDescent="0.35">
      <c r="A52" s="184" t="s">
        <v>168</v>
      </c>
      <c r="B52" s="185"/>
      <c r="C52" s="145" t="s">
        <v>30</v>
      </c>
      <c r="D52" s="146"/>
      <c r="E52" s="147"/>
      <c r="F52" s="61" t="s">
        <v>43</v>
      </c>
      <c r="G52" s="134" t="s">
        <v>30</v>
      </c>
      <c r="H52" s="113"/>
    </row>
    <row r="53" spans="1:9" hidden="1" x14ac:dyDescent="0.35">
      <c r="A53" s="186"/>
      <c r="B53" s="187"/>
      <c r="C53" s="188" t="s">
        <v>30</v>
      </c>
      <c r="D53" s="189"/>
      <c r="E53" s="189"/>
      <c r="F53" s="189"/>
      <c r="G53" s="189"/>
      <c r="H53" s="190"/>
    </row>
    <row r="54" spans="1:9" x14ac:dyDescent="0.35">
      <c r="A54" s="148" t="s">
        <v>46</v>
      </c>
      <c r="B54" s="148"/>
      <c r="C54" s="148"/>
      <c r="D54" s="148"/>
      <c r="E54" s="148"/>
      <c r="F54" s="148"/>
      <c r="G54" s="148"/>
      <c r="H54" s="148"/>
    </row>
    <row r="55" spans="1:9" x14ac:dyDescent="0.35">
      <c r="A55" s="131" t="s">
        <v>92</v>
      </c>
      <c r="B55" s="131"/>
      <c r="C55" s="131"/>
      <c r="D55" s="92">
        <f>E44</f>
        <v>10961.698</v>
      </c>
      <c r="E55" s="92"/>
      <c r="F55" s="92"/>
      <c r="G55" s="92"/>
      <c r="H55" s="92"/>
    </row>
    <row r="56" spans="1:9" s="75" customFormat="1" x14ac:dyDescent="0.35">
      <c r="A56" s="132" t="s">
        <v>47</v>
      </c>
      <c r="B56" s="133"/>
      <c r="C56" s="133"/>
      <c r="D56" s="133" t="s">
        <v>227</v>
      </c>
      <c r="E56" s="133"/>
      <c r="F56" s="133"/>
      <c r="G56" s="133"/>
      <c r="H56" s="133"/>
      <c r="I56" s="74"/>
    </row>
    <row r="57" spans="1:9" x14ac:dyDescent="0.35">
      <c r="A57" s="141" t="s">
        <v>48</v>
      </c>
      <c r="B57" s="142"/>
      <c r="C57" s="160"/>
      <c r="D57" s="158" t="s">
        <v>228</v>
      </c>
      <c r="E57" s="159"/>
      <c r="F57" s="159"/>
      <c r="G57" s="159"/>
      <c r="H57" s="159"/>
      <c r="I57" s="21"/>
    </row>
    <row r="58" spans="1:9" ht="15.75" customHeight="1" x14ac:dyDescent="0.35">
      <c r="A58" s="141" t="s">
        <v>90</v>
      </c>
      <c r="B58" s="142"/>
      <c r="C58" s="142"/>
      <c r="D58" s="136" t="s">
        <v>228</v>
      </c>
      <c r="E58" s="143"/>
      <c r="F58" s="143"/>
      <c r="G58" s="143"/>
      <c r="H58" s="144"/>
      <c r="I58" s="21"/>
    </row>
    <row r="59" spans="1:9" ht="15.75" customHeight="1" x14ac:dyDescent="0.35">
      <c r="A59" s="92" t="s">
        <v>45</v>
      </c>
      <c r="B59" s="92"/>
      <c r="C59" s="92"/>
      <c r="D59" s="135" t="s">
        <v>183</v>
      </c>
      <c r="E59" s="135"/>
      <c r="F59" s="135"/>
      <c r="G59" s="135"/>
      <c r="H59" s="135"/>
    </row>
    <row r="60" spans="1:9" ht="15.75" customHeight="1" x14ac:dyDescent="0.35">
      <c r="A60" s="92" t="s">
        <v>88</v>
      </c>
      <c r="B60" s="92"/>
      <c r="C60" s="92"/>
      <c r="D60" s="181" t="str">
        <f>(IF(G52="NA","60 Years After Completion",IF(G52&lt;&gt;"NA",""&amp;60-ROUNDDOWN((E3-G52)/360,0)&amp;" Years"," ")))</f>
        <v>60 Years After Completion</v>
      </c>
      <c r="E60" s="181"/>
      <c r="F60" s="181"/>
      <c r="G60" s="181"/>
      <c r="H60" s="181"/>
    </row>
    <row r="61" spans="1:9" ht="15.75" customHeight="1" x14ac:dyDescent="0.35">
      <c r="A61" s="92" t="s">
        <v>89</v>
      </c>
      <c r="B61" s="92"/>
      <c r="C61" s="92"/>
      <c r="D61" s="131" t="s">
        <v>24</v>
      </c>
      <c r="E61" s="131"/>
      <c r="F61" s="131"/>
      <c r="G61" s="131"/>
      <c r="H61" s="131"/>
    </row>
    <row r="62" spans="1:9" ht="15" customHeight="1" x14ac:dyDescent="0.35">
      <c r="A62" s="92" t="s">
        <v>75</v>
      </c>
      <c r="B62" s="92"/>
      <c r="C62" s="92"/>
      <c r="D62" s="165" t="s">
        <v>231</v>
      </c>
      <c r="E62" s="131"/>
      <c r="F62" s="131"/>
      <c r="G62" s="131"/>
      <c r="H62" s="131"/>
    </row>
    <row r="63" spans="1:9" x14ac:dyDescent="0.35">
      <c r="A63" s="131" t="s">
        <v>150</v>
      </c>
      <c r="B63" s="131"/>
      <c r="C63" s="131"/>
      <c r="D63" s="131" t="s">
        <v>30</v>
      </c>
      <c r="E63" s="131"/>
      <c r="F63" s="131"/>
      <c r="G63" s="131"/>
      <c r="H63" s="131"/>
      <c r="I63" s="22"/>
    </row>
    <row r="64" spans="1:9" ht="15.75" customHeight="1" x14ac:dyDescent="0.35">
      <c r="A64" s="180" t="s">
        <v>87</v>
      </c>
      <c r="B64" s="180"/>
      <c r="C64" s="180"/>
      <c r="D64" s="158" t="str">
        <f ca="1">(IF(G70&gt;95%,"Nothing",IF(G70&gt;0%,"Cement, Aggregate, Steel, etc",IF(G70=0%,"Work not yet Started"))))</f>
        <v>Cement, Aggregate, Steel, etc</v>
      </c>
      <c r="E64" s="158"/>
      <c r="F64" s="158"/>
      <c r="G64" s="158"/>
      <c r="H64" s="158"/>
    </row>
    <row r="65" spans="1:10" ht="33.75" customHeight="1" thickBot="1" x14ac:dyDescent="0.4">
      <c r="A65" s="179" t="s">
        <v>118</v>
      </c>
      <c r="B65" s="179"/>
      <c r="C65" s="179"/>
      <c r="D65" s="158" t="str">
        <f ca="1">(IF(D64="Nothing","Yes",IF(D64="Cement, Aggregate, Steel, etc","Under Construction",IF(D64="Work not yet Started","Work not yet Started"))))</f>
        <v>Under Construction</v>
      </c>
      <c r="E65" s="158"/>
      <c r="F65" s="158" t="str">
        <f ca="1">(IF(D64="Nothing","Yes",IF(D64="Cement, Aggregate, Steel, etc","Under Construction",IF(D64="Work not yet Started","Work not yet Started"))))</f>
        <v>Under Construction</v>
      </c>
      <c r="G65" s="158"/>
      <c r="H65" s="158"/>
    </row>
    <row r="66" spans="1:10" ht="15.75" customHeight="1" x14ac:dyDescent="0.35">
      <c r="A66" s="149" t="s">
        <v>142</v>
      </c>
      <c r="B66" s="150"/>
      <c r="C66" s="151" t="str">
        <f>D58</f>
        <v>Wing A &amp; B = B + Gr + P + 2nd to 12th Floor</v>
      </c>
      <c r="D66" s="152"/>
      <c r="E66" s="152"/>
      <c r="F66" s="152"/>
      <c r="G66" s="152"/>
      <c r="H66" s="153"/>
      <c r="I66" s="49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Plaster, Flooring, Painting Completed, Finishing upto 4 Floor Completed</v>
      </c>
      <c r="J66" s="32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Finishing upto 4 Floor</v>
      </c>
    </row>
    <row r="67" spans="1:10" x14ac:dyDescent="0.35">
      <c r="A67" s="17" t="s">
        <v>144</v>
      </c>
      <c r="B67" s="44">
        <v>1</v>
      </c>
      <c r="C67" s="44" t="s">
        <v>73</v>
      </c>
      <c r="D67" s="44">
        <v>1</v>
      </c>
      <c r="E67" s="44" t="s">
        <v>72</v>
      </c>
      <c r="F67" s="44">
        <v>0</v>
      </c>
      <c r="G67" s="44" t="s">
        <v>81</v>
      </c>
      <c r="H67" s="44">
        <f ca="1">--TRIM(RIGHT(SUBSTITUTE(LEFT(C66,_xlfn.AGGREGATE(16,6,FIND({0,1,2,3,4,5,6,7,8,9},C66,ROW(INDIRECT("1:"&amp;LEN(C66)))),1))," ",REPT(" ",LEN(C66))),LEN(C66)))</f>
        <v>12</v>
      </c>
      <c r="I67" s="33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Flooring, Painting</v>
      </c>
      <c r="J67" s="34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2" customHeight="1" x14ac:dyDescent="0.35">
      <c r="A68" s="191" t="s">
        <v>91</v>
      </c>
      <c r="B68" s="174"/>
      <c r="C68" s="145" t="str">
        <f ca="1">I66</f>
        <v>Excavation, Plinth, RCC Slab, Brickwork, Internal Plaster, External Plaster, Flooring, Painting Completed, Finishing upto 4 Floor Completed</v>
      </c>
      <c r="D68" s="146"/>
      <c r="E68" s="146"/>
      <c r="F68" s="146"/>
      <c r="G68" s="146"/>
      <c r="H68" s="192"/>
      <c r="I68" s="33" t="str">
        <f ca="1">IF(I67&lt;&gt;""," Completed","")</f>
        <v xml:space="preserve"> Completed</v>
      </c>
      <c r="J68" s="34" t="str">
        <f ca="1">IF(J66&lt;&gt;"","Completed","")</f>
        <v>Completed</v>
      </c>
    </row>
    <row r="69" spans="1:10" ht="15.75" customHeight="1" x14ac:dyDescent="0.35">
      <c r="A69" s="193" t="s">
        <v>49</v>
      </c>
      <c r="B69" s="194"/>
      <c r="C69" s="55" t="s">
        <v>141</v>
      </c>
      <c r="D69" s="56" t="s">
        <v>84</v>
      </c>
      <c r="E69" s="195" t="s">
        <v>86</v>
      </c>
      <c r="F69" s="196"/>
      <c r="G69" s="195" t="s">
        <v>85</v>
      </c>
      <c r="H69" s="197"/>
      <c r="I69" s="15" t="s">
        <v>143</v>
      </c>
      <c r="J69" s="50">
        <f ca="1">H67*25%</f>
        <v>3</v>
      </c>
    </row>
    <row r="70" spans="1:10" x14ac:dyDescent="0.35">
      <c r="A70" s="193" t="s">
        <v>130</v>
      </c>
      <c r="B70" s="194"/>
      <c r="C70" s="57">
        <f ca="1">H67</f>
        <v>12</v>
      </c>
      <c r="D70" s="58">
        <f ca="1">((100/H67)*C70)/100</f>
        <v>1</v>
      </c>
      <c r="E70" s="198">
        <f ca="1">(((C71/H67*10)+(40/(D67+F67+H67)*C72)+(7.5/(H67)*C73)+(7.5/(H67)*C74)+(10/H67*C75)+(10/H67*C76)+(5/H67*C77)+(5/H67*C78)+(5/H67*C79))/100)</f>
        <v>0.91666666666666674</v>
      </c>
      <c r="F70" s="199"/>
      <c r="G70" s="198">
        <f ca="1">((((C70/H67)*20)+((C71/H67)*25)+(30/(H67+F67+D67)*C72)+(5/H67*C73)+(5/H67*C74)+(5/H67*C75)+(5/H67*C76)+(0/H67*C77)+(0/H67*C78)+(5/H67*C79))/100)</f>
        <v>0.95</v>
      </c>
      <c r="H70" s="202"/>
      <c r="I70" s="15" t="s">
        <v>101</v>
      </c>
      <c r="J70" s="51">
        <f ca="1">H67*50%</f>
        <v>6</v>
      </c>
    </row>
    <row r="71" spans="1:10" x14ac:dyDescent="0.35">
      <c r="A71" s="193" t="s">
        <v>50</v>
      </c>
      <c r="B71" s="194"/>
      <c r="C71" s="59">
        <f ca="1">J79</f>
        <v>12</v>
      </c>
      <c r="D71" s="58">
        <f ca="1">((100/H67)*C71)/100</f>
        <v>1</v>
      </c>
      <c r="E71" s="200"/>
      <c r="F71" s="201"/>
      <c r="G71" s="200"/>
      <c r="H71" s="203"/>
      <c r="I71" s="15" t="s">
        <v>102</v>
      </c>
      <c r="J71" s="51">
        <f ca="1">H67</f>
        <v>12</v>
      </c>
    </row>
    <row r="72" spans="1:10" ht="15.75" customHeight="1" x14ac:dyDescent="0.35">
      <c r="A72" s="193" t="s">
        <v>131</v>
      </c>
      <c r="B72" s="194"/>
      <c r="C72" s="59">
        <v>13</v>
      </c>
      <c r="D72" s="58">
        <f ca="1">((100/(D67+F67+H67))*C72)/100</f>
        <v>1</v>
      </c>
      <c r="E72" s="200"/>
      <c r="F72" s="201"/>
      <c r="G72" s="200"/>
      <c r="H72" s="203"/>
      <c r="I72" s="15" t="s">
        <v>103</v>
      </c>
      <c r="J72" s="52">
        <f ca="1">(IF(B67&gt;1,(H67/(B67+2)),H67/4))</f>
        <v>3</v>
      </c>
    </row>
    <row r="73" spans="1:10" ht="15.75" customHeight="1" x14ac:dyDescent="0.35">
      <c r="A73" s="193" t="s">
        <v>138</v>
      </c>
      <c r="B73" s="194" t="s">
        <v>132</v>
      </c>
      <c r="C73" s="57">
        <v>12</v>
      </c>
      <c r="D73" s="58">
        <f ca="1">((100/H67)*C73)/100</f>
        <v>1</v>
      </c>
      <c r="E73" s="200"/>
      <c r="F73" s="201"/>
      <c r="G73" s="200"/>
      <c r="H73" s="203"/>
      <c r="I73" s="15" t="s">
        <v>104</v>
      </c>
      <c r="J73" s="52">
        <f ca="1">(IF(B67&gt;1,(H67/(B67+2)+J72),H67/4+J72))</f>
        <v>6</v>
      </c>
    </row>
    <row r="74" spans="1:10" ht="15.75" customHeight="1" x14ac:dyDescent="0.35">
      <c r="A74" s="193" t="s">
        <v>139</v>
      </c>
      <c r="B74" s="194" t="s">
        <v>132</v>
      </c>
      <c r="C74" s="57">
        <v>12</v>
      </c>
      <c r="D74" s="58">
        <f ca="1">((100/H67)*C74)/100</f>
        <v>1</v>
      </c>
      <c r="E74" s="200"/>
      <c r="F74" s="201"/>
      <c r="G74" s="200"/>
      <c r="H74" s="203"/>
      <c r="I74" s="15" t="s">
        <v>148</v>
      </c>
      <c r="J74" s="52">
        <f>(IF(B67&gt;1,(H67/(B67+2)+J73),0))</f>
        <v>0</v>
      </c>
    </row>
    <row r="75" spans="1:10" ht="15" customHeight="1" x14ac:dyDescent="0.35">
      <c r="A75" s="193" t="s">
        <v>137</v>
      </c>
      <c r="B75" s="194" t="s">
        <v>134</v>
      </c>
      <c r="C75" s="57">
        <v>12</v>
      </c>
      <c r="D75" s="58">
        <f ca="1">((100/(H67))*C75)/100</f>
        <v>1</v>
      </c>
      <c r="E75" s="200"/>
      <c r="F75" s="201"/>
      <c r="G75" s="200"/>
      <c r="H75" s="203"/>
      <c r="I75" s="15" t="s">
        <v>145</v>
      </c>
      <c r="J75" s="52">
        <f>(IF(B67&gt;2,(H67/(B67+2)+J74),0))</f>
        <v>0</v>
      </c>
    </row>
    <row r="76" spans="1:10" ht="15.75" customHeight="1" x14ac:dyDescent="0.35">
      <c r="A76" s="193" t="s">
        <v>133</v>
      </c>
      <c r="B76" s="194" t="s">
        <v>133</v>
      </c>
      <c r="C76" s="57">
        <v>12</v>
      </c>
      <c r="D76" s="58">
        <f ca="1">((100/H67)*C76)/100</f>
        <v>1</v>
      </c>
      <c r="E76" s="200"/>
      <c r="F76" s="201"/>
      <c r="G76" s="200"/>
      <c r="H76" s="203"/>
      <c r="I76" s="15" t="s">
        <v>146</v>
      </c>
      <c r="J76" s="53">
        <f>(IF(B67&gt;3,(H67/(B67+2)+J75),0))</f>
        <v>0</v>
      </c>
    </row>
    <row r="77" spans="1:10" ht="15.75" customHeight="1" x14ac:dyDescent="0.35">
      <c r="A77" s="193" t="s">
        <v>140</v>
      </c>
      <c r="B77" s="194"/>
      <c r="C77" s="57">
        <v>12</v>
      </c>
      <c r="D77" s="58">
        <f ca="1">((100/H67)*C77)/100</f>
        <v>1</v>
      </c>
      <c r="E77" s="200"/>
      <c r="F77" s="201"/>
      <c r="G77" s="200"/>
      <c r="H77" s="203"/>
      <c r="I77" s="15" t="s">
        <v>147</v>
      </c>
      <c r="J77" s="52">
        <f>(IF(B67&gt;4,(H67/(B67+2)+J76),0))</f>
        <v>0</v>
      </c>
    </row>
    <row r="78" spans="1:10" ht="15.75" customHeight="1" x14ac:dyDescent="0.35">
      <c r="A78" s="193" t="s">
        <v>135</v>
      </c>
      <c r="B78" s="194" t="s">
        <v>135</v>
      </c>
      <c r="C78" s="57">
        <v>4</v>
      </c>
      <c r="D78" s="58">
        <f ca="1">((100/(H67))*C78)/100</f>
        <v>0.33333333333333337</v>
      </c>
      <c r="E78" s="200"/>
      <c r="F78" s="201"/>
      <c r="G78" s="200"/>
      <c r="H78" s="203"/>
      <c r="I78" s="15" t="s">
        <v>149</v>
      </c>
      <c r="J78" s="52">
        <f ca="1">(IF(B67=1,(H67/(B67+3)+J73),IF(B67=0,(H67/4+J73),IF(B67&gt;1,0))))</f>
        <v>9</v>
      </c>
    </row>
    <row r="79" spans="1:10" ht="16" thickBot="1" x14ac:dyDescent="0.4">
      <c r="A79" s="204" t="s">
        <v>136</v>
      </c>
      <c r="B79" s="205"/>
      <c r="C79" s="79">
        <v>0</v>
      </c>
      <c r="D79" s="80">
        <f ca="1">((100/(H67))*C79)/100</f>
        <v>0</v>
      </c>
      <c r="E79" s="200"/>
      <c r="F79" s="201"/>
      <c r="G79" s="200"/>
      <c r="H79" s="203"/>
      <c r="I79" s="16" t="s">
        <v>105</v>
      </c>
      <c r="J79" s="54">
        <f ca="1">(IF(B67&gt;1.5,(H67/(B67+2)+J73+MAX(0,J74-J73)+MAX(0,J75-J74)+MAX(0,J76-J75)+MAX(0,J77-J76)+MAX(0,J78-J77)),IF(B67=1,(H67/(B67+3)+J78),IF(B67=0,H67/4+J78))))</f>
        <v>12</v>
      </c>
    </row>
    <row r="80" spans="1:10" s="25" customFormat="1" ht="15.75" customHeight="1" x14ac:dyDescent="0.35">
      <c r="A80" s="157" t="s">
        <v>158</v>
      </c>
      <c r="B80" s="157"/>
      <c r="C80" s="157"/>
      <c r="D80" s="157"/>
      <c r="E80" s="157"/>
      <c r="F80" s="206" t="s">
        <v>163</v>
      </c>
      <c r="G80" s="206"/>
      <c r="H80" s="206"/>
      <c r="I80" s="18"/>
      <c r="J80" s="18"/>
    </row>
    <row r="81" spans="1:10" s="25" customFormat="1" ht="15.75" customHeight="1" x14ac:dyDescent="0.35">
      <c r="A81" s="92" t="s">
        <v>161</v>
      </c>
      <c r="B81" s="92"/>
      <c r="C81" s="92"/>
      <c r="D81" s="92"/>
      <c r="E81" s="92"/>
      <c r="F81" s="95">
        <v>5700</v>
      </c>
      <c r="G81" s="95"/>
      <c r="H81" s="95"/>
      <c r="I81" s="18"/>
      <c r="J81" s="18"/>
    </row>
    <row r="82" spans="1:10" s="25" customFormat="1" x14ac:dyDescent="0.35">
      <c r="A82" s="92" t="s">
        <v>160</v>
      </c>
      <c r="B82" s="92"/>
      <c r="C82" s="92"/>
      <c r="D82" s="92"/>
      <c r="E82" s="92"/>
      <c r="F82" s="95">
        <v>6500</v>
      </c>
      <c r="G82" s="95"/>
      <c r="H82" s="95"/>
      <c r="I82" s="18"/>
      <c r="J82" s="18"/>
    </row>
    <row r="83" spans="1:10" s="25" customFormat="1" hidden="1" x14ac:dyDescent="0.35">
      <c r="A83" s="92" t="s">
        <v>162</v>
      </c>
      <c r="B83" s="92"/>
      <c r="C83" s="92"/>
      <c r="D83" s="92"/>
      <c r="E83" s="92"/>
      <c r="F83" s="95"/>
      <c r="G83" s="95"/>
      <c r="H83" s="95"/>
      <c r="I83" s="18"/>
      <c r="J83" s="18"/>
    </row>
    <row r="84" spans="1:10" s="25" customFormat="1" ht="15.75" hidden="1" customHeight="1" x14ac:dyDescent="0.3">
      <c r="A84" s="92" t="s">
        <v>159</v>
      </c>
      <c r="B84" s="92"/>
      <c r="C84" s="92"/>
      <c r="D84" s="92"/>
      <c r="E84" s="92"/>
      <c r="F84" s="95"/>
      <c r="G84" s="95"/>
      <c r="H84" s="95"/>
      <c r="I84" s="23"/>
      <c r="J84" s="23"/>
    </row>
    <row r="85" spans="1:10" s="25" customFormat="1" x14ac:dyDescent="0.3">
      <c r="A85" s="92" t="s">
        <v>96</v>
      </c>
      <c r="B85" s="92"/>
      <c r="C85" s="92"/>
      <c r="D85" s="92"/>
      <c r="E85" s="92"/>
      <c r="F85" s="95">
        <v>255500</v>
      </c>
      <c r="G85" s="95"/>
      <c r="H85" s="95"/>
      <c r="I85" s="23"/>
      <c r="J85" s="23"/>
    </row>
    <row r="86" spans="1:10" s="25" customFormat="1" x14ac:dyDescent="0.3">
      <c r="A86" s="92" t="s">
        <v>97</v>
      </c>
      <c r="B86" s="92"/>
      <c r="C86" s="92"/>
      <c r="D86" s="92"/>
      <c r="E86" s="92"/>
      <c r="F86" s="95">
        <v>200000</v>
      </c>
      <c r="G86" s="95"/>
      <c r="H86" s="95"/>
      <c r="I86" s="23"/>
      <c r="J86" s="23"/>
    </row>
    <row r="87" spans="1:10" s="25" customFormat="1" hidden="1" x14ac:dyDescent="0.3">
      <c r="A87" s="92" t="s">
        <v>164</v>
      </c>
      <c r="B87" s="92"/>
      <c r="C87" s="92"/>
      <c r="D87" s="92"/>
      <c r="E87" s="92"/>
      <c r="F87" s="95"/>
      <c r="G87" s="95"/>
      <c r="H87" s="95"/>
      <c r="I87" s="23"/>
      <c r="J87" s="23"/>
    </row>
    <row r="88" spans="1:10" s="24" customFormat="1" hidden="1" x14ac:dyDescent="0.35">
      <c r="A88" s="92" t="s">
        <v>98</v>
      </c>
      <c r="B88" s="92"/>
      <c r="C88" s="92"/>
      <c r="D88" s="92"/>
      <c r="E88" s="92"/>
      <c r="F88" s="95"/>
      <c r="G88" s="95"/>
      <c r="H88" s="95"/>
      <c r="I88" s="23"/>
      <c r="J88" s="23"/>
    </row>
    <row r="89" spans="1:10" hidden="1" x14ac:dyDescent="0.35">
      <c r="A89" s="92" t="s">
        <v>99</v>
      </c>
      <c r="B89" s="92"/>
      <c r="C89" s="92"/>
      <c r="D89" s="92"/>
      <c r="E89" s="92"/>
      <c r="F89" s="95"/>
      <c r="G89" s="95"/>
      <c r="H89" s="95"/>
      <c r="I89" s="23"/>
      <c r="J89" s="23"/>
    </row>
    <row r="90" spans="1:10" x14ac:dyDescent="0.35">
      <c r="A90" s="92" t="s">
        <v>193</v>
      </c>
      <c r="B90" s="92"/>
      <c r="C90" s="92"/>
      <c r="D90" s="92"/>
      <c r="E90" s="92"/>
      <c r="F90" s="95">
        <v>150000</v>
      </c>
      <c r="G90" s="95"/>
      <c r="H90" s="95"/>
      <c r="I90" s="23"/>
      <c r="J90" s="23"/>
    </row>
    <row r="91" spans="1:10" s="43" customFormat="1" hidden="1" x14ac:dyDescent="0.3">
      <c r="A91" s="92" t="s">
        <v>100</v>
      </c>
      <c r="B91" s="92"/>
      <c r="C91" s="92"/>
      <c r="D91" s="92"/>
      <c r="E91" s="92"/>
      <c r="F91" s="95"/>
      <c r="G91" s="95"/>
      <c r="H91" s="95"/>
      <c r="I91" s="23"/>
      <c r="J91" s="23"/>
    </row>
    <row r="92" spans="1:10" s="43" customFormat="1" x14ac:dyDescent="0.35">
      <c r="A92" s="92" t="s">
        <v>51</v>
      </c>
      <c r="B92" s="92"/>
      <c r="C92" s="92"/>
      <c r="D92" s="92"/>
      <c r="E92" s="92"/>
      <c r="F92" s="95">
        <v>250000</v>
      </c>
      <c r="G92" s="95"/>
      <c r="H92" s="95"/>
      <c r="I92" s="18"/>
      <c r="J92" s="18"/>
    </row>
    <row r="93" spans="1:10" s="43" customFormat="1" x14ac:dyDescent="0.35">
      <c r="A93" s="157" t="s">
        <v>52</v>
      </c>
      <c r="B93" s="157"/>
      <c r="C93" s="157"/>
      <c r="D93" s="157"/>
      <c r="E93" s="157"/>
      <c r="F93" s="95">
        <f>F81*0.8</f>
        <v>4560</v>
      </c>
      <c r="G93" s="95"/>
      <c r="H93" s="95"/>
      <c r="I93" s="24"/>
      <c r="J93" s="24"/>
    </row>
    <row r="94" spans="1:10" s="43" customFormat="1" ht="15.75" customHeight="1" x14ac:dyDescent="0.35">
      <c r="A94" s="85" t="s">
        <v>76</v>
      </c>
      <c r="B94" s="85"/>
      <c r="C94" s="85"/>
      <c r="D94" s="85"/>
      <c r="E94" s="85"/>
      <c r="F94" s="85"/>
      <c r="G94" s="85"/>
      <c r="H94" s="85"/>
      <c r="I94" s="25"/>
      <c r="J94" s="25"/>
    </row>
    <row r="95" spans="1:10" s="43" customFormat="1" x14ac:dyDescent="0.35">
      <c r="A95" s="90" t="s">
        <v>53</v>
      </c>
      <c r="B95" s="90"/>
      <c r="C95" s="87" t="s">
        <v>79</v>
      </c>
      <c r="D95" s="87"/>
      <c r="E95" s="89" t="s">
        <v>54</v>
      </c>
      <c r="F95" s="89"/>
      <c r="G95" s="90" t="s">
        <v>55</v>
      </c>
      <c r="H95" s="90"/>
      <c r="I95" s="25"/>
      <c r="J95" s="25"/>
    </row>
    <row r="96" spans="1:10" s="43" customFormat="1" x14ac:dyDescent="0.35">
      <c r="A96" s="178" t="s">
        <v>199</v>
      </c>
      <c r="B96" s="178"/>
      <c r="C96" s="208">
        <f>COUNT(D109:D131)</f>
        <v>23</v>
      </c>
      <c r="D96" s="208"/>
      <c r="E96" s="105">
        <f>SUM(D109:D131)</f>
        <v>11038.116024000003</v>
      </c>
      <c r="F96" s="105"/>
      <c r="G96" s="105">
        <f>SUM(F109:F131)</f>
        <v>24715</v>
      </c>
      <c r="H96" s="105"/>
      <c r="I96" s="25"/>
      <c r="J96" s="25"/>
    </row>
    <row r="97" spans="1:10" s="43" customFormat="1" x14ac:dyDescent="0.35">
      <c r="A97" s="85" t="s">
        <v>71</v>
      </c>
      <c r="B97" s="85"/>
      <c r="C97" s="85"/>
      <c r="D97" s="85"/>
      <c r="E97" s="85"/>
      <c r="F97" s="85"/>
      <c r="G97" s="85"/>
      <c r="H97" s="85"/>
      <c r="I97" s="25"/>
      <c r="J97" s="25"/>
    </row>
    <row r="98" spans="1:10" s="43" customFormat="1" x14ac:dyDescent="0.35">
      <c r="A98" s="90" t="s">
        <v>53</v>
      </c>
      <c r="B98" s="90"/>
      <c r="C98" s="87" t="s">
        <v>79</v>
      </c>
      <c r="D98" s="87"/>
      <c r="E98" s="89" t="s">
        <v>54</v>
      </c>
      <c r="F98" s="89"/>
      <c r="G98" s="90" t="s">
        <v>55</v>
      </c>
      <c r="H98" s="90"/>
      <c r="I98" s="25"/>
      <c r="J98" s="25"/>
    </row>
    <row r="99" spans="1:10" s="43" customFormat="1" x14ac:dyDescent="0.35">
      <c r="A99" s="178" t="s">
        <v>188</v>
      </c>
      <c r="B99" s="178"/>
      <c r="C99" s="207">
        <f>COUNT(D137:D141)+COUNT(D143:D149)*4+COUNT(D151:D154,D156:D157)+COUNT(D159:D165)*3+COUNT(D167:D170,D172:D173)+COUNT(D175:D181)</f>
        <v>73</v>
      </c>
      <c r="D99" s="207"/>
      <c r="E99" s="105">
        <f>SUM(D137:D141)+SUM(D143:D149)*4+SUM(D151:D154,D156:D157)+SUM(D159:D165)*3+SUM(D167:D170,D172:D173)+SUM(D175:D181)</f>
        <v>50049.782522999994</v>
      </c>
      <c r="F99" s="105"/>
      <c r="G99" s="105">
        <f>SUM(F137:F141)+SUM(F143:F149)*4+SUM(F151:F154,F156:F157)+SUM(F159:F165)*3+SUM(F167:F170,F172:F173)+SUM(F175:F181)</f>
        <v>83497</v>
      </c>
      <c r="H99" s="105"/>
      <c r="I99" s="25"/>
      <c r="J99" s="25"/>
    </row>
    <row r="100" spans="1:10" s="43" customFormat="1" x14ac:dyDescent="0.35">
      <c r="A100" s="178" t="s">
        <v>189</v>
      </c>
      <c r="B100" s="178"/>
      <c r="C100" s="207">
        <f>COUNT(D185:D187)+COUNT(D189:D194)*4+COUNT(D196,D198:D200)+COUNT(D203,D205:D208)*3+COUNT(D210,D212:D214)+COUNT(D217,D219:D222)</f>
        <v>55</v>
      </c>
      <c r="D100" s="207"/>
      <c r="E100" s="105">
        <f>SUM(D185:D187)+SUM(D189:D194)*4+SUM(D196,D198:D200)+SUM(D203,D205:D208)*3+SUM(D210,D212:D214)+SUM(D217,D219:D222)</f>
        <v>35858.791331999993</v>
      </c>
      <c r="F100" s="105"/>
      <c r="G100" s="105">
        <f>SUM(F185:F187)+SUM(F189:F194)*4+SUM(F196,F198:F200)+SUM(F203,F205:F208)*3+SUM(F210,F212:F214)+SUM(F217,F219:F222)</f>
        <v>58275</v>
      </c>
      <c r="H100" s="105"/>
      <c r="I100" s="25"/>
      <c r="J100" s="25"/>
    </row>
    <row r="101" spans="1:10" s="43" customFormat="1" x14ac:dyDescent="0.35">
      <c r="A101" s="85" t="s">
        <v>151</v>
      </c>
      <c r="B101" s="85"/>
      <c r="C101" s="87">
        <f>SUM(C99:C100)</f>
        <v>128</v>
      </c>
      <c r="D101" s="87"/>
      <c r="E101" s="88">
        <f>SUM(E99:E100)</f>
        <v>85908.573854999995</v>
      </c>
      <c r="F101" s="89"/>
      <c r="G101" s="90">
        <f>SUM(G99:G100)</f>
        <v>141772</v>
      </c>
      <c r="H101" s="90"/>
      <c r="I101" s="25"/>
      <c r="J101" s="25"/>
    </row>
    <row r="102" spans="1:10" s="43" customFormat="1" x14ac:dyDescent="0.35">
      <c r="A102" s="85" t="s">
        <v>233</v>
      </c>
      <c r="B102" s="85"/>
      <c r="C102" s="86">
        <f>C96+C101</f>
        <v>151</v>
      </c>
      <c r="D102" s="87"/>
      <c r="E102" s="88">
        <f>E96+E101</f>
        <v>96946.689878999998</v>
      </c>
      <c r="F102" s="89"/>
      <c r="G102" s="90">
        <f>G96+G101</f>
        <v>166487</v>
      </c>
      <c r="H102" s="90"/>
      <c r="I102" s="25"/>
      <c r="J102" s="25"/>
    </row>
    <row r="103" spans="1:10" s="43" customFormat="1" x14ac:dyDescent="0.35">
      <c r="A103" s="173" t="s">
        <v>56</v>
      </c>
      <c r="B103" s="173"/>
      <c r="C103" s="173"/>
      <c r="D103" s="173"/>
      <c r="E103" s="173"/>
      <c r="F103" s="173"/>
      <c r="G103" s="173"/>
      <c r="H103" s="173"/>
      <c r="I103" s="24"/>
      <c r="J103" s="24"/>
    </row>
    <row r="104" spans="1:10" s="43" customFormat="1" x14ac:dyDescent="0.35">
      <c r="A104" s="173" t="s">
        <v>57</v>
      </c>
      <c r="B104" s="173"/>
      <c r="C104" s="173"/>
      <c r="D104" s="173"/>
      <c r="E104" s="173"/>
      <c r="F104" s="173"/>
      <c r="G104" s="173"/>
      <c r="H104" s="173"/>
      <c r="I104" s="18"/>
      <c r="J104" s="18"/>
    </row>
    <row r="105" spans="1:10" s="43" customFormat="1" ht="45" x14ac:dyDescent="0.35">
      <c r="A105" s="38" t="s">
        <v>120</v>
      </c>
      <c r="B105" s="38" t="s">
        <v>119</v>
      </c>
      <c r="C105" s="38" t="s">
        <v>58</v>
      </c>
      <c r="D105" s="38" t="s">
        <v>59</v>
      </c>
      <c r="E105" s="39" t="s">
        <v>157</v>
      </c>
      <c r="F105" s="64" t="s">
        <v>197</v>
      </c>
      <c r="G105" s="170" t="s">
        <v>61</v>
      </c>
      <c r="H105" s="171"/>
      <c r="I105" s="18"/>
      <c r="J105" s="18"/>
    </row>
    <row r="106" spans="1:10" s="43" customFormat="1" x14ac:dyDescent="0.35">
      <c r="A106" s="96" t="s">
        <v>198</v>
      </c>
      <c r="B106" s="97"/>
      <c r="C106" s="97"/>
      <c r="D106" s="97"/>
      <c r="E106" s="97"/>
      <c r="F106" s="97"/>
      <c r="G106" s="97"/>
      <c r="H106" s="98"/>
    </row>
    <row r="107" spans="1:10" s="43" customFormat="1" x14ac:dyDescent="0.35">
      <c r="A107" s="96" t="s">
        <v>194</v>
      </c>
      <c r="B107" s="97"/>
      <c r="C107" s="97"/>
      <c r="D107" s="97"/>
      <c r="E107" s="97"/>
      <c r="F107" s="97"/>
      <c r="G107" s="97"/>
      <c r="H107" s="98"/>
    </row>
    <row r="108" spans="1:10" s="43" customFormat="1" x14ac:dyDescent="0.35">
      <c r="A108" s="102" t="s">
        <v>185</v>
      </c>
      <c r="B108" s="103"/>
      <c r="C108" s="103"/>
      <c r="D108" s="103"/>
      <c r="E108" s="103"/>
      <c r="F108" s="103"/>
      <c r="G108" s="103"/>
      <c r="H108" s="104"/>
    </row>
    <row r="109" spans="1:10" s="43" customFormat="1" x14ac:dyDescent="0.35">
      <c r="A109" s="99">
        <v>1</v>
      </c>
      <c r="B109" s="99"/>
      <c r="C109" s="78" t="s">
        <v>186</v>
      </c>
      <c r="D109" s="40">
        <f>42.533*10.764</f>
        <v>457.82521199999996</v>
      </c>
      <c r="E109" s="78">
        <v>0</v>
      </c>
      <c r="F109" s="63">
        <v>1000</v>
      </c>
      <c r="G109" s="99" t="str">
        <f>A108</f>
        <v>Ground Floor For Commercial</v>
      </c>
      <c r="H109" s="99"/>
      <c r="I109" s="26"/>
    </row>
    <row r="110" spans="1:10" s="43" customFormat="1" x14ac:dyDescent="0.35">
      <c r="A110" s="99">
        <f t="shared" ref="A110:A131" si="0">A109+1</f>
        <v>2</v>
      </c>
      <c r="B110" s="99"/>
      <c r="C110" s="78" t="s">
        <v>186</v>
      </c>
      <c r="D110" s="40">
        <f>46.084*10.764</f>
        <v>496.04817600000001</v>
      </c>
      <c r="E110" s="78">
        <v>0</v>
      </c>
      <c r="F110" s="63">
        <v>1085</v>
      </c>
      <c r="G110" s="99"/>
      <c r="H110" s="99"/>
      <c r="I110" s="26"/>
    </row>
    <row r="111" spans="1:10" s="43" customFormat="1" x14ac:dyDescent="0.35">
      <c r="A111" s="99">
        <f t="shared" si="0"/>
        <v>3</v>
      </c>
      <c r="B111" s="99"/>
      <c r="C111" s="78" t="s">
        <v>186</v>
      </c>
      <c r="D111" s="40">
        <f>41.202*10.764</f>
        <v>443.49832799999996</v>
      </c>
      <c r="E111" s="78">
        <v>0</v>
      </c>
      <c r="F111" s="63">
        <v>970</v>
      </c>
      <c r="G111" s="99"/>
      <c r="H111" s="99"/>
      <c r="I111" s="26"/>
    </row>
    <row r="112" spans="1:10" s="43" customFormat="1" x14ac:dyDescent="0.35">
      <c r="A112" s="99">
        <f t="shared" si="0"/>
        <v>4</v>
      </c>
      <c r="B112" s="99"/>
      <c r="C112" s="78" t="s">
        <v>186</v>
      </c>
      <c r="D112" s="40">
        <f>41.785*10.764</f>
        <v>449.77373999999992</v>
      </c>
      <c r="E112" s="78">
        <v>0</v>
      </c>
      <c r="F112" s="63">
        <v>980</v>
      </c>
      <c r="G112" s="99"/>
      <c r="H112" s="99"/>
      <c r="I112" s="26"/>
    </row>
    <row r="113" spans="1:11" s="43" customFormat="1" x14ac:dyDescent="0.35">
      <c r="A113" s="99">
        <f t="shared" si="0"/>
        <v>5</v>
      </c>
      <c r="B113" s="99"/>
      <c r="C113" s="78" t="s">
        <v>186</v>
      </c>
      <c r="D113" s="40">
        <f>55.942*10.764</f>
        <v>602.15968799999996</v>
      </c>
      <c r="E113" s="78">
        <v>0</v>
      </c>
      <c r="F113" s="63">
        <v>1315</v>
      </c>
      <c r="G113" s="99"/>
      <c r="H113" s="99"/>
      <c r="I113" s="26"/>
    </row>
    <row r="114" spans="1:11" s="43" customFormat="1" x14ac:dyDescent="0.35">
      <c r="A114" s="99">
        <f t="shared" si="0"/>
        <v>6</v>
      </c>
      <c r="B114" s="99"/>
      <c r="C114" s="78" t="s">
        <v>186</v>
      </c>
      <c r="D114" s="40">
        <f>44.841*10.764</f>
        <v>482.66852399999999</v>
      </c>
      <c r="E114" s="78">
        <v>0</v>
      </c>
      <c r="F114" s="63">
        <v>1075</v>
      </c>
      <c r="G114" s="99"/>
      <c r="H114" s="99"/>
      <c r="I114" s="26"/>
    </row>
    <row r="115" spans="1:11" s="43" customFormat="1" x14ac:dyDescent="0.35">
      <c r="A115" s="99">
        <f t="shared" si="0"/>
        <v>7</v>
      </c>
      <c r="B115" s="99"/>
      <c r="C115" s="78" t="s">
        <v>186</v>
      </c>
      <c r="D115" s="40">
        <f>42.739*10.764</f>
        <v>460.04259599999995</v>
      </c>
      <c r="E115" s="78">
        <v>0</v>
      </c>
      <c r="F115" s="63">
        <v>1025</v>
      </c>
      <c r="G115" s="99"/>
      <c r="H115" s="99"/>
      <c r="I115" s="26"/>
    </row>
    <row r="116" spans="1:11" s="43" customFormat="1" x14ac:dyDescent="0.35">
      <c r="A116" s="99">
        <f t="shared" si="0"/>
        <v>8</v>
      </c>
      <c r="B116" s="99"/>
      <c r="C116" s="78" t="s">
        <v>186</v>
      </c>
      <c r="D116" s="40">
        <f>37.332*10.764</f>
        <v>401.84164799999996</v>
      </c>
      <c r="E116" s="78">
        <v>0</v>
      </c>
      <c r="F116" s="63">
        <v>910</v>
      </c>
      <c r="G116" s="99"/>
      <c r="H116" s="99"/>
      <c r="I116" s="26"/>
    </row>
    <row r="117" spans="1:11" s="43" customFormat="1" x14ac:dyDescent="0.35">
      <c r="A117" s="99">
        <f t="shared" si="0"/>
        <v>9</v>
      </c>
      <c r="B117" s="99"/>
      <c r="C117" s="78" t="s">
        <v>186</v>
      </c>
      <c r="D117" s="40">
        <f>88.561*10.764</f>
        <v>953.27060400000005</v>
      </c>
      <c r="E117" s="78">
        <v>0</v>
      </c>
      <c r="F117" s="63">
        <v>2380</v>
      </c>
      <c r="G117" s="99"/>
      <c r="H117" s="99"/>
      <c r="I117" s="26"/>
    </row>
    <row r="118" spans="1:11" s="43" customFormat="1" x14ac:dyDescent="0.35">
      <c r="A118" s="99">
        <f t="shared" si="0"/>
        <v>10</v>
      </c>
      <c r="B118" s="99"/>
      <c r="C118" s="78" t="s">
        <v>186</v>
      </c>
      <c r="D118" s="40">
        <f>32.418*10.764</f>
        <v>348.94735199999997</v>
      </c>
      <c r="E118" s="78">
        <v>0</v>
      </c>
      <c r="F118" s="63">
        <v>780</v>
      </c>
      <c r="G118" s="99"/>
      <c r="H118" s="99"/>
      <c r="I118" s="26"/>
    </row>
    <row r="119" spans="1:11" x14ac:dyDescent="0.35">
      <c r="A119" s="99">
        <f t="shared" si="0"/>
        <v>11</v>
      </c>
      <c r="B119" s="99"/>
      <c r="C119" s="78" t="s">
        <v>186</v>
      </c>
      <c r="D119" s="40">
        <f>38.007*10.764</f>
        <v>409.10734799999994</v>
      </c>
      <c r="E119" s="78">
        <v>0</v>
      </c>
      <c r="F119" s="63">
        <v>900</v>
      </c>
      <c r="G119" s="99"/>
      <c r="H119" s="99"/>
      <c r="I119" s="26"/>
      <c r="J119" s="43"/>
    </row>
    <row r="120" spans="1:11" s="43" customFormat="1" x14ac:dyDescent="0.35">
      <c r="A120" s="99">
        <f t="shared" si="0"/>
        <v>12</v>
      </c>
      <c r="B120" s="99"/>
      <c r="C120" s="78" t="s">
        <v>186</v>
      </c>
      <c r="D120" s="40">
        <f>37.793*10.764</f>
        <v>406.80385199999995</v>
      </c>
      <c r="E120" s="78">
        <v>0</v>
      </c>
      <c r="F120" s="63">
        <v>900</v>
      </c>
      <c r="G120" s="99"/>
      <c r="H120" s="99"/>
      <c r="I120" s="26"/>
    </row>
    <row r="121" spans="1:11" s="43" customFormat="1" x14ac:dyDescent="0.35">
      <c r="A121" s="99">
        <f t="shared" si="0"/>
        <v>13</v>
      </c>
      <c r="B121" s="99"/>
      <c r="C121" s="78" t="s">
        <v>186</v>
      </c>
      <c r="D121" s="40">
        <f>38.486*10.764</f>
        <v>414.26330399999995</v>
      </c>
      <c r="E121" s="78">
        <v>0</v>
      </c>
      <c r="F121" s="63">
        <v>910</v>
      </c>
      <c r="G121" s="99"/>
      <c r="H121" s="99"/>
      <c r="I121" s="26"/>
    </row>
    <row r="122" spans="1:11" s="43" customFormat="1" x14ac:dyDescent="0.35">
      <c r="A122" s="99">
        <f t="shared" si="0"/>
        <v>14</v>
      </c>
      <c r="B122" s="99"/>
      <c r="C122" s="78" t="s">
        <v>186</v>
      </c>
      <c r="D122" s="40">
        <f>46.018*10.764</f>
        <v>495.33775199999997</v>
      </c>
      <c r="E122" s="78">
        <v>0</v>
      </c>
      <c r="F122" s="63">
        <v>1075</v>
      </c>
      <c r="G122" s="99"/>
      <c r="H122" s="99"/>
      <c r="I122" s="26"/>
    </row>
    <row r="123" spans="1:11" s="43" customFormat="1" ht="15.75" customHeight="1" x14ac:dyDescent="0.35">
      <c r="A123" s="99">
        <f t="shared" si="0"/>
        <v>15</v>
      </c>
      <c r="B123" s="99"/>
      <c r="C123" s="78" t="s">
        <v>186</v>
      </c>
      <c r="D123" s="40">
        <f>48.374*10.764</f>
        <v>520.69773599999996</v>
      </c>
      <c r="E123" s="78">
        <v>0</v>
      </c>
      <c r="F123" s="63">
        <v>1130</v>
      </c>
      <c r="G123" s="99"/>
      <c r="H123" s="99"/>
      <c r="I123" s="26"/>
    </row>
    <row r="124" spans="1:11" s="43" customFormat="1" x14ac:dyDescent="0.35">
      <c r="A124" s="99">
        <f t="shared" si="0"/>
        <v>16</v>
      </c>
      <c r="B124" s="99"/>
      <c r="C124" s="78" t="s">
        <v>186</v>
      </c>
      <c r="D124" s="40">
        <f>(39.891)*10.764</f>
        <v>429.38672399999996</v>
      </c>
      <c r="E124" s="78">
        <v>0</v>
      </c>
      <c r="F124" s="63">
        <v>1170</v>
      </c>
      <c r="G124" s="99"/>
      <c r="H124" s="99"/>
      <c r="I124" s="26"/>
    </row>
    <row r="125" spans="1:11" s="43" customFormat="1" x14ac:dyDescent="0.35">
      <c r="A125" s="99">
        <f t="shared" si="0"/>
        <v>17</v>
      </c>
      <c r="B125" s="99"/>
      <c r="C125" s="78" t="s">
        <v>186</v>
      </c>
      <c r="D125" s="40">
        <f>49.565*10.764</f>
        <v>533.51765999999998</v>
      </c>
      <c r="E125" s="78">
        <v>0</v>
      </c>
      <c r="F125" s="63">
        <v>1160</v>
      </c>
      <c r="G125" s="99"/>
      <c r="H125" s="99"/>
      <c r="I125" s="26"/>
    </row>
    <row r="126" spans="1:11" s="43" customFormat="1" x14ac:dyDescent="0.35">
      <c r="A126" s="99">
        <f t="shared" si="0"/>
        <v>18</v>
      </c>
      <c r="B126" s="99"/>
      <c r="C126" s="78" t="s">
        <v>186</v>
      </c>
      <c r="D126" s="40">
        <f>42.825*10.764</f>
        <v>460.9683</v>
      </c>
      <c r="E126" s="78">
        <v>0</v>
      </c>
      <c r="F126" s="63">
        <v>1030</v>
      </c>
      <c r="G126" s="99"/>
      <c r="H126" s="99"/>
      <c r="I126" s="26"/>
    </row>
    <row r="127" spans="1:11" s="43" customFormat="1" x14ac:dyDescent="0.35">
      <c r="A127" s="99">
        <f t="shared" si="0"/>
        <v>19</v>
      </c>
      <c r="B127" s="99"/>
      <c r="C127" s="78" t="s">
        <v>186</v>
      </c>
      <c r="D127" s="40">
        <f>48.678*10.764</f>
        <v>523.96999199999993</v>
      </c>
      <c r="E127" s="78">
        <v>0</v>
      </c>
      <c r="F127" s="63">
        <v>1080</v>
      </c>
      <c r="G127" s="99"/>
      <c r="H127" s="99"/>
      <c r="I127" s="26"/>
    </row>
    <row r="128" spans="1:11" s="43" customFormat="1" x14ac:dyDescent="0.35">
      <c r="A128" s="99">
        <f t="shared" si="0"/>
        <v>20</v>
      </c>
      <c r="B128" s="99"/>
      <c r="C128" s="78" t="s">
        <v>186</v>
      </c>
      <c r="D128" s="40">
        <f>33.39*10.764</f>
        <v>359.40996000000001</v>
      </c>
      <c r="E128" s="78">
        <v>0</v>
      </c>
      <c r="F128" s="63">
        <v>800</v>
      </c>
      <c r="G128" s="99"/>
      <c r="H128" s="99"/>
      <c r="I128" s="26"/>
      <c r="K128" s="27"/>
    </row>
    <row r="129" spans="1:11" s="43" customFormat="1" ht="15.75" customHeight="1" x14ac:dyDescent="0.35">
      <c r="A129" s="99">
        <f t="shared" si="0"/>
        <v>21</v>
      </c>
      <c r="B129" s="99"/>
      <c r="C129" s="78" t="s">
        <v>186</v>
      </c>
      <c r="D129" s="40">
        <f>30.262*10.764</f>
        <v>325.74016799999998</v>
      </c>
      <c r="E129" s="78">
        <v>0</v>
      </c>
      <c r="F129" s="63">
        <v>730</v>
      </c>
      <c r="G129" s="99"/>
      <c r="H129" s="99"/>
      <c r="I129" s="26"/>
    </row>
    <row r="130" spans="1:11" s="43" customFormat="1" x14ac:dyDescent="0.35">
      <c r="A130" s="99">
        <f t="shared" si="0"/>
        <v>22</v>
      </c>
      <c r="B130" s="99"/>
      <c r="C130" s="78" t="s">
        <v>186</v>
      </c>
      <c r="D130" s="40">
        <f>49.564*10.764</f>
        <v>533.50689599999998</v>
      </c>
      <c r="E130" s="78">
        <v>0</v>
      </c>
      <c r="F130" s="63">
        <v>1160</v>
      </c>
      <c r="G130" s="99"/>
      <c r="H130" s="99"/>
      <c r="I130" s="26"/>
    </row>
    <row r="131" spans="1:11" s="43" customFormat="1" x14ac:dyDescent="0.35">
      <c r="A131" s="99">
        <f t="shared" si="0"/>
        <v>23</v>
      </c>
      <c r="B131" s="99"/>
      <c r="C131" s="78" t="s">
        <v>186</v>
      </c>
      <c r="D131" s="40">
        <f>49.176*10.764</f>
        <v>529.33046400000001</v>
      </c>
      <c r="E131" s="78">
        <v>0</v>
      </c>
      <c r="F131" s="63">
        <v>1150</v>
      </c>
      <c r="G131" s="99"/>
      <c r="H131" s="99"/>
      <c r="I131" s="26"/>
    </row>
    <row r="132" spans="1:11" s="43" customFormat="1" x14ac:dyDescent="0.35">
      <c r="A132" s="99"/>
      <c r="B132" s="99"/>
      <c r="C132" s="99"/>
      <c r="D132" s="99"/>
      <c r="E132" s="99"/>
      <c r="F132" s="99"/>
      <c r="G132" s="99"/>
      <c r="H132" s="99"/>
      <c r="I132" s="26"/>
    </row>
    <row r="133" spans="1:11" s="43" customFormat="1" ht="45" x14ac:dyDescent="0.35">
      <c r="A133" s="81" t="s">
        <v>121</v>
      </c>
      <c r="B133" s="81" t="s">
        <v>122</v>
      </c>
      <c r="C133" s="81" t="s">
        <v>58</v>
      </c>
      <c r="D133" s="81" t="s">
        <v>59</v>
      </c>
      <c r="E133" s="82" t="s">
        <v>60</v>
      </c>
      <c r="F133" s="83" t="s">
        <v>197</v>
      </c>
      <c r="G133" s="120" t="s">
        <v>61</v>
      </c>
      <c r="H133" s="120"/>
      <c r="I133" s="26"/>
      <c r="J133" s="18"/>
    </row>
    <row r="134" spans="1:11" s="43" customFormat="1" x14ac:dyDescent="0.35">
      <c r="A134" s="120" t="s">
        <v>188</v>
      </c>
      <c r="B134" s="120"/>
      <c r="C134" s="120"/>
      <c r="D134" s="120"/>
      <c r="E134" s="120"/>
      <c r="F134" s="120"/>
      <c r="G134" s="120"/>
      <c r="H134" s="120"/>
      <c r="I134" s="26"/>
    </row>
    <row r="135" spans="1:11" s="43" customFormat="1" x14ac:dyDescent="0.35">
      <c r="A135" s="96" t="s">
        <v>195</v>
      </c>
      <c r="B135" s="97"/>
      <c r="C135" s="97"/>
      <c r="D135" s="97"/>
      <c r="E135" s="97"/>
      <c r="F135" s="97"/>
      <c r="G135" s="97"/>
      <c r="H135" s="98"/>
      <c r="I135" s="26"/>
    </row>
    <row r="136" spans="1:11" s="43" customFormat="1" x14ac:dyDescent="0.35">
      <c r="A136" s="125" t="s">
        <v>187</v>
      </c>
      <c r="B136" s="125"/>
      <c r="C136" s="125"/>
      <c r="D136" s="125"/>
      <c r="E136" s="125"/>
      <c r="F136" s="125"/>
      <c r="G136" s="125"/>
      <c r="H136" s="125"/>
      <c r="I136" s="26"/>
    </row>
    <row r="137" spans="1:11" s="43" customFormat="1" x14ac:dyDescent="0.35">
      <c r="A137" s="99">
        <v>203</v>
      </c>
      <c r="B137" s="99"/>
      <c r="C137" s="35" t="s">
        <v>200</v>
      </c>
      <c r="D137" s="40">
        <f>(56.57+0.75*3.015)*10.764</f>
        <v>633.25957499999993</v>
      </c>
      <c r="E137" s="40">
        <f>(36.807)*10.764</f>
        <v>396.19054799999998</v>
      </c>
      <c r="F137" s="63">
        <v>1435</v>
      </c>
      <c r="G137" s="114" t="str">
        <f>A136</f>
        <v>2nd Floor For Residential</v>
      </c>
      <c r="H137" s="115"/>
      <c r="I137" s="36"/>
      <c r="K137" s="70"/>
    </row>
    <row r="138" spans="1:11" s="43" customFormat="1" x14ac:dyDescent="0.35">
      <c r="A138" s="99">
        <f>A137+1</f>
        <v>204</v>
      </c>
      <c r="B138" s="99"/>
      <c r="C138" s="35" t="s">
        <v>200</v>
      </c>
      <c r="D138" s="40">
        <f>(59.025)*10.764</f>
        <v>635.3451</v>
      </c>
      <c r="E138" s="40">
        <f>(39.747)*10.764</f>
        <v>427.83670799999999</v>
      </c>
      <c r="F138" s="63">
        <v>1490</v>
      </c>
      <c r="G138" s="116"/>
      <c r="H138" s="117"/>
      <c r="I138" s="36"/>
    </row>
    <row r="139" spans="1:11" s="43" customFormat="1" ht="15.75" customHeight="1" x14ac:dyDescent="0.35">
      <c r="A139" s="99">
        <f>A138+1</f>
        <v>205</v>
      </c>
      <c r="B139" s="99"/>
      <c r="C139" s="35" t="s">
        <v>201</v>
      </c>
      <c r="D139" s="40">
        <f>(36.6)*10.764</f>
        <v>393.9624</v>
      </c>
      <c r="E139" s="40">
        <f>(33.097)*10.764</f>
        <v>356.25610799999998</v>
      </c>
      <c r="F139" s="63">
        <v>1000</v>
      </c>
      <c r="G139" s="116"/>
      <c r="H139" s="117"/>
      <c r="I139" s="26"/>
      <c r="J139" s="40"/>
    </row>
    <row r="140" spans="1:11" s="43" customFormat="1" x14ac:dyDescent="0.35">
      <c r="A140" s="99">
        <f>A139+1</f>
        <v>206</v>
      </c>
      <c r="B140" s="99"/>
      <c r="C140" s="35" t="s">
        <v>202</v>
      </c>
      <c r="D140" s="40">
        <f>(77.8)*10.764</f>
        <v>837.43919999999991</v>
      </c>
      <c r="E140" s="40">
        <f>(65.466)*10.764</f>
        <v>704.67602399999987</v>
      </c>
      <c r="F140" s="63">
        <v>2095</v>
      </c>
      <c r="G140" s="116"/>
      <c r="H140" s="117"/>
      <c r="I140" s="26"/>
    </row>
    <row r="141" spans="1:11" s="43" customFormat="1" x14ac:dyDescent="0.35">
      <c r="A141" s="99">
        <f>A140+1</f>
        <v>207</v>
      </c>
      <c r="B141" s="99"/>
      <c r="C141" s="35" t="s">
        <v>200</v>
      </c>
      <c r="D141" s="40">
        <f>(55.252)*10.764</f>
        <v>594.732528</v>
      </c>
      <c r="E141" s="40">
        <f>(32.844)*10.764</f>
        <v>353.53281599999997</v>
      </c>
      <c r="F141" s="63">
        <v>1367</v>
      </c>
      <c r="G141" s="118"/>
      <c r="H141" s="119"/>
      <c r="I141" s="26"/>
    </row>
    <row r="142" spans="1:11" s="43" customFormat="1" x14ac:dyDescent="0.35">
      <c r="A142" s="102" t="s">
        <v>203</v>
      </c>
      <c r="B142" s="103"/>
      <c r="C142" s="103"/>
      <c r="D142" s="103"/>
      <c r="E142" s="103"/>
      <c r="F142" s="103"/>
      <c r="G142" s="103"/>
      <c r="H142" s="104"/>
      <c r="I142" s="26"/>
      <c r="K142" s="71"/>
    </row>
    <row r="143" spans="1:11" s="43" customFormat="1" ht="15.75" customHeight="1" x14ac:dyDescent="0.35">
      <c r="A143" s="100" t="s">
        <v>204</v>
      </c>
      <c r="B143" s="101"/>
      <c r="C143" s="65" t="s">
        <v>200</v>
      </c>
      <c r="D143" s="40">
        <f>(56.555+0.75*(3.05+2.14+2.9+3.05))*10.764</f>
        <v>698.69123999999988</v>
      </c>
      <c r="E143" s="63">
        <v>0</v>
      </c>
      <c r="F143" s="63">
        <v>1110</v>
      </c>
      <c r="G143" s="114" t="str">
        <f>A142</f>
        <v>3rd to 6th Floor</v>
      </c>
      <c r="H143" s="115"/>
      <c r="I143" s="26"/>
      <c r="K143" s="70"/>
    </row>
    <row r="144" spans="1:11" s="43" customFormat="1" x14ac:dyDescent="0.35">
      <c r="A144" s="100" t="s">
        <v>205</v>
      </c>
      <c r="B144" s="101"/>
      <c r="C144" s="65" t="s">
        <v>200</v>
      </c>
      <c r="D144" s="40">
        <f>(54.188+0.75*(3.03+2.9))*10.764</f>
        <v>631.15252199999998</v>
      </c>
      <c r="E144" s="41">
        <v>0</v>
      </c>
      <c r="F144" s="63">
        <v>1065</v>
      </c>
      <c r="G144" s="116"/>
      <c r="H144" s="117"/>
      <c r="I144" s="26"/>
    </row>
    <row r="145" spans="1:11" s="43" customFormat="1" x14ac:dyDescent="0.35">
      <c r="A145" s="100" t="s">
        <v>206</v>
      </c>
      <c r="B145" s="101"/>
      <c r="C145" s="65" t="s">
        <v>200</v>
      </c>
      <c r="D145" s="40">
        <f>(56.57+0.75*(3.03+2.9))*10.764</f>
        <v>656.79236999999989</v>
      </c>
      <c r="E145" s="41">
        <v>0</v>
      </c>
      <c r="F145" s="63">
        <v>1110</v>
      </c>
      <c r="G145" s="116"/>
      <c r="H145" s="117"/>
      <c r="I145" s="26"/>
      <c r="K145" s="37"/>
    </row>
    <row r="146" spans="1:11" s="43" customFormat="1" x14ac:dyDescent="0.35">
      <c r="A146" s="100" t="s">
        <v>207</v>
      </c>
      <c r="B146" s="101"/>
      <c r="C146" s="65" t="s">
        <v>200</v>
      </c>
      <c r="D146" s="40">
        <f>(59.025+0.75*(3.05+2.14+2.9+3.05))*10.764</f>
        <v>725.27831999999989</v>
      </c>
      <c r="E146" s="41">
        <v>0</v>
      </c>
      <c r="F146" s="63">
        <v>1150</v>
      </c>
      <c r="G146" s="116"/>
      <c r="H146" s="117"/>
      <c r="I146" s="26"/>
    </row>
    <row r="147" spans="1:11" s="43" customFormat="1" x14ac:dyDescent="0.35">
      <c r="A147" s="100" t="s">
        <v>208</v>
      </c>
      <c r="B147" s="101"/>
      <c r="C147" s="65" t="s">
        <v>201</v>
      </c>
      <c r="D147" s="40">
        <f>(36+0.75*(2.9+2.14+2.9))*10.764</f>
        <v>451.60361999999998</v>
      </c>
      <c r="E147" s="41">
        <v>0</v>
      </c>
      <c r="F147" s="63">
        <v>720</v>
      </c>
      <c r="G147" s="116"/>
      <c r="H147" s="117"/>
      <c r="I147" s="26"/>
    </row>
    <row r="148" spans="1:11" s="43" customFormat="1" x14ac:dyDescent="0.35">
      <c r="A148" s="100" t="s">
        <v>209</v>
      </c>
      <c r="B148" s="101"/>
      <c r="C148" s="65" t="s">
        <v>202</v>
      </c>
      <c r="D148" s="40">
        <f>(77.8+0.75*(3.09+2.13+3.05+2.9+3.14))*10.764</f>
        <v>952.96382999999992</v>
      </c>
      <c r="E148" s="41">
        <v>0</v>
      </c>
      <c r="F148" s="63">
        <v>1515</v>
      </c>
      <c r="G148" s="116"/>
      <c r="H148" s="117"/>
      <c r="I148" s="26"/>
    </row>
    <row r="149" spans="1:11" s="25" customFormat="1" x14ac:dyDescent="0.35">
      <c r="A149" s="100" t="s">
        <v>210</v>
      </c>
      <c r="B149" s="101"/>
      <c r="C149" s="65" t="s">
        <v>200</v>
      </c>
      <c r="D149" s="40">
        <f>(55.252+0.75*(3.09+3.05+2.14+1.5))*10.764</f>
        <v>673.68646799999999</v>
      </c>
      <c r="E149" s="41">
        <v>0</v>
      </c>
      <c r="F149" s="63">
        <v>1085</v>
      </c>
      <c r="G149" s="118"/>
      <c r="H149" s="119"/>
      <c r="I149" s="26"/>
      <c r="J149" s="43"/>
    </row>
    <row r="150" spans="1:11" s="43" customFormat="1" x14ac:dyDescent="0.35">
      <c r="A150" s="102" t="s">
        <v>212</v>
      </c>
      <c r="B150" s="103"/>
      <c r="C150" s="103"/>
      <c r="D150" s="103"/>
      <c r="E150" s="103"/>
      <c r="F150" s="103"/>
      <c r="G150" s="103"/>
      <c r="H150" s="104"/>
      <c r="I150" s="26"/>
      <c r="K150" s="27"/>
    </row>
    <row r="151" spans="1:11" s="43" customFormat="1" ht="15.75" customHeight="1" x14ac:dyDescent="0.35">
      <c r="A151" s="100">
        <v>701</v>
      </c>
      <c r="B151" s="101"/>
      <c r="C151" s="65" t="s">
        <v>200</v>
      </c>
      <c r="D151" s="40">
        <f>(56.555+0.75*(3.05+2.9+2.14+3.05))*10.764</f>
        <v>698.69123999999988</v>
      </c>
      <c r="E151" s="63">
        <v>0</v>
      </c>
      <c r="F151" s="63">
        <v>1110</v>
      </c>
      <c r="G151" s="114" t="str">
        <f>A150</f>
        <v>7th Floor (Part Refuge Area)</v>
      </c>
      <c r="H151" s="115"/>
      <c r="I151" s="26"/>
    </row>
    <row r="152" spans="1:11" s="43" customFormat="1" x14ac:dyDescent="0.35">
      <c r="A152" s="100">
        <v>702</v>
      </c>
      <c r="B152" s="101"/>
      <c r="C152" s="65" t="s">
        <v>200</v>
      </c>
      <c r="D152" s="40">
        <f>(54.188+0.75*(3.03+2.9))*10.764</f>
        <v>631.15252199999998</v>
      </c>
      <c r="E152" s="62">
        <v>0</v>
      </c>
      <c r="F152" s="63">
        <v>1065</v>
      </c>
      <c r="G152" s="116"/>
      <c r="H152" s="117"/>
      <c r="I152" s="26"/>
    </row>
    <row r="153" spans="1:11" s="43" customFormat="1" x14ac:dyDescent="0.35">
      <c r="A153" s="100">
        <v>703</v>
      </c>
      <c r="B153" s="101"/>
      <c r="C153" s="65" t="s">
        <v>200</v>
      </c>
      <c r="D153" s="40">
        <f>(56.57+0.75*(3.03+2.9))*10.764</f>
        <v>656.79236999999989</v>
      </c>
      <c r="E153" s="62">
        <v>0</v>
      </c>
      <c r="F153" s="63">
        <v>1110</v>
      </c>
      <c r="G153" s="116"/>
      <c r="H153" s="117"/>
      <c r="I153" s="26"/>
      <c r="K153" s="37"/>
    </row>
    <row r="154" spans="1:11" s="43" customFormat="1" x14ac:dyDescent="0.35">
      <c r="A154" s="100">
        <v>704</v>
      </c>
      <c r="B154" s="101"/>
      <c r="C154" s="65" t="s">
        <v>200</v>
      </c>
      <c r="D154" s="40">
        <f>(59.025+0.75*(3.05+2.14+2.9+3.05))*10.764</f>
        <v>725.27831999999989</v>
      </c>
      <c r="E154" s="62">
        <v>0</v>
      </c>
      <c r="F154" s="63">
        <v>1150</v>
      </c>
      <c r="G154" s="116"/>
      <c r="H154" s="117"/>
      <c r="I154" s="26"/>
      <c r="J154" s="40"/>
    </row>
    <row r="155" spans="1:11" s="43" customFormat="1" x14ac:dyDescent="0.35">
      <c r="A155" s="100">
        <v>705</v>
      </c>
      <c r="B155" s="101"/>
      <c r="C155" s="100" t="s">
        <v>213</v>
      </c>
      <c r="D155" s="183"/>
      <c r="E155" s="183"/>
      <c r="F155" s="101"/>
      <c r="G155" s="116"/>
      <c r="H155" s="117"/>
      <c r="I155" s="26"/>
    </row>
    <row r="156" spans="1:11" s="43" customFormat="1" x14ac:dyDescent="0.35">
      <c r="A156" s="100">
        <v>706</v>
      </c>
      <c r="B156" s="101"/>
      <c r="C156" s="65" t="s">
        <v>202</v>
      </c>
      <c r="D156" s="40">
        <f>(77.8+0.75*(3.09+2.13+3.05))*10.764</f>
        <v>904.20290999999997</v>
      </c>
      <c r="E156" s="62">
        <v>0</v>
      </c>
      <c r="F156" s="63">
        <v>1515</v>
      </c>
      <c r="G156" s="116"/>
      <c r="H156" s="117"/>
      <c r="I156" s="26"/>
    </row>
    <row r="157" spans="1:11" s="25" customFormat="1" x14ac:dyDescent="0.35">
      <c r="A157" s="100">
        <v>707</v>
      </c>
      <c r="B157" s="101"/>
      <c r="C157" s="65" t="s">
        <v>200</v>
      </c>
      <c r="D157" s="40">
        <f>(55.252+0.75*(3.09+3.05+3.05+2.14+1.8))*10.764</f>
        <v>700.73101800000006</v>
      </c>
      <c r="E157" s="62">
        <v>0</v>
      </c>
      <c r="F157" s="63">
        <v>1085</v>
      </c>
      <c r="G157" s="118"/>
      <c r="H157" s="119"/>
      <c r="I157" s="26"/>
      <c r="J157" s="43"/>
    </row>
    <row r="158" spans="1:11" s="43" customFormat="1" x14ac:dyDescent="0.35">
      <c r="A158" s="102" t="s">
        <v>216</v>
      </c>
      <c r="B158" s="103"/>
      <c r="C158" s="103"/>
      <c r="D158" s="103"/>
      <c r="E158" s="103"/>
      <c r="F158" s="103"/>
      <c r="G158" s="103"/>
      <c r="H158" s="104"/>
      <c r="I158" s="26"/>
      <c r="K158" s="27"/>
    </row>
    <row r="159" spans="1:11" s="43" customFormat="1" ht="15.75" customHeight="1" x14ac:dyDescent="0.35">
      <c r="A159" s="126" t="s">
        <v>217</v>
      </c>
      <c r="B159" s="127"/>
      <c r="C159" s="65" t="s">
        <v>200</v>
      </c>
      <c r="D159" s="40">
        <f>(56.555+0.75*(3.05+2.14+2.9+3.05))*10.764</f>
        <v>698.69123999999988</v>
      </c>
      <c r="E159" s="63">
        <v>0</v>
      </c>
      <c r="F159" s="63">
        <v>1110</v>
      </c>
      <c r="G159" s="114" t="str">
        <f>A158</f>
        <v>8th to 10th Floor</v>
      </c>
      <c r="H159" s="115"/>
      <c r="I159" s="26"/>
    </row>
    <row r="160" spans="1:11" s="67" customFormat="1" x14ac:dyDescent="0.35">
      <c r="A160" s="126" t="s">
        <v>218</v>
      </c>
      <c r="B160" s="127"/>
      <c r="C160" s="65" t="s">
        <v>200</v>
      </c>
      <c r="D160" s="40">
        <f>(54.188+0.75*(3.03+2.9))*10.764</f>
        <v>631.15252199999998</v>
      </c>
      <c r="E160" s="62">
        <v>0</v>
      </c>
      <c r="F160" s="63">
        <v>1065</v>
      </c>
      <c r="G160" s="116"/>
      <c r="H160" s="117"/>
      <c r="I160" s="66"/>
    </row>
    <row r="161" spans="1:11" s="43" customFormat="1" x14ac:dyDescent="0.35">
      <c r="A161" s="126" t="s">
        <v>219</v>
      </c>
      <c r="B161" s="127"/>
      <c r="C161" s="65" t="s">
        <v>200</v>
      </c>
      <c r="D161" s="40">
        <f>(56.57+0.75*(3.03+2.9))*10.764</f>
        <v>656.79236999999989</v>
      </c>
      <c r="E161" s="62">
        <v>0</v>
      </c>
      <c r="F161" s="63">
        <v>1110</v>
      </c>
      <c r="G161" s="116"/>
      <c r="H161" s="117"/>
      <c r="I161" s="26"/>
      <c r="K161" s="37"/>
    </row>
    <row r="162" spans="1:11" s="43" customFormat="1" x14ac:dyDescent="0.35">
      <c r="A162" s="126" t="s">
        <v>220</v>
      </c>
      <c r="B162" s="127"/>
      <c r="C162" s="65" t="s">
        <v>200</v>
      </c>
      <c r="D162" s="40">
        <f>(59.025+0.75*(3.05+2.14+2.9+3.05))*10.764</f>
        <v>725.27831999999989</v>
      </c>
      <c r="E162" s="62">
        <v>0</v>
      </c>
      <c r="F162" s="63">
        <v>1150</v>
      </c>
      <c r="G162" s="116"/>
      <c r="H162" s="117"/>
      <c r="I162" s="26"/>
    </row>
    <row r="163" spans="1:11" s="43" customFormat="1" x14ac:dyDescent="0.35">
      <c r="A163" s="126" t="s">
        <v>221</v>
      </c>
      <c r="B163" s="127"/>
      <c r="C163" s="65" t="s">
        <v>201</v>
      </c>
      <c r="D163" s="40">
        <f>(36+0.75*(2.9+2.14+2.9))*10.764</f>
        <v>451.60361999999998</v>
      </c>
      <c r="E163" s="62">
        <v>0</v>
      </c>
      <c r="F163" s="63">
        <v>720</v>
      </c>
      <c r="G163" s="116"/>
      <c r="H163" s="117"/>
      <c r="I163" s="26"/>
    </row>
    <row r="164" spans="1:11" s="43" customFormat="1" x14ac:dyDescent="0.35">
      <c r="A164" s="126" t="s">
        <v>222</v>
      </c>
      <c r="B164" s="127"/>
      <c r="C164" s="65" t="s">
        <v>202</v>
      </c>
      <c r="D164" s="40">
        <f>(77.8+0.75*(3.09+2.13+3.05+2.9+3.14))*10.764</f>
        <v>952.96382999999992</v>
      </c>
      <c r="E164" s="62">
        <v>0</v>
      </c>
      <c r="F164" s="63">
        <v>1515</v>
      </c>
      <c r="G164" s="116"/>
      <c r="H164" s="117"/>
      <c r="I164" s="26"/>
    </row>
    <row r="165" spans="1:11" s="25" customFormat="1" ht="15.75" customHeight="1" x14ac:dyDescent="0.35">
      <c r="A165" s="100" t="s">
        <v>223</v>
      </c>
      <c r="B165" s="101"/>
      <c r="C165" s="65" t="s">
        <v>200</v>
      </c>
      <c r="D165" s="40">
        <f>(55.252+0.75*(3.09+3.05+2.14+1.5))*10.764</f>
        <v>673.68646799999999</v>
      </c>
      <c r="E165" s="62">
        <v>0</v>
      </c>
      <c r="F165" s="63">
        <v>1085</v>
      </c>
      <c r="G165" s="118"/>
      <c r="H165" s="119"/>
      <c r="I165" s="26"/>
      <c r="J165" s="43"/>
    </row>
    <row r="166" spans="1:11" s="43" customFormat="1" x14ac:dyDescent="0.35">
      <c r="A166" s="102" t="s">
        <v>225</v>
      </c>
      <c r="B166" s="103"/>
      <c r="C166" s="103"/>
      <c r="D166" s="103"/>
      <c r="E166" s="103"/>
      <c r="F166" s="103"/>
      <c r="G166" s="103"/>
      <c r="H166" s="104"/>
      <c r="I166" s="26"/>
      <c r="K166" s="27"/>
    </row>
    <row r="167" spans="1:11" s="43" customFormat="1" ht="15.75" customHeight="1" x14ac:dyDescent="0.35">
      <c r="A167" s="126">
        <v>1101</v>
      </c>
      <c r="B167" s="127"/>
      <c r="C167" s="65" t="s">
        <v>200</v>
      </c>
      <c r="D167" s="40">
        <f>(56.555+0.75*(3.05+2.9+2.14+3.05))*10.764</f>
        <v>698.69123999999988</v>
      </c>
      <c r="E167" s="63">
        <v>0</v>
      </c>
      <c r="F167" s="63">
        <v>1110</v>
      </c>
      <c r="G167" s="114" t="str">
        <f>A166</f>
        <v>11th Floor (Part Refuge Area)</v>
      </c>
      <c r="H167" s="115"/>
      <c r="I167" s="26"/>
    </row>
    <row r="168" spans="1:11" s="67" customFormat="1" x14ac:dyDescent="0.35">
      <c r="A168" s="126">
        <v>1102</v>
      </c>
      <c r="B168" s="127"/>
      <c r="C168" s="65" t="s">
        <v>200</v>
      </c>
      <c r="D168" s="40">
        <f>(54.188+0.75*(3.03+2.9))*10.764</f>
        <v>631.15252199999998</v>
      </c>
      <c r="E168" s="45"/>
      <c r="F168" s="63">
        <v>1065</v>
      </c>
      <c r="G168" s="116"/>
      <c r="H168" s="117"/>
      <c r="I168" s="66"/>
    </row>
    <row r="169" spans="1:11" s="43" customFormat="1" x14ac:dyDescent="0.35">
      <c r="A169" s="126">
        <v>1103</v>
      </c>
      <c r="B169" s="127"/>
      <c r="C169" s="65" t="s">
        <v>200</v>
      </c>
      <c r="D169" s="40">
        <f>(56.57+0.75*(3.03+2.9))*10.764</f>
        <v>656.79236999999989</v>
      </c>
      <c r="E169" s="62">
        <v>0</v>
      </c>
      <c r="F169" s="63">
        <v>1110</v>
      </c>
      <c r="G169" s="116"/>
      <c r="H169" s="117"/>
      <c r="I169" s="26"/>
      <c r="K169" s="37"/>
    </row>
    <row r="170" spans="1:11" s="43" customFormat="1" x14ac:dyDescent="0.35">
      <c r="A170" s="126">
        <v>1104</v>
      </c>
      <c r="B170" s="127"/>
      <c r="C170" s="65" t="s">
        <v>200</v>
      </c>
      <c r="D170" s="40">
        <f>(59.025+0.75*(3.05+2.14+2.9+3.05))*10.764</f>
        <v>725.27831999999989</v>
      </c>
      <c r="E170" s="62">
        <v>0</v>
      </c>
      <c r="F170" s="63">
        <v>1150</v>
      </c>
      <c r="G170" s="116"/>
      <c r="H170" s="117"/>
      <c r="I170" s="26"/>
    </row>
    <row r="171" spans="1:11" s="43" customFormat="1" x14ac:dyDescent="0.35">
      <c r="A171" s="126">
        <v>1105</v>
      </c>
      <c r="B171" s="127"/>
      <c r="C171" s="100" t="s">
        <v>213</v>
      </c>
      <c r="D171" s="183"/>
      <c r="E171" s="183"/>
      <c r="F171" s="101"/>
      <c r="G171" s="116"/>
      <c r="H171" s="117"/>
      <c r="I171" s="26"/>
    </row>
    <row r="172" spans="1:11" s="43" customFormat="1" x14ac:dyDescent="0.35">
      <c r="A172" s="126">
        <v>1106</v>
      </c>
      <c r="B172" s="127"/>
      <c r="C172" s="65" t="s">
        <v>202</v>
      </c>
      <c r="D172" s="40">
        <f>(77.8+0.75*(3.09+2.13+3.05))*10.764</f>
        <v>904.20290999999997</v>
      </c>
      <c r="E172" s="62">
        <v>0</v>
      </c>
      <c r="F172" s="63">
        <v>1515</v>
      </c>
      <c r="G172" s="116"/>
      <c r="H172" s="117"/>
      <c r="I172" s="26"/>
    </row>
    <row r="173" spans="1:11" s="25" customFormat="1" x14ac:dyDescent="0.35">
      <c r="A173" s="126">
        <v>1107</v>
      </c>
      <c r="B173" s="127"/>
      <c r="C173" s="65" t="s">
        <v>200</v>
      </c>
      <c r="D173" s="40">
        <f>(55.252+0.75*(3.09+3.05+3.05+2.14+1.8))*10.764</f>
        <v>700.73101800000006</v>
      </c>
      <c r="E173" s="62">
        <v>0</v>
      </c>
      <c r="F173" s="63">
        <v>1085</v>
      </c>
      <c r="G173" s="118"/>
      <c r="H173" s="119"/>
      <c r="I173" s="26"/>
      <c r="J173" s="43"/>
    </row>
    <row r="174" spans="1:11" s="43" customFormat="1" x14ac:dyDescent="0.35">
      <c r="A174" s="125" t="s">
        <v>224</v>
      </c>
      <c r="B174" s="125"/>
      <c r="C174" s="125"/>
      <c r="D174" s="125"/>
      <c r="E174" s="125"/>
      <c r="F174" s="125"/>
      <c r="G174" s="125"/>
      <c r="H174" s="125"/>
      <c r="I174" s="26"/>
      <c r="K174" s="27"/>
    </row>
    <row r="175" spans="1:11" s="43" customFormat="1" ht="15.75" customHeight="1" x14ac:dyDescent="0.35">
      <c r="A175" s="91">
        <v>1201</v>
      </c>
      <c r="B175" s="91"/>
      <c r="C175" s="65" t="s">
        <v>200</v>
      </c>
      <c r="D175" s="40">
        <f>(56.555+0.75*(3.05+2.14+2.9+3.05))*10.764</f>
        <v>698.69123999999988</v>
      </c>
      <c r="E175" s="63">
        <v>0</v>
      </c>
      <c r="F175" s="63">
        <v>1110</v>
      </c>
      <c r="G175" s="99" t="str">
        <f>A174</f>
        <v>12th Floor</v>
      </c>
      <c r="H175" s="99"/>
      <c r="I175" s="26"/>
    </row>
    <row r="176" spans="1:11" s="67" customFormat="1" x14ac:dyDescent="0.35">
      <c r="A176" s="91">
        <v>1202</v>
      </c>
      <c r="B176" s="91"/>
      <c r="C176" s="65" t="s">
        <v>200</v>
      </c>
      <c r="D176" s="40">
        <f>(54.188+0.75*(3.03+2.9))*10.764</f>
        <v>631.15252199999998</v>
      </c>
      <c r="E176" s="78">
        <v>0</v>
      </c>
      <c r="F176" s="63">
        <v>1065</v>
      </c>
      <c r="G176" s="99"/>
      <c r="H176" s="99"/>
      <c r="I176" s="66"/>
    </row>
    <row r="177" spans="1:11" s="43" customFormat="1" x14ac:dyDescent="0.35">
      <c r="A177" s="91">
        <v>1203</v>
      </c>
      <c r="B177" s="91"/>
      <c r="C177" s="65" t="s">
        <v>200</v>
      </c>
      <c r="D177" s="40">
        <f>(56.57+0.75*(3.03+2.9))*10.764</f>
        <v>656.79236999999989</v>
      </c>
      <c r="E177" s="78">
        <v>0</v>
      </c>
      <c r="F177" s="63">
        <v>1110</v>
      </c>
      <c r="G177" s="99"/>
      <c r="H177" s="99"/>
      <c r="I177" s="26"/>
      <c r="K177" s="37"/>
    </row>
    <row r="178" spans="1:11" s="43" customFormat="1" x14ac:dyDescent="0.35">
      <c r="A178" s="91">
        <v>1204</v>
      </c>
      <c r="B178" s="91"/>
      <c r="C178" s="65" t="s">
        <v>200</v>
      </c>
      <c r="D178" s="40">
        <f>(59.025+0.75*(3.05+2.14+2.9+3.05))*10.764</f>
        <v>725.27831999999989</v>
      </c>
      <c r="E178" s="78">
        <v>0</v>
      </c>
      <c r="F178" s="63">
        <v>1150</v>
      </c>
      <c r="G178" s="99"/>
      <c r="H178" s="99"/>
      <c r="I178" s="26"/>
    </row>
    <row r="179" spans="1:11" s="43" customFormat="1" x14ac:dyDescent="0.35">
      <c r="A179" s="91">
        <v>1205</v>
      </c>
      <c r="B179" s="91"/>
      <c r="C179" s="65" t="s">
        <v>201</v>
      </c>
      <c r="D179" s="40">
        <f>(36+0.75*(2.9+2.14+2.9))*10.764</f>
        <v>451.60361999999998</v>
      </c>
      <c r="E179" s="78">
        <v>0</v>
      </c>
      <c r="F179" s="63">
        <v>720</v>
      </c>
      <c r="G179" s="99"/>
      <c r="H179" s="99"/>
      <c r="I179" s="26"/>
    </row>
    <row r="180" spans="1:11" s="43" customFormat="1" x14ac:dyDescent="0.35">
      <c r="A180" s="91">
        <v>1206</v>
      </c>
      <c r="B180" s="91"/>
      <c r="C180" s="65" t="s">
        <v>202</v>
      </c>
      <c r="D180" s="40">
        <f>(77.8+0.75*(3.09+2.13+3.05+2.9+3.14))*10.764</f>
        <v>952.96382999999992</v>
      </c>
      <c r="E180" s="78">
        <v>0</v>
      </c>
      <c r="F180" s="63">
        <v>1515</v>
      </c>
      <c r="G180" s="99"/>
      <c r="H180" s="99"/>
      <c r="I180" s="26"/>
    </row>
    <row r="181" spans="1:11" s="25" customFormat="1" x14ac:dyDescent="0.35">
      <c r="A181" s="91">
        <v>1207</v>
      </c>
      <c r="B181" s="91"/>
      <c r="C181" s="65" t="s">
        <v>200</v>
      </c>
      <c r="D181" s="40">
        <f>(55.252+0.75*(3.09+3.05+2.14+1.5))*10.764</f>
        <v>673.68646799999999</v>
      </c>
      <c r="E181" s="78">
        <v>0</v>
      </c>
      <c r="F181" s="63">
        <v>1085</v>
      </c>
      <c r="G181" s="99"/>
      <c r="H181" s="99"/>
      <c r="I181" s="26"/>
      <c r="J181" s="43"/>
    </row>
    <row r="182" spans="1:11" s="25" customFormat="1" x14ac:dyDescent="0.35">
      <c r="A182" s="96" t="s">
        <v>189</v>
      </c>
      <c r="B182" s="97"/>
      <c r="C182" s="97"/>
      <c r="D182" s="97"/>
      <c r="E182" s="97"/>
      <c r="F182" s="97"/>
      <c r="G182" s="97"/>
      <c r="H182" s="98"/>
      <c r="I182" s="26"/>
      <c r="J182" s="43"/>
    </row>
    <row r="183" spans="1:11" s="25" customFormat="1" x14ac:dyDescent="0.35">
      <c r="A183" s="96" t="s">
        <v>195</v>
      </c>
      <c r="B183" s="97"/>
      <c r="C183" s="97"/>
      <c r="D183" s="97"/>
      <c r="E183" s="97"/>
      <c r="F183" s="97"/>
      <c r="G183" s="97"/>
      <c r="H183" s="98"/>
      <c r="I183" s="26"/>
      <c r="J183" s="43"/>
    </row>
    <row r="184" spans="1:11" s="25" customFormat="1" x14ac:dyDescent="0.35">
      <c r="A184" s="125" t="s">
        <v>187</v>
      </c>
      <c r="B184" s="125"/>
      <c r="C184" s="125"/>
      <c r="D184" s="125"/>
      <c r="E184" s="125"/>
      <c r="F184" s="125"/>
      <c r="G184" s="125"/>
      <c r="H184" s="125"/>
      <c r="I184" s="26"/>
      <c r="J184" s="43"/>
    </row>
    <row r="185" spans="1:11" s="25" customFormat="1" x14ac:dyDescent="0.35">
      <c r="A185" s="99">
        <v>203</v>
      </c>
      <c r="B185" s="99"/>
      <c r="C185" s="35">
        <v>2</v>
      </c>
      <c r="D185" s="40">
        <f>(58.559)*10.764</f>
        <v>630.32907599999999</v>
      </c>
      <c r="E185" s="40">
        <f>(34.652)*10.764</f>
        <v>372.99412799999999</v>
      </c>
      <c r="F185" s="63">
        <v>1430</v>
      </c>
      <c r="G185" s="114" t="str">
        <f>A184</f>
        <v>2nd Floor For Residential</v>
      </c>
      <c r="H185" s="115"/>
      <c r="I185" s="26"/>
      <c r="J185" s="43"/>
      <c r="K185" s="72"/>
    </row>
    <row r="186" spans="1:11" s="25" customFormat="1" x14ac:dyDescent="0.35">
      <c r="A186" s="99">
        <f>A185+1</f>
        <v>204</v>
      </c>
      <c r="B186" s="99"/>
      <c r="C186" s="35">
        <v>2</v>
      </c>
      <c r="D186" s="40">
        <f>(59.029)*10.764</f>
        <v>635.38815599999998</v>
      </c>
      <c r="E186" s="40">
        <f>(34.004)*10.764</f>
        <v>366.01905599999998</v>
      </c>
      <c r="F186" s="63">
        <v>1430</v>
      </c>
      <c r="G186" s="116"/>
      <c r="H186" s="117"/>
      <c r="I186" s="26"/>
      <c r="J186" s="43"/>
    </row>
    <row r="187" spans="1:11" s="25" customFormat="1" x14ac:dyDescent="0.35">
      <c r="A187" s="99">
        <f>A186+1</f>
        <v>205</v>
      </c>
      <c r="B187" s="99"/>
      <c r="C187" s="35">
        <v>3</v>
      </c>
      <c r="D187" s="40">
        <f>(75.615)*10.764</f>
        <v>813.91985999999986</v>
      </c>
      <c r="E187" s="40">
        <f>(40.011)*10.764</f>
        <v>430.678404</v>
      </c>
      <c r="F187" s="63">
        <v>1815</v>
      </c>
      <c r="G187" s="116"/>
      <c r="H187" s="117"/>
      <c r="I187" s="26"/>
      <c r="J187" s="43"/>
    </row>
    <row r="188" spans="1:11" s="25" customFormat="1" x14ac:dyDescent="0.35">
      <c r="A188" s="102" t="s">
        <v>203</v>
      </c>
      <c r="B188" s="103"/>
      <c r="C188" s="103"/>
      <c r="D188" s="103"/>
      <c r="E188" s="103"/>
      <c r="F188" s="103"/>
      <c r="G188" s="103"/>
      <c r="H188" s="104"/>
      <c r="I188" s="26"/>
      <c r="J188" s="43"/>
    </row>
    <row r="189" spans="1:11" s="25" customFormat="1" ht="15.75" customHeight="1" x14ac:dyDescent="0.35">
      <c r="A189" s="100" t="s">
        <v>204</v>
      </c>
      <c r="B189" s="101"/>
      <c r="C189" s="35" t="s">
        <v>201</v>
      </c>
      <c r="D189" s="40">
        <f>(37.065+0.75*(2.9+2.14+2.9))*10.764</f>
        <v>463.06727999999993</v>
      </c>
      <c r="E189" s="41">
        <v>0</v>
      </c>
      <c r="F189" s="63">
        <v>730</v>
      </c>
      <c r="G189" s="114" t="str">
        <f>A188</f>
        <v>3rd to 6th Floor</v>
      </c>
      <c r="H189" s="115"/>
      <c r="I189" s="26"/>
      <c r="J189" s="43"/>
      <c r="K189" s="72"/>
    </row>
    <row r="190" spans="1:11" s="25" customFormat="1" x14ac:dyDescent="0.35">
      <c r="A190" s="100" t="s">
        <v>205</v>
      </c>
      <c r="B190" s="101"/>
      <c r="C190" s="35" t="s">
        <v>201</v>
      </c>
      <c r="D190" s="40">
        <f>(36.447+0.75*(2.9+2.14+2.9))*10.764</f>
        <v>456.41512799999998</v>
      </c>
      <c r="E190" s="41">
        <v>0</v>
      </c>
      <c r="F190" s="63">
        <v>720</v>
      </c>
      <c r="G190" s="116"/>
      <c r="H190" s="117"/>
      <c r="I190" s="26"/>
      <c r="J190" s="43"/>
    </row>
    <row r="191" spans="1:11" x14ac:dyDescent="0.35">
      <c r="A191" s="100" t="s">
        <v>206</v>
      </c>
      <c r="B191" s="101"/>
      <c r="C191" s="35" t="s">
        <v>200</v>
      </c>
      <c r="D191" s="40">
        <f>(58.559+0.75*(3.09+2.14+2.9+3.05))*10.764</f>
        <v>720.58521599999995</v>
      </c>
      <c r="E191" s="41">
        <v>0</v>
      </c>
      <c r="F191" s="63">
        <v>1145</v>
      </c>
      <c r="G191" s="116"/>
      <c r="H191" s="117"/>
      <c r="I191" s="26"/>
      <c r="J191" s="40"/>
    </row>
    <row r="192" spans="1:11" x14ac:dyDescent="0.35">
      <c r="A192" s="100" t="s">
        <v>207</v>
      </c>
      <c r="B192" s="101"/>
      <c r="C192" s="35" t="s">
        <v>200</v>
      </c>
      <c r="D192" s="40">
        <f>(59.025+0.75*(3.05+2.14+2.9+3.05))*10.764</f>
        <v>725.27831999999989</v>
      </c>
      <c r="E192" s="41">
        <v>0</v>
      </c>
      <c r="F192" s="63">
        <v>1150</v>
      </c>
      <c r="G192" s="116"/>
      <c r="H192" s="117"/>
      <c r="I192" s="26"/>
      <c r="J192" s="43"/>
    </row>
    <row r="193" spans="1:11" ht="15.75" customHeight="1" x14ac:dyDescent="0.35">
      <c r="A193" s="100" t="s">
        <v>208</v>
      </c>
      <c r="B193" s="101"/>
      <c r="C193" s="35" t="s">
        <v>202</v>
      </c>
      <c r="D193" s="40">
        <f>(75.615+0.75*(3.05+2.13+3.05+2.9+3.14))*10.764</f>
        <v>929.12156999999991</v>
      </c>
      <c r="E193" s="41">
        <v>0</v>
      </c>
      <c r="F193" s="63">
        <v>1475</v>
      </c>
      <c r="G193" s="116"/>
      <c r="H193" s="117"/>
      <c r="I193" s="26"/>
      <c r="J193" s="25"/>
    </row>
    <row r="194" spans="1:11" ht="15.75" customHeight="1" x14ac:dyDescent="0.35">
      <c r="A194" s="100" t="s">
        <v>209</v>
      </c>
      <c r="B194" s="101"/>
      <c r="C194" s="35" t="s">
        <v>201</v>
      </c>
      <c r="D194" s="40">
        <f>(36.064+0.75*(2.89+2.14+2.9))*10.764</f>
        <v>452.21178599999996</v>
      </c>
      <c r="E194" s="62">
        <v>0</v>
      </c>
      <c r="F194" s="63">
        <v>715</v>
      </c>
      <c r="G194" s="118"/>
      <c r="H194" s="119"/>
      <c r="I194" s="26"/>
      <c r="J194" s="25"/>
    </row>
    <row r="195" spans="1:11" s="25" customFormat="1" x14ac:dyDescent="0.35">
      <c r="A195" s="102" t="s">
        <v>215</v>
      </c>
      <c r="B195" s="103"/>
      <c r="C195" s="103"/>
      <c r="D195" s="103"/>
      <c r="E195" s="103"/>
      <c r="F195" s="103"/>
      <c r="G195" s="103"/>
      <c r="H195" s="104"/>
      <c r="I195" s="26"/>
      <c r="J195" s="43"/>
      <c r="K195" s="72"/>
    </row>
    <row r="196" spans="1:11" s="25" customFormat="1" ht="15.75" customHeight="1" x14ac:dyDescent="0.35">
      <c r="A196" s="100">
        <v>701</v>
      </c>
      <c r="B196" s="101"/>
      <c r="C196" s="65" t="s">
        <v>201</v>
      </c>
      <c r="D196" s="69">
        <f>(37.065+0.75*(2.9+2.14+2.9))*10.764</f>
        <v>463.06727999999993</v>
      </c>
      <c r="E196" s="63">
        <v>0</v>
      </c>
      <c r="F196" s="63">
        <v>730</v>
      </c>
      <c r="G196" s="114" t="str">
        <f>A195</f>
        <v>7th Floor (Part Refuge Area &amp; Natural Terrace)</v>
      </c>
      <c r="H196" s="115"/>
      <c r="I196" s="26"/>
      <c r="J196" s="43"/>
    </row>
    <row r="197" spans="1:11" s="25" customFormat="1" x14ac:dyDescent="0.35">
      <c r="A197" s="100">
        <v>702</v>
      </c>
      <c r="B197" s="101"/>
      <c r="C197" s="126" t="s">
        <v>214</v>
      </c>
      <c r="D197" s="212"/>
      <c r="E197" s="212"/>
      <c r="F197" s="127"/>
      <c r="G197" s="116"/>
      <c r="H197" s="117"/>
      <c r="I197" s="26"/>
      <c r="J197" s="43"/>
    </row>
    <row r="198" spans="1:11" x14ac:dyDescent="0.35">
      <c r="A198" s="100">
        <v>703</v>
      </c>
      <c r="B198" s="101"/>
      <c r="C198" s="65" t="s">
        <v>200</v>
      </c>
      <c r="D198" s="69">
        <f>(58.559+0.75*(3.09+2.14+2.9))*10.764</f>
        <v>695.96256599999992</v>
      </c>
      <c r="E198" s="63">
        <v>0</v>
      </c>
      <c r="F198" s="63">
        <v>1145</v>
      </c>
      <c r="G198" s="116"/>
      <c r="H198" s="117"/>
      <c r="I198" s="26"/>
      <c r="J198" s="43"/>
    </row>
    <row r="199" spans="1:11" x14ac:dyDescent="0.35">
      <c r="A199" s="100">
        <v>704</v>
      </c>
      <c r="B199" s="101"/>
      <c r="C199" s="65" t="s">
        <v>200</v>
      </c>
      <c r="D199" s="69">
        <f>(59.025+0.75*(3.05+2.14+2.9+3.05))*10.764</f>
        <v>725.27831999999989</v>
      </c>
      <c r="E199" s="63">
        <v>0</v>
      </c>
      <c r="F199" s="63">
        <v>1150</v>
      </c>
      <c r="G199" s="116"/>
      <c r="H199" s="117"/>
      <c r="I199" s="26"/>
      <c r="J199" s="43"/>
    </row>
    <row r="200" spans="1:11" x14ac:dyDescent="0.35">
      <c r="A200" s="100">
        <v>705</v>
      </c>
      <c r="B200" s="101"/>
      <c r="C200" s="65" t="s">
        <v>202</v>
      </c>
      <c r="D200" s="69">
        <f>(75.615+0.75*(3.09+2.13+3.05+3.14+3.14))*10.764</f>
        <v>931.38201000000004</v>
      </c>
      <c r="E200" s="63">
        <v>0</v>
      </c>
      <c r="F200" s="63">
        <v>1475</v>
      </c>
      <c r="G200" s="116"/>
      <c r="H200" s="117"/>
      <c r="I200" s="26"/>
      <c r="J200" s="43"/>
    </row>
    <row r="201" spans="1:11" ht="15.75" customHeight="1" x14ac:dyDescent="0.35">
      <c r="A201" s="100">
        <v>706</v>
      </c>
      <c r="B201" s="101"/>
      <c r="C201" s="100" t="s">
        <v>213</v>
      </c>
      <c r="D201" s="183"/>
      <c r="E201" s="183"/>
      <c r="F201" s="101"/>
      <c r="G201" s="116"/>
      <c r="H201" s="117"/>
      <c r="I201" s="26"/>
      <c r="J201" s="25"/>
      <c r="K201" s="73"/>
    </row>
    <row r="202" spans="1:11" s="25" customFormat="1" x14ac:dyDescent="0.35">
      <c r="A202" s="102" t="s">
        <v>216</v>
      </c>
      <c r="B202" s="103"/>
      <c r="C202" s="103"/>
      <c r="D202" s="103"/>
      <c r="E202" s="103"/>
      <c r="F202" s="103"/>
      <c r="G202" s="103"/>
      <c r="H202" s="104"/>
      <c r="I202" s="26"/>
      <c r="J202" s="43"/>
    </row>
    <row r="203" spans="1:11" s="25" customFormat="1" ht="15.75" customHeight="1" x14ac:dyDescent="0.35">
      <c r="A203" s="126" t="s">
        <v>217</v>
      </c>
      <c r="B203" s="127"/>
      <c r="C203" s="65" t="s">
        <v>201</v>
      </c>
      <c r="D203" s="69">
        <f>(37.065+0.75*(2.9+2.14+2.9))*10.764</f>
        <v>463.06727999999993</v>
      </c>
      <c r="E203" s="63">
        <v>0</v>
      </c>
      <c r="F203" s="63">
        <v>730</v>
      </c>
      <c r="G203" s="213" t="str">
        <f>A202</f>
        <v>8th to 10th Floor</v>
      </c>
      <c r="H203" s="214"/>
      <c r="I203" s="26"/>
      <c r="J203" s="43"/>
    </row>
    <row r="204" spans="1:11" s="48" customFormat="1" x14ac:dyDescent="0.35">
      <c r="A204" s="126" t="s">
        <v>218</v>
      </c>
      <c r="B204" s="127"/>
      <c r="C204" s="126" t="s">
        <v>226</v>
      </c>
      <c r="D204" s="212"/>
      <c r="E204" s="212"/>
      <c r="F204" s="127"/>
      <c r="G204" s="215"/>
      <c r="H204" s="216"/>
      <c r="I204" s="66"/>
      <c r="J204" s="67"/>
    </row>
    <row r="205" spans="1:11" x14ac:dyDescent="0.35">
      <c r="A205" s="126" t="s">
        <v>219</v>
      </c>
      <c r="B205" s="127"/>
      <c r="C205" s="65" t="s">
        <v>200</v>
      </c>
      <c r="D205" s="69">
        <f>(58.559+0.75*(3.09+2.14+2.9+3.05))*10.764</f>
        <v>720.58521599999995</v>
      </c>
      <c r="E205" s="63">
        <v>0</v>
      </c>
      <c r="F205" s="63">
        <v>1145</v>
      </c>
      <c r="G205" s="215"/>
      <c r="H205" s="216"/>
      <c r="I205" s="26"/>
      <c r="J205" s="43"/>
      <c r="K205" s="73"/>
    </row>
    <row r="206" spans="1:11" x14ac:dyDescent="0.35">
      <c r="A206" s="126" t="s">
        <v>220</v>
      </c>
      <c r="B206" s="127"/>
      <c r="C206" s="65" t="s">
        <v>200</v>
      </c>
      <c r="D206" s="69">
        <f>(59.025+0.75*(3.05+2.14+2.9+3.05))*10.764</f>
        <v>725.27831999999989</v>
      </c>
      <c r="E206" s="63">
        <v>0</v>
      </c>
      <c r="F206" s="63">
        <v>1150</v>
      </c>
      <c r="G206" s="215"/>
      <c r="H206" s="216"/>
      <c r="I206" s="26"/>
      <c r="J206" s="43"/>
      <c r="K206" s="73"/>
    </row>
    <row r="207" spans="1:11" ht="15.75" customHeight="1" x14ac:dyDescent="0.35">
      <c r="A207" s="126" t="s">
        <v>221</v>
      </c>
      <c r="B207" s="127"/>
      <c r="C207" s="65" t="s">
        <v>202</v>
      </c>
      <c r="D207" s="69">
        <f>(75.615+0.75*(3.05+2.13+3.05+2.9+3.14))*10.764</f>
        <v>929.12156999999991</v>
      </c>
      <c r="E207" s="63">
        <v>0</v>
      </c>
      <c r="F207" s="63">
        <v>1475</v>
      </c>
      <c r="G207" s="215"/>
      <c r="H207" s="216"/>
      <c r="I207" s="26"/>
      <c r="J207" s="25"/>
    </row>
    <row r="208" spans="1:11" ht="15.75" customHeight="1" x14ac:dyDescent="0.35">
      <c r="A208" s="126" t="s">
        <v>222</v>
      </c>
      <c r="B208" s="127"/>
      <c r="C208" s="65" t="s">
        <v>201</v>
      </c>
      <c r="D208" s="69">
        <f>(36.064+0.75*(2.89+2.14+2.9))*10.764</f>
        <v>452.21178599999996</v>
      </c>
      <c r="E208" s="63">
        <v>0</v>
      </c>
      <c r="F208" s="63">
        <v>715</v>
      </c>
      <c r="G208" s="217"/>
      <c r="H208" s="218"/>
      <c r="I208" s="26"/>
      <c r="J208" s="25"/>
    </row>
    <row r="209" spans="1:11" s="43" customFormat="1" x14ac:dyDescent="0.35">
      <c r="A209" s="209" t="s">
        <v>225</v>
      </c>
      <c r="B209" s="210"/>
      <c r="C209" s="210"/>
      <c r="D209" s="210"/>
      <c r="E209" s="210"/>
      <c r="F209" s="210"/>
      <c r="G209" s="210"/>
      <c r="H209" s="211"/>
      <c r="I209" s="26"/>
      <c r="K209" s="27"/>
    </row>
    <row r="210" spans="1:11" s="43" customFormat="1" ht="15.75" customHeight="1" x14ac:dyDescent="0.35">
      <c r="A210" s="126">
        <v>1101</v>
      </c>
      <c r="B210" s="127"/>
      <c r="C210" s="65" t="s">
        <v>201</v>
      </c>
      <c r="D210" s="69">
        <f>(37.065+0.75*(2.9+2.14+2.9))*10.764</f>
        <v>463.06727999999993</v>
      </c>
      <c r="E210" s="63">
        <v>0</v>
      </c>
      <c r="F210" s="63">
        <v>730</v>
      </c>
      <c r="G210" s="213" t="str">
        <f>A209</f>
        <v>11th Floor (Part Refuge Area)</v>
      </c>
      <c r="H210" s="214"/>
      <c r="I210" s="26"/>
    </row>
    <row r="211" spans="1:11" s="43" customFormat="1" x14ac:dyDescent="0.35">
      <c r="A211" s="126">
        <v>1102</v>
      </c>
      <c r="B211" s="127"/>
      <c r="C211" s="126" t="s">
        <v>226</v>
      </c>
      <c r="D211" s="212"/>
      <c r="E211" s="212"/>
      <c r="F211" s="127"/>
      <c r="G211" s="215"/>
      <c r="H211" s="216"/>
      <c r="I211" s="26"/>
    </row>
    <row r="212" spans="1:11" s="43" customFormat="1" x14ac:dyDescent="0.35">
      <c r="A212" s="126">
        <v>1103</v>
      </c>
      <c r="B212" s="127"/>
      <c r="C212" s="65" t="s">
        <v>200</v>
      </c>
      <c r="D212" s="69">
        <f>(58.559+0.75*(3.09+2.14+2.9))*10.764</f>
        <v>695.96256599999992</v>
      </c>
      <c r="E212" s="63">
        <v>0</v>
      </c>
      <c r="F212" s="63">
        <v>1145</v>
      </c>
      <c r="G212" s="215"/>
      <c r="H212" s="216"/>
      <c r="I212" s="26"/>
      <c r="K212" s="37"/>
    </row>
    <row r="213" spans="1:11" s="43" customFormat="1" x14ac:dyDescent="0.35">
      <c r="A213" s="126">
        <v>1104</v>
      </c>
      <c r="B213" s="127"/>
      <c r="C213" s="65" t="s">
        <v>200</v>
      </c>
      <c r="D213" s="69">
        <f>(59.025+0.75*(3.05+2.14+2.9+3.05))*10.764</f>
        <v>725.27831999999989</v>
      </c>
      <c r="E213" s="63">
        <v>0</v>
      </c>
      <c r="F213" s="63">
        <v>1150</v>
      </c>
      <c r="G213" s="215"/>
      <c r="H213" s="216"/>
      <c r="I213" s="26"/>
    </row>
    <row r="214" spans="1:11" s="43" customFormat="1" x14ac:dyDescent="0.35">
      <c r="A214" s="126">
        <v>1105</v>
      </c>
      <c r="B214" s="127"/>
      <c r="C214" s="65" t="s">
        <v>202</v>
      </c>
      <c r="D214" s="69">
        <f>(75.615+0.75*(3.09+2.13+3.05+3.14+3.14))*10.764</f>
        <v>931.38201000000004</v>
      </c>
      <c r="E214" s="63">
        <v>0</v>
      </c>
      <c r="F214" s="63">
        <v>1475</v>
      </c>
      <c r="G214" s="215"/>
      <c r="H214" s="216"/>
      <c r="I214" s="26"/>
    </row>
    <row r="215" spans="1:11" s="43" customFormat="1" x14ac:dyDescent="0.35">
      <c r="A215" s="126">
        <v>1106</v>
      </c>
      <c r="B215" s="127"/>
      <c r="C215" s="126" t="s">
        <v>213</v>
      </c>
      <c r="D215" s="212"/>
      <c r="E215" s="212">
        <v>0</v>
      </c>
      <c r="F215" s="127"/>
      <c r="G215" s="217"/>
      <c r="H215" s="218"/>
      <c r="I215" s="26"/>
    </row>
    <row r="216" spans="1:11" s="43" customFormat="1" x14ac:dyDescent="0.35">
      <c r="A216" s="219" t="s">
        <v>224</v>
      </c>
      <c r="B216" s="219"/>
      <c r="C216" s="219"/>
      <c r="D216" s="219"/>
      <c r="E216" s="219"/>
      <c r="F216" s="219"/>
      <c r="G216" s="219"/>
      <c r="H216" s="219"/>
      <c r="I216" s="26"/>
      <c r="K216" s="27"/>
    </row>
    <row r="217" spans="1:11" s="43" customFormat="1" ht="15.75" customHeight="1" x14ac:dyDescent="0.35">
      <c r="A217" s="91">
        <v>1201</v>
      </c>
      <c r="B217" s="91"/>
      <c r="C217" s="65" t="s">
        <v>201</v>
      </c>
      <c r="D217" s="69">
        <f>(37.065+0.75*(2.9+2.14+2.9))*10.764</f>
        <v>463.06727999999993</v>
      </c>
      <c r="E217" s="63">
        <v>0</v>
      </c>
      <c r="F217" s="63">
        <v>730</v>
      </c>
      <c r="G217" s="91" t="str">
        <f>A216</f>
        <v>12th Floor</v>
      </c>
      <c r="H217" s="91"/>
      <c r="I217" s="26"/>
    </row>
    <row r="218" spans="1:11" s="67" customFormat="1" x14ac:dyDescent="0.35">
      <c r="A218" s="91">
        <v>1202</v>
      </c>
      <c r="B218" s="91"/>
      <c r="C218" s="91" t="s">
        <v>226</v>
      </c>
      <c r="D218" s="91"/>
      <c r="E218" s="91"/>
      <c r="F218" s="91"/>
      <c r="G218" s="91"/>
      <c r="H218" s="91"/>
      <c r="I218" s="66"/>
    </row>
    <row r="219" spans="1:11" s="43" customFormat="1" x14ac:dyDescent="0.35">
      <c r="A219" s="91">
        <v>1203</v>
      </c>
      <c r="B219" s="91"/>
      <c r="C219" s="65" t="s">
        <v>200</v>
      </c>
      <c r="D219" s="69">
        <f>(58.559+0.75*(3.09+2.14+2.9+3.05))*10.764</f>
        <v>720.58521599999995</v>
      </c>
      <c r="E219" s="63">
        <v>0</v>
      </c>
      <c r="F219" s="63">
        <v>1145</v>
      </c>
      <c r="G219" s="91"/>
      <c r="H219" s="91"/>
      <c r="I219" s="26"/>
      <c r="K219" s="37"/>
    </row>
    <row r="220" spans="1:11" s="43" customFormat="1" x14ac:dyDescent="0.35">
      <c r="A220" s="91">
        <v>1204</v>
      </c>
      <c r="B220" s="91"/>
      <c r="C220" s="65" t="s">
        <v>200</v>
      </c>
      <c r="D220" s="69">
        <f>(59.025+0.75*(3.05+2.14+2.9+3.05))*10.764</f>
        <v>725.27831999999989</v>
      </c>
      <c r="E220" s="63">
        <v>0</v>
      </c>
      <c r="F220" s="63">
        <v>1150</v>
      </c>
      <c r="G220" s="91"/>
      <c r="H220" s="91"/>
      <c r="I220" s="26"/>
    </row>
    <row r="221" spans="1:11" s="43" customFormat="1" x14ac:dyDescent="0.35">
      <c r="A221" s="91">
        <v>1205</v>
      </c>
      <c r="B221" s="91"/>
      <c r="C221" s="65" t="s">
        <v>202</v>
      </c>
      <c r="D221" s="69">
        <f>(75.615+0.75*(3.05+2.13+3.05+2.9+3.14))*10.764</f>
        <v>929.12156999999991</v>
      </c>
      <c r="E221" s="63">
        <v>0</v>
      </c>
      <c r="F221" s="63">
        <v>1475</v>
      </c>
      <c r="G221" s="91"/>
      <c r="H221" s="91"/>
      <c r="I221" s="26"/>
    </row>
    <row r="222" spans="1:11" s="43" customFormat="1" x14ac:dyDescent="0.35">
      <c r="A222" s="91">
        <v>1206</v>
      </c>
      <c r="B222" s="91"/>
      <c r="C222" s="65" t="s">
        <v>201</v>
      </c>
      <c r="D222" s="69">
        <f>(36.064+0.75*(2.89+2.14+2.9))*10.764</f>
        <v>452.21178599999996</v>
      </c>
      <c r="E222" s="63">
        <v>0</v>
      </c>
      <c r="F222" s="63">
        <v>715</v>
      </c>
      <c r="G222" s="91"/>
      <c r="H222" s="91"/>
      <c r="I222" s="26"/>
    </row>
    <row r="223" spans="1:11" x14ac:dyDescent="0.35">
      <c r="A223" s="124" t="s">
        <v>69</v>
      </c>
      <c r="B223" s="124"/>
      <c r="C223" s="124"/>
      <c r="D223" s="124"/>
      <c r="E223" s="124"/>
      <c r="F223" s="124"/>
      <c r="G223" s="124"/>
      <c r="H223" s="124"/>
      <c r="I223" s="25"/>
      <c r="J223" s="25"/>
    </row>
    <row r="224" spans="1:11" x14ac:dyDescent="0.35">
      <c r="A224" s="42" t="s">
        <v>154</v>
      </c>
      <c r="B224" s="121" t="s">
        <v>241</v>
      </c>
      <c r="C224" s="122"/>
      <c r="D224" s="122"/>
      <c r="E224" s="122"/>
      <c r="F224" s="122"/>
      <c r="G224" s="122"/>
      <c r="H224" s="123"/>
      <c r="I224" s="25"/>
      <c r="J224" s="25"/>
    </row>
    <row r="225" spans="1:10" x14ac:dyDescent="0.35">
      <c r="A225" s="42" t="s">
        <v>154</v>
      </c>
      <c r="B225" s="121" t="str">
        <f>(IF(F133="Saleable area Loading :","We have considered Saleable area of Flats as per our Calculation.","We considered Saleable area of Flat as per Builder area Sheet."))</f>
        <v>We considered Saleable area of Flat as per Builder area Sheet.</v>
      </c>
      <c r="C225" s="122"/>
      <c r="D225" s="122"/>
      <c r="E225" s="122"/>
      <c r="F225" s="122"/>
      <c r="G225" s="122"/>
      <c r="H225" s="123"/>
      <c r="I225" s="25"/>
      <c r="J225" s="25"/>
    </row>
    <row r="226" spans="1:10" x14ac:dyDescent="0.35">
      <c r="A226" s="42" t="s">
        <v>154</v>
      </c>
      <c r="B226" s="121" t="str">
        <f>(IF(F105="Saleable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226" s="122"/>
      <c r="D226" s="122"/>
      <c r="E226" s="122"/>
      <c r="F226" s="122"/>
      <c r="G226" s="122"/>
      <c r="H226" s="123"/>
      <c r="I226" s="25"/>
      <c r="J226" s="25"/>
    </row>
    <row r="227" spans="1:10" x14ac:dyDescent="0.35">
      <c r="A227" s="42" t="s">
        <v>154</v>
      </c>
      <c r="B227" s="106" t="s">
        <v>125</v>
      </c>
      <c r="C227" s="107"/>
      <c r="D227" s="107"/>
      <c r="E227" s="107"/>
      <c r="F227" s="107"/>
      <c r="G227" s="107"/>
      <c r="H227" s="108"/>
      <c r="I227" s="25"/>
      <c r="J227" s="25"/>
    </row>
    <row r="228" spans="1:10" x14ac:dyDescent="0.35">
      <c r="A228" s="42" t="s">
        <v>154</v>
      </c>
      <c r="B228" s="121" t="s">
        <v>196</v>
      </c>
      <c r="C228" s="122"/>
      <c r="D228" s="122"/>
      <c r="E228" s="122"/>
      <c r="F228" s="122"/>
      <c r="G228" s="122"/>
      <c r="H228" s="123"/>
      <c r="I228" s="25"/>
      <c r="J228" s="25"/>
    </row>
    <row r="229" spans="1:10" x14ac:dyDescent="0.35">
      <c r="A229" s="42" t="s">
        <v>154</v>
      </c>
      <c r="B229" s="106" t="s">
        <v>153</v>
      </c>
      <c r="C229" s="107"/>
      <c r="D229" s="107"/>
      <c r="E229" s="107"/>
      <c r="F229" s="107"/>
      <c r="G229" s="107"/>
      <c r="H229" s="108"/>
      <c r="I229" s="25"/>
      <c r="J229" s="25"/>
    </row>
    <row r="230" spans="1:10" x14ac:dyDescent="0.35">
      <c r="A230" s="42" t="s">
        <v>154</v>
      </c>
      <c r="B230" s="106" t="s">
        <v>126</v>
      </c>
      <c r="C230" s="107"/>
      <c r="D230" s="107"/>
      <c r="E230" s="107"/>
      <c r="F230" s="107"/>
      <c r="G230" s="107"/>
      <c r="H230" s="108"/>
      <c r="I230" s="25"/>
      <c r="J230" s="25"/>
    </row>
    <row r="231" spans="1:10" x14ac:dyDescent="0.35">
      <c r="A231" s="42" t="s">
        <v>154</v>
      </c>
      <c r="B231" s="106" t="s">
        <v>155</v>
      </c>
      <c r="C231" s="107"/>
      <c r="D231" s="107"/>
      <c r="E231" s="107"/>
      <c r="F231" s="107"/>
      <c r="G231" s="107"/>
      <c r="H231" s="108"/>
      <c r="I231" s="25"/>
      <c r="J231" s="25"/>
    </row>
    <row r="232" spans="1:10" x14ac:dyDescent="0.35">
      <c r="A232" s="42" t="s">
        <v>154</v>
      </c>
      <c r="B232" s="106" t="s">
        <v>127</v>
      </c>
      <c r="C232" s="107"/>
      <c r="D232" s="107"/>
      <c r="E232" s="107"/>
      <c r="F232" s="107"/>
      <c r="G232" s="107"/>
      <c r="H232" s="108"/>
      <c r="I232" s="48"/>
      <c r="J232" s="25"/>
    </row>
    <row r="233" spans="1:10" hidden="1" x14ac:dyDescent="0.35">
      <c r="A233" s="42" t="s">
        <v>154</v>
      </c>
      <c r="B233" s="121" t="s">
        <v>180</v>
      </c>
      <c r="C233" s="122"/>
      <c r="D233" s="122"/>
      <c r="E233" s="122"/>
      <c r="F233" s="122"/>
      <c r="G233" s="122"/>
      <c r="H233" s="123"/>
      <c r="I233" s="25"/>
    </row>
    <row r="234" spans="1:10" ht="17.25" customHeight="1" x14ac:dyDescent="0.35">
      <c r="A234" s="68" t="s">
        <v>154</v>
      </c>
      <c r="B234" s="121" t="s">
        <v>229</v>
      </c>
      <c r="C234" s="122"/>
      <c r="D234" s="122"/>
      <c r="E234" s="122"/>
      <c r="F234" s="122"/>
      <c r="G234" s="122"/>
      <c r="H234" s="123"/>
      <c r="I234" s="76" t="s">
        <v>240</v>
      </c>
    </row>
    <row r="235" spans="1:10" ht="15" customHeight="1" x14ac:dyDescent="0.35">
      <c r="A235" s="148" t="s">
        <v>62</v>
      </c>
      <c r="B235" s="148"/>
      <c r="C235" s="148"/>
      <c r="D235" s="148"/>
      <c r="E235" s="148"/>
      <c r="F235" s="148"/>
      <c r="G235" s="148"/>
      <c r="H235" s="148"/>
      <c r="I235" s="77" t="s">
        <v>239</v>
      </c>
    </row>
    <row r="236" spans="1:10" ht="15" customHeight="1" x14ac:dyDescent="0.35">
      <c r="A236" s="92" t="s">
        <v>63</v>
      </c>
      <c r="B236" s="92"/>
      <c r="C236" s="92"/>
      <c r="D236" s="92"/>
      <c r="E236" s="92"/>
      <c r="F236" s="92"/>
      <c r="G236" s="92"/>
      <c r="H236" s="92"/>
    </row>
    <row r="237" spans="1:10" x14ac:dyDescent="0.35">
      <c r="A237" s="182" t="s">
        <v>64</v>
      </c>
      <c r="B237" s="182"/>
      <c r="C237" s="182"/>
      <c r="D237" s="182"/>
      <c r="E237" s="182"/>
      <c r="F237" s="182"/>
      <c r="G237" s="182"/>
      <c r="H237" s="182"/>
    </row>
    <row r="238" spans="1:10" x14ac:dyDescent="0.35">
      <c r="A238" s="92" t="s">
        <v>65</v>
      </c>
      <c r="B238" s="92"/>
      <c r="C238" s="92"/>
      <c r="D238" s="92"/>
      <c r="E238" s="92"/>
      <c r="F238" s="92"/>
      <c r="G238" s="92"/>
      <c r="H238" s="92"/>
    </row>
    <row r="239" spans="1:10" x14ac:dyDescent="0.35">
      <c r="A239" s="92" t="s">
        <v>66</v>
      </c>
      <c r="B239" s="92"/>
      <c r="C239" s="92"/>
      <c r="D239" s="92"/>
      <c r="E239" s="92"/>
      <c r="F239" s="92"/>
      <c r="G239" s="92"/>
      <c r="H239" s="92"/>
    </row>
    <row r="240" spans="1:10" x14ac:dyDescent="0.35">
      <c r="A240" s="92" t="s">
        <v>128</v>
      </c>
      <c r="B240" s="92"/>
      <c r="C240" s="92"/>
      <c r="D240" s="92"/>
      <c r="E240" s="92"/>
      <c r="F240" s="92"/>
      <c r="G240" s="92"/>
      <c r="H240" s="92"/>
    </row>
    <row r="241" spans="1:8" x14ac:dyDescent="0.35">
      <c r="A241" s="131" t="s">
        <v>129</v>
      </c>
      <c r="B241" s="131"/>
      <c r="C241" s="131"/>
      <c r="D241" s="131"/>
      <c r="E241" s="131"/>
      <c r="F241" s="131"/>
      <c r="G241" s="131"/>
      <c r="H241" s="131"/>
    </row>
    <row r="242" spans="1:8" x14ac:dyDescent="0.35">
      <c r="A242" s="177" t="s">
        <v>78</v>
      </c>
      <c r="B242" s="177"/>
      <c r="C242" s="177" t="s">
        <v>243</v>
      </c>
      <c r="D242" s="177"/>
      <c r="E242" s="177" t="s">
        <v>106</v>
      </c>
      <c r="F242" s="177"/>
      <c r="G242" s="177" t="s">
        <v>242</v>
      </c>
      <c r="H242" s="177"/>
    </row>
    <row r="243" spans="1:8" x14ac:dyDescent="0.35">
      <c r="A243" s="176" t="s">
        <v>80</v>
      </c>
      <c r="B243" s="176"/>
      <c r="C243" s="176"/>
      <c r="D243" s="176"/>
      <c r="E243" s="176"/>
      <c r="F243" s="176"/>
      <c r="G243" s="176"/>
      <c r="H243" s="176"/>
    </row>
    <row r="244" spans="1:8" x14ac:dyDescent="0.35">
      <c r="A244" s="176"/>
      <c r="B244" s="176"/>
      <c r="C244" s="176"/>
      <c r="D244" s="176"/>
      <c r="E244" s="176"/>
      <c r="F244" s="176"/>
      <c r="G244" s="176"/>
      <c r="H244" s="176"/>
    </row>
    <row r="245" spans="1:8" x14ac:dyDescent="0.35">
      <c r="A245" s="176"/>
      <c r="B245" s="176"/>
      <c r="C245" s="176"/>
      <c r="D245" s="176"/>
      <c r="E245" s="176"/>
      <c r="F245" s="176"/>
      <c r="G245" s="176"/>
      <c r="H245" s="176"/>
    </row>
    <row r="246" spans="1:8" x14ac:dyDescent="0.35">
      <c r="A246" s="176"/>
      <c r="B246" s="176"/>
      <c r="C246" s="176"/>
      <c r="D246" s="176"/>
      <c r="E246" s="176"/>
      <c r="F246" s="176"/>
      <c r="G246" s="176"/>
      <c r="H246" s="176"/>
    </row>
    <row r="247" spans="1:8" x14ac:dyDescent="0.35">
      <c r="A247" s="28" t="s">
        <v>67</v>
      </c>
      <c r="B247" s="29"/>
      <c r="C247" s="29"/>
      <c r="D247" s="28" t="str">
        <f>E8</f>
        <v>Delta Greens</v>
      </c>
      <c r="F247" s="46"/>
      <c r="G247" s="29"/>
      <c r="H247" s="29"/>
    </row>
    <row r="248" spans="1:8" x14ac:dyDescent="0.35">
      <c r="A248" s="29"/>
      <c r="B248" s="29"/>
      <c r="C248" s="29"/>
      <c r="D248" s="29"/>
      <c r="E248" s="29"/>
      <c r="F248" s="46"/>
      <c r="G248" s="29"/>
      <c r="H248" s="29"/>
    </row>
    <row r="249" spans="1:8" x14ac:dyDescent="0.35">
      <c r="A249" s="29"/>
      <c r="B249" s="29"/>
      <c r="C249" s="29"/>
      <c r="D249" s="29"/>
      <c r="E249" s="29"/>
      <c r="F249" s="46"/>
      <c r="G249" s="29"/>
      <c r="H249" s="29"/>
    </row>
    <row r="290" spans="1:1" x14ac:dyDescent="0.35">
      <c r="A290" s="31" t="s">
        <v>68</v>
      </c>
    </row>
  </sheetData>
  <mergeCells count="380">
    <mergeCell ref="I10:L10"/>
    <mergeCell ref="A10:D10"/>
    <mergeCell ref="E10:H10"/>
    <mergeCell ref="B234:H234"/>
    <mergeCell ref="A215:B215"/>
    <mergeCell ref="G210:H215"/>
    <mergeCell ref="C211:F211"/>
    <mergeCell ref="C215:F215"/>
    <mergeCell ref="A208:B208"/>
    <mergeCell ref="A194:B194"/>
    <mergeCell ref="G189:H194"/>
    <mergeCell ref="A222:B222"/>
    <mergeCell ref="G217:H222"/>
    <mergeCell ref="G203:H208"/>
    <mergeCell ref="A216:H216"/>
    <mergeCell ref="A217:B217"/>
    <mergeCell ref="A218:B218"/>
    <mergeCell ref="A219:B219"/>
    <mergeCell ref="A220:B220"/>
    <mergeCell ref="A221:B221"/>
    <mergeCell ref="A203:B203"/>
    <mergeCell ref="A204:B204"/>
    <mergeCell ref="A205:B205"/>
    <mergeCell ref="A206:B206"/>
    <mergeCell ref="A212:B212"/>
    <mergeCell ref="A213:B213"/>
    <mergeCell ref="A214:B214"/>
    <mergeCell ref="A174:H174"/>
    <mergeCell ref="A175:B175"/>
    <mergeCell ref="G175:H181"/>
    <mergeCell ref="A176:B176"/>
    <mergeCell ref="A177:B177"/>
    <mergeCell ref="A179:B179"/>
    <mergeCell ref="A180:B180"/>
    <mergeCell ref="A181:B181"/>
    <mergeCell ref="A202:H202"/>
    <mergeCell ref="A197:B197"/>
    <mergeCell ref="A198:B198"/>
    <mergeCell ref="A199:B199"/>
    <mergeCell ref="A201:B201"/>
    <mergeCell ref="A178:B178"/>
    <mergeCell ref="C197:F197"/>
    <mergeCell ref="C201:F201"/>
    <mergeCell ref="A200:B200"/>
    <mergeCell ref="C204:F204"/>
    <mergeCell ref="A167:B167"/>
    <mergeCell ref="G167:H173"/>
    <mergeCell ref="A168:B168"/>
    <mergeCell ref="A169:B169"/>
    <mergeCell ref="A170:B170"/>
    <mergeCell ref="A172:B172"/>
    <mergeCell ref="A173:B173"/>
    <mergeCell ref="C171:F171"/>
    <mergeCell ref="A211:B211"/>
    <mergeCell ref="A209:H209"/>
    <mergeCell ref="A210:B210"/>
    <mergeCell ref="A207:B207"/>
    <mergeCell ref="F80:H80"/>
    <mergeCell ref="F85:H85"/>
    <mergeCell ref="A83:E83"/>
    <mergeCell ref="A80:E80"/>
    <mergeCell ref="A106:H106"/>
    <mergeCell ref="A103:H103"/>
    <mergeCell ref="A104:H104"/>
    <mergeCell ref="A101:B101"/>
    <mergeCell ref="C99:D99"/>
    <mergeCell ref="F87:H87"/>
    <mergeCell ref="A100:B100"/>
    <mergeCell ref="C100:D100"/>
    <mergeCell ref="E100:F100"/>
    <mergeCell ref="G100:H100"/>
    <mergeCell ref="C98:D98"/>
    <mergeCell ref="G98:H98"/>
    <mergeCell ref="G101:H101"/>
    <mergeCell ref="A90:E90"/>
    <mergeCell ref="C96:D96"/>
    <mergeCell ref="C101:D101"/>
    <mergeCell ref="E101:F101"/>
    <mergeCell ref="A52:B53"/>
    <mergeCell ref="C53:H53"/>
    <mergeCell ref="C51:H51"/>
    <mergeCell ref="A150:H150"/>
    <mergeCell ref="A151:B151"/>
    <mergeCell ref="G151:H157"/>
    <mergeCell ref="A152:B152"/>
    <mergeCell ref="A68:B68"/>
    <mergeCell ref="C68:H68"/>
    <mergeCell ref="A69:B69"/>
    <mergeCell ref="E69:F69"/>
    <mergeCell ref="G69:H69"/>
    <mergeCell ref="A70:B70"/>
    <mergeCell ref="E70:F79"/>
    <mergeCell ref="G70:H79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240:H240"/>
    <mergeCell ref="A237:H237"/>
    <mergeCell ref="A137:B137"/>
    <mergeCell ref="A98:B98"/>
    <mergeCell ref="G133:H133"/>
    <mergeCell ref="F81:H81"/>
    <mergeCell ref="G96:H96"/>
    <mergeCell ref="B224:H224"/>
    <mergeCell ref="B225:H225"/>
    <mergeCell ref="F83:H83"/>
    <mergeCell ref="A88:E88"/>
    <mergeCell ref="A85:E85"/>
    <mergeCell ref="A153:B153"/>
    <mergeCell ref="A154:B154"/>
    <mergeCell ref="A155:B155"/>
    <mergeCell ref="A156:B156"/>
    <mergeCell ref="A157:B157"/>
    <mergeCell ref="C155:F155"/>
    <mergeCell ref="A162:B162"/>
    <mergeCell ref="A163:B163"/>
    <mergeCell ref="A164:B164"/>
    <mergeCell ref="A161:B161"/>
    <mergeCell ref="A165:B165"/>
    <mergeCell ref="A166:H166"/>
    <mergeCell ref="D62:H62"/>
    <mergeCell ref="A65:C65"/>
    <mergeCell ref="D65:H65"/>
    <mergeCell ref="A63:C63"/>
    <mergeCell ref="D63:H63"/>
    <mergeCell ref="A64:C64"/>
    <mergeCell ref="D64:H64"/>
    <mergeCell ref="A60:C60"/>
    <mergeCell ref="D60:H60"/>
    <mergeCell ref="A243:H246"/>
    <mergeCell ref="A242:B242"/>
    <mergeCell ref="E242:F242"/>
    <mergeCell ref="C242:D242"/>
    <mergeCell ref="G242:H242"/>
    <mergeCell ref="A94:H94"/>
    <mergeCell ref="A92:E92"/>
    <mergeCell ref="F92:H92"/>
    <mergeCell ref="A93:E93"/>
    <mergeCell ref="F93:H93"/>
    <mergeCell ref="A136:H136"/>
    <mergeCell ref="A99:B99"/>
    <mergeCell ref="A96:B96"/>
    <mergeCell ref="A238:H238"/>
    <mergeCell ref="A97:H97"/>
    <mergeCell ref="A241:H241"/>
    <mergeCell ref="A239:H239"/>
    <mergeCell ref="A235:H235"/>
    <mergeCell ref="A236:H236"/>
    <mergeCell ref="E98:F98"/>
    <mergeCell ref="B232:H232"/>
    <mergeCell ref="A158:H158"/>
    <mergeCell ref="A159:B159"/>
    <mergeCell ref="G159:H165"/>
    <mergeCell ref="B233:H233"/>
    <mergeCell ref="B230:H230"/>
    <mergeCell ref="B226:H226"/>
    <mergeCell ref="A108:H108"/>
    <mergeCell ref="G105:H10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21:D22"/>
    <mergeCell ref="E21:H22"/>
    <mergeCell ref="E13:H13"/>
    <mergeCell ref="A14:B14"/>
    <mergeCell ref="C14:H14"/>
    <mergeCell ref="C15:H15"/>
    <mergeCell ref="A16:B16"/>
    <mergeCell ref="C16:H16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66:B66"/>
    <mergeCell ref="C66:H66"/>
    <mergeCell ref="A36:H36"/>
    <mergeCell ref="A35:B35"/>
    <mergeCell ref="C35:E35"/>
    <mergeCell ref="A40:D40"/>
    <mergeCell ref="E40:H40"/>
    <mergeCell ref="F32:H32"/>
    <mergeCell ref="F33:H33"/>
    <mergeCell ref="A39:H39"/>
    <mergeCell ref="A59:C59"/>
    <mergeCell ref="F35:H35"/>
    <mergeCell ref="A37:B37"/>
    <mergeCell ref="A44:D44"/>
    <mergeCell ref="A45:D45"/>
    <mergeCell ref="A46:H46"/>
    <mergeCell ref="D57:H57"/>
    <mergeCell ref="A57:C57"/>
    <mergeCell ref="G49:H49"/>
    <mergeCell ref="A50:B51"/>
    <mergeCell ref="E41:H41"/>
    <mergeCell ref="A41:D41"/>
    <mergeCell ref="A48:B48"/>
    <mergeCell ref="A62:C62"/>
    <mergeCell ref="A42:D42"/>
    <mergeCell ref="E42:H42"/>
    <mergeCell ref="E43:H43"/>
    <mergeCell ref="E44:H44"/>
    <mergeCell ref="E45:H45"/>
    <mergeCell ref="A43:D43"/>
    <mergeCell ref="A61:C61"/>
    <mergeCell ref="D61:H61"/>
    <mergeCell ref="A55:C55"/>
    <mergeCell ref="A56:C56"/>
    <mergeCell ref="D56:H56"/>
    <mergeCell ref="G52:H52"/>
    <mergeCell ref="D59:H59"/>
    <mergeCell ref="C48:E48"/>
    <mergeCell ref="G48:H48"/>
    <mergeCell ref="G50:H50"/>
    <mergeCell ref="D55:H55"/>
    <mergeCell ref="C50:E50"/>
    <mergeCell ref="A58:C58"/>
    <mergeCell ref="D58:H58"/>
    <mergeCell ref="C49:E49"/>
    <mergeCell ref="C52:E52"/>
    <mergeCell ref="A49:B49"/>
    <mergeCell ref="A54:H54"/>
    <mergeCell ref="B227:H227"/>
    <mergeCell ref="B228:H228"/>
    <mergeCell ref="A223:H223"/>
    <mergeCell ref="A149:B149"/>
    <mergeCell ref="A182:H182"/>
    <mergeCell ref="A184:H184"/>
    <mergeCell ref="A190:B190"/>
    <mergeCell ref="A191:B191"/>
    <mergeCell ref="A192:B192"/>
    <mergeCell ref="A193:B193"/>
    <mergeCell ref="A183:H183"/>
    <mergeCell ref="A185:B185"/>
    <mergeCell ref="G185:H187"/>
    <mergeCell ref="A186:B186"/>
    <mergeCell ref="A187:B187"/>
    <mergeCell ref="A188:H188"/>
    <mergeCell ref="A189:B189"/>
    <mergeCell ref="A171:B171"/>
    <mergeCell ref="A195:H195"/>
    <mergeCell ref="A196:B196"/>
    <mergeCell ref="G196:H201"/>
    <mergeCell ref="G143:H149"/>
    <mergeCell ref="A147:B147"/>
    <mergeCell ref="A160:B160"/>
    <mergeCell ref="A124:B124"/>
    <mergeCell ref="A125:B125"/>
    <mergeCell ref="A114:B114"/>
    <mergeCell ref="A115:B115"/>
    <mergeCell ref="B231:H231"/>
    <mergeCell ref="A47:B47"/>
    <mergeCell ref="C47:H47"/>
    <mergeCell ref="B229:H229"/>
    <mergeCell ref="F82:H82"/>
    <mergeCell ref="A82:E82"/>
    <mergeCell ref="A84:E84"/>
    <mergeCell ref="A109:B109"/>
    <mergeCell ref="A110:B110"/>
    <mergeCell ref="A111:B111"/>
    <mergeCell ref="F84:H84"/>
    <mergeCell ref="F90:H90"/>
    <mergeCell ref="A91:E91"/>
    <mergeCell ref="A121:B121"/>
    <mergeCell ref="A122:B122"/>
    <mergeCell ref="A123:B123"/>
    <mergeCell ref="A117:B117"/>
    <mergeCell ref="G137:H141"/>
    <mergeCell ref="A134:H134"/>
    <mergeCell ref="A130:B130"/>
    <mergeCell ref="A129:B129"/>
    <mergeCell ref="A138:B138"/>
    <mergeCell ref="A119:B119"/>
    <mergeCell ref="A120:B120"/>
    <mergeCell ref="A148:B148"/>
    <mergeCell ref="A141:B141"/>
    <mergeCell ref="A81:E81"/>
    <mergeCell ref="A142:H142"/>
    <mergeCell ref="A143:B143"/>
    <mergeCell ref="A144:B144"/>
    <mergeCell ref="A145:B145"/>
    <mergeCell ref="A140:B140"/>
    <mergeCell ref="A146:B146"/>
    <mergeCell ref="A116:B116"/>
    <mergeCell ref="A112:B112"/>
    <mergeCell ref="A107:H107"/>
    <mergeCell ref="A86:E86"/>
    <mergeCell ref="F86:H86"/>
    <mergeCell ref="A87:E87"/>
    <mergeCell ref="A89:E89"/>
    <mergeCell ref="A139:B139"/>
    <mergeCell ref="E99:F99"/>
    <mergeCell ref="G99:H99"/>
    <mergeCell ref="E96:F96"/>
    <mergeCell ref="C37:H37"/>
    <mergeCell ref="A102:B102"/>
    <mergeCell ref="C102:D102"/>
    <mergeCell ref="E102:F102"/>
    <mergeCell ref="G102:H102"/>
    <mergeCell ref="C218:F218"/>
    <mergeCell ref="A38:B38"/>
    <mergeCell ref="C38:H38"/>
    <mergeCell ref="E95:F95"/>
    <mergeCell ref="A95:B95"/>
    <mergeCell ref="F88:H88"/>
    <mergeCell ref="C95:D95"/>
    <mergeCell ref="F91:H91"/>
    <mergeCell ref="F89:H89"/>
    <mergeCell ref="G95:H95"/>
    <mergeCell ref="A135:H135"/>
    <mergeCell ref="A113:B113"/>
    <mergeCell ref="A132:H132"/>
    <mergeCell ref="A131:B131"/>
    <mergeCell ref="G109:H131"/>
    <mergeCell ref="A126:B126"/>
    <mergeCell ref="A127:B127"/>
    <mergeCell ref="A128:B128"/>
    <mergeCell ref="A118:B118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246" max="16383" man="1"/>
    <brk id="28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3" zoomScale="85" zoomScaleNormal="85" workbookViewId="0">
      <selection activeCell="E30" sqref="E30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220" t="s">
        <v>107</v>
      </c>
      <c r="C3" s="220"/>
      <c r="D3" s="220"/>
      <c r="E3" s="220"/>
      <c r="F3" s="220"/>
      <c r="G3" s="220"/>
      <c r="H3" s="220"/>
    </row>
    <row r="4" spans="1:9" x14ac:dyDescent="0.35">
      <c r="A4" s="3"/>
      <c r="B4" s="4" t="s">
        <v>108</v>
      </c>
      <c r="C4" s="4" t="s">
        <v>109</v>
      </c>
      <c r="D4" s="4" t="s">
        <v>70</v>
      </c>
      <c r="E4" s="4" t="s">
        <v>110</v>
      </c>
      <c r="F4" s="4" t="s">
        <v>116</v>
      </c>
      <c r="G4" s="4" t="s">
        <v>117</v>
      </c>
      <c r="H4" s="4" t="s">
        <v>111</v>
      </c>
    </row>
    <row r="5" spans="1:9" ht="15" customHeight="1" x14ac:dyDescent="0.35">
      <c r="A5" s="3"/>
      <c r="B5" s="6" t="s">
        <v>112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112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112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112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112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113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113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114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115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2025-04-10T06:05:30Z</cp:lastPrinted>
  <dcterms:created xsi:type="dcterms:W3CDTF">2019-07-16T09:29:46Z</dcterms:created>
  <dcterms:modified xsi:type="dcterms:W3CDTF">2025-07-10T10:28:21Z</dcterms:modified>
</cp:coreProperties>
</file>