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0" i="1" l="1"/>
  <c r="E140" i="1"/>
  <c r="C140" i="1"/>
  <c r="L243" i="1" l="1"/>
  <c r="L236" i="1"/>
  <c r="K234" i="1"/>
  <c r="K233" i="1"/>
  <c r="K232" i="1"/>
  <c r="K223" i="1"/>
  <c r="K222" i="1"/>
  <c r="K221" i="1"/>
  <c r="I225" i="1"/>
  <c r="I214" i="1"/>
  <c r="K212" i="1"/>
  <c r="I203" i="1"/>
  <c r="H256" i="1"/>
  <c r="H255" i="1"/>
  <c r="H253" i="1"/>
  <c r="H252" i="1"/>
  <c r="H251" i="1"/>
  <c r="H250" i="1"/>
  <c r="H248" i="1"/>
  <c r="H245" i="1"/>
  <c r="L245" i="1" s="1"/>
  <c r="H244" i="1"/>
  <c r="L244" i="1" s="1"/>
  <c r="H242" i="1"/>
  <c r="L242" i="1" s="1"/>
  <c r="H241" i="1"/>
  <c r="L241" i="1" s="1"/>
  <c r="H240" i="1"/>
  <c r="L240" i="1" s="1"/>
  <c r="H239" i="1"/>
  <c r="L239" i="1" s="1"/>
  <c r="H238" i="1"/>
  <c r="L238" i="1" s="1"/>
  <c r="H237" i="1"/>
  <c r="L237" i="1" s="1"/>
  <c r="H231" i="1"/>
  <c r="H230" i="1"/>
  <c r="H229" i="1"/>
  <c r="H228" i="1"/>
  <c r="H227" i="1"/>
  <c r="H226" i="1"/>
  <c r="H220" i="1"/>
  <c r="H217" i="1"/>
  <c r="H218" i="1"/>
  <c r="H219" i="1"/>
  <c r="H216" i="1"/>
  <c r="H209" i="1"/>
  <c r="H215" i="1"/>
  <c r="H192" i="1"/>
  <c r="H191" i="1"/>
  <c r="H189" i="1"/>
  <c r="H188" i="1"/>
  <c r="H185" i="1"/>
  <c r="H186" i="1"/>
  <c r="H187" i="1"/>
  <c r="H184" i="1"/>
  <c r="H183" i="1"/>
  <c r="H180" i="1"/>
  <c r="H181" i="1"/>
  <c r="H182" i="1"/>
  <c r="H179" i="1"/>
  <c r="H178" i="1"/>
  <c r="H177" i="1"/>
  <c r="H176" i="1"/>
  <c r="H175" i="1"/>
  <c r="H174" i="1"/>
  <c r="H171" i="1"/>
  <c r="H172" i="1"/>
  <c r="H173" i="1"/>
  <c r="H170" i="1"/>
  <c r="H169" i="1"/>
  <c r="H166" i="1"/>
  <c r="H167" i="1"/>
  <c r="H168" i="1"/>
  <c r="H165" i="1"/>
  <c r="H164" i="1"/>
  <c r="H163" i="1"/>
  <c r="H162" i="1"/>
  <c r="H161" i="1"/>
  <c r="H160" i="1"/>
  <c r="H159" i="1"/>
  <c r="H156" i="1"/>
  <c r="D156" i="1"/>
  <c r="F156" i="1" s="1"/>
  <c r="I156" i="1" s="1"/>
  <c r="H155" i="1"/>
  <c r="H154" i="1"/>
  <c r="H153" i="1"/>
  <c r="H152" i="1"/>
  <c r="H151" i="1"/>
  <c r="H150" i="1"/>
  <c r="H149" i="1"/>
  <c r="H148" i="1"/>
  <c r="I192" i="1"/>
  <c r="I191" i="1"/>
  <c r="D192" i="1"/>
  <c r="D191" i="1"/>
  <c r="F191" i="1" s="1"/>
  <c r="J191" i="1" s="1"/>
  <c r="D159" i="1"/>
  <c r="G133" i="1" l="1"/>
  <c r="G134" i="1"/>
  <c r="K210" i="1"/>
  <c r="K211" i="1"/>
  <c r="F192" i="1"/>
  <c r="J192" i="1" s="1"/>
  <c r="G138" i="1"/>
  <c r="G139" i="1" s="1"/>
  <c r="G204" i="1"/>
  <c r="G209" i="1"/>
  <c r="G208" i="1"/>
  <c r="G207" i="1"/>
  <c r="G206" i="1"/>
  <c r="G205" i="1"/>
  <c r="E209" i="1"/>
  <c r="D209" i="1"/>
  <c r="E208" i="1"/>
  <c r="D208" i="1"/>
  <c r="E207" i="1"/>
  <c r="D207" i="1"/>
  <c r="E206" i="1"/>
  <c r="D206" i="1"/>
  <c r="E205" i="1"/>
  <c r="D205" i="1"/>
  <c r="E204" i="1"/>
  <c r="D204" i="1"/>
  <c r="E220" i="1"/>
  <c r="D220" i="1"/>
  <c r="E219" i="1"/>
  <c r="D219" i="1"/>
  <c r="E218" i="1"/>
  <c r="D218" i="1"/>
  <c r="E217" i="1"/>
  <c r="D217" i="1"/>
  <c r="E216" i="1"/>
  <c r="D216" i="1"/>
  <c r="E215" i="1"/>
  <c r="D215" i="1"/>
  <c r="E231" i="1"/>
  <c r="D231" i="1"/>
  <c r="E230" i="1"/>
  <c r="D230" i="1"/>
  <c r="E229" i="1"/>
  <c r="D229" i="1"/>
  <c r="E228" i="1"/>
  <c r="D228" i="1"/>
  <c r="E227" i="1"/>
  <c r="D227" i="1"/>
  <c r="E226" i="1"/>
  <c r="D226" i="1"/>
  <c r="E245" i="1"/>
  <c r="D245" i="1"/>
  <c r="E244" i="1"/>
  <c r="D244" i="1"/>
  <c r="E243" i="1"/>
  <c r="D243" i="1"/>
  <c r="E242" i="1"/>
  <c r="D242" i="1"/>
  <c r="E241" i="1"/>
  <c r="D241" i="1"/>
  <c r="E240" i="1"/>
  <c r="D240" i="1"/>
  <c r="E239" i="1"/>
  <c r="D239" i="1"/>
  <c r="E238" i="1"/>
  <c r="D238" i="1"/>
  <c r="E237" i="1"/>
  <c r="D237" i="1"/>
  <c r="E236" i="1"/>
  <c r="D236" i="1"/>
  <c r="E248" i="1"/>
  <c r="D248" i="1"/>
  <c r="E247" i="1"/>
  <c r="D247" i="1"/>
  <c r="E256" i="1"/>
  <c r="D256" i="1"/>
  <c r="E255" i="1"/>
  <c r="D255" i="1"/>
  <c r="E254" i="1"/>
  <c r="D254" i="1"/>
  <c r="E253" i="1"/>
  <c r="D253" i="1"/>
  <c r="E252" i="1"/>
  <c r="D252" i="1"/>
  <c r="E251" i="1"/>
  <c r="D251" i="1"/>
  <c r="E250" i="1"/>
  <c r="D250" i="1"/>
  <c r="D189" i="1"/>
  <c r="D188" i="1"/>
  <c r="D187" i="1"/>
  <c r="D186" i="1"/>
  <c r="D185" i="1"/>
  <c r="D184" i="1"/>
  <c r="D183" i="1"/>
  <c r="D182" i="1"/>
  <c r="D181" i="1"/>
  <c r="D180" i="1"/>
  <c r="D179" i="1"/>
  <c r="D178" i="1"/>
  <c r="D177" i="1"/>
  <c r="D176" i="1"/>
  <c r="D175" i="1"/>
  <c r="D174" i="1"/>
  <c r="D173" i="1"/>
  <c r="D172" i="1"/>
  <c r="D171" i="1"/>
  <c r="D170" i="1"/>
  <c r="D169" i="1"/>
  <c r="D168" i="1"/>
  <c r="D167" i="1"/>
  <c r="D166" i="1"/>
  <c r="F166" i="1" s="1"/>
  <c r="I166" i="1" s="1"/>
  <c r="D165" i="1"/>
  <c r="F165" i="1" s="1"/>
  <c r="I165" i="1" s="1"/>
  <c r="D164" i="1"/>
  <c r="F164" i="1" s="1"/>
  <c r="I164" i="1" s="1"/>
  <c r="D163" i="1"/>
  <c r="F163" i="1" s="1"/>
  <c r="I163" i="1" s="1"/>
  <c r="D162" i="1"/>
  <c r="F162" i="1" s="1"/>
  <c r="I162" i="1" s="1"/>
  <c r="D161" i="1"/>
  <c r="F161" i="1" s="1"/>
  <c r="I161" i="1" s="1"/>
  <c r="D160" i="1"/>
  <c r="D155" i="1"/>
  <c r="D154" i="1"/>
  <c r="D153" i="1"/>
  <c r="D152" i="1"/>
  <c r="D151" i="1"/>
  <c r="D150" i="1"/>
  <c r="D149" i="1"/>
  <c r="D148" i="1"/>
  <c r="D147" i="1"/>
  <c r="J146" i="1"/>
  <c r="A248" i="1"/>
  <c r="A249" i="1" s="1"/>
  <c r="A250" i="1" s="1"/>
  <c r="A251" i="1" s="1"/>
  <c r="A252" i="1" s="1"/>
  <c r="A253" i="1" s="1"/>
  <c r="A254" i="1" s="1"/>
  <c r="A255" i="1" s="1"/>
  <c r="A256" i="1" s="1"/>
  <c r="J236" i="1"/>
  <c r="J205" i="1"/>
  <c r="F256" i="1" l="1"/>
  <c r="F253" i="1"/>
  <c r="F247" i="1"/>
  <c r="F250" i="1"/>
  <c r="F248" i="1"/>
  <c r="F255" i="1"/>
  <c r="F252" i="1"/>
  <c r="F251" i="1"/>
  <c r="F160" i="1"/>
  <c r="I160" i="1" s="1"/>
  <c r="F254" i="1"/>
  <c r="F159" i="1"/>
  <c r="I244" i="1"/>
  <c r="I243" i="1"/>
  <c r="F244" i="1"/>
  <c r="K244" i="1" s="1"/>
  <c r="F236" i="1"/>
  <c r="K236" i="1" s="1"/>
  <c r="F242" i="1"/>
  <c r="K242" i="1" s="1"/>
  <c r="F241" i="1"/>
  <c r="K241" i="1" s="1"/>
  <c r="F239" i="1"/>
  <c r="K239" i="1" s="1"/>
  <c r="A237" i="1"/>
  <c r="A238" i="1" s="1"/>
  <c r="A239" i="1" s="1"/>
  <c r="A240" i="1" s="1"/>
  <c r="A241" i="1" s="1"/>
  <c r="A242" i="1" s="1"/>
  <c r="A243" i="1" s="1"/>
  <c r="A244" i="1" s="1"/>
  <c r="A245" i="1" s="1"/>
  <c r="F245" i="1"/>
  <c r="K245" i="1" s="1"/>
  <c r="F243" i="1"/>
  <c r="K243" i="1" s="1"/>
  <c r="F240" i="1"/>
  <c r="K240" i="1" s="1"/>
  <c r="F238" i="1"/>
  <c r="K238" i="1" s="1"/>
  <c r="F237" i="1"/>
  <c r="K237" i="1" s="1"/>
  <c r="F231" i="1"/>
  <c r="F230" i="1"/>
  <c r="F229" i="1"/>
  <c r="F228" i="1"/>
  <c r="F227" i="1"/>
  <c r="A227" i="1"/>
  <c r="A228" i="1" s="1"/>
  <c r="A229" i="1" s="1"/>
  <c r="A230" i="1" s="1"/>
  <c r="A231" i="1" s="1"/>
  <c r="A232" i="1" s="1"/>
  <c r="A233" i="1" s="1"/>
  <c r="A234" i="1" s="1"/>
  <c r="F226" i="1"/>
  <c r="K225" i="1" s="1"/>
  <c r="F220" i="1"/>
  <c r="J220" i="1" s="1"/>
  <c r="F219" i="1"/>
  <c r="J219" i="1" s="1"/>
  <c r="F218" i="1"/>
  <c r="J218" i="1" s="1"/>
  <c r="F217" i="1"/>
  <c r="J217" i="1" s="1"/>
  <c r="F216" i="1"/>
  <c r="J216" i="1" s="1"/>
  <c r="A216" i="1"/>
  <c r="A217" i="1" s="1"/>
  <c r="A218" i="1" s="1"/>
  <c r="A219" i="1" s="1"/>
  <c r="A220" i="1" s="1"/>
  <c r="A221" i="1" s="1"/>
  <c r="A222" i="1" s="1"/>
  <c r="A223" i="1" s="1"/>
  <c r="F215" i="1"/>
  <c r="J215" i="1" s="1"/>
  <c r="I205" i="1"/>
  <c r="F209" i="1"/>
  <c r="K209" i="1" s="1"/>
  <c r="F204" i="1"/>
  <c r="I204" i="1"/>
  <c r="F206" i="1"/>
  <c r="K205" i="1" s="1"/>
  <c r="F207" i="1"/>
  <c r="K206" i="1" s="1"/>
  <c r="F205" i="1"/>
  <c r="K204" i="1" s="1"/>
  <c r="F208" i="1"/>
  <c r="A205" i="1"/>
  <c r="A206" i="1" s="1"/>
  <c r="A207" i="1" s="1"/>
  <c r="A208" i="1" s="1"/>
  <c r="A209" i="1" s="1"/>
  <c r="A210" i="1" s="1"/>
  <c r="A211" i="1" s="1"/>
  <c r="A212" i="1" s="1"/>
  <c r="F189" i="1"/>
  <c r="I189" i="1" s="1"/>
  <c r="F188" i="1"/>
  <c r="I188" i="1" s="1"/>
  <c r="F187" i="1"/>
  <c r="I187" i="1" s="1"/>
  <c r="F186" i="1"/>
  <c r="I186" i="1" s="1"/>
  <c r="F185" i="1"/>
  <c r="I185" i="1" s="1"/>
  <c r="F184" i="1"/>
  <c r="I184" i="1" s="1"/>
  <c r="A189" i="1"/>
  <c r="F183" i="1"/>
  <c r="I183" i="1" s="1"/>
  <c r="F182" i="1"/>
  <c r="I182" i="1" s="1"/>
  <c r="F181" i="1"/>
  <c r="I181" i="1" s="1"/>
  <c r="F180" i="1"/>
  <c r="I180" i="1" s="1"/>
  <c r="F179" i="1"/>
  <c r="I179" i="1" s="1"/>
  <c r="F178" i="1"/>
  <c r="I178" i="1" s="1"/>
  <c r="F177" i="1"/>
  <c r="I177" i="1" s="1"/>
  <c r="F176" i="1"/>
  <c r="I176" i="1" s="1"/>
  <c r="F175" i="1"/>
  <c r="I175" i="1" s="1"/>
  <c r="F174" i="1"/>
  <c r="I174" i="1" s="1"/>
  <c r="F173" i="1"/>
  <c r="I173" i="1" s="1"/>
  <c r="F172" i="1"/>
  <c r="I172" i="1" s="1"/>
  <c r="F171" i="1"/>
  <c r="I171" i="1" s="1"/>
  <c r="F170" i="1"/>
  <c r="I170" i="1" s="1"/>
  <c r="F169" i="1"/>
  <c r="I169" i="1" s="1"/>
  <c r="F168" i="1"/>
  <c r="I168" i="1" s="1"/>
  <c r="F167" i="1"/>
  <c r="I167" i="1" s="1"/>
  <c r="F155" i="1"/>
  <c r="I155" i="1" s="1"/>
  <c r="F154" i="1"/>
  <c r="I154" i="1" s="1"/>
  <c r="F153" i="1"/>
  <c r="I153" i="1" s="1"/>
  <c r="F152" i="1"/>
  <c r="I152" i="1" s="1"/>
  <c r="F151" i="1"/>
  <c r="I151" i="1" s="1"/>
  <c r="F150" i="1"/>
  <c r="I150" i="1" s="1"/>
  <c r="F149" i="1"/>
  <c r="I149" i="1" s="1"/>
  <c r="F148" i="1"/>
  <c r="I148" i="1" s="1"/>
  <c r="F147" i="1"/>
  <c r="A148" i="1"/>
  <c r="A149" i="1" s="1"/>
  <c r="A150" i="1" s="1"/>
  <c r="A151" i="1" s="1"/>
  <c r="A152" i="1" s="1"/>
  <c r="A153" i="1" s="1"/>
  <c r="A154" i="1" s="1"/>
  <c r="A155" i="1" s="1"/>
  <c r="A156" i="1" s="1"/>
  <c r="E133" i="1" l="1"/>
  <c r="E134" i="1"/>
  <c r="I159" i="1"/>
  <c r="C134" i="1"/>
  <c r="K203" i="1"/>
  <c r="E138" i="1"/>
  <c r="E139" i="1" s="1"/>
  <c r="C138" i="1"/>
  <c r="C139" i="1" s="1"/>
  <c r="I147" i="1"/>
  <c r="C133" i="1"/>
  <c r="K214" i="1"/>
  <c r="K202" i="1"/>
  <c r="K208" i="1"/>
  <c r="K207" i="1"/>
  <c r="E43" i="1"/>
  <c r="C135" i="1" l="1"/>
  <c r="E135" i="1"/>
  <c r="G135" i="1"/>
  <c r="F194" i="1"/>
  <c r="F258" i="1"/>
  <c r="H258"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E31" i="1" l="1"/>
  <c r="B288" i="1" l="1"/>
  <c r="F195" i="1" l="1"/>
  <c r="H195" i="1" s="1"/>
  <c r="F196" i="1"/>
  <c r="H196" i="1" s="1"/>
  <c r="F197" i="1"/>
  <c r="H197" i="1" s="1"/>
  <c r="H194" i="1"/>
  <c r="G58" i="1" l="1"/>
  <c r="C54" i="1"/>
  <c r="S33" i="1" l="1"/>
  <c r="F11" i="5" l="1"/>
  <c r="G11" i="5" s="1"/>
  <c r="F10" i="5"/>
  <c r="G10" i="5" s="1"/>
  <c r="F9" i="5"/>
  <c r="G9" i="5" s="1"/>
  <c r="F8" i="5"/>
  <c r="G8" i="5" s="1"/>
  <c r="F7" i="5"/>
  <c r="G7" i="5" s="1"/>
  <c r="F6" i="5"/>
  <c r="G6" i="5" s="1"/>
  <c r="F5" i="5"/>
  <c r="G5" i="5" s="1"/>
  <c r="G12" i="5" s="1"/>
  <c r="D311" i="1"/>
  <c r="B289" i="1"/>
  <c r="F285" i="1"/>
  <c r="H285" i="1" s="1"/>
  <c r="F284" i="1"/>
  <c r="H284" i="1" s="1"/>
  <c r="F283" i="1"/>
  <c r="H283" i="1" s="1"/>
  <c r="F282" i="1"/>
  <c r="H282" i="1" s="1"/>
  <c r="F281" i="1"/>
  <c r="H281" i="1" s="1"/>
  <c r="F279" i="1"/>
  <c r="H279" i="1" s="1"/>
  <c r="F278" i="1"/>
  <c r="H278" i="1" s="1"/>
  <c r="F277" i="1"/>
  <c r="H277" i="1" s="1"/>
  <c r="F276" i="1"/>
  <c r="H276" i="1" s="1"/>
  <c r="F275" i="1"/>
  <c r="H275" i="1" s="1"/>
  <c r="F273" i="1"/>
  <c r="H273" i="1" s="1"/>
  <c r="F272" i="1"/>
  <c r="H272" i="1" s="1"/>
  <c r="F271" i="1"/>
  <c r="H271" i="1" s="1"/>
  <c r="F270" i="1"/>
  <c r="H270" i="1" s="1"/>
  <c r="F269" i="1"/>
  <c r="H269" i="1" s="1"/>
  <c r="F267" i="1"/>
  <c r="H267" i="1" s="1"/>
  <c r="F266" i="1"/>
  <c r="H266" i="1" s="1"/>
  <c r="F265" i="1"/>
  <c r="H265" i="1" s="1"/>
  <c r="F264" i="1"/>
  <c r="H264" i="1" s="1"/>
  <c r="F263" i="1"/>
  <c r="H263" i="1" s="1"/>
  <c r="A263" i="1"/>
  <c r="A264" i="1" s="1"/>
  <c r="A265" i="1" s="1"/>
  <c r="A266" i="1" s="1"/>
  <c r="A267" i="1" s="1"/>
  <c r="F261" i="1"/>
  <c r="H261" i="1" s="1"/>
  <c r="F260" i="1"/>
  <c r="H260" i="1" s="1"/>
  <c r="F259" i="1"/>
  <c r="H259" i="1" s="1"/>
  <c r="A259" i="1"/>
  <c r="A260" i="1" s="1"/>
  <c r="A261" i="1" s="1"/>
  <c r="A195" i="1"/>
  <c r="A196" i="1" s="1"/>
  <c r="A197" i="1" s="1"/>
  <c r="F130" i="1"/>
  <c r="C103" i="1"/>
  <c r="C89" i="1"/>
  <c r="C75" i="1"/>
  <c r="D69" i="1"/>
  <c r="G51" i="1"/>
  <c r="G52" i="1" s="1"/>
  <c r="C51" i="1"/>
  <c r="E44" i="1"/>
  <c r="E45" i="1" s="1"/>
  <c r="E28" i="1"/>
  <c r="E26" i="1"/>
  <c r="C16" i="1"/>
  <c r="I15" i="1"/>
  <c r="Z13" i="1"/>
  <c r="E8" i="1"/>
  <c r="E3" i="1"/>
  <c r="A275" i="1"/>
  <c r="H104" i="1"/>
  <c r="H90" i="1"/>
  <c r="H76" i="1"/>
  <c r="A269" i="1"/>
  <c r="A281" i="1"/>
  <c r="J75" i="1" l="1"/>
  <c r="J77" i="1" s="1"/>
  <c r="J78" i="1"/>
  <c r="J79" i="1"/>
  <c r="J80" i="1"/>
  <c r="C79" i="1" s="1"/>
  <c r="J94" i="1"/>
  <c r="C93" i="1" s="1"/>
  <c r="D98" i="1"/>
  <c r="D100" i="1"/>
  <c r="J93" i="1"/>
  <c r="D99" i="1"/>
  <c r="J89" i="1"/>
  <c r="J91" i="1" s="1"/>
  <c r="D97" i="1"/>
  <c r="J92" i="1"/>
  <c r="D96" i="1"/>
  <c r="D102" i="1"/>
  <c r="D101" i="1"/>
  <c r="D95" i="1"/>
  <c r="D83" i="1"/>
  <c r="D85" i="1"/>
  <c r="D84" i="1"/>
  <c r="D88" i="1"/>
  <c r="D82" i="1"/>
  <c r="D87" i="1"/>
  <c r="D81" i="1"/>
  <c r="D86" i="1"/>
  <c r="J103" i="1"/>
  <c r="J105" i="1" s="1"/>
  <c r="D112" i="1"/>
  <c r="D114" i="1"/>
  <c r="J108" i="1"/>
  <c r="D107" i="1" s="1"/>
  <c r="D113" i="1"/>
  <c r="J107" i="1"/>
  <c r="D111" i="1"/>
  <c r="J106" i="1"/>
  <c r="D110" i="1"/>
  <c r="D116" i="1"/>
  <c r="D115" i="1"/>
  <c r="B104" i="1"/>
  <c r="B90" i="1"/>
  <c r="B76" i="1"/>
  <c r="J81" i="1" s="1"/>
  <c r="A276" i="1"/>
  <c r="A282" i="1"/>
  <c r="A270" i="1"/>
  <c r="D93" i="1" l="1"/>
  <c r="D79" i="1"/>
  <c r="D109" i="1"/>
  <c r="J114" i="1"/>
  <c r="J111" i="1"/>
  <c r="J113" i="1"/>
  <c r="J112" i="1"/>
  <c r="J109" i="1"/>
  <c r="J110" i="1" s="1"/>
  <c r="J115" i="1" s="1"/>
  <c r="J116" i="1" s="1"/>
  <c r="E107" i="1" s="1"/>
  <c r="J100" i="1"/>
  <c r="J97" i="1"/>
  <c r="J99" i="1"/>
  <c r="J98" i="1"/>
  <c r="J95" i="1"/>
  <c r="C94" i="1" s="1"/>
  <c r="J85" i="1"/>
  <c r="J83" i="1"/>
  <c r="J84" i="1"/>
  <c r="J82" i="1"/>
  <c r="J86" i="1"/>
  <c r="A277" i="1"/>
  <c r="A283" i="1"/>
  <c r="A271" i="1"/>
  <c r="J87" i="1" l="1"/>
  <c r="J88" i="1" s="1"/>
  <c r="C80" i="1" s="1"/>
  <c r="D80" i="1" s="1"/>
  <c r="I76" i="1" s="1"/>
  <c r="J96" i="1"/>
  <c r="J101" i="1" s="1"/>
  <c r="D108" i="1"/>
  <c r="I104" i="1" s="1"/>
  <c r="J104" i="1"/>
  <c r="G107" i="1"/>
  <c r="A278" i="1"/>
  <c r="A284" i="1"/>
  <c r="A272" i="1"/>
  <c r="J102" i="1" l="1"/>
  <c r="J76" i="1"/>
  <c r="E79" i="1"/>
  <c r="G79" i="1"/>
  <c r="D73" i="1" s="1"/>
  <c r="F74" i="1" s="1"/>
  <c r="I105" i="1"/>
  <c r="I103" i="1" s="1"/>
  <c r="C105" i="1" s="1"/>
  <c r="I77" i="1"/>
  <c r="A279" i="1"/>
  <c r="A273" i="1"/>
  <c r="A285" i="1"/>
  <c r="I75" i="1" l="1"/>
  <c r="C77" i="1" s="1"/>
  <c r="D74" i="1"/>
  <c r="D94" i="1"/>
  <c r="I90" i="1" s="1"/>
  <c r="I91" i="1" s="1"/>
  <c r="E93" i="1"/>
  <c r="G93" i="1"/>
  <c r="J90"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<sst xmlns="http://schemas.openxmlformats.org/spreadsheetml/2006/main" count="768" uniqueCount="405">
  <si>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</si>
  <si>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</si>
  <si>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</si>
  <si>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</si>
  <si>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</si>
  <si>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</si>
  <si>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</si>
  <si>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</si>
  <si>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</si>
  <si>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</si>
  <si>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</si>
  <si>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</si>
  <si>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</si>
  <si>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</si>
  <si>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</si>
  <si>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</si>
  <si>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</si>
  <si>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</si>
  <si>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</si>
  <si>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</si>
  <si>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</si>
  <si>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</si>
  <si>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</si>
  <si>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</si>
  <si>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</si>
  <si>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</si>
  <si>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</si>
  <si>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</si>
  <si>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</si>
  <si>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</si>
  <si>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</si>
  <si>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</si>
  <si>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</si>
  <si>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</si>
  <si>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</si>
  <si>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</si>
  <si>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</si>
  <si>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</si>
  <si>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</si>
  <si>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</si>
  <si>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</si>
  <si>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</si>
  <si>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</si>
  <si>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</si>
  <si>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</si>
  <si>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</si>
  <si>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</si>
  <si>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</si>
  <si>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</si>
  <si>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</si>
  <si>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</si>
  <si>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</si>
  <si>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</si>
  <si>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</si>
  <si>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</si>
  <si>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</si>
  <si>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</si>
  <si>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</si>
  <si>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</si>
  <si>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</si>
  <si>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</si>
  <si>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</si>
  <si>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</si>
  <si>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</si>
  <si>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</si>
  <si>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</si>
  <si>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</si>
  <si>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</si>
  <si>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</si>
  <si>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</si>
  <si>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</si>
  <si>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</si>
  <si>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</si>
  <si>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</si>
  <si>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</si>
  <si>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</si>
  <si>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</si>
  <si>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</si>
  <si>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</si>
  <si>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</si>
  <si>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</si>
  <si>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</si>
  <si>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</si>
  <si>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</si>
  <si>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</si>
  <si>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</si>
  <si>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</si>
  <si>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</si>
  <si>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</si>
  <si>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</si>
  <si>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</si>
  <si>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</si>
  <si>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</si>
  <si>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</si>
  <si>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</si>
  <si>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</si>
  <si>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</si>
  <si>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</si>
  <si>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</si>
  <si>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</si>
  <si>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</si>
  <si>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</si>
  <si>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</si>
  <si>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</si>
  <si>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</si>
  <si>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</si>
  <si>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</si>
  <si>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</si>
  <si>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</si>
  <si>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</si>
  <si>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</si>
  <si>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</si>
  <si>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</si>
  <si>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</si>
  <si>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</si>
  <si>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</si>
  <si>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</si>
  <si>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</si>
  <si>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</si>
  <si>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</si>
  <si>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</si>
  <si>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</si>
  <si>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</si>
  <si>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</si>
  <si>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</si>
  <si>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</si>
  <si>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</si>
  <si>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</si>
  <si>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</si>
  <si>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</si>
  <si>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</si>
  <si>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</si>
  <si>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</si>
  <si>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</si>
  <si>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</si>
  <si>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</si>
  <si>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</si>
  <si>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</si>
  <si>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</si>
  <si>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</si>
  <si>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</si>
  <si>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</si>
  <si>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</si>
  <si>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</si>
  <si>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</si>
  <si>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</si>
  <si>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</si>
  <si>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</si>
  <si>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</si>
  <si>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</si>
  <si>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</si>
  <si>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</si>
  <si>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</si>
  <si>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</si>
  <si>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</si>
  <si>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</si>
  <si>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</si>
  <si>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</si>
  <si>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</si>
  <si>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</si>
  <si>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</si>
  <si>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</si>
  <si>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</si>
  <si>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</si>
  <si>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</si>
  <si>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</si>
  <si>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</si>
  <si>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</si>
  <si>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</si>
  <si>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</si>
  <si>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</si>
  <si>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</si>
  <si>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</si>
  <si>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</si>
  <si>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</si>
  <si>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</si>
  <si>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</si>
  <si>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</si>
  <si>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</si>
  <si>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</si>
  <si>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</si>
  <si>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</si>
  <si>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</si>
  <si>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</si>
  <si>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</si>
  <si>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</si>
  <si>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</si>
  <si>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</si>
  <si>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</si>
  <si>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</si>
  <si>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</si>
  <si>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</si>
  <si>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</si>
  <si>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</si>
  <si>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</si>
  <si>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</si>
  <si>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</si>
  <si>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</si>
  <si>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</si>
  <si>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</si>
  <si>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</si>
  <si>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</si>
  <si>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</si>
  <si>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</si>
  <si>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</si>
  <si>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</si>
  <si>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</si>
  <si>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</si>
  <si>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</si>
  <si>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</si>
  <si>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</si>
  <si>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</si>
  <si>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</si>
  <si>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</si>
  <si>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</si>
  <si>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</si>
  <si>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</si>
  <si>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</si>
  <si>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</si>
  <si>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</si>
  <si>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</si>
  <si>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</si>
  <si>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</si>
  <si>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</si>
  <si>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</si>
  <si>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</si>
  <si>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</si>
  <si>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</si>
  <si>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</si>
  <si>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</si>
  <si>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</si>
  <si>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</si>
  <si>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</si>
  <si>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</si>
  <si>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</si>
  <si>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</si>
  <si>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</si>
  <si>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</si>
  <si>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</si>
  <si>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</si>
  <si>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</si>
  <si>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</si>
  <si>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</si>
  <si>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</si>
  <si>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</si>
  <si>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</si>
  <si>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</si>
  <si>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</si>
  <si>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</si>
  <si>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</si>
  <si>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</si>
  <si>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</si>
  <si>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</si>
  <si>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</si>
  <si>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</si>
  <si>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</si>
  <si>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</si>
  <si>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</si>
  <si>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</si>
  <si>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</si>
  <si>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</si>
  <si>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</si>
  <si>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</si>
  <si>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</si>
  <si>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</si>
  <si>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</si>
  <si>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</si>
  <si>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</si>
  <si>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</si>
  <si>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</si>
  <si>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</si>
  <si>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</si>
  <si>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</si>
  <si>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</si>
  <si>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</si>
  <si>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</si>
  <si>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</si>
  <si>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</si>
  <si>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</si>
  <si>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</si>
  <si>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</si>
  <si>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</si>
  <si>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</si>
  <si>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</si>
  <si>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</si>
  <si>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</si>
  <si>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</si>
  <si>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</si>
  <si>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</si>
  <si>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</si>
  <si>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</si>
  <si>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</si>
  <si>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</si>
  <si>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</si>
  <si>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</si>
  <si>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</si>
  <si>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</si>
  <si>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</si>
  <si>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</si>
  <si>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</si>
  <si>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</si>
  <si>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</si>
  <si>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</si>
  <si>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</si>
  <si>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</si>
  <si>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</si>
  <si>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</si>
  <si>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</si>
  <si>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</si>
  <si>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</si>
  <si>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</si>
  <si>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</si>
  <si>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</si>
  <si>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</si>
  <si>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</si>
  <si>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</si>
  <si>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</si>
  <si>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</si>
  <si>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</si>
  <si>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</si>
  <si>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</si>
  <si>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</si>
  <si>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</si>
  <si>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</si>
  <si>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</si>
  <si>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</si>
  <si>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</si>
  <si>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</si>
  <si>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</si>
  <si>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</si>
  <si>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</si>
  <si>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Shree Sai Developers</t>
  </si>
  <si>
    <t>Ayaana</t>
  </si>
  <si>
    <t xml:space="preserve">Yasser And Shahin Shaikh 8928625253/7039522010
</t>
  </si>
  <si>
    <t>P52000055490</t>
  </si>
  <si>
    <t>Survey No</t>
  </si>
  <si>
    <t>114 &amp; 115</t>
  </si>
  <si>
    <t>Taloja</t>
  </si>
  <si>
    <t>Ghot Road</t>
  </si>
  <si>
    <t>Taloja East</t>
  </si>
  <si>
    <t>2.6 KM from Taloja Panhanand Railway Station</t>
  </si>
  <si>
    <t>Adj S.No.113</t>
  </si>
  <si>
    <t>12 M W Road</t>
  </si>
  <si>
    <t>9 M W Road</t>
  </si>
  <si>
    <t>Other Plot</t>
  </si>
  <si>
    <t>19.0758770,73.1017362</t>
  </si>
  <si>
    <t>https://maps.app.goo.gl/s7rVe3TWoxKgS4jT9</t>
  </si>
  <si>
    <t>PMC/NRV/16453/164/2024</t>
  </si>
  <si>
    <t>PMC/TP/Taloje Majkur/114 &amp; 115/21-24/16453/164/2024</t>
  </si>
  <si>
    <t>A Wing = G + 1st to 22nd Floor</t>
  </si>
  <si>
    <t>B Wing = G + 1st to 22nd Floor</t>
  </si>
  <si>
    <t>C Wing = G + 1st to 22nd Floor</t>
  </si>
  <si>
    <t>As per RERA - 31/12/2030</t>
  </si>
  <si>
    <t>Wing A</t>
  </si>
  <si>
    <t>Ground Floor For Commercial, Lobby &amp; Parking</t>
  </si>
  <si>
    <t>Shop</t>
  </si>
  <si>
    <t>Wing B &amp; C</t>
  </si>
  <si>
    <t>1st Floor For Residential &amp; Void</t>
  </si>
  <si>
    <t>2BHK</t>
  </si>
  <si>
    <t>1BHK</t>
  </si>
  <si>
    <t>2nd Floor For Residential &amp; Void</t>
  </si>
  <si>
    <t>3rd Floor For Residential &amp; Void</t>
  </si>
  <si>
    <t>4th to 7th, 9th to 12th, 14th to 17th, 19th to 22nd Floor For Residential</t>
  </si>
  <si>
    <t>8th, 13th &amp; 18th Floor (Part Refuge Area)</t>
  </si>
  <si>
    <t>Refuge Area</t>
  </si>
  <si>
    <t>31A</t>
  </si>
  <si>
    <t>30A</t>
  </si>
  <si>
    <t>28A</t>
  </si>
  <si>
    <t>27A</t>
  </si>
  <si>
    <t>21A</t>
  </si>
  <si>
    <t>20A</t>
  </si>
  <si>
    <t>18A</t>
  </si>
  <si>
    <t>17A</t>
  </si>
  <si>
    <t>Commercial Area Details : Shops</t>
  </si>
  <si>
    <t>Residential Area Details : Flats</t>
  </si>
  <si>
    <t>We considered Gross carpet area = Net carpet + Enclose balcony + Balcony</t>
  </si>
  <si>
    <t>1st Floor For Commercial &amp; Parking</t>
  </si>
  <si>
    <t>Gymnasium, Jogging Track, Children's Play Area, Landscaping &amp; Tree, Multipurpose Hall, Indoor Games, etc.</t>
  </si>
  <si>
    <t>https://housing.com/in/buy/projects/page/319435-shree-ayaana-by-shree-sai-developers-vashi-in-taloja</t>
  </si>
  <si>
    <t>Builder Saleable Area</t>
  </si>
  <si>
    <t>Approved Plans, CC, Sale Plans, Builder Saleable Area, Cost Sheet</t>
  </si>
  <si>
    <t>Mr. Sunil Peravi</t>
  </si>
  <si>
    <t>RTO Passing Ground Taloja</t>
  </si>
  <si>
    <r>
      <t xml:space="preserve">Proposed Amenities :                                                                                                                                                                                                                         </t>
    </r>
    <r>
      <rPr>
        <b/>
        <sz val="12"/>
        <rFont val="Times New Roman"/>
        <family val="1"/>
      </rPr>
      <t xml:space="preserve">                                               </t>
    </r>
  </si>
  <si>
    <t>Balcony Area</t>
  </si>
  <si>
    <t>Void</t>
  </si>
  <si>
    <r>
      <t xml:space="preserve">Shop No.
</t>
    </r>
    <r>
      <rPr>
        <b/>
        <sz val="11"/>
        <rFont val="Times New Roman"/>
        <family val="1"/>
      </rPr>
      <t>(Approved Plan)</t>
    </r>
  </si>
  <si>
    <t>Taloja Majkur</t>
  </si>
  <si>
    <t>Recommended rate of the Shop Per Sq. Ft. (1st Floor)</t>
  </si>
  <si>
    <t>Recommended rate of the Shop Per Sq. Ft. (Ground Floor)</t>
  </si>
  <si>
    <t xml:space="preserve">Latest Approved plans referred from RERA Site.
</t>
  </si>
  <si>
    <t>A Wing = G + 1st to 22nd Floor
Total Built Up Area = 16079.266 Sq.Mt.</t>
  </si>
  <si>
    <t>SIA/MH/INFRA2/435899/2023</t>
  </si>
  <si>
    <t>Survey No.114 &amp; 115</t>
  </si>
  <si>
    <t>Mr. Pranay : 8828032143</t>
  </si>
  <si>
    <t>1 Wing</t>
  </si>
  <si>
    <t>Flats - 205, Shops - 10</t>
  </si>
  <si>
    <t>A Wing = G + 1st to 22nd Floor
B Wing = G + 1st Floor
C Wing = G + 1st Floor</t>
  </si>
  <si>
    <t xml:space="preserve">As per RERA &amp; approved plan, project consists of wing A, B &amp; C. But as per bank official request we have done APF for A Wing only.
</t>
  </si>
  <si>
    <t>Other Charges</t>
  </si>
  <si>
    <t>OC = 300000 SMITH CASE 2BHK COST SHEET         20/01/2025</t>
  </si>
  <si>
    <t>Recommended Rates / Other charges of the Property have been revised on 20/01/2025.</t>
  </si>
  <si>
    <t>Mr. Yasser 7039522010</t>
  </si>
  <si>
    <t xml:space="preserve">Construction work is in process at the time of Visit.(Internal visit was not allowed).
</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</si>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</sst>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4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5" fillId="0" borderId="0" xfId="1" applyFont="1" applyAlignment="1">
      <alignment horizontal="center" vertical="center"/>
    </xf>
    <xf numFmtId="1" fontId="7" fillId="0" borderId="1" xfId="1" applyNumberFormat="1" applyFont="1" applyBorder="1" applyAlignment="1">
      <alignment horizontal="center" vertical="center"/>
    </xf>
    <xf numFmtId="1" fontId="7" fillId="2" borderId="1" xfId="1" applyNumberFormat="1" applyFont="1" applyFill="1" applyBorder="1" applyAlignment="1">
      <alignment horizontal="center" vertical="center"/>
    </xf>
    <xf numFmtId="1" fontId="12" fillId="0" borderId="1" xfId="1" applyNumberFormat="1" applyFont="1" applyBorder="1" applyAlignment="1">
      <alignment horizontal="center" vertical="center"/>
    </xf>
    <xf numFmtId="165" fontId="7" fillId="0" borderId="0" xfId="1" applyNumberFormat="1" applyFont="1" applyAlignment="1">
      <alignment horizontal="center" vertical="center"/>
    </xf>
    <xf numFmtId="2" fontId="7" fillId="0" borderId="0" xfId="1" applyNumberFormat="1" applyFont="1" applyAlignment="1">
      <alignment horizontal="center" vertical="center"/>
    </xf>
    <xf numFmtId="165" fontId="12" fillId="0" borderId="0" xfId="1" applyNumberFormat="1" applyFont="1" applyAlignment="1">
      <alignment horizontal="center" vertical="center"/>
    </xf>
    <xf numFmtId="165" fontId="15" fillId="0" borderId="0" xfId="1" applyNumberFormat="1" applyFont="1" applyAlignment="1">
      <alignment horizontal="center" vertical="center"/>
    </xf>
    <xf numFmtId="1" fontId="12"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0" fontId="12" fillId="0" borderId="0" xfId="0" applyFont="1" applyAlignment="1">
      <alignment horizontal="center" vertical="center"/>
    </xf>
    <xf numFmtId="1" fontId="13" fillId="0" borderId="3" xfId="1" applyNumberFormat="1" applyFont="1" applyBorder="1" applyAlignment="1" applyProtection="1">
      <alignment horizontal="center" vertical="top" wrapText="1"/>
      <protection locked="0"/>
    </xf>
    <xf numFmtId="0" fontId="12" fillId="0" borderId="0" xfId="1" applyFont="1" applyAlignment="1">
      <alignment horizontal="center" vertical="center"/>
    </xf>
    <xf numFmtId="1" fontId="12"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2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12" fillId="0" borderId="1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448235</xdr:colOff>
      <xdr:row>378</xdr:row>
      <xdr:rowOff>11206</xdr:rowOff>
    </xdr:from>
    <xdr:to>
      <xdr:col>7</xdr:col>
      <xdr:colOff>374912</xdr:colOff>
      <xdr:row>395</xdr:row>
      <xdr:rowOff>2206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48235" y="70283294"/>
          <a:ext cx="5507206" cy="3420000"/>
        </a:xfrm>
        <a:prstGeom prst="rect">
          <a:avLst/>
        </a:prstGeom>
        <a:ln>
          <a:solidFill>
            <a:schemeClr val="tx1"/>
          </a:solidFill>
        </a:ln>
      </xdr:spPr>
    </xdr:pic>
    <xdr:clientData/>
  </xdr:twoCellAnchor>
  <xdr:twoCellAnchor>
    <xdr:from>
      <xdr:col>1</xdr:col>
      <xdr:colOff>190500</xdr:colOff>
      <xdr:row>354</xdr:row>
      <xdr:rowOff>22412</xdr:rowOff>
    </xdr:from>
    <xdr:to>
      <xdr:col>6</xdr:col>
      <xdr:colOff>444176</xdr:colOff>
      <xdr:row>377</xdr:row>
      <xdr:rowOff>39682</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990600" y="52130512"/>
          <a:ext cx="4539926" cy="4544820"/>
          <a:chOff x="952500" y="65453559"/>
          <a:chExt cx="4343823" cy="4656505"/>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rot="5400000">
            <a:off x="820714" y="65634455"/>
            <a:ext cx="4631218" cy="4320000"/>
          </a:xfrm>
          <a:prstGeom prst="rect">
            <a:avLst/>
          </a:prstGeom>
          <a:ln>
            <a:solidFill>
              <a:schemeClr val="tx1"/>
            </a:solidFill>
          </a:ln>
        </xdr:spPr>
      </xdr:pic>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1131794" y="65834559"/>
            <a:ext cx="11206" cy="4706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52500" y="65453559"/>
            <a:ext cx="403412"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clientData/>
  </xdr:twoCellAnchor>
  <xdr:twoCellAnchor>
    <xdr:from>
      <xdr:col>1</xdr:col>
      <xdr:colOff>112059</xdr:colOff>
      <xdr:row>379</xdr:row>
      <xdr:rowOff>100853</xdr:rowOff>
    </xdr:from>
    <xdr:to>
      <xdr:col>1</xdr:col>
      <xdr:colOff>560294</xdr:colOff>
      <xdr:row>379</xdr:row>
      <xdr:rowOff>100853</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H="1">
          <a:off x="874059" y="70574647"/>
          <a:ext cx="44823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526677</xdr:colOff>
      <xdr:row>378</xdr:row>
      <xdr:rowOff>67236</xdr:rowOff>
    </xdr:from>
    <xdr:to>
      <xdr:col>1</xdr:col>
      <xdr:colOff>168089</xdr:colOff>
      <xdr:row>380</xdr:row>
      <xdr:rowOff>67236</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26677" y="70339324"/>
          <a:ext cx="403412"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clientData/>
  </xdr:twoCellAnchor>
  <xdr:twoCellAnchor editAs="oneCell">
    <xdr:from>
      <xdr:col>0</xdr:col>
      <xdr:colOff>267144</xdr:colOff>
      <xdr:row>397</xdr:row>
      <xdr:rowOff>100853</xdr:rowOff>
    </xdr:from>
    <xdr:to>
      <xdr:col>7</xdr:col>
      <xdr:colOff>444967</xdr:colOff>
      <xdr:row>415</xdr:row>
      <xdr:rowOff>70148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267144" y="74407059"/>
          <a:ext cx="5758352" cy="3600000"/>
        </a:xfrm>
        <a:prstGeom prst="rect">
          <a:avLst/>
        </a:prstGeom>
        <a:ln>
          <a:solidFill>
            <a:schemeClr val="tx1"/>
          </a:solidFill>
        </a:ln>
      </xdr:spPr>
    </xdr:pic>
    <xdr:clientData/>
  </xdr:twoCellAnchor>
  <xdr:twoCellAnchor>
    <xdr:from>
      <xdr:col>0</xdr:col>
      <xdr:colOff>717177</xdr:colOff>
      <xdr:row>415</xdr:row>
      <xdr:rowOff>187615</xdr:rowOff>
    </xdr:from>
    <xdr:to>
      <xdr:col>6</xdr:col>
      <xdr:colOff>587383</xdr:colOff>
      <xdr:row>435</xdr:row>
      <xdr:rowOff>113498</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717177" y="64303565"/>
          <a:ext cx="4956556" cy="3862883"/>
          <a:chOff x="717177" y="77485791"/>
          <a:chExt cx="4722353" cy="3960001"/>
        </a:xfrm>
      </xdr:grpSpPr>
      <xdr:grpSp>
        <xdr:nvGrpSpPr>
          <xdr:cNvPr id="18" name="Group 17">
            <a:extLst>
              <a:ext uri="{FF2B5EF4-FFF2-40B4-BE49-F238E27FC236}">
                <a16:creationId xmlns:a16="http://schemas.microsoft.com/office/drawing/2014/main" id="{00000000-0008-0000-0000-000012000000}"/>
              </a:ext>
            </a:extLst>
          </xdr:cNvPr>
          <xdr:cNvGrpSpPr/>
        </xdr:nvGrpSpPr>
        <xdr:grpSpPr>
          <a:xfrm>
            <a:off x="717177" y="77485791"/>
            <a:ext cx="4722353" cy="3960001"/>
            <a:chOff x="717177" y="78124527"/>
            <a:chExt cx="4722353" cy="3960000"/>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717177" y="78124527"/>
              <a:ext cx="4722353" cy="3960000"/>
            </a:xfrm>
            <a:prstGeom prst="rect">
              <a:avLst/>
            </a:prstGeom>
            <a:ln>
              <a:solidFill>
                <a:schemeClr val="tx1"/>
              </a:solidFill>
            </a:ln>
          </xdr:spPr>
        </xdr:pic>
        <xdr:sp macro="" textlink="">
          <xdr:nvSpPr>
            <xdr:cNvPr id="16" name="Freeform 15">
              <a:extLst>
                <a:ext uri="{FF2B5EF4-FFF2-40B4-BE49-F238E27FC236}">
                  <a16:creationId xmlns:a16="http://schemas.microsoft.com/office/drawing/2014/main" id="{00000000-0008-0000-0000-000010000000}"/>
                </a:ext>
              </a:extLst>
            </xdr:cNvPr>
            <xdr:cNvSpPr/>
          </xdr:nvSpPr>
          <xdr:spPr>
            <a:xfrm>
              <a:off x="2207559" y="79595383"/>
              <a:ext cx="1445559" cy="1580029"/>
            </a:xfrm>
            <a:custGeom>
              <a:avLst/>
              <a:gdLst>
                <a:gd name="connsiteX0" fmla="*/ 0 w 1445559"/>
                <a:gd name="connsiteY0" fmla="*/ 145676 h 1580029"/>
                <a:gd name="connsiteX1" fmla="*/ 313765 w 1445559"/>
                <a:gd name="connsiteY1" fmla="*/ 0 h 1580029"/>
                <a:gd name="connsiteX2" fmla="*/ 381000 w 1445559"/>
                <a:gd name="connsiteY2" fmla="*/ 874059 h 1580029"/>
                <a:gd name="connsiteX3" fmla="*/ 1445559 w 1445559"/>
                <a:gd name="connsiteY3" fmla="*/ 1154206 h 1580029"/>
                <a:gd name="connsiteX4" fmla="*/ 1400735 w 1445559"/>
                <a:gd name="connsiteY4" fmla="*/ 1580029 h 1580029"/>
                <a:gd name="connsiteX5" fmla="*/ 11206 w 1445559"/>
                <a:gd name="connsiteY5" fmla="*/ 1053353 h 1580029"/>
                <a:gd name="connsiteX6" fmla="*/ 0 w 1445559"/>
                <a:gd name="connsiteY6" fmla="*/ 145676 h 15800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445559" h="1580029">
                  <a:moveTo>
                    <a:pt x="0" y="145676"/>
                  </a:moveTo>
                  <a:lnTo>
                    <a:pt x="313765" y="0"/>
                  </a:lnTo>
                  <a:lnTo>
                    <a:pt x="381000" y="874059"/>
                  </a:lnTo>
                  <a:lnTo>
                    <a:pt x="1445559" y="1154206"/>
                  </a:lnTo>
                  <a:lnTo>
                    <a:pt x="1400735" y="1580029"/>
                  </a:lnTo>
                  <a:lnTo>
                    <a:pt x="11206" y="1053353"/>
                  </a:lnTo>
                  <a:lnTo>
                    <a:pt x="0" y="145676"/>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7" name="Rectangle 16">
              <a:extLst>
                <a:ext uri="{FF2B5EF4-FFF2-40B4-BE49-F238E27FC236}">
                  <a16:creationId xmlns:a16="http://schemas.microsoft.com/office/drawing/2014/main" id="{00000000-0008-0000-0000-000011000000}"/>
                </a:ext>
              </a:extLst>
            </xdr:cNvPr>
            <xdr:cNvSpPr/>
          </xdr:nvSpPr>
          <xdr:spPr>
            <a:xfrm>
              <a:off x="2196353" y="78945440"/>
              <a:ext cx="1501588" cy="2286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2521325" y="79472118"/>
            <a:ext cx="1613645" cy="45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Wing</a:t>
            </a:r>
            <a:r>
              <a:rPr lang="en-IN" sz="1400" b="1" baseline="0">
                <a:solidFill>
                  <a:srgbClr val="FFFF00"/>
                </a:solidFill>
              </a:rPr>
              <a:t> A, B &amp; C</a:t>
            </a:r>
            <a:endParaRPr lang="en-IN" sz="1400" b="1">
              <a:solidFill>
                <a:srgbClr val="FFFF00"/>
              </a:solidFill>
            </a:endParaRPr>
          </a:p>
        </xdr:txBody>
      </xdr:sp>
    </xdr:grpSp>
    <xdr:clientData/>
  </xdr:twoCellAnchor>
  <xdr:twoCellAnchor editAs="oneCell">
    <xdr:from>
      <xdr:col>8</xdr:col>
      <xdr:colOff>1003486</xdr:colOff>
      <xdr:row>61</xdr:row>
      <xdr:rowOff>63873</xdr:rowOff>
    </xdr:from>
    <xdr:to>
      <xdr:col>13</xdr:col>
      <xdr:colOff>32076</xdr:colOff>
      <xdr:row>69</xdr:row>
      <xdr:rowOff>115450</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a:stretch>
          <a:fillRect/>
        </a:stretch>
      </xdr:blipFill>
      <xdr:spPr>
        <a:xfrm>
          <a:off x="7318561" y="13856073"/>
          <a:ext cx="3371990" cy="1245377"/>
        </a:xfrm>
        <a:prstGeom prst="rect">
          <a:avLst/>
        </a:prstGeom>
      </xdr:spPr>
    </xdr:pic>
    <xdr:clientData/>
  </xdr:twoCellAnchor>
  <xdr:twoCellAnchor editAs="oneCell">
    <xdr:from>
      <xdr:col>8</xdr:col>
      <xdr:colOff>589359</xdr:colOff>
      <xdr:row>198</xdr:row>
      <xdr:rowOff>47625</xdr:rowOff>
    </xdr:from>
    <xdr:to>
      <xdr:col>17</xdr:col>
      <xdr:colOff>54769</xdr:colOff>
      <xdr:row>203</xdr:row>
      <xdr:rowOff>32147</xdr:rowOff>
    </xdr:to>
    <xdr:pic>
      <xdr:nvPicPr>
        <xdr:cNvPr id="19" name="Picture 18">
          <a:extLst>
            <a:ext uri="{FF2B5EF4-FFF2-40B4-BE49-F238E27FC236}">
              <a16:creationId xmlns:a16="http://schemas.microsoft.com/office/drawing/2014/main" id="{915A2971-B832-6D42-3624-79ABD812A93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99672" y="40802719"/>
          <a:ext cx="6841331" cy="1395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269875</xdr:colOff>
      <xdr:row>309</xdr:row>
      <xdr:rowOff>168275</xdr:rowOff>
    </xdr:from>
    <xdr:to>
      <xdr:col>14</xdr:col>
      <xdr:colOff>713419</xdr:colOff>
      <xdr:row>344</xdr:row>
      <xdr:rowOff>59628</xdr:rowOff>
    </xdr:to>
    <xdr:grpSp>
      <xdr:nvGrpSpPr>
        <xdr:cNvPr id="4" name="Group 3"/>
        <xdr:cNvGrpSpPr/>
      </xdr:nvGrpSpPr>
      <xdr:grpSpPr>
        <a:xfrm>
          <a:off x="6892925" y="43424475"/>
          <a:ext cx="5866444" cy="6774753"/>
          <a:chOff x="317500" y="43046650"/>
          <a:chExt cx="5898194" cy="6777928"/>
        </a:xfrm>
      </xdr:grpSpPr>
      <xdr:pic>
        <xdr:nvPicPr>
          <xdr:cNvPr id="25" name="Picture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48306" y="47664578"/>
            <a:ext cx="1618313"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17501" y="43046650"/>
            <a:ext cx="287733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38361" y="43046650"/>
            <a:ext cx="2877333" cy="216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17500" y="45355614"/>
            <a:ext cx="2877333"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38361" y="45355614"/>
            <a:ext cx="2877333" cy="2160000"/>
          </a:xfrm>
          <a:prstGeom prst="rect">
            <a:avLst/>
          </a:prstGeom>
          <a:ln>
            <a:solidFill>
              <a:schemeClr val="tx1"/>
            </a:solidFill>
          </a:ln>
        </xdr:spPr>
      </xdr:pic>
    </xdr:grpSp>
    <xdr:clientData/>
  </xdr:twoCellAnchor>
  <xdr:twoCellAnchor>
    <xdr:from>
      <xdr:col>10</xdr:col>
      <xdr:colOff>0</xdr:colOff>
      <xdr:row>307</xdr:row>
      <xdr:rowOff>0</xdr:rowOff>
    </xdr:from>
    <xdr:to>
      <xdr:col>11</xdr:col>
      <xdr:colOff>103437</xdr:colOff>
      <xdr:row>308</xdr:row>
      <xdr:rowOff>140848</xdr:rowOff>
    </xdr:to>
    <xdr:sp macro="" textlink="">
      <xdr:nvSpPr>
        <xdr:cNvPr id="34" name="TextBox 33"/>
        <xdr:cNvSpPr txBox="1"/>
      </xdr:nvSpPr>
      <xdr:spPr>
        <a:xfrm>
          <a:off x="8642350" y="42862500"/>
          <a:ext cx="840037" cy="337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clientData/>
  </xdr:twoCellAnchor>
  <xdr:twoCellAnchor>
    <xdr:from>
      <xdr:col>0</xdr:col>
      <xdr:colOff>146050</xdr:colOff>
      <xdr:row>311</xdr:row>
      <xdr:rowOff>76200</xdr:rowOff>
    </xdr:from>
    <xdr:to>
      <xdr:col>7</xdr:col>
      <xdr:colOff>670247</xdr:colOff>
      <xdr:row>352</xdr:row>
      <xdr:rowOff>57150</xdr:rowOff>
    </xdr:to>
    <xdr:grpSp>
      <xdr:nvGrpSpPr>
        <xdr:cNvPr id="12" name="Group 11"/>
        <xdr:cNvGrpSpPr/>
      </xdr:nvGrpSpPr>
      <xdr:grpSpPr>
        <a:xfrm>
          <a:off x="146050" y="43726100"/>
          <a:ext cx="6378897" cy="8045450"/>
          <a:chOff x="146050" y="43726100"/>
          <a:chExt cx="6378897" cy="8045450"/>
        </a:xfrm>
      </xdr:grpSpPr>
      <xdr:pic>
        <xdr:nvPicPr>
          <xdr:cNvPr id="35" name="Picture 3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26341" y="50072194"/>
            <a:ext cx="1618313" cy="1699356"/>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46050" y="47799147"/>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91019" y="43726100"/>
            <a:ext cx="2966907" cy="39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896832" y="47799147"/>
            <a:ext cx="2877333" cy="216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80910" y="43726100"/>
            <a:ext cx="2966907" cy="396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906634" y="47799147"/>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7rVe3TWoxKgS4jT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7"/>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8" t="s">
        <v>161</v>
      </c>
      <c r="B1" s="188"/>
      <c r="C1" s="188"/>
      <c r="D1" s="188"/>
      <c r="E1" s="188"/>
      <c r="F1" s="188"/>
      <c r="G1" s="188"/>
      <c r="H1" s="188"/>
    </row>
    <row r="2" spans="1:26" ht="16.5" customHeight="1" x14ac:dyDescent="0.35">
      <c r="A2" s="189" t="s">
        <v>0</v>
      </c>
      <c r="B2" s="189"/>
      <c r="C2" s="189"/>
      <c r="D2" s="189"/>
      <c r="E2" s="189"/>
      <c r="F2" s="189"/>
      <c r="G2" s="189"/>
      <c r="H2" s="189"/>
    </row>
    <row r="3" spans="1:26" x14ac:dyDescent="0.35">
      <c r="A3" s="86" t="s">
        <v>1</v>
      </c>
      <c r="B3" s="86"/>
      <c r="C3" s="86"/>
      <c r="D3" s="86"/>
      <c r="E3" s="86" t="str">
        <f ca="1">TEXT(TODAY(),"DD/MM/YYYY")</f>
        <v>14/07/2025</v>
      </c>
      <c r="F3" s="86"/>
      <c r="G3" s="86"/>
      <c r="H3" s="86"/>
      <c r="K3" s="49" t="s">
        <v>232</v>
      </c>
      <c r="L3" s="48" t="s">
        <v>230</v>
      </c>
      <c r="M3" s="48" t="s">
        <v>235</v>
      </c>
      <c r="N3" s="48" t="s">
        <v>233</v>
      </c>
      <c r="O3" s="48" t="s">
        <v>234</v>
      </c>
      <c r="P3" s="48" t="s">
        <v>236</v>
      </c>
    </row>
    <row r="4" spans="1:26" ht="15" customHeight="1" x14ac:dyDescent="0.35">
      <c r="A4" s="86" t="s">
        <v>229</v>
      </c>
      <c r="B4" s="86"/>
      <c r="C4" s="86"/>
      <c r="D4" s="86"/>
      <c r="E4" s="86" t="s">
        <v>230</v>
      </c>
      <c r="F4" s="86"/>
      <c r="G4" s="86"/>
      <c r="H4" s="86"/>
      <c r="K4" s="47" t="s">
        <v>231</v>
      </c>
      <c r="L4" s="48" t="s">
        <v>167</v>
      </c>
      <c r="M4" s="48" t="s">
        <v>240</v>
      </c>
      <c r="N4" s="48" t="s">
        <v>242</v>
      </c>
      <c r="O4" s="48" t="s">
        <v>244</v>
      </c>
      <c r="P4" s="48"/>
    </row>
    <row r="5" spans="1:26" ht="15" customHeight="1" x14ac:dyDescent="0.35">
      <c r="A5" s="86" t="s">
        <v>2</v>
      </c>
      <c r="B5" s="86"/>
      <c r="C5" s="86"/>
      <c r="D5" s="86"/>
      <c r="E5" s="86" t="s">
        <v>238</v>
      </c>
      <c r="F5" s="86"/>
      <c r="G5" s="86"/>
      <c r="H5" s="86"/>
      <c r="K5" s="47"/>
      <c r="L5" s="48" t="s">
        <v>237</v>
      </c>
      <c r="M5" s="48" t="s">
        <v>241</v>
      </c>
      <c r="N5" s="48" t="s">
        <v>243</v>
      </c>
      <c r="O5" s="48" t="s">
        <v>245</v>
      </c>
      <c r="P5" s="48"/>
    </row>
    <row r="6" spans="1:26" x14ac:dyDescent="0.35">
      <c r="A6" s="86" t="s">
        <v>3</v>
      </c>
      <c r="B6" s="86"/>
      <c r="C6" s="86"/>
      <c r="D6" s="86"/>
      <c r="E6" s="190">
        <v>45849</v>
      </c>
      <c r="F6" s="86"/>
      <c r="G6" s="86"/>
      <c r="H6" s="86"/>
      <c r="K6" s="47"/>
      <c r="L6" s="48" t="s">
        <v>238</v>
      </c>
      <c r="M6" s="48"/>
      <c r="N6" s="48"/>
      <c r="O6" s="48" t="s">
        <v>246</v>
      </c>
      <c r="P6" s="48"/>
    </row>
    <row r="7" spans="1:26" ht="16.5" customHeight="1" x14ac:dyDescent="0.35">
      <c r="A7" s="86" t="s">
        <v>4</v>
      </c>
      <c r="B7" s="86"/>
      <c r="C7" s="86"/>
      <c r="D7" s="86"/>
      <c r="E7" s="86" t="s">
        <v>331</v>
      </c>
      <c r="F7" s="86"/>
      <c r="G7" s="86"/>
      <c r="H7" s="86"/>
      <c r="K7" s="47"/>
      <c r="L7" s="48" t="s">
        <v>239</v>
      </c>
      <c r="M7" s="48"/>
      <c r="N7" s="48"/>
      <c r="O7" s="48" t="s">
        <v>246</v>
      </c>
      <c r="P7" s="48"/>
    </row>
    <row r="8" spans="1:26" ht="15" customHeight="1" x14ac:dyDescent="0.35">
      <c r="A8" s="86" t="s">
        <v>5</v>
      </c>
      <c r="B8" s="86"/>
      <c r="C8" s="86"/>
      <c r="D8" s="86"/>
      <c r="E8" s="86" t="str">
        <f>E7</f>
        <v>Shree Sai Developers</v>
      </c>
      <c r="F8" s="86"/>
      <c r="G8" s="86"/>
      <c r="H8" s="86"/>
      <c r="K8" s="47"/>
      <c r="L8" s="48"/>
      <c r="M8" s="48"/>
      <c r="N8" s="48"/>
      <c r="O8" s="48" t="s">
        <v>247</v>
      </c>
      <c r="P8" s="48"/>
    </row>
    <row r="9" spans="1:26" x14ac:dyDescent="0.35">
      <c r="A9" s="86" t="s">
        <v>6</v>
      </c>
      <c r="B9" s="86"/>
      <c r="C9" s="86"/>
      <c r="D9" s="86"/>
      <c r="E9" s="143" t="s">
        <v>332</v>
      </c>
      <c r="F9" s="143"/>
      <c r="G9" s="143"/>
      <c r="H9" s="143"/>
      <c r="K9" s="47"/>
      <c r="L9" s="48"/>
      <c r="M9" s="48"/>
      <c r="N9" s="48"/>
      <c r="O9" s="48" t="s">
        <v>248</v>
      </c>
      <c r="P9" s="48"/>
    </row>
    <row r="10" spans="1:26" ht="32.25" customHeight="1" x14ac:dyDescent="0.35">
      <c r="A10" s="86" t="s">
        <v>164</v>
      </c>
      <c r="B10" s="86"/>
      <c r="C10" s="86"/>
      <c r="D10" s="86"/>
      <c r="E10" s="147" t="s">
        <v>333</v>
      </c>
      <c r="F10" s="86"/>
      <c r="G10" s="86"/>
      <c r="H10" s="86"/>
      <c r="K10" s="47"/>
      <c r="L10" s="48"/>
      <c r="M10" s="48"/>
      <c r="N10" s="48"/>
      <c r="O10" s="48"/>
      <c r="P10" s="48"/>
    </row>
    <row r="11" spans="1:26" x14ac:dyDescent="0.35">
      <c r="A11" s="86" t="s">
        <v>165</v>
      </c>
      <c r="B11" s="86"/>
      <c r="C11" s="86"/>
      <c r="D11" s="86"/>
      <c r="E11" s="86" t="s">
        <v>402</v>
      </c>
      <c r="F11" s="86"/>
      <c r="G11" s="86"/>
      <c r="H11" s="86"/>
      <c r="I11" s="86" t="s">
        <v>394</v>
      </c>
      <c r="J11" s="86"/>
      <c r="K11" s="86"/>
      <c r="L11" s="86"/>
    </row>
    <row r="12" spans="1:26" x14ac:dyDescent="0.35">
      <c r="A12" s="86" t="s">
        <v>7</v>
      </c>
      <c r="B12" s="86"/>
      <c r="C12" s="86"/>
      <c r="D12" s="86"/>
      <c r="E12" s="86" t="s">
        <v>353</v>
      </c>
      <c r="F12" s="86"/>
      <c r="G12" s="86"/>
      <c r="H12" s="86"/>
    </row>
    <row r="13" spans="1:26" x14ac:dyDescent="0.35">
      <c r="A13" s="86" t="s">
        <v>168</v>
      </c>
      <c r="B13" s="86"/>
      <c r="C13" s="86"/>
      <c r="D13" s="86"/>
      <c r="E13" s="86" t="s">
        <v>28</v>
      </c>
      <c r="F13" s="86"/>
      <c r="G13" s="86"/>
      <c r="H13" s="86"/>
      <c r="S13" s="48" t="s">
        <v>176</v>
      </c>
      <c r="T13" s="48" t="s">
        <v>185</v>
      </c>
      <c r="U13" s="48" t="s">
        <v>169</v>
      </c>
      <c r="V13" s="48" t="s">
        <v>190</v>
      </c>
      <c r="W13" s="48" t="s">
        <v>208</v>
      </c>
      <c r="X13"/>
      <c r="Y13" t="s">
        <v>190</v>
      </c>
      <c r="Z13" t="e">
        <f ca="1">OFFSET($S$13,1,MATCH($G20,$S$13:$W$13,0)-1,15,1)</f>
        <v>#VALUE!</v>
      </c>
    </row>
    <row r="14" spans="1:26" ht="32.25" customHeight="1" x14ac:dyDescent="0.35">
      <c r="A14" s="108" t="s">
        <v>275</v>
      </c>
      <c r="B14" s="108"/>
      <c r="C14" s="108"/>
      <c r="D14" s="108"/>
      <c r="E14" s="147" t="s">
        <v>380</v>
      </c>
      <c r="F14" s="147"/>
      <c r="G14" s="147"/>
      <c r="H14" s="147"/>
      <c r="S14" s="48" t="s">
        <v>176</v>
      </c>
      <c r="T14" s="48" t="s">
        <v>183</v>
      </c>
      <c r="U14" s="48" t="s">
        <v>205</v>
      </c>
      <c r="V14" s="48" t="s">
        <v>191</v>
      </c>
      <c r="W14" s="48" t="s">
        <v>209</v>
      </c>
      <c r="X14"/>
      <c r="Y14"/>
      <c r="Z14"/>
    </row>
    <row r="15" spans="1:26" x14ac:dyDescent="0.35">
      <c r="A15" s="108" t="s">
        <v>8</v>
      </c>
      <c r="B15" s="108"/>
      <c r="C15" s="108"/>
      <c r="D15" s="108"/>
      <c r="E15" s="147" t="s">
        <v>334</v>
      </c>
      <c r="F15" s="86"/>
      <c r="G15" s="86"/>
      <c r="H15" s="86"/>
      <c r="I15" s="231" t="e">
        <f ca="1">OFFSET($D$5,1,MATCH($J13,$D$5:$H$5,0)-1,15,1)</f>
        <v>#N/A</v>
      </c>
      <c r="J15" s="232"/>
      <c r="K15" s="232"/>
      <c r="L15" s="232"/>
      <c r="M15" s="232"/>
      <c r="N15" s="232"/>
      <c r="O15" s="232"/>
      <c r="P15" s="232"/>
      <c r="S15" s="48" t="s">
        <v>177</v>
      </c>
      <c r="T15" s="48" t="s">
        <v>184</v>
      </c>
      <c r="U15" s="48" t="s">
        <v>206</v>
      </c>
      <c r="V15" s="48" t="s">
        <v>192</v>
      </c>
      <c r="W15" s="48" t="s">
        <v>222</v>
      </c>
      <c r="X15"/>
      <c r="Y15"/>
      <c r="Z15"/>
    </row>
    <row r="16" spans="1:26" ht="33" customHeight="1" x14ac:dyDescent="0.35">
      <c r="A16" s="186" t="s">
        <v>9</v>
      </c>
      <c r="B16" s="186"/>
      <c r="C16" s="186" t="str">
        <f>CONCATENATE((IF(OR(E9="",E9="NA"),"",E9)),", ",(IF(OR(A17="",A17="NA"),"",A17)),".",(IF(OR(C17="",C17="NA"),"",C17)),", near ",(IF(OR(C22="",C22="NA"),"",C22)),", ",(IF(OR(C19="",C19="NA"),"",C19)),", ",(IF(OR(C18="",C18="NA"),"",C18)),", ",(IF(OR(G19="",G19="NA"),"",G19)),", ",(IF(OR(C20="",C20="NA"),"",C20)),", ",(IF(OR(C21="",C21="NA"),"",C21)),", ",(IF(OR(G20="",G20="NA"),"",G20))," - ",(IF(OR(G21="",G21="NA"),"",G21)),".")</f>
        <v>Ayaana, Survey No.114 &amp; 115, near RTO Passing Ground Taloja, Ghot Road, Taloja, Taloja Majkur, Taloja East, Panvel, Raigad - 410206.</v>
      </c>
      <c r="D16" s="186"/>
      <c r="E16" s="186"/>
      <c r="F16" s="186"/>
      <c r="G16" s="186"/>
      <c r="H16" s="186"/>
      <c r="S16" s="48" t="s">
        <v>178</v>
      </c>
      <c r="T16" s="48" t="s">
        <v>186</v>
      </c>
      <c r="U16" s="48" t="s">
        <v>207</v>
      </c>
      <c r="V16" s="48" t="s">
        <v>193</v>
      </c>
      <c r="W16" s="48" t="s">
        <v>210</v>
      </c>
      <c r="X16"/>
      <c r="Y16"/>
      <c r="Z16"/>
    </row>
    <row r="17" spans="1:26" x14ac:dyDescent="0.35">
      <c r="A17" s="147" t="s">
        <v>335</v>
      </c>
      <c r="B17" s="147"/>
      <c r="C17" s="147" t="s">
        <v>336</v>
      </c>
      <c r="D17" s="147"/>
      <c r="E17" s="147"/>
      <c r="F17" s="147"/>
      <c r="G17" s="147"/>
      <c r="H17" s="147"/>
      <c r="S17" s="48" t="s">
        <v>179</v>
      </c>
      <c r="T17" s="48" t="s">
        <v>187</v>
      </c>
      <c r="U17" s="48" t="s">
        <v>169</v>
      </c>
      <c r="V17" s="48" t="s">
        <v>194</v>
      </c>
      <c r="W17" s="48" t="s">
        <v>211</v>
      </c>
      <c r="X17"/>
      <c r="Y17"/>
      <c r="Z17"/>
    </row>
    <row r="18" spans="1:26" ht="15.75" customHeight="1" x14ac:dyDescent="0.35">
      <c r="A18" s="147" t="s">
        <v>159</v>
      </c>
      <c r="B18" s="147"/>
      <c r="C18" s="147" t="s">
        <v>337</v>
      </c>
      <c r="D18" s="147"/>
      <c r="E18" s="147"/>
      <c r="F18" s="147"/>
      <c r="G18" s="147"/>
      <c r="H18" s="147"/>
      <c r="S18" s="48" t="s">
        <v>180</v>
      </c>
      <c r="T18" s="48" t="s">
        <v>185</v>
      </c>
      <c r="U18" s="48"/>
      <c r="V18" s="48" t="s">
        <v>195</v>
      </c>
      <c r="W18" s="48" t="s">
        <v>212</v>
      </c>
      <c r="X18"/>
      <c r="Y18"/>
      <c r="Z18"/>
    </row>
    <row r="19" spans="1:26" ht="15.75" customHeight="1" x14ac:dyDescent="0.35">
      <c r="A19" s="147" t="s">
        <v>10</v>
      </c>
      <c r="B19" s="147"/>
      <c r="C19" s="86" t="s">
        <v>338</v>
      </c>
      <c r="D19" s="86"/>
      <c r="E19" s="147" t="s">
        <v>69</v>
      </c>
      <c r="F19" s="147"/>
      <c r="G19" s="147" t="s">
        <v>387</v>
      </c>
      <c r="H19" s="147"/>
      <c r="S19" s="48" t="s">
        <v>181</v>
      </c>
      <c r="T19" s="48" t="s">
        <v>188</v>
      </c>
      <c r="U19" s="48"/>
      <c r="V19" s="48" t="s">
        <v>196</v>
      </c>
      <c r="W19" s="48" t="s">
        <v>213</v>
      </c>
      <c r="X19"/>
      <c r="Y19"/>
      <c r="Z19"/>
    </row>
    <row r="20" spans="1:26" x14ac:dyDescent="0.35">
      <c r="A20" s="86" t="s">
        <v>12</v>
      </c>
      <c r="B20" s="86"/>
      <c r="C20" s="147" t="s">
        <v>339</v>
      </c>
      <c r="D20" s="147"/>
      <c r="E20" s="147" t="s">
        <v>11</v>
      </c>
      <c r="F20" s="147"/>
      <c r="G20" s="187" t="s">
        <v>190</v>
      </c>
      <c r="H20" s="187"/>
      <c r="S20" s="48" t="s">
        <v>182</v>
      </c>
      <c r="T20" s="48" t="s">
        <v>189</v>
      </c>
      <c r="U20" s="48"/>
      <c r="V20" s="48" t="s">
        <v>197</v>
      </c>
      <c r="W20" s="48" t="s">
        <v>214</v>
      </c>
      <c r="X20"/>
      <c r="Y20"/>
      <c r="Z20"/>
    </row>
    <row r="21" spans="1:26" x14ac:dyDescent="0.35">
      <c r="A21" s="86" t="s">
        <v>70</v>
      </c>
      <c r="B21" s="86"/>
      <c r="C21" s="147" t="s">
        <v>192</v>
      </c>
      <c r="D21" s="147"/>
      <c r="E21" s="147" t="s">
        <v>13</v>
      </c>
      <c r="F21" s="147"/>
      <c r="G21" s="147">
        <v>410206</v>
      </c>
      <c r="H21" s="147"/>
      <c r="S21" s="48"/>
      <c r="T21" s="48"/>
      <c r="U21" s="48"/>
      <c r="V21" s="48" t="s">
        <v>198</v>
      </c>
      <c r="W21" s="48" t="s">
        <v>215</v>
      </c>
      <c r="X21"/>
      <c r="Y21"/>
      <c r="Z21"/>
    </row>
    <row r="22" spans="1:26" ht="46.5" customHeight="1" x14ac:dyDescent="0.35">
      <c r="A22" s="86" t="s">
        <v>118</v>
      </c>
      <c r="B22" s="86"/>
      <c r="C22" s="147" t="s">
        <v>382</v>
      </c>
      <c r="D22" s="147"/>
      <c r="E22" s="147" t="s">
        <v>14</v>
      </c>
      <c r="F22" s="147"/>
      <c r="G22" s="147" t="s">
        <v>340</v>
      </c>
      <c r="H22" s="147"/>
      <c r="S22" s="48"/>
      <c r="T22" s="48"/>
      <c r="U22" s="48"/>
      <c r="V22" s="48" t="s">
        <v>199</v>
      </c>
      <c r="W22" s="48" t="s">
        <v>216</v>
      </c>
      <c r="X22"/>
      <c r="Y22"/>
      <c r="Z22"/>
    </row>
    <row r="23" spans="1:26" ht="15" customHeight="1" x14ac:dyDescent="0.35">
      <c r="A23" s="186" t="s">
        <v>71</v>
      </c>
      <c r="B23" s="186"/>
      <c r="C23" s="186"/>
      <c r="D23" s="186"/>
      <c r="E23" s="86" t="s">
        <v>15</v>
      </c>
      <c r="F23" s="86"/>
      <c r="G23" s="86"/>
      <c r="H23" s="86"/>
      <c r="S23" s="48"/>
      <c r="T23" s="48"/>
      <c r="U23" s="48"/>
      <c r="V23" s="48" t="s">
        <v>200</v>
      </c>
      <c r="W23" s="48" t="s">
        <v>217</v>
      </c>
      <c r="X23"/>
      <c r="Y23"/>
      <c r="Z23"/>
    </row>
    <row r="24" spans="1:26" ht="18.75" customHeight="1" x14ac:dyDescent="0.35">
      <c r="A24" s="186"/>
      <c r="B24" s="186"/>
      <c r="C24" s="186"/>
      <c r="D24" s="186"/>
      <c r="E24" s="86"/>
      <c r="F24" s="86"/>
      <c r="G24" s="86"/>
      <c r="H24" s="86"/>
      <c r="S24" s="48"/>
      <c r="T24" s="48"/>
      <c r="U24" s="48"/>
      <c r="V24" s="48" t="s">
        <v>201</v>
      </c>
      <c r="W24" s="48" t="s">
        <v>218</v>
      </c>
      <c r="X24"/>
      <c r="Y24"/>
      <c r="Z24"/>
    </row>
    <row r="25" spans="1:26" ht="15" customHeight="1" x14ac:dyDescent="0.35">
      <c r="A25" s="186" t="s">
        <v>16</v>
      </c>
      <c r="B25" s="186"/>
      <c r="C25" s="186"/>
      <c r="D25" s="186"/>
      <c r="E25" s="147" t="s">
        <v>17</v>
      </c>
      <c r="F25" s="147"/>
      <c r="G25" s="147"/>
      <c r="H25" s="147"/>
      <c r="S25" s="48"/>
      <c r="T25" s="48"/>
      <c r="U25" s="48"/>
      <c r="V25" s="48" t="s">
        <v>202</v>
      </c>
      <c r="W25" s="48" t="s">
        <v>219</v>
      </c>
      <c r="X25"/>
      <c r="Y25"/>
      <c r="Z25"/>
    </row>
    <row r="26" spans="1:26" ht="15" customHeight="1" x14ac:dyDescent="0.35">
      <c r="A26" s="108" t="s">
        <v>18</v>
      </c>
      <c r="B26" s="108"/>
      <c r="C26" s="108"/>
      <c r="D26" s="108"/>
      <c r="E26" s="147" t="str">
        <f>IF(AND(G20="Mumbai"),"Upper Class","Middle Class")</f>
        <v>Middle Class</v>
      </c>
      <c r="F26" s="147"/>
      <c r="G26" s="147"/>
      <c r="H26" s="147"/>
      <c r="S26" s="48"/>
      <c r="T26" s="48"/>
      <c r="U26" s="48"/>
      <c r="V26" s="48" t="s">
        <v>203</v>
      </c>
      <c r="W26" s="48" t="s">
        <v>220</v>
      </c>
      <c r="X26"/>
      <c r="Y26"/>
      <c r="Z26"/>
    </row>
    <row r="27" spans="1:26" x14ac:dyDescent="0.35">
      <c r="A27" s="108" t="s">
        <v>19</v>
      </c>
      <c r="B27" s="108"/>
      <c r="C27" s="108"/>
      <c r="D27" s="108"/>
      <c r="E27" s="147" t="s">
        <v>20</v>
      </c>
      <c r="F27" s="147"/>
      <c r="G27" s="147"/>
      <c r="H27" s="147"/>
      <c r="S27" s="48"/>
      <c r="T27" s="48"/>
      <c r="U27" s="48"/>
      <c r="V27" s="48" t="s">
        <v>204</v>
      </c>
      <c r="W27" s="48" t="s">
        <v>221</v>
      </c>
      <c r="X27"/>
      <c r="Y27"/>
      <c r="Z27"/>
    </row>
    <row r="28" spans="1:26" ht="15.75" customHeight="1" x14ac:dyDescent="0.35">
      <c r="A28" s="108" t="s">
        <v>21</v>
      </c>
      <c r="B28" s="108"/>
      <c r="C28" s="108"/>
      <c r="D28" s="108"/>
      <c r="E28" s="147" t="str">
        <f>IF(AND(G20="Mumbai"),"Developed","Developing")</f>
        <v>Developing</v>
      </c>
      <c r="F28" s="147"/>
      <c r="G28" s="147"/>
      <c r="H28" s="147"/>
    </row>
    <row r="29" spans="1:26" x14ac:dyDescent="0.35">
      <c r="A29" s="108" t="s">
        <v>22</v>
      </c>
      <c r="B29" s="108"/>
      <c r="C29" s="108"/>
      <c r="D29" s="108"/>
      <c r="E29" s="147" t="s">
        <v>23</v>
      </c>
      <c r="F29" s="147"/>
      <c r="G29" s="147"/>
      <c r="H29" s="147"/>
    </row>
    <row r="30" spans="1:26" ht="15.75" customHeight="1" x14ac:dyDescent="0.35">
      <c r="A30" s="108" t="s">
        <v>76</v>
      </c>
      <c r="B30" s="108"/>
      <c r="C30" s="108"/>
      <c r="D30" s="108"/>
      <c r="E30" s="147" t="s">
        <v>77</v>
      </c>
      <c r="F30" s="147"/>
      <c r="G30" s="147"/>
      <c r="H30" s="147"/>
    </row>
    <row r="31" spans="1:26" ht="15" customHeight="1" x14ac:dyDescent="0.35">
      <c r="A31" s="108" t="s">
        <v>30</v>
      </c>
      <c r="B31" s="108"/>
      <c r="C31" s="108"/>
      <c r="D31" s="108"/>
      <c r="E31" s="14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7"/>
      <c r="G31" s="147"/>
      <c r="H31" s="147"/>
    </row>
    <row r="32" spans="1:26" ht="15.75" customHeight="1" x14ac:dyDescent="0.35">
      <c r="A32" s="108" t="s">
        <v>88</v>
      </c>
      <c r="B32" s="108"/>
      <c r="C32" s="108"/>
      <c r="D32" s="108"/>
      <c r="E32" s="147" t="s">
        <v>31</v>
      </c>
      <c r="F32" s="147"/>
      <c r="G32" s="147"/>
      <c r="H32" s="147"/>
    </row>
    <row r="33" spans="1:19" s="19" customFormat="1" x14ac:dyDescent="0.35">
      <c r="A33" s="185" t="s">
        <v>89</v>
      </c>
      <c r="B33" s="185"/>
      <c r="C33" s="182" t="s">
        <v>170</v>
      </c>
      <c r="D33" s="183"/>
      <c r="E33" s="184"/>
      <c r="F33" s="182" t="s">
        <v>29</v>
      </c>
      <c r="G33" s="183"/>
      <c r="H33" s="184"/>
      <c r="S33" s="19" t="e">
        <f ca="1">OFFSET($S$13,1,MATCH($G20,$S$13:$W$13,0)-1,15,1)</f>
        <v>#VALUE!</v>
      </c>
    </row>
    <row r="34" spans="1:19" s="19" customFormat="1" x14ac:dyDescent="0.35">
      <c r="A34" s="167" t="s">
        <v>24</v>
      </c>
      <c r="B34" s="167" t="s">
        <v>28</v>
      </c>
      <c r="C34" s="168" t="s">
        <v>341</v>
      </c>
      <c r="D34" s="169"/>
      <c r="E34" s="170"/>
      <c r="F34" s="168" t="s">
        <v>344</v>
      </c>
      <c r="G34" s="169"/>
      <c r="H34" s="170"/>
    </row>
    <row r="35" spans="1:19" x14ac:dyDescent="0.35">
      <c r="A35" s="167" t="s">
        <v>25</v>
      </c>
      <c r="B35" s="167" t="s">
        <v>28</v>
      </c>
      <c r="C35" s="168" t="s">
        <v>343</v>
      </c>
      <c r="D35" s="169"/>
      <c r="E35" s="170"/>
      <c r="F35" s="168" t="s">
        <v>338</v>
      </c>
      <c r="G35" s="169"/>
      <c r="H35" s="170"/>
    </row>
    <row r="36" spans="1:19" s="19" customFormat="1" x14ac:dyDescent="0.35">
      <c r="A36" s="167" t="s">
        <v>27</v>
      </c>
      <c r="B36" s="167" t="s">
        <v>28</v>
      </c>
      <c r="C36" s="168" t="s">
        <v>343</v>
      </c>
      <c r="D36" s="169"/>
      <c r="E36" s="170"/>
      <c r="F36" s="168" t="s">
        <v>10</v>
      </c>
      <c r="G36" s="169"/>
      <c r="H36" s="170"/>
    </row>
    <row r="37" spans="1:19" x14ac:dyDescent="0.35">
      <c r="A37" s="167" t="s">
        <v>26</v>
      </c>
      <c r="B37" s="167" t="s">
        <v>28</v>
      </c>
      <c r="C37" s="168" t="s">
        <v>342</v>
      </c>
      <c r="D37" s="169"/>
      <c r="E37" s="170"/>
      <c r="F37" s="168" t="s">
        <v>10</v>
      </c>
      <c r="G37" s="169"/>
      <c r="H37" s="170"/>
    </row>
    <row r="38" spans="1:19" x14ac:dyDescent="0.35">
      <c r="A38" s="108" t="s">
        <v>276</v>
      </c>
      <c r="B38" s="108"/>
      <c r="C38" s="108"/>
      <c r="D38" s="108"/>
      <c r="E38" s="108"/>
      <c r="F38" s="108"/>
      <c r="G38" s="108"/>
      <c r="H38" s="108"/>
    </row>
    <row r="39" spans="1:19" ht="15.75" customHeight="1" x14ac:dyDescent="0.35">
      <c r="A39" s="108" t="s">
        <v>162</v>
      </c>
      <c r="B39" s="108"/>
      <c r="C39" s="156" t="s">
        <v>345</v>
      </c>
      <c r="D39" s="156"/>
      <c r="E39" s="156"/>
      <c r="F39" s="156"/>
      <c r="G39" s="156"/>
      <c r="H39" s="156"/>
    </row>
    <row r="40" spans="1:19" x14ac:dyDescent="0.35">
      <c r="A40" s="108" t="s">
        <v>158</v>
      </c>
      <c r="B40" s="108"/>
      <c r="C40" s="146" t="s">
        <v>346</v>
      </c>
      <c r="D40" s="147"/>
      <c r="E40" s="147"/>
      <c r="F40" s="147"/>
      <c r="G40" s="147"/>
      <c r="H40" s="147"/>
    </row>
    <row r="41" spans="1:19" x14ac:dyDescent="0.35">
      <c r="A41" s="156" t="s">
        <v>32</v>
      </c>
      <c r="B41" s="156"/>
      <c r="C41" s="156"/>
      <c r="D41" s="156"/>
      <c r="E41" s="156"/>
      <c r="F41" s="156"/>
      <c r="G41" s="156"/>
      <c r="H41" s="156"/>
    </row>
    <row r="42" spans="1:19" x14ac:dyDescent="0.35">
      <c r="A42" s="108" t="s">
        <v>33</v>
      </c>
      <c r="B42" s="108"/>
      <c r="C42" s="108"/>
      <c r="D42" s="108"/>
      <c r="E42" s="171">
        <v>25201.044000000002</v>
      </c>
      <c r="F42" s="171"/>
      <c r="G42" s="171"/>
      <c r="H42" s="171"/>
    </row>
    <row r="43" spans="1:19" x14ac:dyDescent="0.35">
      <c r="A43" s="108" t="s">
        <v>34</v>
      </c>
      <c r="B43" s="108"/>
      <c r="C43" s="108"/>
      <c r="D43" s="108"/>
      <c r="E43" s="177">
        <f>28094.779/E42</f>
        <v>1.1148259968912397</v>
      </c>
      <c r="F43" s="177"/>
      <c r="G43" s="177"/>
      <c r="H43" s="177"/>
    </row>
    <row r="44" spans="1:19" x14ac:dyDescent="0.35">
      <c r="A44" s="108" t="s">
        <v>35</v>
      </c>
      <c r="B44" s="108"/>
      <c r="C44" s="108"/>
      <c r="D44" s="108"/>
      <c r="E44" s="177">
        <f>E46/E42-E43</f>
        <v>0.29763846291447282</v>
      </c>
      <c r="F44" s="177"/>
      <c r="G44" s="177"/>
      <c r="H44" s="177"/>
    </row>
    <row r="45" spans="1:19" x14ac:dyDescent="0.35">
      <c r="A45" s="108" t="s">
        <v>36</v>
      </c>
      <c r="B45" s="108"/>
      <c r="C45" s="108"/>
      <c r="D45" s="108"/>
      <c r="E45" s="177">
        <f>E43+E44</f>
        <v>1.4124644598057126</v>
      </c>
      <c r="F45" s="177"/>
      <c r="G45" s="177"/>
      <c r="H45" s="177"/>
    </row>
    <row r="46" spans="1:19" x14ac:dyDescent="0.35">
      <c r="A46" s="86" t="s">
        <v>87</v>
      </c>
      <c r="B46" s="86"/>
      <c r="C46" s="86"/>
      <c r="D46" s="86"/>
      <c r="E46" s="178">
        <v>35595.578999999998</v>
      </c>
      <c r="F46" s="178"/>
      <c r="G46" s="178"/>
      <c r="H46" s="178"/>
    </row>
    <row r="47" spans="1:19" x14ac:dyDescent="0.35">
      <c r="A47" s="86" t="s">
        <v>37</v>
      </c>
      <c r="B47" s="86"/>
      <c r="C47" s="86"/>
      <c r="D47" s="86"/>
      <c r="E47" s="86" t="s">
        <v>395</v>
      </c>
      <c r="F47" s="86"/>
      <c r="G47" s="86"/>
      <c r="H47" s="86"/>
    </row>
    <row r="48" spans="1:19" x14ac:dyDescent="0.35">
      <c r="A48" s="143" t="s">
        <v>38</v>
      </c>
      <c r="B48" s="143"/>
      <c r="C48" s="143"/>
      <c r="D48" s="143"/>
      <c r="E48" s="143"/>
      <c r="F48" s="143"/>
      <c r="G48" s="143"/>
      <c r="H48" s="143"/>
    </row>
    <row r="49" spans="1:24" ht="33.75" customHeight="1" x14ac:dyDescent="0.35">
      <c r="A49" s="126" t="s">
        <v>149</v>
      </c>
      <c r="B49" s="127"/>
      <c r="C49" s="128" t="s">
        <v>266</v>
      </c>
      <c r="D49" s="129"/>
      <c r="E49" s="129"/>
      <c r="F49" s="129"/>
      <c r="G49" s="129"/>
      <c r="H49" s="130"/>
      <c r="R49" t="s">
        <v>249</v>
      </c>
      <c r="S49" t="s">
        <v>169</v>
      </c>
      <c r="T49" t="s">
        <v>176</v>
      </c>
      <c r="U49" t="s">
        <v>190</v>
      </c>
      <c r="V49" t="s">
        <v>185</v>
      </c>
    </row>
    <row r="50" spans="1:24" ht="15.75" customHeight="1" x14ac:dyDescent="0.35">
      <c r="A50" s="179" t="s">
        <v>39</v>
      </c>
      <c r="B50" s="181"/>
      <c r="C50" s="179" t="s">
        <v>347</v>
      </c>
      <c r="D50" s="180"/>
      <c r="E50" s="181"/>
      <c r="F50" s="17" t="s">
        <v>40</v>
      </c>
      <c r="G50" s="218">
        <v>45310</v>
      </c>
      <c r="H50" s="181"/>
      <c r="R50"/>
      <c r="S50" t="s">
        <v>250</v>
      </c>
      <c r="T50" t="s">
        <v>255</v>
      </c>
      <c r="U50" t="s">
        <v>266</v>
      </c>
      <c r="V50" t="s">
        <v>271</v>
      </c>
    </row>
    <row r="51" spans="1:24" x14ac:dyDescent="0.35">
      <c r="A51" s="179" t="s">
        <v>41</v>
      </c>
      <c r="B51" s="181"/>
      <c r="C51" s="179" t="str">
        <f>C50</f>
        <v>PMC/NRV/16453/164/2024</v>
      </c>
      <c r="D51" s="180"/>
      <c r="E51" s="181"/>
      <c r="F51" s="17" t="s">
        <v>40</v>
      </c>
      <c r="G51" s="218">
        <f>G50</f>
        <v>45310</v>
      </c>
      <c r="H51" s="219"/>
      <c r="R51"/>
      <c r="S51" t="s">
        <v>251</v>
      </c>
      <c r="T51" t="s">
        <v>256</v>
      </c>
      <c r="U51" t="s">
        <v>264</v>
      </c>
      <c r="V51" t="s">
        <v>272</v>
      </c>
    </row>
    <row r="52" spans="1:24" s="20" customFormat="1" ht="30.75" customHeight="1" x14ac:dyDescent="0.35">
      <c r="A52" s="227" t="s">
        <v>153</v>
      </c>
      <c r="B52" s="228"/>
      <c r="C52" s="179" t="s">
        <v>348</v>
      </c>
      <c r="D52" s="180"/>
      <c r="E52" s="181"/>
      <c r="F52" s="17" t="s">
        <v>40</v>
      </c>
      <c r="G52" s="218">
        <f>G51</f>
        <v>45310</v>
      </c>
      <c r="H52" s="219"/>
      <c r="R52"/>
      <c r="S52" t="s">
        <v>252</v>
      </c>
      <c r="T52" t="s">
        <v>257</v>
      </c>
      <c r="U52" t="s">
        <v>254</v>
      </c>
      <c r="V52" t="s">
        <v>273</v>
      </c>
    </row>
    <row r="53" spans="1:24" s="20" customFormat="1" ht="32.5" customHeight="1" x14ac:dyDescent="0.35">
      <c r="A53" s="229"/>
      <c r="B53" s="230"/>
      <c r="C53" s="179" t="s">
        <v>391</v>
      </c>
      <c r="D53" s="180"/>
      <c r="E53" s="180"/>
      <c r="F53" s="180"/>
      <c r="G53" s="180"/>
      <c r="H53" s="181"/>
      <c r="R53"/>
      <c r="S53" t="s">
        <v>253</v>
      </c>
      <c r="T53" t="s">
        <v>260</v>
      </c>
      <c r="U53" t="s">
        <v>267</v>
      </c>
    </row>
    <row r="54" spans="1:24" s="20" customFormat="1" hidden="1" x14ac:dyDescent="0.35">
      <c r="A54" s="222" t="s">
        <v>277</v>
      </c>
      <c r="B54" s="223"/>
      <c r="C54" s="179" t="str">
        <f>C53</f>
        <v>A Wing = G + 1st to 22nd Floor
Total Built Up Area = 16079.266 Sq.Mt.</v>
      </c>
      <c r="D54" s="180"/>
      <c r="E54" s="181"/>
      <c r="F54" s="17" t="s">
        <v>40</v>
      </c>
      <c r="G54" s="179"/>
      <c r="H54" s="181"/>
      <c r="R54"/>
      <c r="S54" t="s">
        <v>252</v>
      </c>
      <c r="T54" t="s">
        <v>257</v>
      </c>
      <c r="U54" t="s">
        <v>254</v>
      </c>
      <c r="V54" t="s">
        <v>273</v>
      </c>
    </row>
    <row r="55" spans="1:24" s="20" customFormat="1" ht="32.25" hidden="1" customHeight="1" x14ac:dyDescent="0.35">
      <c r="A55" s="224"/>
      <c r="B55" s="225"/>
      <c r="C55" s="153"/>
      <c r="D55" s="154"/>
      <c r="E55" s="154"/>
      <c r="F55" s="154"/>
      <c r="G55" s="154"/>
      <c r="H55" s="155"/>
      <c r="R55"/>
      <c r="S55" t="s">
        <v>254</v>
      </c>
      <c r="T55" t="s">
        <v>258</v>
      </c>
      <c r="U55" t="s">
        <v>268</v>
      </c>
      <c r="V55" s="18"/>
      <c r="W55" s="18"/>
      <c r="X55" s="18"/>
    </row>
    <row r="56" spans="1:24" s="20" customFormat="1" ht="34.5" customHeight="1" x14ac:dyDescent="0.35">
      <c r="A56" s="164" t="s">
        <v>278</v>
      </c>
      <c r="B56" s="166"/>
      <c r="C56" s="179" t="s">
        <v>392</v>
      </c>
      <c r="D56" s="180"/>
      <c r="E56" s="181"/>
      <c r="F56" s="17" t="s">
        <v>40</v>
      </c>
      <c r="G56" s="218">
        <v>45287</v>
      </c>
      <c r="H56" s="181"/>
      <c r="R56"/>
      <c r="S56" s="18"/>
      <c r="T56" t="s">
        <v>259</v>
      </c>
      <c r="U56" t="s">
        <v>269</v>
      </c>
      <c r="V56" s="18"/>
      <c r="W56" s="18"/>
      <c r="X56" s="18"/>
    </row>
    <row r="57" spans="1:24" s="20" customFormat="1" ht="24.75" customHeight="1" x14ac:dyDescent="0.35">
      <c r="A57" s="209"/>
      <c r="B57" s="226"/>
      <c r="C57" s="179" t="s">
        <v>393</v>
      </c>
      <c r="D57" s="180"/>
      <c r="E57" s="180"/>
      <c r="F57" s="180"/>
      <c r="G57" s="180"/>
      <c r="H57" s="181"/>
      <c r="R57"/>
      <c r="S57" s="18"/>
      <c r="T57" t="s">
        <v>261</v>
      </c>
      <c r="U57" t="s">
        <v>270</v>
      </c>
      <c r="V57" s="18"/>
      <c r="W57" s="18"/>
      <c r="X57" s="18"/>
    </row>
    <row r="58" spans="1:24" s="20" customFormat="1" ht="15.75" hidden="1" customHeight="1" x14ac:dyDescent="0.35">
      <c r="A58" s="222" t="s">
        <v>279</v>
      </c>
      <c r="B58" s="223"/>
      <c r="C58" s="179"/>
      <c r="D58" s="180"/>
      <c r="E58" s="181"/>
      <c r="F58" s="17" t="s">
        <v>40</v>
      </c>
      <c r="G58" s="179">
        <f>G57</f>
        <v>0</v>
      </c>
      <c r="H58" s="181"/>
      <c r="R58"/>
      <c r="S58" s="18"/>
      <c r="T58" t="s">
        <v>262</v>
      </c>
      <c r="U58" s="18" t="s">
        <v>293</v>
      </c>
      <c r="V58" s="18"/>
      <c r="W58" s="18"/>
      <c r="X58" s="18"/>
    </row>
    <row r="59" spans="1:24" s="20" customFormat="1" ht="33.75" hidden="1" customHeight="1" x14ac:dyDescent="0.35">
      <c r="A59" s="224"/>
      <c r="B59" s="225"/>
      <c r="C59" s="179"/>
      <c r="D59" s="180"/>
      <c r="E59" s="180"/>
      <c r="F59" s="180"/>
      <c r="G59" s="180"/>
      <c r="H59" s="181"/>
      <c r="R59"/>
      <c r="S59" s="18"/>
      <c r="T59" t="s">
        <v>263</v>
      </c>
      <c r="U59" s="18"/>
      <c r="V59" s="18"/>
      <c r="W59" s="18"/>
      <c r="X59" s="18"/>
    </row>
    <row r="60" spans="1:24" x14ac:dyDescent="0.35">
      <c r="A60" s="233" t="s">
        <v>42</v>
      </c>
      <c r="B60" s="234"/>
      <c r="C60" s="233" t="s">
        <v>101</v>
      </c>
      <c r="D60" s="235"/>
      <c r="E60" s="234"/>
      <c r="F60" s="40" t="s">
        <v>40</v>
      </c>
      <c r="G60" s="220" t="s">
        <v>28</v>
      </c>
      <c r="H60" s="221"/>
      <c r="R60"/>
      <c r="T60" t="s">
        <v>265</v>
      </c>
    </row>
    <row r="61" spans="1:24" x14ac:dyDescent="0.35">
      <c r="A61" s="195" t="s">
        <v>44</v>
      </c>
      <c r="B61" s="195"/>
      <c r="C61" s="195"/>
      <c r="D61" s="195"/>
      <c r="E61" s="195"/>
      <c r="F61" s="195"/>
      <c r="G61" s="195"/>
      <c r="H61" s="195"/>
      <c r="T61" t="s">
        <v>274</v>
      </c>
    </row>
    <row r="62" spans="1:24" x14ac:dyDescent="0.35">
      <c r="A62" s="186" t="s">
        <v>86</v>
      </c>
      <c r="B62" s="186"/>
      <c r="C62" s="186"/>
      <c r="D62" s="178">
        <v>16079.266</v>
      </c>
      <c r="E62" s="86"/>
      <c r="F62" s="86"/>
      <c r="G62" s="86"/>
      <c r="H62" s="86"/>
      <c r="R62"/>
    </row>
    <row r="63" spans="1:24" x14ac:dyDescent="0.35">
      <c r="A63" s="147" t="s">
        <v>45</v>
      </c>
      <c r="B63" s="86"/>
      <c r="C63" s="86"/>
      <c r="D63" s="86" t="s">
        <v>396</v>
      </c>
      <c r="E63" s="86"/>
      <c r="F63" s="86"/>
      <c r="G63" s="86"/>
      <c r="H63" s="86"/>
      <c r="I63" s="21"/>
      <c r="R63"/>
    </row>
    <row r="64" spans="1:24" x14ac:dyDescent="0.35">
      <c r="A64" s="164" t="s">
        <v>46</v>
      </c>
      <c r="B64" s="165"/>
      <c r="C64" s="166"/>
      <c r="D64" s="162" t="s">
        <v>397</v>
      </c>
      <c r="E64" s="163"/>
      <c r="F64" s="163"/>
      <c r="G64" s="163"/>
      <c r="H64" s="163"/>
      <c r="R64"/>
    </row>
    <row r="65" spans="1:19" ht="15.75" customHeight="1" x14ac:dyDescent="0.35">
      <c r="A65" s="164" t="s">
        <v>84</v>
      </c>
      <c r="B65" s="165"/>
      <c r="C65" s="165"/>
      <c r="D65" s="211" t="s">
        <v>349</v>
      </c>
      <c r="E65" s="212"/>
      <c r="F65" s="212"/>
      <c r="G65" s="212"/>
      <c r="H65" s="213"/>
      <c r="R65"/>
    </row>
    <row r="66" spans="1:19" ht="15.75" hidden="1" customHeight="1" x14ac:dyDescent="0.35">
      <c r="A66" s="207"/>
      <c r="B66" s="208"/>
      <c r="C66" s="208"/>
      <c r="D66" s="214" t="s">
        <v>350</v>
      </c>
      <c r="E66" s="215"/>
      <c r="F66" s="215"/>
      <c r="G66" s="215"/>
      <c r="H66" s="216"/>
      <c r="R66"/>
    </row>
    <row r="67" spans="1:19" ht="15.75" hidden="1" customHeight="1" x14ac:dyDescent="0.35">
      <c r="A67" s="209"/>
      <c r="B67" s="210"/>
      <c r="C67" s="210"/>
      <c r="D67" s="204" t="s">
        <v>351</v>
      </c>
      <c r="E67" s="205"/>
      <c r="F67" s="205"/>
      <c r="G67" s="205"/>
      <c r="H67" s="206"/>
      <c r="S67"/>
    </row>
    <row r="68" spans="1:19" ht="15.75" customHeight="1" x14ac:dyDescent="0.35">
      <c r="A68" s="108" t="s">
        <v>43</v>
      </c>
      <c r="B68" s="108"/>
      <c r="C68" s="108"/>
      <c r="D68" s="172" t="s">
        <v>352</v>
      </c>
      <c r="E68" s="172"/>
      <c r="F68" s="172"/>
      <c r="G68" s="172"/>
      <c r="H68" s="172"/>
      <c r="J68" s="22"/>
      <c r="K68" s="21"/>
      <c r="N68" s="21"/>
      <c r="S68"/>
    </row>
    <row r="69" spans="1:19" ht="15.75" customHeight="1" x14ac:dyDescent="0.35">
      <c r="A69" s="108" t="s">
        <v>82</v>
      </c>
      <c r="B69" s="108"/>
      <c r="C69" s="108"/>
      <c r="D69" s="176" t="str">
        <f>(IF(G60="NA","60 Years After Completion",IF(G60&lt;&gt;"NA",""&amp;60-ROUNDDOWN((E3-G60)/360,0)&amp;" Years"," ")))</f>
        <v>60 Years After Completion</v>
      </c>
      <c r="E69" s="176"/>
      <c r="F69" s="176"/>
      <c r="G69" s="176"/>
      <c r="H69" s="176"/>
      <c r="N69" s="21"/>
      <c r="S69"/>
    </row>
    <row r="70" spans="1:19" ht="15.75" customHeight="1" x14ac:dyDescent="0.35">
      <c r="A70" s="86" t="s">
        <v>83</v>
      </c>
      <c r="B70" s="86"/>
      <c r="C70" s="86"/>
      <c r="D70" s="186" t="s">
        <v>23</v>
      </c>
      <c r="E70" s="186"/>
      <c r="F70" s="186"/>
      <c r="G70" s="186"/>
      <c r="H70" s="186"/>
      <c r="J70" s="23"/>
      <c r="K70" s="23"/>
      <c r="S70"/>
    </row>
    <row r="71" spans="1:19" ht="38.5" customHeight="1" x14ac:dyDescent="0.35">
      <c r="A71" s="86" t="s">
        <v>383</v>
      </c>
      <c r="B71" s="86"/>
      <c r="C71" s="86"/>
      <c r="D71" s="147" t="s">
        <v>377</v>
      </c>
      <c r="E71" s="147"/>
      <c r="F71" s="147"/>
      <c r="G71" s="147"/>
      <c r="H71" s="147"/>
      <c r="I71" s="18" t="s">
        <v>378</v>
      </c>
      <c r="S71"/>
    </row>
    <row r="72" spans="1:19" x14ac:dyDescent="0.35">
      <c r="A72" s="186" t="s">
        <v>146</v>
      </c>
      <c r="B72" s="186"/>
      <c r="C72" s="186"/>
      <c r="D72" s="186" t="s">
        <v>28</v>
      </c>
      <c r="E72" s="186"/>
      <c r="F72" s="186"/>
      <c r="G72" s="186"/>
      <c r="H72" s="186"/>
      <c r="I72" s="24"/>
      <c r="J72" s="24"/>
      <c r="K72" s="24"/>
      <c r="L72" s="24"/>
      <c r="M72" s="24"/>
      <c r="N72" s="24"/>
    </row>
    <row r="73" spans="1:19" ht="15.75" customHeight="1" x14ac:dyDescent="0.35">
      <c r="A73" s="236" t="s">
        <v>81</v>
      </c>
      <c r="B73" s="236"/>
      <c r="C73" s="236"/>
      <c r="D73" s="162" t="str">
        <f ca="1">(IF(G79&gt;95%,"Nothing",IF(G79&gt;0%,"Cement, Aggregate, Steel, etc",IF(G79=0%,"Work not yet Started"))))</f>
        <v>Cement, Aggregate, Steel, etc</v>
      </c>
      <c r="E73" s="162"/>
      <c r="F73" s="162"/>
      <c r="G73" s="162"/>
      <c r="H73" s="162"/>
      <c r="J73" s="23"/>
      <c r="S73"/>
    </row>
    <row r="74" spans="1:19" ht="33.75" customHeight="1" thickBot="1" x14ac:dyDescent="0.4">
      <c r="A74" s="191" t="s">
        <v>114</v>
      </c>
      <c r="B74" s="191"/>
      <c r="C74" s="191"/>
      <c r="D74" s="162" t="str">
        <f ca="1">(IF(D73="Nothing","Yes",IF(D73="Cement, Aggregate, Steel, etc","Under Construction",IF(D73="Work not yet Started","Work not yet Started"))))</f>
        <v>Under Construction</v>
      </c>
      <c r="E74" s="162"/>
      <c r="F74" s="162" t="str">
        <f ca="1">(IF(D73="Nothing","Yes",IF(D73="Cement, Aggregate, Steel, etc","Under Construction",IF(D73="Work not yet Started","Work not yet Started"))))</f>
        <v>Under Construction</v>
      </c>
      <c r="G74" s="162"/>
      <c r="H74" s="162"/>
      <c r="S74"/>
    </row>
    <row r="75" spans="1:19" ht="15.75" customHeight="1" x14ac:dyDescent="0.35">
      <c r="A75" s="157" t="s">
        <v>136</v>
      </c>
      <c r="B75" s="158"/>
      <c r="C75" s="159" t="str">
        <f>D65</f>
        <v>A Wing = G + 1st to 22nd Floor</v>
      </c>
      <c r="D75" s="160"/>
      <c r="E75" s="160"/>
      <c r="F75" s="160"/>
      <c r="G75" s="160"/>
      <c r="H75" s="161"/>
      <c r="I75" s="43" t="str">
        <f ca="1">IF(D88=100%,"All work Completed. Possession granted to the Building.",IF(D87=100%,"All work Completed, Waiting for OC",I76&amp;""&amp;I77&amp;""&amp;J76&amp;""&amp;J75&amp;" "&amp;J77))</f>
        <v>Excavation, Plinth Completed, RCC upto 13 Slab, Brickwork upto 10 Floor, External Plaster upto 2 Floor Completed</v>
      </c>
      <c r="J75" s="44"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13 Slab, Brickwork upto 10 Floor, External Plaster upto 2 Floor</v>
      </c>
      <c r="S75"/>
    </row>
    <row r="76" spans="1:19" x14ac:dyDescent="0.35">
      <c r="A76" s="15" t="s">
        <v>138</v>
      </c>
      <c r="B76" s="42">
        <f>IF(AND(ISNUMBER(SEARCH("1B",C75))),1,IF(AND(ISNUMBER(SEARCH("2B",C75))),2,IF(AND(ISNUMBER(SEARCH("3B",C75))),3,IF(AND(ISNUMBER(SEARCH("4B",C75))),4,IF(ISNUMBER(SEARCH("5B",C75)),5,0)))))</f>
        <v>0</v>
      </c>
      <c r="C76" s="42" t="s">
        <v>68</v>
      </c>
      <c r="D76" s="42">
        <v>1</v>
      </c>
      <c r="E76" s="42" t="s">
        <v>67</v>
      </c>
      <c r="F76" s="42">
        <v>0</v>
      </c>
      <c r="G76" s="42" t="s">
        <v>75</v>
      </c>
      <c r="H76" s="16">
        <f ca="1">--TRIM(RIGHT(SUBSTITUTE(LEFT(C75,_xlfn.AGGREGATE(16,6,FIND({0,1,2,3,4,5,6,7,8,9},C75,ROW(INDIRECT("1:"&amp;LEN(C75)))),1))," ",REPT(" ",LEN(C75))),LEN(C75)))</f>
        <v>22</v>
      </c>
      <c r="I76" s="45" t="str">
        <f ca="1">IF(D79=100%,"Excavation","")&amp;IF(D80=100%,", Plinth","")&amp;IF(D81=100%,", RCC Slab","")&amp;IF(D82=100%,", Brickwork","")&amp;IF(D83=100%,", Internal Plaster","")&amp;IF(D84=100%,", External Plaster","")&amp;IF(D85=100%,", Flooring","")&amp;IF(D86=100%,", Painting","")&amp;IF(D87=100%,", Building common Amenities","")</f>
        <v>Excavation, Plinth</v>
      </c>
      <c r="J76" s="46"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5" customHeight="1" x14ac:dyDescent="0.35">
      <c r="A77" s="142" t="s">
        <v>85</v>
      </c>
      <c r="B77" s="143"/>
      <c r="C77" s="116" t="str">
        <f ca="1">I75</f>
        <v>Excavation, Plinth Completed, RCC upto 13 Slab, Brickwork upto 10 Floor, External Plaster upto 2 Floor Completed</v>
      </c>
      <c r="D77" s="116"/>
      <c r="E77" s="116"/>
      <c r="F77" s="116"/>
      <c r="G77" s="116"/>
      <c r="H77" s="117"/>
      <c r="I77" s="45" t="str">
        <f ca="1">IF(I76&lt;&gt;""," Completed","")</f>
        <v xml:space="preserve"> Completed</v>
      </c>
      <c r="J77" s="46" t="str">
        <f ca="1">IF(J75&lt;&gt;"","Completed","")</f>
        <v>Completed</v>
      </c>
      <c r="S77"/>
    </row>
    <row r="78" spans="1:19" ht="15.75" customHeight="1" x14ac:dyDescent="0.35">
      <c r="A78" s="111" t="s">
        <v>47</v>
      </c>
      <c r="B78" s="112"/>
      <c r="C78" s="75" t="s">
        <v>135</v>
      </c>
      <c r="D78" s="75" t="s">
        <v>78</v>
      </c>
      <c r="E78" s="112" t="s">
        <v>80</v>
      </c>
      <c r="F78" s="112"/>
      <c r="G78" s="112" t="s">
        <v>79</v>
      </c>
      <c r="H78" s="141"/>
      <c r="I78" s="13" t="s">
        <v>137</v>
      </c>
      <c r="J78" s="25">
        <f ca="1">H76*25%</f>
        <v>5.5</v>
      </c>
      <c r="S78"/>
    </row>
    <row r="79" spans="1:19" x14ac:dyDescent="0.35">
      <c r="A79" s="111" t="s">
        <v>124</v>
      </c>
      <c r="B79" s="112"/>
      <c r="C79" s="75">
        <f ca="1">J80</f>
        <v>22</v>
      </c>
      <c r="D79" s="76">
        <f ca="1">((100/H76)*C79)/100</f>
        <v>1.0000000000000002</v>
      </c>
      <c r="E79" s="131">
        <f ca="1">(((C80/H76*10)+(40/(D76+F76+H76)*C81)+(7.5/(H76)*C82)+(7.5/(H76)*C83)+(10/H76*C84)+(10/H76*C85)+(5/H76*C86)+(5/H76*C87)+(5/H76*C88))/100)</f>
        <v>0.36926877470355729</v>
      </c>
      <c r="F79" s="173"/>
      <c r="G79" s="131">
        <f ca="1">((((C79/H76)*20)+((C80/H76)*25)+(30/(H76+F76+D76)*C81)+(5/H76*C82)+(5/H76*C83)+(5/H76*C84)+(5/H76*C85)+(0/H76*C86)+(0/H76*C87)+(5/H76*C88))/100)</f>
        <v>0.64683794466403155</v>
      </c>
      <c r="H79" s="132"/>
      <c r="I79" s="13" t="s">
        <v>96</v>
      </c>
      <c r="J79" s="26">
        <f ca="1">H76*50%</f>
        <v>11</v>
      </c>
    </row>
    <row r="80" spans="1:19" x14ac:dyDescent="0.35">
      <c r="A80" s="111" t="s">
        <v>48</v>
      </c>
      <c r="B80" s="112"/>
      <c r="C80" s="74">
        <f ca="1">J88</f>
        <v>22</v>
      </c>
      <c r="D80" s="76">
        <f ca="1">((100/H76)*C80)/100</f>
        <v>1.0000000000000002</v>
      </c>
      <c r="E80" s="133"/>
      <c r="F80" s="174"/>
      <c r="G80" s="133"/>
      <c r="H80" s="134"/>
      <c r="I80" s="13" t="s">
        <v>97</v>
      </c>
      <c r="J80" s="26">
        <f ca="1">H76</f>
        <v>22</v>
      </c>
      <c r="S80"/>
    </row>
    <row r="81" spans="1:19" ht="15.75" customHeight="1" x14ac:dyDescent="0.35">
      <c r="A81" s="111" t="s">
        <v>125</v>
      </c>
      <c r="B81" s="112"/>
      <c r="C81" s="75">
        <v>13</v>
      </c>
      <c r="D81" s="76">
        <f ca="1">((100/(D76+F76+H76))*C81)/100</f>
        <v>0.56521739130434778</v>
      </c>
      <c r="E81" s="133"/>
      <c r="F81" s="174"/>
      <c r="G81" s="133"/>
      <c r="H81" s="134"/>
      <c r="I81" s="13" t="s">
        <v>98</v>
      </c>
      <c r="J81" s="27">
        <f ca="1">(IF(B76&gt;1,(H76/(B76+2)),H76/4))</f>
        <v>5.5</v>
      </c>
      <c r="S81"/>
    </row>
    <row r="82" spans="1:19" ht="15.75" customHeight="1" x14ac:dyDescent="0.35">
      <c r="A82" s="111" t="s">
        <v>132</v>
      </c>
      <c r="B82" s="112" t="s">
        <v>126</v>
      </c>
      <c r="C82" s="75">
        <v>10</v>
      </c>
      <c r="D82" s="76">
        <f ca="1">((100/H76)*C82)/100</f>
        <v>0.45454545454545459</v>
      </c>
      <c r="E82" s="133"/>
      <c r="F82" s="174"/>
      <c r="G82" s="133"/>
      <c r="H82" s="134"/>
      <c r="I82" s="13" t="s">
        <v>99</v>
      </c>
      <c r="J82" s="27">
        <f ca="1">(IF(B76&gt;1,(H76/(B76+2)+J81),H76/4+J81))</f>
        <v>11</v>
      </c>
    </row>
    <row r="83" spans="1:19" ht="15.75" customHeight="1" x14ac:dyDescent="0.35">
      <c r="A83" s="111" t="s">
        <v>133</v>
      </c>
      <c r="B83" s="112" t="s">
        <v>126</v>
      </c>
      <c r="C83" s="75">
        <v>0</v>
      </c>
      <c r="D83" s="76">
        <f ca="1">((100/H76)*C83)/100</f>
        <v>0</v>
      </c>
      <c r="E83" s="133"/>
      <c r="F83" s="174"/>
      <c r="G83" s="133"/>
      <c r="H83" s="134"/>
      <c r="I83" s="13" t="s">
        <v>144</v>
      </c>
      <c r="J83" s="27">
        <f>(IF(B76&gt;1,(H76/(B76+2)+J82),0))</f>
        <v>0</v>
      </c>
    </row>
    <row r="84" spans="1:19" ht="15" customHeight="1" x14ac:dyDescent="0.35">
      <c r="A84" s="111" t="s">
        <v>131</v>
      </c>
      <c r="B84" s="112" t="s">
        <v>128</v>
      </c>
      <c r="C84" s="75">
        <v>2</v>
      </c>
      <c r="D84" s="76">
        <f ca="1">((100/(H76))*C84)/100</f>
        <v>9.0909090909090912E-2</v>
      </c>
      <c r="E84" s="133"/>
      <c r="F84" s="174"/>
      <c r="G84" s="133"/>
      <c r="H84" s="134"/>
      <c r="I84" s="13" t="s">
        <v>139</v>
      </c>
      <c r="J84" s="27">
        <f>(IF(B76&gt;2,(H76/(B76+2)+J83),0))</f>
        <v>0</v>
      </c>
    </row>
    <row r="85" spans="1:19" ht="15.75" customHeight="1" x14ac:dyDescent="0.35">
      <c r="A85" s="111" t="s">
        <v>127</v>
      </c>
      <c r="B85" s="112" t="s">
        <v>127</v>
      </c>
      <c r="C85" s="75">
        <v>0</v>
      </c>
      <c r="D85" s="76">
        <f ca="1">((100/H76)*C85)/100</f>
        <v>0</v>
      </c>
      <c r="E85" s="133"/>
      <c r="F85" s="174"/>
      <c r="G85" s="133"/>
      <c r="H85" s="134"/>
      <c r="I85" s="13" t="s">
        <v>140</v>
      </c>
      <c r="J85" s="28">
        <f>(IF(B76&gt;3,(H76/(B76+2)+J84),0))</f>
        <v>0</v>
      </c>
    </row>
    <row r="86" spans="1:19" ht="15.75" customHeight="1" x14ac:dyDescent="0.35">
      <c r="A86" s="111" t="s">
        <v>134</v>
      </c>
      <c r="B86" s="112"/>
      <c r="C86" s="75">
        <v>0</v>
      </c>
      <c r="D86" s="76">
        <f ca="1">((100/H76)*C86)/100</f>
        <v>0</v>
      </c>
      <c r="E86" s="133"/>
      <c r="F86" s="174"/>
      <c r="G86" s="133"/>
      <c r="H86" s="134"/>
      <c r="I86" s="13" t="s">
        <v>141</v>
      </c>
      <c r="J86" s="27">
        <f>(IF(B76&gt;4,(H76/(B76+2)+J85),0))</f>
        <v>0</v>
      </c>
    </row>
    <row r="87" spans="1:19" ht="15.75" customHeight="1" x14ac:dyDescent="0.35">
      <c r="A87" s="111" t="s">
        <v>129</v>
      </c>
      <c r="B87" s="112" t="s">
        <v>129</v>
      </c>
      <c r="C87" s="75">
        <v>0</v>
      </c>
      <c r="D87" s="76">
        <f ca="1">((100/(H76))*C87)/100</f>
        <v>0</v>
      </c>
      <c r="E87" s="133"/>
      <c r="F87" s="174"/>
      <c r="G87" s="133"/>
      <c r="H87" s="134"/>
      <c r="I87" s="13" t="s">
        <v>145</v>
      </c>
      <c r="J87" s="27">
        <f ca="1">(IF(B76=1,(H76/(B76+3)+J82),IF(B76=0,(H76/4+J82),IF(B76&gt;1,0))))</f>
        <v>16.5</v>
      </c>
    </row>
    <row r="88" spans="1:19" ht="16" thickBot="1" x14ac:dyDescent="0.4">
      <c r="A88" s="109" t="s">
        <v>130</v>
      </c>
      <c r="B88" s="110"/>
      <c r="C88" s="77">
        <v>0</v>
      </c>
      <c r="D88" s="78">
        <f ca="1">((100/(H76))*C88)/100</f>
        <v>0</v>
      </c>
      <c r="E88" s="135"/>
      <c r="F88" s="175"/>
      <c r="G88" s="135"/>
      <c r="H88" s="136"/>
      <c r="I88" s="14" t="s">
        <v>100</v>
      </c>
      <c r="J88" s="29">
        <f ca="1">(IF(B76&gt;1.5,(H76/(B76+2)+J82+MAX(0,J83-J82)+MAX(0,J84-J83)+MAX(0,J85-J84)+MAX(0,J86-J85)+MAX(0,J87-J86)),IF(B76=1,(H76/(B76+3)+J87),IF(B76=0,H76/4+J87))))</f>
        <v>22</v>
      </c>
    </row>
    <row r="89" spans="1:19" ht="15.75" hidden="1" customHeight="1" x14ac:dyDescent="0.35">
      <c r="A89" s="157" t="s">
        <v>136</v>
      </c>
      <c r="B89" s="158"/>
      <c r="C89" s="159" t="str">
        <f>D66</f>
        <v>B Wing = G + 1st to 22nd Floor</v>
      </c>
      <c r="D89" s="160"/>
      <c r="E89" s="160"/>
      <c r="F89" s="160"/>
      <c r="G89" s="160"/>
      <c r="H89" s="161"/>
      <c r="I89" s="43" t="str">
        <f ca="1">IF(D102=100%,"All work Completed. Possession granted to the Building.",IF(D101=100%,"All work Completed, Waiting for OC",I90&amp;""&amp;I91&amp;""&amp;J90&amp;""&amp;J89&amp;" "&amp;J91))</f>
        <v xml:space="preserve">Excavation Completed, Footing work is process </v>
      </c>
      <c r="J89" s="44"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15" t="s">
        <v>138</v>
      </c>
      <c r="B90" s="42">
        <f>IF(AND(ISNUMBER(SEARCH("1B",C89))),1,IF(AND(ISNUMBER(SEARCH("2B",C89))),2,IF(AND(ISNUMBER(SEARCH("3B",C89))),3,IF(AND(ISNUMBER(SEARCH("4B",C89))),4,IF(ISNUMBER(SEARCH("5B",C89)),5,0)))))</f>
        <v>0</v>
      </c>
      <c r="C90" s="42" t="s">
        <v>68</v>
      </c>
      <c r="D90" s="42">
        <v>1</v>
      </c>
      <c r="E90" s="42" t="s">
        <v>67</v>
      </c>
      <c r="F90" s="42">
        <v>0</v>
      </c>
      <c r="G90" s="42" t="s">
        <v>75</v>
      </c>
      <c r="H90" s="16">
        <f ca="1">--TRIM(RIGHT(SUBSTITUTE(LEFT(C89,_xlfn.AGGREGATE(16,6,FIND({0,1,2,3,4,5,6,7,8,9},C89,ROW(INDIRECT("1:"&amp;LEN(C89)))),1))," ",REPT(" ",LEN(C89))),LEN(C89)))</f>
        <v>22</v>
      </c>
      <c r="I90" s="45" t="str">
        <f ca="1">IF(D93=100%,"Excavation","")&amp;IF(D94=100%,", Plinth","")&amp;IF(D95=100%,", RCC Slab","")&amp;IF(D96=100%,", Brickwork","")&amp;IF(D97=100%,", Internal Plaster","")&amp;IF(D98=100%,", External Plaster","")&amp;IF(D99=100%,", Flooring","")&amp;IF(D100=100%,", Painting","")&amp;IF(D101=100%,", Building common Amenities","")</f>
        <v>Excavation</v>
      </c>
      <c r="J90" s="46"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is process</v>
      </c>
    </row>
    <row r="91" spans="1:19" hidden="1" x14ac:dyDescent="0.35">
      <c r="A91" s="142" t="s">
        <v>85</v>
      </c>
      <c r="B91" s="143"/>
      <c r="C91" s="116" t="str">
        <f ca="1">(IF($G$60="NA",I89,"All work Completed. OC Received."))</f>
        <v xml:space="preserve">Excavation Completed, Footing work is process </v>
      </c>
      <c r="D91" s="116"/>
      <c r="E91" s="116"/>
      <c r="F91" s="116"/>
      <c r="G91" s="116"/>
      <c r="H91" s="117"/>
      <c r="I91" s="45" t="str">
        <f ca="1">IF(I90&lt;&gt;""," Completed","")</f>
        <v xml:space="preserve"> Completed</v>
      </c>
      <c r="J91" s="46" t="str">
        <f ca="1">IF(J89&lt;&gt;"","Completed","")</f>
        <v/>
      </c>
    </row>
    <row r="92" spans="1:19" ht="15.75" hidden="1" customHeight="1" x14ac:dyDescent="0.35">
      <c r="A92" s="111" t="s">
        <v>47</v>
      </c>
      <c r="B92" s="112"/>
      <c r="C92" s="75" t="s">
        <v>135</v>
      </c>
      <c r="D92" s="75" t="s">
        <v>78</v>
      </c>
      <c r="E92" s="112" t="s">
        <v>80</v>
      </c>
      <c r="F92" s="112"/>
      <c r="G92" s="112" t="s">
        <v>79</v>
      </c>
      <c r="H92" s="141"/>
      <c r="I92" s="13" t="s">
        <v>137</v>
      </c>
      <c r="J92" s="25">
        <f ca="1">H90*25%</f>
        <v>5.5</v>
      </c>
    </row>
    <row r="93" spans="1:19" hidden="1" x14ac:dyDescent="0.35">
      <c r="A93" s="111" t="s">
        <v>124</v>
      </c>
      <c r="B93" s="112"/>
      <c r="C93" s="75">
        <f ca="1">J94</f>
        <v>22</v>
      </c>
      <c r="D93" s="76">
        <f ca="1">((100/H90)*C93)/100</f>
        <v>1.0000000000000002</v>
      </c>
      <c r="E93" s="131">
        <f ca="1">(((C94/H90*10)+(40/(D90+F90+H90)*C95)+(7.5/(H90)*C96)+(7.5/(H90)*C97)+(10/H90*C98)+(10/H90*C99)+(5/H90*C100)+(5/H90*C101)+(5/H90*C102))/100)</f>
        <v>2.5000000000000001E-2</v>
      </c>
      <c r="F93" s="173"/>
      <c r="G93" s="131">
        <f ca="1">((((C93/H90)*20)+((C94/H90)*25)+(30/(H90+F90+D90)*C95)+(5/H90*C96)+(5/H90*C97)+(5/H90*C98)+(5/H90*C99)+(0/H90*C100)+(0/H90*C101)+(5/H90*C102))/100)</f>
        <v>0.26250000000000001</v>
      </c>
      <c r="H93" s="132"/>
      <c r="I93" s="13" t="s">
        <v>96</v>
      </c>
      <c r="J93" s="26">
        <f ca="1">H90*50%</f>
        <v>11</v>
      </c>
    </row>
    <row r="94" spans="1:19" hidden="1" x14ac:dyDescent="0.35">
      <c r="A94" s="111" t="s">
        <v>48</v>
      </c>
      <c r="B94" s="112"/>
      <c r="C94" s="74">
        <f ca="1">J95</f>
        <v>5.5</v>
      </c>
      <c r="D94" s="76">
        <f ca="1">((100/H90)*C94)/100</f>
        <v>0.25000000000000006</v>
      </c>
      <c r="E94" s="133"/>
      <c r="F94" s="174"/>
      <c r="G94" s="133"/>
      <c r="H94" s="134"/>
      <c r="I94" s="13" t="s">
        <v>97</v>
      </c>
      <c r="J94" s="26">
        <f ca="1">H90</f>
        <v>22</v>
      </c>
    </row>
    <row r="95" spans="1:19" ht="15.75" hidden="1" customHeight="1" x14ac:dyDescent="0.35">
      <c r="A95" s="111" t="s">
        <v>125</v>
      </c>
      <c r="B95" s="112"/>
      <c r="C95" s="75">
        <v>0</v>
      </c>
      <c r="D95" s="76">
        <f ca="1">((100/(D90+F90+H90))*C95)/100</f>
        <v>0</v>
      </c>
      <c r="E95" s="133"/>
      <c r="F95" s="174"/>
      <c r="G95" s="133"/>
      <c r="H95" s="134"/>
      <c r="I95" s="13" t="s">
        <v>98</v>
      </c>
      <c r="J95" s="27">
        <f ca="1">(IF(B90&gt;1,(H90/(B90+2)),H90/4))</f>
        <v>5.5</v>
      </c>
    </row>
    <row r="96" spans="1:19" ht="15.75" hidden="1" customHeight="1" x14ac:dyDescent="0.35">
      <c r="A96" s="111" t="s">
        <v>132</v>
      </c>
      <c r="B96" s="112" t="s">
        <v>126</v>
      </c>
      <c r="C96" s="75">
        <v>0</v>
      </c>
      <c r="D96" s="76">
        <f ca="1">((100/H90)*C96)/100</f>
        <v>0</v>
      </c>
      <c r="E96" s="133"/>
      <c r="F96" s="174"/>
      <c r="G96" s="133"/>
      <c r="H96" s="134"/>
      <c r="I96" s="13" t="s">
        <v>99</v>
      </c>
      <c r="J96" s="27">
        <f ca="1">(IF(B90&gt;1,(H90/(B90+2)+J95),H90/4+J95))</f>
        <v>11</v>
      </c>
    </row>
    <row r="97" spans="1:10" ht="15.75" hidden="1" customHeight="1" x14ac:dyDescent="0.35">
      <c r="A97" s="111" t="s">
        <v>133</v>
      </c>
      <c r="B97" s="112" t="s">
        <v>126</v>
      </c>
      <c r="C97" s="75">
        <v>0</v>
      </c>
      <c r="D97" s="76">
        <f ca="1">((100/H90)*C97)/100</f>
        <v>0</v>
      </c>
      <c r="E97" s="133"/>
      <c r="F97" s="174"/>
      <c r="G97" s="133"/>
      <c r="H97" s="134"/>
      <c r="I97" s="13" t="s">
        <v>144</v>
      </c>
      <c r="J97" s="27">
        <f>(IF(B90&gt;1,(H90/(B90+2)+J96),0))</f>
        <v>0</v>
      </c>
    </row>
    <row r="98" spans="1:10" ht="15" hidden="1" customHeight="1" x14ac:dyDescent="0.35">
      <c r="A98" s="111" t="s">
        <v>131</v>
      </c>
      <c r="B98" s="112" t="s">
        <v>128</v>
      </c>
      <c r="C98" s="75">
        <v>0</v>
      </c>
      <c r="D98" s="76">
        <f ca="1">((100/(H90))*C98)/100</f>
        <v>0</v>
      </c>
      <c r="E98" s="133"/>
      <c r="F98" s="174"/>
      <c r="G98" s="133"/>
      <c r="H98" s="134"/>
      <c r="I98" s="13" t="s">
        <v>139</v>
      </c>
      <c r="J98" s="27">
        <f>(IF(B90&gt;2,(H90/(B90+2)+J97),0))</f>
        <v>0</v>
      </c>
    </row>
    <row r="99" spans="1:10" ht="15.75" hidden="1" customHeight="1" x14ac:dyDescent="0.35">
      <c r="A99" s="111" t="s">
        <v>127</v>
      </c>
      <c r="B99" s="112" t="s">
        <v>127</v>
      </c>
      <c r="C99" s="75">
        <v>0</v>
      </c>
      <c r="D99" s="76">
        <f ca="1">((100/H90)*C99)/100</f>
        <v>0</v>
      </c>
      <c r="E99" s="133"/>
      <c r="F99" s="174"/>
      <c r="G99" s="133"/>
      <c r="H99" s="134"/>
      <c r="I99" s="13" t="s">
        <v>140</v>
      </c>
      <c r="J99" s="28">
        <f>(IF(B90&gt;3,(H90/(B90+2)+J98),0))</f>
        <v>0</v>
      </c>
    </row>
    <row r="100" spans="1:10" ht="15.75" hidden="1" customHeight="1" x14ac:dyDescent="0.35">
      <c r="A100" s="111" t="s">
        <v>134</v>
      </c>
      <c r="B100" s="112"/>
      <c r="C100" s="75">
        <v>0</v>
      </c>
      <c r="D100" s="76">
        <f ca="1">((100/H90)*C100)/100</f>
        <v>0</v>
      </c>
      <c r="E100" s="133"/>
      <c r="F100" s="174"/>
      <c r="G100" s="133"/>
      <c r="H100" s="134"/>
      <c r="I100" s="13" t="s">
        <v>141</v>
      </c>
      <c r="J100" s="27">
        <f>(IF(B90&gt;4,(H90/(B90+2)+J99),0))</f>
        <v>0</v>
      </c>
    </row>
    <row r="101" spans="1:10" ht="15.75" hidden="1" customHeight="1" x14ac:dyDescent="0.35">
      <c r="A101" s="111" t="s">
        <v>129</v>
      </c>
      <c r="B101" s="112" t="s">
        <v>129</v>
      </c>
      <c r="C101" s="75">
        <v>0</v>
      </c>
      <c r="D101" s="76">
        <f ca="1">((100/(H90))*C101)/100</f>
        <v>0</v>
      </c>
      <c r="E101" s="133"/>
      <c r="F101" s="174"/>
      <c r="G101" s="133"/>
      <c r="H101" s="134"/>
      <c r="I101" s="13" t="s">
        <v>145</v>
      </c>
      <c r="J101" s="27">
        <f ca="1">(IF(B90=1,(H90/(B90+3)+J96),IF(B90=0,(H90/4+J96),IF(B90&gt;1,0))))</f>
        <v>16.5</v>
      </c>
    </row>
    <row r="102" spans="1:10" ht="16" hidden="1" thickBot="1" x14ac:dyDescent="0.4">
      <c r="A102" s="109" t="s">
        <v>130</v>
      </c>
      <c r="B102" s="110"/>
      <c r="C102" s="77">
        <v>0</v>
      </c>
      <c r="D102" s="78">
        <f ca="1">((100/(H90))*C102)/100</f>
        <v>0</v>
      </c>
      <c r="E102" s="135"/>
      <c r="F102" s="175"/>
      <c r="G102" s="135"/>
      <c r="H102" s="136"/>
      <c r="I102" s="14" t="s">
        <v>100</v>
      </c>
      <c r="J102" s="29">
        <f ca="1">(IF(B90&gt;1.5,(H90/(B90+2)+J96+MAX(0,J97-J96)+MAX(0,J98-J97)+MAX(0,J99-J98)+MAX(0,J100-J99)+MAX(0,J101-J100)),IF(B90=1,(H90/(B90+3)+J101),IF(B90=0,H90/4+J101))))</f>
        <v>22</v>
      </c>
    </row>
    <row r="103" spans="1:10" ht="15.75" hidden="1" customHeight="1" x14ac:dyDescent="0.35">
      <c r="A103" s="157" t="s">
        <v>136</v>
      </c>
      <c r="B103" s="158"/>
      <c r="C103" s="159" t="str">
        <f>D67</f>
        <v>C Wing = G + 1st to 22nd Floor</v>
      </c>
      <c r="D103" s="160"/>
      <c r="E103" s="160"/>
      <c r="F103" s="160"/>
      <c r="G103" s="160"/>
      <c r="H103" s="161"/>
      <c r="I103" s="43" t="str">
        <f ca="1">IF(D116=100%,"All work Completed. Possession granted to the Building.",IF(D115=100%,"All work Completed, Waiting for OC",I104&amp;""&amp;I105&amp;""&amp;J104&amp;""&amp;J103&amp;" "&amp;J105))</f>
        <v xml:space="preserve">Work not yet Started. </v>
      </c>
      <c r="J103" s="44"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15" t="s">
        <v>138</v>
      </c>
      <c r="B104" s="42">
        <f>IF(AND(ISNUMBER(SEARCH("1B",C103))),1,IF(AND(ISNUMBER(SEARCH("2B",C103))),2,IF(AND(ISNUMBER(SEARCH("3B",C103))),3,IF(AND(ISNUMBER(SEARCH("4B",C103))),4,IF(ISNUMBER(SEARCH("5B",C103)),5,0)))))</f>
        <v>0</v>
      </c>
      <c r="C104" s="42" t="s">
        <v>68</v>
      </c>
      <c r="D104" s="42">
        <v>1</v>
      </c>
      <c r="E104" s="42" t="s">
        <v>67</v>
      </c>
      <c r="F104" s="42">
        <v>0</v>
      </c>
      <c r="G104" s="42" t="s">
        <v>75</v>
      </c>
      <c r="H104" s="16">
        <f ca="1">--TRIM(RIGHT(SUBSTITUTE(LEFT(C103,_xlfn.AGGREGATE(16,6,FIND({0,1,2,3,4,5,6,7,8,9},C103,ROW(INDIRECT("1:"&amp;LEN(C103)))),1))," ",REPT(" ",LEN(C103))),LEN(C103)))</f>
        <v>22</v>
      </c>
      <c r="I104" s="45" t="str">
        <f ca="1">IF(D107=100%,"Excavation","")&amp;IF(D108=100%,", Plinth","")&amp;IF(D109=100%,", RCC Slab","")&amp;IF(D110=100%,", Brickwork","")&amp;IF(D111=100%,", Internal Plaster","")&amp;IF(D112=100%,", External Plaster","")&amp;IF(D113=100%,", Flooring","")&amp;IF(D114=100%,", Painting","")&amp;IF(D115=100%,", Building common Amenities","")</f>
        <v/>
      </c>
      <c r="J104" s="46" t="str">
        <f>(IF(C107=0,"Work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hidden="1" x14ac:dyDescent="0.35">
      <c r="A105" s="142" t="s">
        <v>85</v>
      </c>
      <c r="B105" s="143"/>
      <c r="C105" s="116" t="str">
        <f ca="1">(IF($G$60="NA",I103,"All work Completed. OC Received."))</f>
        <v xml:space="preserve">Work not yet Started. </v>
      </c>
      <c r="D105" s="116"/>
      <c r="E105" s="116"/>
      <c r="F105" s="116"/>
      <c r="G105" s="116"/>
      <c r="H105" s="117"/>
      <c r="I105" s="45" t="str">
        <f ca="1">IF(I104&lt;&gt;""," Completed","")</f>
        <v/>
      </c>
      <c r="J105" s="46" t="str">
        <f ca="1">IF(J103&lt;&gt;"","Completed","")</f>
        <v/>
      </c>
    </row>
    <row r="106" spans="1:10" ht="15.75" hidden="1" customHeight="1" x14ac:dyDescent="0.35">
      <c r="A106" s="111" t="s">
        <v>47</v>
      </c>
      <c r="B106" s="112"/>
      <c r="C106" s="75" t="s">
        <v>135</v>
      </c>
      <c r="D106" s="75" t="s">
        <v>78</v>
      </c>
      <c r="E106" s="112" t="s">
        <v>80</v>
      </c>
      <c r="F106" s="112"/>
      <c r="G106" s="112" t="s">
        <v>79</v>
      </c>
      <c r="H106" s="141"/>
      <c r="I106" s="13" t="s">
        <v>137</v>
      </c>
      <c r="J106" s="25">
        <f ca="1">H104*25%</f>
        <v>5.5</v>
      </c>
    </row>
    <row r="107" spans="1:10" hidden="1" x14ac:dyDescent="0.35">
      <c r="A107" s="111" t="s">
        <v>124</v>
      </c>
      <c r="B107" s="112"/>
      <c r="C107" s="75">
        <v>0</v>
      </c>
      <c r="D107" s="76">
        <f ca="1">((100/H104)*C107)/100</f>
        <v>0</v>
      </c>
      <c r="E107" s="131">
        <f ca="1">(((C108/H104*10)+(40/(D104+F104+H104)*C109)+(7.5/(H104)*C110)+(7.5/(H104)*C111)+(10/H104*C112)+(10/H104*C113)+(5/H104*C114)+(5/H104*C115)+(5/H104*C116))/100)</f>
        <v>0</v>
      </c>
      <c r="F107" s="173"/>
      <c r="G107" s="131">
        <f ca="1">((((C107/H104)*20)+((C108/H104)*25)+(30/(H104+F104+D104)*C109)+(5/H104*C110)+(5/H104*C111)+(5/H104*C112)+(5/H104*C113)+(0/H104*C114)+(0/H104*C115)+(5/H104*C116))/100)</f>
        <v>0</v>
      </c>
      <c r="H107" s="132"/>
      <c r="I107" s="13" t="s">
        <v>96</v>
      </c>
      <c r="J107" s="26">
        <f ca="1">H104*50%</f>
        <v>11</v>
      </c>
    </row>
    <row r="108" spans="1:10" hidden="1" x14ac:dyDescent="0.35">
      <c r="A108" s="111" t="s">
        <v>48</v>
      </c>
      <c r="B108" s="112"/>
      <c r="C108" s="75">
        <v>0</v>
      </c>
      <c r="D108" s="76">
        <f ca="1">((100/H104)*C108)/100</f>
        <v>0</v>
      </c>
      <c r="E108" s="133"/>
      <c r="F108" s="174"/>
      <c r="G108" s="133"/>
      <c r="H108" s="134"/>
      <c r="I108" s="13" t="s">
        <v>97</v>
      </c>
      <c r="J108" s="26">
        <f ca="1">H104</f>
        <v>22</v>
      </c>
    </row>
    <row r="109" spans="1:10" ht="15.75" hidden="1" customHeight="1" x14ac:dyDescent="0.35">
      <c r="A109" s="111" t="s">
        <v>125</v>
      </c>
      <c r="B109" s="112"/>
      <c r="C109" s="75">
        <v>0</v>
      </c>
      <c r="D109" s="76">
        <f ca="1">((100/(D104+F104+H104))*C109)/100</f>
        <v>0</v>
      </c>
      <c r="E109" s="133"/>
      <c r="F109" s="174"/>
      <c r="G109" s="133"/>
      <c r="H109" s="134"/>
      <c r="I109" s="13" t="s">
        <v>98</v>
      </c>
      <c r="J109" s="27">
        <f ca="1">(IF(B104&gt;1,(H104/(B104+2)),H104/4))</f>
        <v>5.5</v>
      </c>
    </row>
    <row r="110" spans="1:10" ht="15.75" hidden="1" customHeight="1" x14ac:dyDescent="0.35">
      <c r="A110" s="111" t="s">
        <v>132</v>
      </c>
      <c r="B110" s="112" t="s">
        <v>126</v>
      </c>
      <c r="C110" s="75">
        <v>0</v>
      </c>
      <c r="D110" s="76">
        <f ca="1">((100/H104)*C110)/100</f>
        <v>0</v>
      </c>
      <c r="E110" s="133"/>
      <c r="F110" s="174"/>
      <c r="G110" s="133"/>
      <c r="H110" s="134"/>
      <c r="I110" s="13" t="s">
        <v>99</v>
      </c>
      <c r="J110" s="27">
        <f ca="1">(IF(B104&gt;1,(H104/(B104+2)+J109),H104/4+J109))</f>
        <v>11</v>
      </c>
    </row>
    <row r="111" spans="1:10" ht="15.75" hidden="1" customHeight="1" x14ac:dyDescent="0.35">
      <c r="A111" s="111" t="s">
        <v>133</v>
      </c>
      <c r="B111" s="112" t="s">
        <v>126</v>
      </c>
      <c r="C111" s="75">
        <v>0</v>
      </c>
      <c r="D111" s="76">
        <f ca="1">((100/H104)*C111)/100</f>
        <v>0</v>
      </c>
      <c r="E111" s="133"/>
      <c r="F111" s="174"/>
      <c r="G111" s="133"/>
      <c r="H111" s="134"/>
      <c r="I111" s="13" t="s">
        <v>144</v>
      </c>
      <c r="J111" s="27">
        <f>(IF(B104&gt;1,(H104/(B104+2)+J110),0))</f>
        <v>0</v>
      </c>
    </row>
    <row r="112" spans="1:10" ht="15" hidden="1" customHeight="1" x14ac:dyDescent="0.35">
      <c r="A112" s="111" t="s">
        <v>131</v>
      </c>
      <c r="B112" s="112" t="s">
        <v>128</v>
      </c>
      <c r="C112" s="75">
        <v>0</v>
      </c>
      <c r="D112" s="76">
        <f ca="1">((100/(H104))*C112)/100</f>
        <v>0</v>
      </c>
      <c r="E112" s="133"/>
      <c r="F112" s="174"/>
      <c r="G112" s="133"/>
      <c r="H112" s="134"/>
      <c r="I112" s="13" t="s">
        <v>139</v>
      </c>
      <c r="J112" s="27">
        <f>(IF(B104&gt;2,(H104/(B104+2)+J111),0))</f>
        <v>0</v>
      </c>
    </row>
    <row r="113" spans="1:22" ht="15.75" hidden="1" customHeight="1" x14ac:dyDescent="0.35">
      <c r="A113" s="111" t="s">
        <v>127</v>
      </c>
      <c r="B113" s="112" t="s">
        <v>127</v>
      </c>
      <c r="C113" s="75">
        <v>0</v>
      </c>
      <c r="D113" s="76">
        <f ca="1">((100/H104)*C113)/100</f>
        <v>0</v>
      </c>
      <c r="E113" s="133"/>
      <c r="F113" s="174"/>
      <c r="G113" s="133"/>
      <c r="H113" s="134"/>
      <c r="I113" s="13" t="s">
        <v>140</v>
      </c>
      <c r="J113" s="28">
        <f>(IF(B104&gt;3,(H104/(B104+2)+J112),0))</f>
        <v>0</v>
      </c>
    </row>
    <row r="114" spans="1:22" ht="15.75" hidden="1" customHeight="1" x14ac:dyDescent="0.35">
      <c r="A114" s="111" t="s">
        <v>134</v>
      </c>
      <c r="B114" s="112"/>
      <c r="C114" s="75">
        <v>0</v>
      </c>
      <c r="D114" s="76">
        <f ca="1">((100/H104)*C114)/100</f>
        <v>0</v>
      </c>
      <c r="E114" s="133"/>
      <c r="F114" s="174"/>
      <c r="G114" s="133"/>
      <c r="H114" s="134"/>
      <c r="I114" s="13" t="s">
        <v>141</v>
      </c>
      <c r="J114" s="27">
        <f>(IF(B104&gt;4,(H104/(B104+2)+J113),0))</f>
        <v>0</v>
      </c>
    </row>
    <row r="115" spans="1:22" ht="15.75" hidden="1" customHeight="1" x14ac:dyDescent="0.35">
      <c r="A115" s="111" t="s">
        <v>129</v>
      </c>
      <c r="B115" s="112" t="s">
        <v>129</v>
      </c>
      <c r="C115" s="75">
        <v>0</v>
      </c>
      <c r="D115" s="76">
        <f ca="1">((100/(H104))*C115)/100</f>
        <v>0</v>
      </c>
      <c r="E115" s="133"/>
      <c r="F115" s="174"/>
      <c r="G115" s="133"/>
      <c r="H115" s="134"/>
      <c r="I115" s="13" t="s">
        <v>145</v>
      </c>
      <c r="J115" s="27">
        <f ca="1">(IF(B104=1,(H104/(B104+3)+J110),IF(B104=0,(H104/4+J110),IF(B104&gt;1,0))))</f>
        <v>16.5</v>
      </c>
    </row>
    <row r="116" spans="1:22" ht="16" hidden="1" thickBot="1" x14ac:dyDescent="0.4">
      <c r="A116" s="109" t="s">
        <v>130</v>
      </c>
      <c r="B116" s="110"/>
      <c r="C116" s="77">
        <v>0</v>
      </c>
      <c r="D116" s="78">
        <f ca="1">((100/(H104))*C116)/100</f>
        <v>0</v>
      </c>
      <c r="E116" s="135"/>
      <c r="F116" s="175"/>
      <c r="G116" s="135"/>
      <c r="H116" s="136"/>
      <c r="I116" s="14" t="s">
        <v>100</v>
      </c>
      <c r="J116" s="29">
        <f ca="1">(IF(B104&gt;1.5,(H104/(B104+2)+J110+MAX(0,J111-J110)+MAX(0,J112-J111)+MAX(0,J113-J112)+MAX(0,J114-J113)+MAX(0,J115-J114)),IF(B104=1,(H104/(B104+3)+J115),IF(B104=0,H104/4+J115))))</f>
        <v>22</v>
      </c>
    </row>
    <row r="117" spans="1:22" x14ac:dyDescent="0.35">
      <c r="A117" s="140" t="s">
        <v>155</v>
      </c>
      <c r="B117" s="140"/>
      <c r="C117" s="140"/>
      <c r="D117" s="140"/>
      <c r="E117" s="140"/>
      <c r="F117" s="197" t="s">
        <v>157</v>
      </c>
      <c r="G117" s="197"/>
      <c r="H117" s="197"/>
      <c r="R117" t="s">
        <v>249</v>
      </c>
      <c r="S117" t="s">
        <v>169</v>
      </c>
      <c r="T117" t="s">
        <v>175</v>
      </c>
      <c r="U117" t="s">
        <v>190</v>
      </c>
      <c r="V117" t="s">
        <v>185</v>
      </c>
    </row>
    <row r="118" spans="1:22" x14ac:dyDescent="0.35">
      <c r="A118" s="108" t="s">
        <v>156</v>
      </c>
      <c r="B118" s="108"/>
      <c r="C118" s="108"/>
      <c r="D118" s="108"/>
      <c r="E118" s="108"/>
      <c r="F118" s="137">
        <v>5750</v>
      </c>
      <c r="G118" s="137"/>
      <c r="H118" s="137"/>
      <c r="R118"/>
      <c r="S118">
        <v>800000</v>
      </c>
      <c r="T118">
        <v>150000</v>
      </c>
      <c r="U118">
        <v>100000</v>
      </c>
      <c r="V118">
        <v>100000</v>
      </c>
    </row>
    <row r="119" spans="1:22" x14ac:dyDescent="0.35">
      <c r="A119" s="108" t="s">
        <v>389</v>
      </c>
      <c r="B119" s="108"/>
      <c r="C119" s="108"/>
      <c r="D119" s="108"/>
      <c r="E119" s="108"/>
      <c r="F119" s="137">
        <v>7000</v>
      </c>
      <c r="G119" s="137"/>
      <c r="H119" s="137"/>
      <c r="R119"/>
      <c r="S119">
        <v>900000</v>
      </c>
      <c r="T119">
        <v>200000</v>
      </c>
      <c r="U119">
        <v>150000</v>
      </c>
      <c r="V119">
        <v>150000</v>
      </c>
    </row>
    <row r="120" spans="1:22" x14ac:dyDescent="0.35">
      <c r="A120" s="108" t="s">
        <v>388</v>
      </c>
      <c r="B120" s="108"/>
      <c r="C120" s="108"/>
      <c r="D120" s="108"/>
      <c r="E120" s="108"/>
      <c r="F120" s="137">
        <v>6000</v>
      </c>
      <c r="G120" s="137"/>
      <c r="H120" s="137"/>
      <c r="R120"/>
      <c r="S120">
        <v>1000000</v>
      </c>
      <c r="T120">
        <v>250000</v>
      </c>
      <c r="U120">
        <v>200000</v>
      </c>
      <c r="V120">
        <v>200000</v>
      </c>
    </row>
    <row r="121" spans="1:22" s="30" customFormat="1" hidden="1" x14ac:dyDescent="0.35">
      <c r="A121" s="108" t="s">
        <v>172</v>
      </c>
      <c r="B121" s="108"/>
      <c r="C121" s="108"/>
      <c r="D121" s="108"/>
      <c r="E121" s="108"/>
      <c r="F121" s="137"/>
      <c r="G121" s="137"/>
      <c r="H121" s="137"/>
      <c r="R121"/>
      <c r="S121">
        <v>1100000</v>
      </c>
      <c r="T121">
        <v>300000</v>
      </c>
      <c r="U121">
        <v>250000</v>
      </c>
      <c r="V121" s="20">
        <v>250000</v>
      </c>
    </row>
    <row r="122" spans="1:22" s="30" customFormat="1" hidden="1" x14ac:dyDescent="0.35">
      <c r="A122" s="108" t="s">
        <v>90</v>
      </c>
      <c r="B122" s="108"/>
      <c r="C122" s="108"/>
      <c r="D122" s="108"/>
      <c r="E122" s="108"/>
      <c r="F122" s="137"/>
      <c r="G122" s="137"/>
      <c r="H122" s="137"/>
      <c r="R122"/>
      <c r="S122">
        <v>1200000</v>
      </c>
      <c r="T122">
        <v>350000</v>
      </c>
      <c r="U122">
        <v>300000</v>
      </c>
      <c r="V122">
        <v>300000</v>
      </c>
    </row>
    <row r="123" spans="1:22" s="30" customFormat="1" x14ac:dyDescent="0.35">
      <c r="A123" s="108" t="s">
        <v>399</v>
      </c>
      <c r="B123" s="108"/>
      <c r="C123" s="108"/>
      <c r="D123" s="108"/>
      <c r="E123" s="108"/>
      <c r="F123" s="137">
        <v>300000</v>
      </c>
      <c r="G123" s="137"/>
      <c r="H123" s="137"/>
      <c r="I123" s="18" t="s">
        <v>400</v>
      </c>
      <c r="R123"/>
      <c r="S123">
        <v>1300000</v>
      </c>
      <c r="T123">
        <v>400000</v>
      </c>
      <c r="U123">
        <v>350000</v>
      </c>
      <c r="V123" s="20">
        <v>400000</v>
      </c>
    </row>
    <row r="124" spans="1:22" s="30" customFormat="1" hidden="1" x14ac:dyDescent="0.35">
      <c r="A124" s="108" t="s">
        <v>91</v>
      </c>
      <c r="B124" s="108"/>
      <c r="C124" s="108"/>
      <c r="D124" s="108"/>
      <c r="E124" s="108"/>
      <c r="F124" s="137"/>
      <c r="G124" s="137"/>
      <c r="H124" s="137"/>
      <c r="R124"/>
      <c r="S124">
        <v>1300000</v>
      </c>
      <c r="T124">
        <v>400000</v>
      </c>
      <c r="U124">
        <v>350000</v>
      </c>
      <c r="V124" s="20">
        <v>400000</v>
      </c>
    </row>
    <row r="125" spans="1:22" s="30" customFormat="1" hidden="1" x14ac:dyDescent="0.35">
      <c r="A125" s="108" t="s">
        <v>92</v>
      </c>
      <c r="B125" s="108"/>
      <c r="C125" s="108"/>
      <c r="D125" s="108"/>
      <c r="E125" s="108"/>
      <c r="F125" s="137"/>
      <c r="G125" s="137"/>
      <c r="H125" s="137"/>
      <c r="R125"/>
      <c r="S125">
        <v>1400000</v>
      </c>
      <c r="T125">
        <v>500000</v>
      </c>
      <c r="U125">
        <v>400000</v>
      </c>
      <c r="V125"/>
    </row>
    <row r="126" spans="1:22" s="30" customFormat="1" hidden="1" x14ac:dyDescent="0.35">
      <c r="A126" s="108" t="s">
        <v>93</v>
      </c>
      <c r="B126" s="108"/>
      <c r="C126" s="108"/>
      <c r="D126" s="108"/>
      <c r="E126" s="108"/>
      <c r="F126" s="137"/>
      <c r="G126" s="137"/>
      <c r="H126" s="137"/>
      <c r="R126"/>
      <c r="S126">
        <v>1500000</v>
      </c>
      <c r="T126">
        <v>600000</v>
      </c>
      <c r="U126">
        <v>500000</v>
      </c>
      <c r="V126" s="20"/>
    </row>
    <row r="127" spans="1:22" s="30" customFormat="1" hidden="1" x14ac:dyDescent="0.35">
      <c r="A127" s="108" t="s">
        <v>94</v>
      </c>
      <c r="B127" s="108"/>
      <c r="C127" s="108"/>
      <c r="D127" s="108"/>
      <c r="E127" s="108"/>
      <c r="F127" s="137"/>
      <c r="G127" s="137"/>
      <c r="H127" s="137"/>
      <c r="R127"/>
      <c r="S127">
        <v>1600000</v>
      </c>
      <c r="T127">
        <v>700000</v>
      </c>
      <c r="U127">
        <v>600000</v>
      </c>
      <c r="V127"/>
    </row>
    <row r="128" spans="1:22" s="30" customFormat="1" hidden="1" x14ac:dyDescent="0.35">
      <c r="A128" s="108" t="s">
        <v>95</v>
      </c>
      <c r="B128" s="108"/>
      <c r="C128" s="108"/>
      <c r="D128" s="108"/>
      <c r="E128" s="108"/>
      <c r="F128" s="137"/>
      <c r="G128" s="137"/>
      <c r="H128" s="137"/>
      <c r="R128"/>
      <c r="S128">
        <v>1700000</v>
      </c>
      <c r="T128">
        <v>800000</v>
      </c>
      <c r="U128"/>
      <c r="V128" s="20"/>
    </row>
    <row r="129" spans="1:22" x14ac:dyDescent="0.35">
      <c r="A129" s="108" t="s">
        <v>49</v>
      </c>
      <c r="B129" s="108"/>
      <c r="C129" s="108"/>
      <c r="D129" s="108"/>
      <c r="E129" s="108"/>
      <c r="F129" s="137">
        <v>300000</v>
      </c>
      <c r="G129" s="137"/>
      <c r="H129" s="137"/>
      <c r="R129"/>
      <c r="S129">
        <v>1800000</v>
      </c>
      <c r="T129">
        <v>900000</v>
      </c>
      <c r="U129"/>
    </row>
    <row r="130" spans="1:22" s="31" customFormat="1" x14ac:dyDescent="0.35">
      <c r="A130" s="156" t="s">
        <v>50</v>
      </c>
      <c r="B130" s="156"/>
      <c r="C130" s="156"/>
      <c r="D130" s="156"/>
      <c r="E130" s="156"/>
      <c r="F130" s="137">
        <f>F118*0.8</f>
        <v>4600</v>
      </c>
      <c r="G130" s="137"/>
      <c r="H130" s="137"/>
      <c r="R130" s="18"/>
      <c r="S130" s="18"/>
      <c r="T130">
        <v>1000000</v>
      </c>
      <c r="U130"/>
      <c r="V130" s="18"/>
    </row>
    <row r="131" spans="1:22" s="32" customFormat="1" ht="15.75" customHeight="1" x14ac:dyDescent="0.35">
      <c r="A131" s="120" t="s">
        <v>373</v>
      </c>
      <c r="B131" s="120"/>
      <c r="C131" s="120"/>
      <c r="D131" s="120"/>
      <c r="E131" s="120"/>
      <c r="F131" s="120"/>
      <c r="G131" s="120"/>
      <c r="H131" s="120"/>
      <c r="R131"/>
      <c r="S131" s="18"/>
      <c r="T131"/>
      <c r="U131"/>
      <c r="V131" s="18"/>
    </row>
    <row r="132" spans="1:22" s="32" customFormat="1" ht="15.75" customHeight="1" x14ac:dyDescent="0.35">
      <c r="A132" s="196" t="s">
        <v>51</v>
      </c>
      <c r="B132" s="196"/>
      <c r="C132" s="122" t="s">
        <v>73</v>
      </c>
      <c r="D132" s="122"/>
      <c r="E132" s="198" t="s">
        <v>52</v>
      </c>
      <c r="F132" s="198"/>
      <c r="G132" s="196" t="s">
        <v>53</v>
      </c>
      <c r="H132" s="196"/>
      <c r="R132"/>
      <c r="S132" s="18"/>
      <c r="T132"/>
      <c r="U132" s="18"/>
      <c r="V132" s="18"/>
    </row>
    <row r="133" spans="1:22" s="32" customFormat="1" x14ac:dyDescent="0.35">
      <c r="A133" s="194" t="s">
        <v>353</v>
      </c>
      <c r="B133" s="194"/>
      <c r="C133" s="118">
        <f>COUNT(F147:F156)</f>
        <v>10</v>
      </c>
      <c r="D133" s="119"/>
      <c r="E133" s="118">
        <f>SUM(F147:F156)</f>
        <v>4000.1607359999998</v>
      </c>
      <c r="F133" s="119"/>
      <c r="G133" s="118">
        <f>SUM(H147:H156)</f>
        <v>8409</v>
      </c>
      <c r="H133" s="119"/>
      <c r="R133"/>
      <c r="S133" s="18"/>
      <c r="T133"/>
      <c r="U133" s="18"/>
      <c r="V133" s="18"/>
    </row>
    <row r="134" spans="1:22" s="32" customFormat="1" hidden="1" x14ac:dyDescent="0.35">
      <c r="A134" s="194" t="s">
        <v>356</v>
      </c>
      <c r="B134" s="194"/>
      <c r="C134" s="118">
        <f>COUNT(F159:F189)+COUNT(F191:F192)</f>
        <v>33</v>
      </c>
      <c r="D134" s="119"/>
      <c r="E134" s="118">
        <f>SUM(F159:F189)+SUM(F191:F192)</f>
        <v>13187.563038</v>
      </c>
      <c r="F134" s="119"/>
      <c r="G134" s="118">
        <f>SUM(H159:H189)+SUM(H191:H192)</f>
        <v>27348</v>
      </c>
      <c r="H134" s="119"/>
      <c r="R134"/>
      <c r="S134" s="18"/>
      <c r="T134"/>
      <c r="U134" s="18"/>
      <c r="V134" s="18"/>
    </row>
    <row r="135" spans="1:22" s="32" customFormat="1" hidden="1" x14ac:dyDescent="0.35">
      <c r="A135" s="120" t="s">
        <v>148</v>
      </c>
      <c r="B135" s="120"/>
      <c r="C135" s="121">
        <f>SUM(C133:D134)</f>
        <v>43</v>
      </c>
      <c r="D135" s="122"/>
      <c r="E135" s="121">
        <f>SUM(E133:F134)</f>
        <v>17187.723773999998</v>
      </c>
      <c r="F135" s="122"/>
      <c r="G135" s="121">
        <f t="shared" ref="G135" si="0">SUM(G133:H134)</f>
        <v>35757</v>
      </c>
      <c r="H135" s="122"/>
      <c r="R135"/>
      <c r="S135" s="18"/>
      <c r="T135"/>
      <c r="U135" s="18"/>
      <c r="V135" s="18"/>
    </row>
    <row r="136" spans="1:22" s="32" customFormat="1" x14ac:dyDescent="0.35">
      <c r="A136" s="120" t="s">
        <v>374</v>
      </c>
      <c r="B136" s="120"/>
      <c r="C136" s="120"/>
      <c r="D136" s="120"/>
      <c r="E136" s="120"/>
      <c r="F136" s="120"/>
      <c r="G136" s="120"/>
      <c r="H136" s="120"/>
      <c r="T136"/>
    </row>
    <row r="137" spans="1:22" s="32" customFormat="1" ht="15.75" customHeight="1" x14ac:dyDescent="0.35">
      <c r="A137" s="196" t="s">
        <v>51</v>
      </c>
      <c r="B137" s="196"/>
      <c r="C137" s="122" t="s">
        <v>73</v>
      </c>
      <c r="D137" s="122"/>
      <c r="E137" s="198" t="s">
        <v>52</v>
      </c>
      <c r="F137" s="198"/>
      <c r="G137" s="196" t="s">
        <v>53</v>
      </c>
      <c r="H137" s="196"/>
      <c r="T137"/>
    </row>
    <row r="138" spans="1:22" s="32" customFormat="1" x14ac:dyDescent="0.35">
      <c r="A138" s="194" t="s">
        <v>353</v>
      </c>
      <c r="B138" s="194"/>
      <c r="C138" s="118">
        <f>COUNT(F204:F209)+COUNT(F215:F220)+COUNT(F226:F231)+COUNT(F236:F245)*16+COUNT(F247:F248,F250:F256)*3</f>
        <v>205</v>
      </c>
      <c r="D138" s="118"/>
      <c r="E138" s="118">
        <f>SUM(F204:F209)+SUM(F215:F220)+SUM(F226:F231)+SUM(F236:F245)*16+SUM(F247:F248,F250:F256)*3</f>
        <v>96947.903519999993</v>
      </c>
      <c r="F138" s="118"/>
      <c r="G138" s="118">
        <f t="shared" ref="G138" si="1">SUM(H204:H209)+SUM(H215:H220)+SUM(H226:H231)+SUM(H236:H245)*16+SUM(H247:H248,H250:H256)*3</f>
        <v>160812</v>
      </c>
      <c r="H138" s="118"/>
      <c r="T138"/>
    </row>
    <row r="139" spans="1:22" s="32" customFormat="1" ht="16" thickBot="1" x14ac:dyDescent="0.4">
      <c r="A139" s="113" t="s">
        <v>148</v>
      </c>
      <c r="B139" s="113"/>
      <c r="C139" s="114">
        <f>SUM(C138)</f>
        <v>205</v>
      </c>
      <c r="D139" s="115"/>
      <c r="E139" s="114">
        <f t="shared" ref="E139" si="2">SUM(E138)</f>
        <v>96947.903519999993</v>
      </c>
      <c r="F139" s="115"/>
      <c r="G139" s="114">
        <f t="shared" ref="G139" si="3">SUM(G138)</f>
        <v>160812</v>
      </c>
      <c r="H139" s="115"/>
      <c r="T139"/>
    </row>
    <row r="140" spans="1:22" s="32" customFormat="1" ht="16" thickBot="1" x14ac:dyDescent="0.4">
      <c r="A140" s="201" t="s">
        <v>163</v>
      </c>
      <c r="B140" s="202"/>
      <c r="C140" s="152">
        <f>C133+C139</f>
        <v>215</v>
      </c>
      <c r="D140" s="152"/>
      <c r="E140" s="152">
        <f>E133+E139</f>
        <v>100948.064256</v>
      </c>
      <c r="F140" s="152"/>
      <c r="G140" s="152">
        <f>G133+G139</f>
        <v>169221</v>
      </c>
      <c r="H140" s="152"/>
      <c r="T140"/>
    </row>
    <row r="141" spans="1:22" s="31" customFormat="1" x14ac:dyDescent="0.35">
      <c r="A141" s="197" t="s">
        <v>54</v>
      </c>
      <c r="B141" s="197"/>
      <c r="C141" s="197"/>
      <c r="D141" s="197"/>
      <c r="E141" s="197"/>
      <c r="F141" s="197"/>
      <c r="G141" s="197"/>
      <c r="H141" s="197"/>
      <c r="T141" s="32"/>
    </row>
    <row r="142" spans="1:22" s="20" customFormat="1" x14ac:dyDescent="0.35">
      <c r="A142" s="189" t="s">
        <v>171</v>
      </c>
      <c r="B142" s="189"/>
      <c r="C142" s="189"/>
      <c r="D142" s="189"/>
      <c r="E142" s="189"/>
      <c r="F142" s="189"/>
      <c r="G142" s="189"/>
      <c r="H142" s="189"/>
      <c r="T142" s="81"/>
    </row>
    <row r="143" spans="1:22" s="20" customFormat="1" ht="47.25" customHeight="1" x14ac:dyDescent="0.35">
      <c r="A143" s="138" t="s">
        <v>386</v>
      </c>
      <c r="B143" s="138" t="s">
        <v>173</v>
      </c>
      <c r="C143" s="138" t="s">
        <v>55</v>
      </c>
      <c r="D143" s="138" t="s">
        <v>228</v>
      </c>
      <c r="E143" s="144" t="s">
        <v>154</v>
      </c>
      <c r="F143" s="138" t="s">
        <v>56</v>
      </c>
      <c r="G143" s="144" t="s">
        <v>57</v>
      </c>
      <c r="H143" s="82" t="s">
        <v>379</v>
      </c>
      <c r="T143" s="81"/>
    </row>
    <row r="144" spans="1:22" s="83" customFormat="1" x14ac:dyDescent="0.35">
      <c r="A144" s="139"/>
      <c r="B144" s="139"/>
      <c r="C144" s="139"/>
      <c r="D144" s="139"/>
      <c r="E144" s="145"/>
      <c r="F144" s="139"/>
      <c r="G144" s="145"/>
      <c r="H144" s="79">
        <v>1.1000000000000001</v>
      </c>
      <c r="T144" s="81"/>
    </row>
    <row r="145" spans="1:20" s="34" customFormat="1" x14ac:dyDescent="0.35">
      <c r="A145" s="90" t="s">
        <v>353</v>
      </c>
      <c r="B145" s="91"/>
      <c r="C145" s="91"/>
      <c r="D145" s="91"/>
      <c r="E145" s="91"/>
      <c r="F145" s="91"/>
      <c r="G145" s="91"/>
      <c r="H145" s="92"/>
      <c r="J145" s="33"/>
      <c r="T145" s="32"/>
    </row>
    <row r="146" spans="1:20" s="34" customFormat="1" x14ac:dyDescent="0.35">
      <c r="A146" s="90" t="s">
        <v>354</v>
      </c>
      <c r="B146" s="91"/>
      <c r="C146" s="91"/>
      <c r="D146" s="91"/>
      <c r="E146" s="91"/>
      <c r="F146" s="91"/>
      <c r="G146" s="91"/>
      <c r="H146" s="92"/>
      <c r="J146" s="67">
        <f>10.764</f>
        <v>10.763999999999999</v>
      </c>
      <c r="T146" s="32"/>
    </row>
    <row r="147" spans="1:20" s="34" customFormat="1" ht="15.75" customHeight="1" x14ac:dyDescent="0.35">
      <c r="A147" s="87">
        <v>1</v>
      </c>
      <c r="B147" s="88"/>
      <c r="C147" s="39" t="s">
        <v>355</v>
      </c>
      <c r="D147" s="67">
        <f>(4.95*7.45)*(10.764)</f>
        <v>396.94941</v>
      </c>
      <c r="E147" s="39">
        <v>0</v>
      </c>
      <c r="F147" s="39">
        <f>D147+(IF(E147&lt;201,E147,IF(E147&lt;301,E147/2,E147/3)))</f>
        <v>396.94941</v>
      </c>
      <c r="G147" s="39">
        <v>0</v>
      </c>
      <c r="H147" s="39">
        <v>834</v>
      </c>
      <c r="I147" s="70">
        <f>834/F147</f>
        <v>2.1010234024532246</v>
      </c>
      <c r="L147" s="94"/>
      <c r="M147" s="94"/>
      <c r="N147" s="33"/>
      <c r="T147" s="32"/>
    </row>
    <row r="148" spans="1:20" s="34" customFormat="1" ht="15.75" customHeight="1" x14ac:dyDescent="0.35">
      <c r="A148" s="87">
        <f t="shared" ref="A148:A156" si="4">A147+1</f>
        <v>2</v>
      </c>
      <c r="B148" s="88"/>
      <c r="C148" s="39" t="s">
        <v>355</v>
      </c>
      <c r="D148" s="67">
        <f>(4.6*7.45)*(10.764)</f>
        <v>368.88227999999992</v>
      </c>
      <c r="E148" s="39">
        <v>0</v>
      </c>
      <c r="F148" s="39">
        <f t="shared" ref="F148:F150" si="5">D148+(IF(E148&lt;201,E148,IF(E148&lt;301,E148/2,E148/3)))</f>
        <v>368.88227999999992</v>
      </c>
      <c r="G148" s="39">
        <v>0</v>
      </c>
      <c r="H148" s="39">
        <f>776</f>
        <v>776</v>
      </c>
      <c r="I148" s="70">
        <f>776/F148</f>
        <v>2.1036521461535105</v>
      </c>
      <c r="L148" s="94"/>
      <c r="M148" s="94"/>
      <c r="N148" s="33"/>
      <c r="T148" s="31"/>
    </row>
    <row r="149" spans="1:20" s="34" customFormat="1" ht="15.75" customHeight="1" x14ac:dyDescent="0.35">
      <c r="A149" s="87">
        <f t="shared" si="4"/>
        <v>3</v>
      </c>
      <c r="B149" s="88"/>
      <c r="C149" s="39" t="s">
        <v>355</v>
      </c>
      <c r="D149" s="67">
        <f>(5.82*7.45)*(10.764)</f>
        <v>466.71627599999999</v>
      </c>
      <c r="E149" s="39">
        <v>0</v>
      </c>
      <c r="F149" s="39">
        <f t="shared" si="5"/>
        <v>466.71627599999999</v>
      </c>
      <c r="G149" s="39">
        <v>0</v>
      </c>
      <c r="H149" s="39">
        <f>980</f>
        <v>980</v>
      </c>
      <c r="I149" s="70">
        <f>980/F149</f>
        <v>2.0997767817293775</v>
      </c>
      <c r="L149" s="94"/>
      <c r="M149" s="94"/>
      <c r="N149" s="33"/>
      <c r="T149" s="18"/>
    </row>
    <row r="150" spans="1:20" s="34" customFormat="1" ht="15.75" customHeight="1" x14ac:dyDescent="0.35">
      <c r="A150" s="87">
        <f t="shared" si="4"/>
        <v>4</v>
      </c>
      <c r="B150" s="88"/>
      <c r="C150" s="39" t="s">
        <v>355</v>
      </c>
      <c r="D150" s="67">
        <f>(5.82*7.45)*(10.764)</f>
        <v>466.71627599999999</v>
      </c>
      <c r="E150" s="39">
        <v>0</v>
      </c>
      <c r="F150" s="39">
        <f t="shared" si="5"/>
        <v>466.71627599999999</v>
      </c>
      <c r="G150" s="39">
        <v>0</v>
      </c>
      <c r="H150" s="39">
        <f>980</f>
        <v>980</v>
      </c>
      <c r="I150" s="70">
        <f>980/F150</f>
        <v>2.0997767817293775</v>
      </c>
      <c r="L150" s="94"/>
      <c r="M150" s="94"/>
      <c r="N150" s="33"/>
      <c r="T150" s="18"/>
    </row>
    <row r="151" spans="1:20" s="34" customFormat="1" ht="15.75" customHeight="1" x14ac:dyDescent="0.35">
      <c r="A151" s="87">
        <f t="shared" si="4"/>
        <v>5</v>
      </c>
      <c r="B151" s="88"/>
      <c r="C151" s="39" t="s">
        <v>355</v>
      </c>
      <c r="D151" s="67">
        <f>(4.26*7.45)*(10.764)</f>
        <v>341.61706799999996</v>
      </c>
      <c r="E151" s="39">
        <v>0</v>
      </c>
      <c r="F151" s="39">
        <f t="shared" ref="F151:F153" si="6">D151+(IF(E151&lt;201,E151,IF(E151&lt;301,E151/2,E151/3)))</f>
        <v>341.61706799999996</v>
      </c>
      <c r="G151" s="39">
        <v>0</v>
      </c>
      <c r="H151" s="39">
        <f>717</f>
        <v>717</v>
      </c>
      <c r="I151" s="70">
        <f>717/F151</f>
        <v>2.0988412674977939</v>
      </c>
      <c r="L151" s="94"/>
      <c r="M151" s="94"/>
      <c r="N151" s="33"/>
      <c r="T151" s="31"/>
    </row>
    <row r="152" spans="1:20" s="34" customFormat="1" ht="15.75" customHeight="1" x14ac:dyDescent="0.35">
      <c r="A152" s="87">
        <f t="shared" si="4"/>
        <v>6</v>
      </c>
      <c r="B152" s="88"/>
      <c r="C152" s="39" t="s">
        <v>355</v>
      </c>
      <c r="D152" s="67">
        <f>(5.81*7.45)*(10.764)</f>
        <v>465.91435799999999</v>
      </c>
      <c r="E152" s="39">
        <v>0</v>
      </c>
      <c r="F152" s="39">
        <f t="shared" si="6"/>
        <v>465.91435799999999</v>
      </c>
      <c r="G152" s="39">
        <v>0</v>
      </c>
      <c r="H152" s="39">
        <f>980</f>
        <v>980</v>
      </c>
      <c r="I152" s="70">
        <f t="shared" ref="I152" si="7">980/F152</f>
        <v>2.1033908553640237</v>
      </c>
      <c r="L152" s="94"/>
      <c r="M152" s="94"/>
      <c r="N152" s="33"/>
      <c r="T152" s="18"/>
    </row>
    <row r="153" spans="1:20" s="34" customFormat="1" ht="15.75" customHeight="1" x14ac:dyDescent="0.35">
      <c r="A153" s="87">
        <f t="shared" si="4"/>
        <v>7</v>
      </c>
      <c r="B153" s="88"/>
      <c r="C153" s="39" t="s">
        <v>355</v>
      </c>
      <c r="D153" s="67">
        <f>(5.81*7.45)*(10.764)</f>
        <v>465.91435799999999</v>
      </c>
      <c r="E153" s="39">
        <v>0</v>
      </c>
      <c r="F153" s="39">
        <f t="shared" si="6"/>
        <v>465.91435799999999</v>
      </c>
      <c r="G153" s="39">
        <v>0</v>
      </c>
      <c r="H153" s="39">
        <f>980</f>
        <v>980</v>
      </c>
      <c r="I153" s="70">
        <f>980/F153</f>
        <v>2.1033908553640237</v>
      </c>
      <c r="L153" s="94"/>
      <c r="M153" s="94"/>
      <c r="N153" s="33"/>
      <c r="T153" s="18"/>
    </row>
    <row r="154" spans="1:20" s="34" customFormat="1" ht="15.75" customHeight="1" x14ac:dyDescent="0.35">
      <c r="A154" s="87">
        <f t="shared" si="4"/>
        <v>8</v>
      </c>
      <c r="B154" s="88"/>
      <c r="C154" s="39" t="s">
        <v>355</v>
      </c>
      <c r="D154" s="67">
        <f>(4.6*7.45)*(10.764)</f>
        <v>368.88227999999992</v>
      </c>
      <c r="E154" s="39">
        <v>0</v>
      </c>
      <c r="F154" s="39">
        <f t="shared" ref="F154:F155" si="8">D154+(IF(E154&lt;201,E154,IF(E154&lt;301,E154/2,E154/3)))</f>
        <v>368.88227999999992</v>
      </c>
      <c r="G154" s="39">
        <v>0</v>
      </c>
      <c r="H154" s="39">
        <f>776</f>
        <v>776</v>
      </c>
      <c r="I154" s="80">
        <f>776/F154</f>
        <v>2.1036521461535105</v>
      </c>
      <c r="L154" s="94"/>
      <c r="M154" s="94"/>
      <c r="N154" s="33"/>
      <c r="T154" s="18"/>
    </row>
    <row r="155" spans="1:20" s="34" customFormat="1" ht="15.75" customHeight="1" x14ac:dyDescent="0.35">
      <c r="A155" s="87">
        <f t="shared" si="4"/>
        <v>9</v>
      </c>
      <c r="B155" s="88"/>
      <c r="C155" s="39" t="s">
        <v>355</v>
      </c>
      <c r="D155" s="67">
        <f>(7.1*7.45)*(10.764)</f>
        <v>569.36177999999995</v>
      </c>
      <c r="E155" s="39">
        <v>0</v>
      </c>
      <c r="F155" s="39">
        <f t="shared" si="8"/>
        <v>569.36177999999995</v>
      </c>
      <c r="G155" s="39">
        <v>0</v>
      </c>
      <c r="H155" s="39">
        <f>1195</f>
        <v>1195</v>
      </c>
      <c r="I155" s="72">
        <f>1195/F155</f>
        <v>2.0988412674977939</v>
      </c>
      <c r="L155" s="94"/>
      <c r="M155" s="94"/>
      <c r="N155" s="33"/>
      <c r="T155" s="18"/>
    </row>
    <row r="156" spans="1:20" s="34" customFormat="1" ht="15.75" customHeight="1" x14ac:dyDescent="0.35">
      <c r="A156" s="87">
        <f t="shared" si="4"/>
        <v>10</v>
      </c>
      <c r="B156" s="88"/>
      <c r="C156" s="39" t="s">
        <v>355</v>
      </c>
      <c r="D156" s="67">
        <f>(1.95*4.25)*(10.764)</f>
        <v>89.206649999999996</v>
      </c>
      <c r="E156" s="39">
        <v>0</v>
      </c>
      <c r="F156" s="39">
        <f t="shared" ref="F156" si="9">D156+(IF(E156&lt;201,E156,IF(E156&lt;301,E156/2,E156/3)))</f>
        <v>89.206649999999996</v>
      </c>
      <c r="G156" s="39">
        <v>0</v>
      </c>
      <c r="H156" s="39">
        <f>191</f>
        <v>191</v>
      </c>
      <c r="I156" s="72">
        <f>191/F156</f>
        <v>2.1410959833151453</v>
      </c>
      <c r="L156" s="94"/>
      <c r="M156" s="94"/>
      <c r="N156" s="33"/>
      <c r="T156" s="18"/>
    </row>
    <row r="157" spans="1:20" s="34" customFormat="1" hidden="1" x14ac:dyDescent="0.35">
      <c r="A157" s="90" t="s">
        <v>356</v>
      </c>
      <c r="B157" s="91"/>
      <c r="C157" s="91"/>
      <c r="D157" s="91"/>
      <c r="E157" s="91"/>
      <c r="F157" s="91"/>
      <c r="G157" s="91"/>
      <c r="H157" s="92"/>
      <c r="J157" s="33"/>
      <c r="T157" s="32"/>
    </row>
    <row r="158" spans="1:20" s="34" customFormat="1" hidden="1" x14ac:dyDescent="0.35">
      <c r="A158" s="90" t="s">
        <v>354</v>
      </c>
      <c r="B158" s="91"/>
      <c r="C158" s="91"/>
      <c r="D158" s="91"/>
      <c r="E158" s="91"/>
      <c r="F158" s="91"/>
      <c r="G158" s="91"/>
      <c r="H158" s="92"/>
      <c r="J158" s="33"/>
      <c r="T158" s="32"/>
    </row>
    <row r="159" spans="1:20" s="34" customFormat="1" hidden="1" x14ac:dyDescent="0.35">
      <c r="A159" s="87">
        <v>11</v>
      </c>
      <c r="B159" s="88"/>
      <c r="C159" s="39" t="s">
        <v>355</v>
      </c>
      <c r="D159" s="69">
        <f>(115.199)*(10.764)</f>
        <v>1240.0020359999999</v>
      </c>
      <c r="E159" s="39">
        <v>0</v>
      </c>
      <c r="F159" s="39">
        <f t="shared" ref="F159" si="10">D159+(IF(E159&lt;201,E159,IF(E159&lt;301,E159/2,E159/3)))</f>
        <v>1240.0020359999999</v>
      </c>
      <c r="G159" s="39">
        <v>0</v>
      </c>
      <c r="H159" s="39">
        <f>2612</f>
        <v>2612</v>
      </c>
      <c r="I159" s="70">
        <f>2612/F159</f>
        <v>2.1064481542512565</v>
      </c>
      <c r="J159" s="33"/>
      <c r="L159" s="94"/>
      <c r="M159" s="94"/>
      <c r="N159" s="33"/>
      <c r="T159" s="31"/>
    </row>
    <row r="160" spans="1:20" s="34" customFormat="1" ht="15.75" hidden="1" customHeight="1" x14ac:dyDescent="0.35">
      <c r="A160" s="87">
        <v>12</v>
      </c>
      <c r="B160" s="88"/>
      <c r="C160" s="39" t="s">
        <v>355</v>
      </c>
      <c r="D160" s="67">
        <f>(3.35*13.9)*(10.764)</f>
        <v>501.22566</v>
      </c>
      <c r="E160" s="39">
        <v>0</v>
      </c>
      <c r="F160" s="39">
        <f>D160+(IF(E160&lt;201,E160,IF(E160&lt;301,E160/2,E160/3)))</f>
        <v>501.22566</v>
      </c>
      <c r="G160" s="39">
        <v>0</v>
      </c>
      <c r="H160" s="39">
        <f>1030</f>
        <v>1030</v>
      </c>
      <c r="I160" s="70">
        <f>1030/F160</f>
        <v>2.0549626290082594</v>
      </c>
      <c r="L160" s="94"/>
      <c r="M160" s="94"/>
      <c r="N160" s="33"/>
      <c r="T160" s="32"/>
    </row>
    <row r="161" spans="1:20" s="34" customFormat="1" ht="15.75" hidden="1" customHeight="1" x14ac:dyDescent="0.35">
      <c r="A161" s="87">
        <v>13</v>
      </c>
      <c r="B161" s="88"/>
      <c r="C161" s="39" t="s">
        <v>355</v>
      </c>
      <c r="D161" s="67">
        <f>(3.35*13.9)*(10.764)</f>
        <v>501.22566</v>
      </c>
      <c r="E161" s="39">
        <v>0</v>
      </c>
      <c r="F161" s="39">
        <f>D161+(IF(E161&lt;201,E161,IF(E161&lt;301,E161/2,E161/3)))</f>
        <v>501.22566</v>
      </c>
      <c r="G161" s="39">
        <v>0</v>
      </c>
      <c r="H161" s="39">
        <f>1030</f>
        <v>1030</v>
      </c>
      <c r="I161" s="70">
        <f>1030/F161</f>
        <v>2.0549626290082594</v>
      </c>
      <c r="L161" s="94"/>
      <c r="M161" s="94"/>
      <c r="N161" s="33"/>
      <c r="T161" s="32"/>
    </row>
    <row r="162" spans="1:20" s="34" customFormat="1" ht="15.75" hidden="1" customHeight="1" x14ac:dyDescent="0.35">
      <c r="A162" s="87">
        <v>14</v>
      </c>
      <c r="B162" s="88"/>
      <c r="C162" s="39" t="s">
        <v>355</v>
      </c>
      <c r="D162" s="67">
        <f>(5.44*7.45)*(10.764)</f>
        <v>436.24339200000003</v>
      </c>
      <c r="E162" s="39">
        <v>0</v>
      </c>
      <c r="F162" s="39">
        <f t="shared" ref="F162" si="11">D162+(IF(E162&lt;201,E162,IF(E162&lt;301,E162/2,E162/3)))</f>
        <v>436.24339200000003</v>
      </c>
      <c r="G162" s="39">
        <v>0</v>
      </c>
      <c r="H162" s="39">
        <f>923</f>
        <v>923</v>
      </c>
      <c r="I162" s="70">
        <f>923/F162</f>
        <v>2.1157913608007153</v>
      </c>
      <c r="L162" s="94"/>
      <c r="M162" s="94"/>
      <c r="N162" s="33"/>
      <c r="T162" s="31"/>
    </row>
    <row r="163" spans="1:20" s="34" customFormat="1" ht="15.75" hidden="1" customHeight="1" x14ac:dyDescent="0.35">
      <c r="A163" s="87">
        <v>15</v>
      </c>
      <c r="B163" s="88"/>
      <c r="C163" s="39" t="s">
        <v>355</v>
      </c>
      <c r="D163" s="67">
        <f>(4.95*7.45)*(10.764)</f>
        <v>396.94941</v>
      </c>
      <c r="E163" s="39">
        <v>0</v>
      </c>
      <c r="F163" s="39">
        <f>D163+(IF(E163&lt;201,E163,IF(E163&lt;301,E163/2,E163/3)))</f>
        <v>396.94941</v>
      </c>
      <c r="G163" s="39">
        <v>0</v>
      </c>
      <c r="H163" s="39">
        <f>835</f>
        <v>835</v>
      </c>
      <c r="I163" s="70">
        <f>835/F163</f>
        <v>2.1035426151659982</v>
      </c>
      <c r="L163" s="94"/>
      <c r="M163" s="94"/>
      <c r="N163" s="33"/>
      <c r="T163" s="32"/>
    </row>
    <row r="164" spans="1:20" s="34" customFormat="1" ht="15.75" hidden="1" customHeight="1" x14ac:dyDescent="0.35">
      <c r="A164" s="87">
        <v>16</v>
      </c>
      <c r="B164" s="88"/>
      <c r="C164" s="39" t="s">
        <v>355</v>
      </c>
      <c r="D164" s="67">
        <f>(4.86*7.45)*(10.764)</f>
        <v>389.732148</v>
      </c>
      <c r="E164" s="39">
        <v>0</v>
      </c>
      <c r="F164" s="39">
        <f t="shared" ref="F164" si="12">D164+(IF(E164&lt;201,E164,IF(E164&lt;301,E164/2,E164/3)))</f>
        <v>389.732148</v>
      </c>
      <c r="G164" s="39">
        <v>0</v>
      </c>
      <c r="H164" s="39">
        <f>776</f>
        <v>776</v>
      </c>
      <c r="I164" s="70">
        <f>776/F164</f>
        <v>1.9911110848366556</v>
      </c>
      <c r="L164" s="94"/>
      <c r="M164" s="94"/>
      <c r="N164" s="33"/>
      <c r="T164" s="31"/>
    </row>
    <row r="165" spans="1:20" s="34" customFormat="1" ht="15.75" hidden="1" customHeight="1" x14ac:dyDescent="0.35">
      <c r="A165" s="87">
        <v>17</v>
      </c>
      <c r="B165" s="88"/>
      <c r="C165" s="39" t="s">
        <v>355</v>
      </c>
      <c r="D165" s="67">
        <f>(2.86*7.45)*(10.764)</f>
        <v>229.34854799999997</v>
      </c>
      <c r="E165" s="39">
        <v>0</v>
      </c>
      <c r="F165" s="39">
        <f>D165+(IF(E165&lt;201,E165,IF(E165&lt;301,E165/2,E165/3)))</f>
        <v>229.34854799999997</v>
      </c>
      <c r="G165" s="39">
        <v>0</v>
      </c>
      <c r="H165" s="39">
        <f>482</f>
        <v>482</v>
      </c>
      <c r="I165" s="70">
        <f>482/F165</f>
        <v>2.1016047592330955</v>
      </c>
      <c r="L165" s="94"/>
      <c r="M165" s="94"/>
      <c r="N165" s="33"/>
      <c r="T165" s="32"/>
    </row>
    <row r="166" spans="1:20" s="34" customFormat="1" ht="15.75" hidden="1" customHeight="1" x14ac:dyDescent="0.35">
      <c r="A166" s="87" t="s">
        <v>372</v>
      </c>
      <c r="B166" s="88"/>
      <c r="C166" s="39" t="s">
        <v>355</v>
      </c>
      <c r="D166" s="67">
        <f>(2.86*7.45)*(10.764)</f>
        <v>229.34854799999997</v>
      </c>
      <c r="E166" s="39">
        <v>0</v>
      </c>
      <c r="F166" s="39">
        <f t="shared" ref="F166" si="13">D166+(IF(E166&lt;201,E166,IF(E166&lt;301,E166/2,E166/3)))</f>
        <v>229.34854799999997</v>
      </c>
      <c r="G166" s="39">
        <v>0</v>
      </c>
      <c r="H166" s="39">
        <f>482</f>
        <v>482</v>
      </c>
      <c r="I166" s="70">
        <f t="shared" ref="I166:I168" si="14">482/F166</f>
        <v>2.1016047592330955</v>
      </c>
      <c r="L166" s="94"/>
      <c r="M166" s="94"/>
      <c r="N166" s="33"/>
      <c r="T166" s="31"/>
    </row>
    <row r="167" spans="1:20" s="34" customFormat="1" ht="15.75" hidden="1" customHeight="1" x14ac:dyDescent="0.35">
      <c r="A167" s="87">
        <v>18</v>
      </c>
      <c r="B167" s="88"/>
      <c r="C167" s="39" t="s">
        <v>355</v>
      </c>
      <c r="D167" s="67">
        <f>(2.86*7.45)*(10.764)</f>
        <v>229.34854799999997</v>
      </c>
      <c r="E167" s="39">
        <v>0</v>
      </c>
      <c r="F167" s="39">
        <f>D167+(IF(E167&lt;201,E167,IF(E167&lt;301,E167/2,E167/3)))</f>
        <v>229.34854799999997</v>
      </c>
      <c r="G167" s="39">
        <v>0</v>
      </c>
      <c r="H167" s="39">
        <f>482</f>
        <v>482</v>
      </c>
      <c r="I167" s="70">
        <f t="shared" si="14"/>
        <v>2.1016047592330955</v>
      </c>
      <c r="L167" s="94"/>
      <c r="M167" s="94"/>
      <c r="N167" s="33"/>
      <c r="T167" s="32"/>
    </row>
    <row r="168" spans="1:20" s="34" customFormat="1" ht="15.75" hidden="1" customHeight="1" x14ac:dyDescent="0.35">
      <c r="A168" s="87" t="s">
        <v>371</v>
      </c>
      <c r="B168" s="88"/>
      <c r="C168" s="39" t="s">
        <v>355</v>
      </c>
      <c r="D168" s="67">
        <f>(2.86*7.45)*(10.764)</f>
        <v>229.34854799999997</v>
      </c>
      <c r="E168" s="39">
        <v>0</v>
      </c>
      <c r="F168" s="39">
        <f t="shared" ref="F168:F175" si="15">D168+(IF(E168&lt;201,E168,IF(E168&lt;301,E168/2,E168/3)))</f>
        <v>229.34854799999997</v>
      </c>
      <c r="G168" s="39">
        <v>0</v>
      </c>
      <c r="H168" s="39">
        <f>482</f>
        <v>482</v>
      </c>
      <c r="I168" s="70">
        <f t="shared" si="14"/>
        <v>2.1016047592330955</v>
      </c>
      <c r="L168" s="94"/>
      <c r="M168" s="94"/>
      <c r="N168" s="33"/>
      <c r="T168" s="31"/>
    </row>
    <row r="169" spans="1:20" s="34" customFormat="1" ht="15.75" hidden="1" customHeight="1" x14ac:dyDescent="0.35">
      <c r="A169" s="87">
        <v>19</v>
      </c>
      <c r="B169" s="88"/>
      <c r="C169" s="39" t="s">
        <v>355</v>
      </c>
      <c r="D169" s="67">
        <f>(4.56*7.45)*(10.764)</f>
        <v>365.67460799999998</v>
      </c>
      <c r="E169" s="39">
        <v>0</v>
      </c>
      <c r="F169" s="39">
        <f t="shared" si="15"/>
        <v>365.67460799999998</v>
      </c>
      <c r="G169" s="39">
        <v>0</v>
      </c>
      <c r="H169" s="39">
        <f>717</f>
        <v>717</v>
      </c>
      <c r="I169" s="70">
        <f>717/F169</f>
        <v>1.9607596051624128</v>
      </c>
      <c r="L169" s="94"/>
      <c r="M169" s="94"/>
      <c r="N169" s="33"/>
      <c r="T169" s="18"/>
    </row>
    <row r="170" spans="1:20" s="34" customFormat="1" ht="15.75" hidden="1" customHeight="1" x14ac:dyDescent="0.35">
      <c r="A170" s="87">
        <v>20</v>
      </c>
      <c r="B170" s="88"/>
      <c r="C170" s="39" t="s">
        <v>355</v>
      </c>
      <c r="D170" s="67">
        <f>(2.86*7.45)*(10.764)</f>
        <v>229.34854799999997</v>
      </c>
      <c r="E170" s="39">
        <v>0</v>
      </c>
      <c r="F170" s="39">
        <f t="shared" si="15"/>
        <v>229.34854799999997</v>
      </c>
      <c r="G170" s="39">
        <v>0</v>
      </c>
      <c r="H170" s="39">
        <f>482</f>
        <v>482</v>
      </c>
      <c r="I170" s="70">
        <f>482/F170</f>
        <v>2.1016047592330955</v>
      </c>
      <c r="L170" s="94"/>
      <c r="M170" s="94"/>
      <c r="N170" s="33"/>
      <c r="T170" s="18"/>
    </row>
    <row r="171" spans="1:20" s="34" customFormat="1" ht="15.75" hidden="1" customHeight="1" x14ac:dyDescent="0.35">
      <c r="A171" s="87" t="s">
        <v>370</v>
      </c>
      <c r="B171" s="88"/>
      <c r="C171" s="39" t="s">
        <v>355</v>
      </c>
      <c r="D171" s="67">
        <f>(2.86*7.45)*(10.764)</f>
        <v>229.34854799999997</v>
      </c>
      <c r="E171" s="39">
        <v>0</v>
      </c>
      <c r="F171" s="39">
        <f t="shared" si="15"/>
        <v>229.34854799999997</v>
      </c>
      <c r="G171" s="39">
        <v>0</v>
      </c>
      <c r="H171" s="39">
        <f>482</f>
        <v>482</v>
      </c>
      <c r="I171" s="70">
        <f t="shared" ref="I171:I173" si="16">482/F171</f>
        <v>2.1016047592330955</v>
      </c>
      <c r="L171" s="94"/>
      <c r="M171" s="94"/>
      <c r="N171" s="33"/>
      <c r="T171" s="31"/>
    </row>
    <row r="172" spans="1:20" s="34" customFormat="1" ht="15.75" hidden="1" customHeight="1" x14ac:dyDescent="0.35">
      <c r="A172" s="87">
        <v>21</v>
      </c>
      <c r="B172" s="88"/>
      <c r="C172" s="39" t="s">
        <v>355</v>
      </c>
      <c r="D172" s="67">
        <f>(2.86*7.45)*(10.764)</f>
        <v>229.34854799999997</v>
      </c>
      <c r="E172" s="39">
        <v>0</v>
      </c>
      <c r="F172" s="39">
        <f t="shared" si="15"/>
        <v>229.34854799999997</v>
      </c>
      <c r="G172" s="39">
        <v>0</v>
      </c>
      <c r="H172" s="39">
        <f>482</f>
        <v>482</v>
      </c>
      <c r="I172" s="70">
        <f t="shared" si="16"/>
        <v>2.1016047592330955</v>
      </c>
      <c r="L172" s="94"/>
      <c r="M172" s="94"/>
      <c r="N172" s="33"/>
      <c r="T172" s="18"/>
    </row>
    <row r="173" spans="1:20" s="34" customFormat="1" ht="15.75" hidden="1" customHeight="1" x14ac:dyDescent="0.35">
      <c r="A173" s="87" t="s">
        <v>369</v>
      </c>
      <c r="B173" s="88"/>
      <c r="C173" s="39" t="s">
        <v>355</v>
      </c>
      <c r="D173" s="67">
        <f>(2.86*7.45)*(10.764)</f>
        <v>229.34854799999997</v>
      </c>
      <c r="E173" s="39">
        <v>0</v>
      </c>
      <c r="F173" s="39">
        <f t="shared" si="15"/>
        <v>229.34854799999997</v>
      </c>
      <c r="G173" s="39">
        <v>0</v>
      </c>
      <c r="H173" s="39">
        <f>482</f>
        <v>482</v>
      </c>
      <c r="I173" s="70">
        <f t="shared" si="16"/>
        <v>2.1016047592330955</v>
      </c>
      <c r="L173" s="94"/>
      <c r="M173" s="94"/>
      <c r="N173" s="33"/>
      <c r="T173" s="18"/>
    </row>
    <row r="174" spans="1:20" s="34" customFormat="1" ht="15.75" hidden="1" customHeight="1" x14ac:dyDescent="0.35">
      <c r="A174" s="87">
        <v>22</v>
      </c>
      <c r="B174" s="88"/>
      <c r="C174" s="39" t="s">
        <v>355</v>
      </c>
      <c r="D174" s="67">
        <f>(4.63*7.45)*(10.764)</f>
        <v>371.28803399999993</v>
      </c>
      <c r="E174" s="39">
        <v>0</v>
      </c>
      <c r="F174" s="39">
        <f t="shared" si="15"/>
        <v>371.28803399999993</v>
      </c>
      <c r="G174" s="39">
        <v>0</v>
      </c>
      <c r="H174" s="39">
        <f>776</f>
        <v>776</v>
      </c>
      <c r="I174" s="70">
        <f t="shared" ref="I174:I188" si="17">776/F174</f>
        <v>2.0900215706924725</v>
      </c>
      <c r="L174" s="94"/>
      <c r="M174" s="94"/>
      <c r="N174" s="33"/>
      <c r="T174" s="18"/>
    </row>
    <row r="175" spans="1:20" s="34" customFormat="1" ht="15.75" hidden="1" customHeight="1" x14ac:dyDescent="0.35">
      <c r="A175" s="87">
        <v>23</v>
      </c>
      <c r="B175" s="88"/>
      <c r="C175" s="39" t="s">
        <v>355</v>
      </c>
      <c r="D175" s="67">
        <f>(4.95*7.45)*(10.764)</f>
        <v>396.94941</v>
      </c>
      <c r="E175" s="39">
        <v>0</v>
      </c>
      <c r="F175" s="39">
        <f t="shared" si="15"/>
        <v>396.94941</v>
      </c>
      <c r="G175" s="39">
        <v>0</v>
      </c>
      <c r="H175" s="39">
        <f>835</f>
        <v>835</v>
      </c>
      <c r="I175" s="70">
        <f>835/F175</f>
        <v>2.1035426151659982</v>
      </c>
      <c r="L175" s="94"/>
      <c r="M175" s="94"/>
      <c r="N175" s="33"/>
      <c r="T175" s="18"/>
    </row>
    <row r="176" spans="1:20" s="34" customFormat="1" ht="15.75" hidden="1" customHeight="1" x14ac:dyDescent="0.35">
      <c r="A176" s="87">
        <v>24</v>
      </c>
      <c r="B176" s="88"/>
      <c r="C176" s="39" t="s">
        <v>355</v>
      </c>
      <c r="D176" s="67">
        <f>(4.58*7.45)*(10.764)</f>
        <v>367.27844399999998</v>
      </c>
      <c r="E176" s="39">
        <v>0</v>
      </c>
      <c r="F176" s="39">
        <f t="shared" ref="F176:F182" si="18">D176+(IF(E176&lt;201,E176,IF(E176&lt;301,E176/2,E176/3)))</f>
        <v>367.27844399999998</v>
      </c>
      <c r="G176" s="39">
        <v>0</v>
      </c>
      <c r="H176" s="39">
        <f>750</f>
        <v>750</v>
      </c>
      <c r="I176" s="73">
        <f>750/F176</f>
        <v>2.0420474227450169</v>
      </c>
      <c r="L176" s="94"/>
      <c r="M176" s="94"/>
      <c r="N176" s="33"/>
      <c r="T176" s="18"/>
    </row>
    <row r="177" spans="1:20" s="34" customFormat="1" ht="15.75" hidden="1" customHeight="1" x14ac:dyDescent="0.35">
      <c r="A177" s="87">
        <v>25</v>
      </c>
      <c r="B177" s="88"/>
      <c r="C177" s="39" t="s">
        <v>355</v>
      </c>
      <c r="D177" s="67">
        <f>(4.85*7.45)*(10.764)</f>
        <v>388.93022999999999</v>
      </c>
      <c r="E177" s="39">
        <v>0</v>
      </c>
      <c r="F177" s="39">
        <f t="shared" si="18"/>
        <v>388.93022999999999</v>
      </c>
      <c r="G177" s="39">
        <v>0</v>
      </c>
      <c r="H177" s="39">
        <f>835</f>
        <v>835</v>
      </c>
      <c r="I177" s="70">
        <f>840/F177</f>
        <v>2.1597704040645027</v>
      </c>
      <c r="K177" s="66"/>
      <c r="L177" s="94"/>
      <c r="M177" s="94"/>
      <c r="N177" s="33"/>
      <c r="T177" s="18"/>
    </row>
    <row r="178" spans="1:20" s="34" customFormat="1" ht="15.75" hidden="1" customHeight="1" x14ac:dyDescent="0.35">
      <c r="A178" s="87">
        <v>26</v>
      </c>
      <c r="B178" s="88"/>
      <c r="C178" s="39" t="s">
        <v>355</v>
      </c>
      <c r="D178" s="67">
        <f>(4.6*7.45)*(10.764)</f>
        <v>368.88227999999992</v>
      </c>
      <c r="E178" s="39">
        <v>0</v>
      </c>
      <c r="F178" s="39">
        <f t="shared" si="18"/>
        <v>368.88227999999992</v>
      </c>
      <c r="G178" s="39">
        <v>0</v>
      </c>
      <c r="H178" s="39">
        <f>776</f>
        <v>776</v>
      </c>
      <c r="I178" s="70">
        <f t="shared" si="17"/>
        <v>2.1036521461535105</v>
      </c>
      <c r="L178" s="94"/>
      <c r="M178" s="94"/>
      <c r="N178" s="33"/>
      <c r="T178" s="31"/>
    </row>
    <row r="179" spans="1:20" s="34" customFormat="1" ht="15.75" hidden="1" customHeight="1" x14ac:dyDescent="0.35">
      <c r="A179" s="87">
        <v>27</v>
      </c>
      <c r="B179" s="88"/>
      <c r="C179" s="39" t="s">
        <v>355</v>
      </c>
      <c r="D179" s="67">
        <f>(2.86*7.45)*(10.764)</f>
        <v>229.34854799999997</v>
      </c>
      <c r="E179" s="39">
        <v>0</v>
      </c>
      <c r="F179" s="39">
        <f t="shared" si="18"/>
        <v>229.34854799999997</v>
      </c>
      <c r="G179" s="39">
        <v>0</v>
      </c>
      <c r="H179" s="39">
        <f>482</f>
        <v>482</v>
      </c>
      <c r="I179" s="70">
        <f>482/F179</f>
        <v>2.1016047592330955</v>
      </c>
      <c r="L179" s="94"/>
      <c r="M179" s="94"/>
      <c r="N179" s="33"/>
      <c r="T179" s="18"/>
    </row>
    <row r="180" spans="1:20" s="34" customFormat="1" ht="15.75" hidden="1" customHeight="1" x14ac:dyDescent="0.35">
      <c r="A180" s="87" t="s">
        <v>368</v>
      </c>
      <c r="B180" s="88"/>
      <c r="C180" s="39" t="s">
        <v>355</v>
      </c>
      <c r="D180" s="67">
        <f>(2.86*7.45)*(10.764)</f>
        <v>229.34854799999997</v>
      </c>
      <c r="E180" s="39">
        <v>0</v>
      </c>
      <c r="F180" s="39">
        <f t="shared" si="18"/>
        <v>229.34854799999997</v>
      </c>
      <c r="G180" s="39">
        <v>0</v>
      </c>
      <c r="H180" s="39">
        <f>482</f>
        <v>482</v>
      </c>
      <c r="I180" s="70">
        <f>482/F180</f>
        <v>2.1016047592330955</v>
      </c>
      <c r="L180" s="94"/>
      <c r="M180" s="94"/>
      <c r="N180" s="33"/>
      <c r="T180" s="18"/>
    </row>
    <row r="181" spans="1:20" s="34" customFormat="1" ht="15.75" hidden="1" customHeight="1" x14ac:dyDescent="0.35">
      <c r="A181" s="87">
        <v>28</v>
      </c>
      <c r="B181" s="88"/>
      <c r="C181" s="39" t="s">
        <v>355</v>
      </c>
      <c r="D181" s="67">
        <f>(2.86*7.45)*(10.764)</f>
        <v>229.34854799999997</v>
      </c>
      <c r="E181" s="39">
        <v>0</v>
      </c>
      <c r="F181" s="39">
        <f t="shared" si="18"/>
        <v>229.34854799999997</v>
      </c>
      <c r="G181" s="39">
        <v>0</v>
      </c>
      <c r="H181" s="39">
        <f>482</f>
        <v>482</v>
      </c>
      <c r="I181" s="70">
        <f t="shared" ref="I181:I182" si="19">482/F181</f>
        <v>2.1016047592330955</v>
      </c>
      <c r="L181" s="94"/>
      <c r="M181" s="94"/>
      <c r="N181" s="33"/>
      <c r="T181" s="18"/>
    </row>
    <row r="182" spans="1:20" s="34" customFormat="1" ht="15.75" hidden="1" customHeight="1" x14ac:dyDescent="0.35">
      <c r="A182" s="87" t="s">
        <v>367</v>
      </c>
      <c r="B182" s="88"/>
      <c r="C182" s="39" t="s">
        <v>355</v>
      </c>
      <c r="D182" s="67">
        <f>(2.86*7.45)*(10.764)</f>
        <v>229.34854799999997</v>
      </c>
      <c r="E182" s="39">
        <v>0</v>
      </c>
      <c r="F182" s="39">
        <f t="shared" si="18"/>
        <v>229.34854799999997</v>
      </c>
      <c r="G182" s="39">
        <v>0</v>
      </c>
      <c r="H182" s="39">
        <f>482</f>
        <v>482</v>
      </c>
      <c r="I182" s="70">
        <f t="shared" si="19"/>
        <v>2.1016047592330955</v>
      </c>
      <c r="L182" s="94"/>
      <c r="M182" s="94"/>
      <c r="N182" s="33"/>
      <c r="T182" s="18"/>
    </row>
    <row r="183" spans="1:20" s="34" customFormat="1" ht="15.75" hidden="1" customHeight="1" x14ac:dyDescent="0.35">
      <c r="A183" s="87">
        <v>29</v>
      </c>
      <c r="B183" s="88"/>
      <c r="C183" s="39" t="s">
        <v>355</v>
      </c>
      <c r="D183" s="67">
        <f>(4.05*7.45)*(10.764)</f>
        <v>324.77678999999995</v>
      </c>
      <c r="E183" s="39">
        <v>0</v>
      </c>
      <c r="F183" s="39">
        <f t="shared" ref="F183:F189" si="20">D183+(IF(E183&lt;201,E183,IF(E183&lt;301,E183/2,E183/3)))</f>
        <v>324.77678999999995</v>
      </c>
      <c r="G183" s="39">
        <v>0</v>
      </c>
      <c r="H183" s="39">
        <f>717</f>
        <v>717</v>
      </c>
      <c r="I183" s="70">
        <f>717/F183</f>
        <v>2.2076700739606427</v>
      </c>
      <c r="L183" s="94"/>
      <c r="M183" s="94"/>
      <c r="N183" s="33"/>
      <c r="T183" s="18"/>
    </row>
    <row r="184" spans="1:20" s="34" customFormat="1" ht="15.75" hidden="1" customHeight="1" x14ac:dyDescent="0.35">
      <c r="A184" s="87">
        <v>30</v>
      </c>
      <c r="B184" s="88"/>
      <c r="C184" s="39" t="s">
        <v>355</v>
      </c>
      <c r="D184" s="67">
        <f>(2.86*7.45)*(10.764)</f>
        <v>229.34854799999997</v>
      </c>
      <c r="E184" s="39">
        <v>0</v>
      </c>
      <c r="F184" s="39">
        <f t="shared" si="20"/>
        <v>229.34854799999997</v>
      </c>
      <c r="G184" s="39">
        <v>0</v>
      </c>
      <c r="H184" s="39">
        <f>482</f>
        <v>482</v>
      </c>
      <c r="I184" s="70">
        <f>482/F184</f>
        <v>2.1016047592330955</v>
      </c>
      <c r="L184" s="94"/>
      <c r="M184" s="94"/>
      <c r="N184" s="33"/>
      <c r="T184" s="18"/>
    </row>
    <row r="185" spans="1:20" s="34" customFormat="1" ht="15.75" hidden="1" customHeight="1" x14ac:dyDescent="0.35">
      <c r="A185" s="87" t="s">
        <v>366</v>
      </c>
      <c r="B185" s="88"/>
      <c r="C185" s="39" t="s">
        <v>355</v>
      </c>
      <c r="D185" s="67">
        <f>(2.86*7.45)*(10.764)</f>
        <v>229.34854799999997</v>
      </c>
      <c r="E185" s="39">
        <v>0</v>
      </c>
      <c r="F185" s="39">
        <f t="shared" si="20"/>
        <v>229.34854799999997</v>
      </c>
      <c r="G185" s="39">
        <v>0</v>
      </c>
      <c r="H185" s="39">
        <f>482</f>
        <v>482</v>
      </c>
      <c r="I185" s="70">
        <f t="shared" ref="I185:I187" si="21">482/F185</f>
        <v>2.1016047592330955</v>
      </c>
      <c r="L185" s="94"/>
      <c r="M185" s="94"/>
      <c r="N185" s="33"/>
      <c r="T185" s="31"/>
    </row>
    <row r="186" spans="1:20" s="34" customFormat="1" ht="15.75" hidden="1" customHeight="1" x14ac:dyDescent="0.35">
      <c r="A186" s="87">
        <v>31</v>
      </c>
      <c r="B186" s="88"/>
      <c r="C186" s="39" t="s">
        <v>355</v>
      </c>
      <c r="D186" s="67">
        <f>(2.86*7.45)*(10.764)</f>
        <v>229.34854799999997</v>
      </c>
      <c r="E186" s="39">
        <v>0</v>
      </c>
      <c r="F186" s="39">
        <f t="shared" si="20"/>
        <v>229.34854799999997</v>
      </c>
      <c r="G186" s="39">
        <v>0</v>
      </c>
      <c r="H186" s="39">
        <f>482</f>
        <v>482</v>
      </c>
      <c r="I186" s="70">
        <f t="shared" si="21"/>
        <v>2.1016047592330955</v>
      </c>
      <c r="L186" s="94"/>
      <c r="M186" s="94"/>
      <c r="N186" s="33"/>
      <c r="T186" s="18"/>
    </row>
    <row r="187" spans="1:20" s="34" customFormat="1" ht="15.75" hidden="1" customHeight="1" x14ac:dyDescent="0.35">
      <c r="A187" s="87" t="s">
        <v>365</v>
      </c>
      <c r="B187" s="88"/>
      <c r="C187" s="39" t="s">
        <v>355</v>
      </c>
      <c r="D187" s="67">
        <f>(2.86*7.45)*(10.764)</f>
        <v>229.34854799999997</v>
      </c>
      <c r="E187" s="39">
        <v>0</v>
      </c>
      <c r="F187" s="39">
        <f t="shared" si="20"/>
        <v>229.34854799999997</v>
      </c>
      <c r="G187" s="39">
        <v>0</v>
      </c>
      <c r="H187" s="39">
        <f>482</f>
        <v>482</v>
      </c>
      <c r="I187" s="70">
        <f t="shared" si="21"/>
        <v>2.1016047592330955</v>
      </c>
      <c r="L187" s="94"/>
      <c r="M187" s="94"/>
      <c r="N187" s="33"/>
      <c r="T187" s="18"/>
    </row>
    <row r="188" spans="1:20" s="34" customFormat="1" ht="15.75" hidden="1" customHeight="1" x14ac:dyDescent="0.35">
      <c r="A188" s="87">
        <v>32</v>
      </c>
      <c r="B188" s="88"/>
      <c r="C188" s="39" t="s">
        <v>355</v>
      </c>
      <c r="D188" s="67">
        <f>(4.55*7.45)*(10.764)</f>
        <v>364.87268999999998</v>
      </c>
      <c r="E188" s="39">
        <v>0</v>
      </c>
      <c r="F188" s="39">
        <f t="shared" si="20"/>
        <v>364.87268999999998</v>
      </c>
      <c r="G188" s="39">
        <v>0</v>
      </c>
      <c r="H188" s="39">
        <f>776</f>
        <v>776</v>
      </c>
      <c r="I188" s="70">
        <f t="shared" si="17"/>
        <v>2.1267692027046476</v>
      </c>
      <c r="L188" s="94"/>
      <c r="M188" s="94"/>
      <c r="N188" s="33"/>
      <c r="T188" s="18"/>
    </row>
    <row r="189" spans="1:20" s="34" customFormat="1" ht="15.75" hidden="1" customHeight="1" x14ac:dyDescent="0.35">
      <c r="A189" s="87">
        <f t="shared" ref="A189" si="22">A188+1</f>
        <v>33</v>
      </c>
      <c r="B189" s="88"/>
      <c r="C189" s="39" t="s">
        <v>355</v>
      </c>
      <c r="D189" s="67">
        <f>(4.95*7.45)*(10.764)</f>
        <v>396.94941</v>
      </c>
      <c r="E189" s="39">
        <v>0</v>
      </c>
      <c r="F189" s="39">
        <f t="shared" si="20"/>
        <v>396.94941</v>
      </c>
      <c r="G189" s="39">
        <v>0</v>
      </c>
      <c r="H189" s="39">
        <f>834</f>
        <v>834</v>
      </c>
      <c r="I189" s="70">
        <f>834/F189</f>
        <v>2.1010234024532246</v>
      </c>
      <c r="L189" s="94"/>
      <c r="M189" s="94"/>
      <c r="N189" s="33"/>
      <c r="T189" s="18"/>
    </row>
    <row r="190" spans="1:20" s="34" customFormat="1" hidden="1" x14ac:dyDescent="0.35">
      <c r="A190" s="90" t="s">
        <v>376</v>
      </c>
      <c r="B190" s="91"/>
      <c r="C190" s="91"/>
      <c r="D190" s="91"/>
      <c r="E190" s="91"/>
      <c r="F190" s="91"/>
      <c r="G190" s="91"/>
      <c r="H190" s="92"/>
      <c r="J190" s="33"/>
      <c r="T190" s="32"/>
    </row>
    <row r="191" spans="1:20" s="34" customFormat="1" ht="15.75" hidden="1" customHeight="1" x14ac:dyDescent="0.35">
      <c r="A191" s="87">
        <v>1</v>
      </c>
      <c r="B191" s="88"/>
      <c r="C191" s="39" t="s">
        <v>355</v>
      </c>
      <c r="D191" s="67">
        <f>(110.368)*(10.764)</f>
        <v>1188.0011519999998</v>
      </c>
      <c r="E191" s="39">
        <v>0</v>
      </c>
      <c r="F191" s="39">
        <f>D191+(IF(E191&lt;201,E191,IF(E191&lt;301,E191/2,E191/3)))</f>
        <v>1188.0011519999998</v>
      </c>
      <c r="G191" s="39">
        <v>0</v>
      </c>
      <c r="H191" s="39">
        <f>2376</f>
        <v>2376</v>
      </c>
      <c r="I191" s="67">
        <f>(87.8+5.9*1.6+11.34)</f>
        <v>108.58</v>
      </c>
      <c r="J191" s="34">
        <f>2376/F191</f>
        <v>1.9999980606079415</v>
      </c>
      <c r="L191" s="94"/>
      <c r="M191" s="94"/>
      <c r="N191" s="33"/>
      <c r="T191" s="32"/>
    </row>
    <row r="192" spans="1:20" s="34" customFormat="1" ht="15.75" hidden="1" customHeight="1" x14ac:dyDescent="0.35">
      <c r="A192" s="87">
        <v>2</v>
      </c>
      <c r="B192" s="88"/>
      <c r="C192" s="39" t="s">
        <v>355</v>
      </c>
      <c r="D192" s="67">
        <f>(141.119)*(10.764)</f>
        <v>1519.0049159999999</v>
      </c>
      <c r="E192" s="39">
        <v>0</v>
      </c>
      <c r="F192" s="39">
        <f>D192+(IF(E192&lt;201,E192,IF(E192&lt;301,E192/2,E192/3)))</f>
        <v>1519.0049159999999</v>
      </c>
      <c r="G192" s="39">
        <v>0</v>
      </c>
      <c r="H192" s="39">
        <f>3038</f>
        <v>3038</v>
      </c>
      <c r="I192" s="68">
        <f>(10.25*13.65)</f>
        <v>139.91249999999999</v>
      </c>
      <c r="J192" s="34">
        <f>3038/F192</f>
        <v>1.9999935273415537</v>
      </c>
      <c r="L192" s="94"/>
      <c r="M192" s="94"/>
      <c r="N192" s="33"/>
      <c r="T192" s="32"/>
    </row>
    <row r="193" spans="1:20" s="34" customFormat="1" hidden="1" x14ac:dyDescent="0.35">
      <c r="A193" s="90" t="s">
        <v>115</v>
      </c>
      <c r="B193" s="91"/>
      <c r="C193" s="91"/>
      <c r="D193" s="91"/>
      <c r="E193" s="91"/>
      <c r="F193" s="91"/>
      <c r="G193" s="91"/>
      <c r="H193" s="92"/>
      <c r="J193" s="33"/>
      <c r="T193" s="32"/>
    </row>
    <row r="194" spans="1:20" s="34" customFormat="1" ht="15.75" hidden="1" customHeight="1" x14ac:dyDescent="0.35">
      <c r="A194" s="87">
        <v>1</v>
      </c>
      <c r="B194" s="88"/>
      <c r="C194" s="39"/>
      <c r="D194" s="39">
        <v>0</v>
      </c>
      <c r="E194" s="39">
        <v>0</v>
      </c>
      <c r="F194" s="39">
        <f>D194+(IF(E194&lt;201,E194,IF(E194&lt;301,E194/2,E194/3)))</f>
        <v>0</v>
      </c>
      <c r="G194" s="39">
        <v>0</v>
      </c>
      <c r="H194" s="39">
        <f>(F194+(IF(G194&lt;101,G194,IF(G194&lt;201,G194/2,IF(G194&lt;=301,G194/3,G194/4)))))*(($H$144)+1)</f>
        <v>0</v>
      </c>
      <c r="I194" s="33"/>
      <c r="L194" s="94"/>
      <c r="M194" s="94"/>
      <c r="N194" s="33"/>
      <c r="T194" s="32"/>
    </row>
    <row r="195" spans="1:20" s="34" customFormat="1" ht="15.75" hidden="1" customHeight="1" x14ac:dyDescent="0.35">
      <c r="A195" s="87">
        <f>A194+1</f>
        <v>2</v>
      </c>
      <c r="B195" s="88"/>
      <c r="C195" s="39"/>
      <c r="D195" s="39"/>
      <c r="E195" s="39">
        <v>0</v>
      </c>
      <c r="F195" s="39">
        <f t="shared" ref="F195:F197" si="23">D195+(IF(E195&lt;201,E195,IF(E195&lt;301,E195/2,E195/3)))</f>
        <v>0</v>
      </c>
      <c r="G195" s="39">
        <v>0</v>
      </c>
      <c r="H195" s="39">
        <f t="shared" ref="H195:H197" si="24">(F195+(IF(G195&lt;101,G195,IF(G195&lt;201,G195/2,IF(G195&lt;=301,G195/3,G195/4)))))*(($H$144)+1)</f>
        <v>0</v>
      </c>
      <c r="I195" s="33"/>
      <c r="L195" s="94"/>
      <c r="M195" s="94"/>
      <c r="N195" s="33"/>
      <c r="T195" s="31"/>
    </row>
    <row r="196" spans="1:20" s="34" customFormat="1" ht="15.75" hidden="1" customHeight="1" x14ac:dyDescent="0.35">
      <c r="A196" s="87">
        <f>A195+1</f>
        <v>3</v>
      </c>
      <c r="B196" s="88"/>
      <c r="C196" s="39"/>
      <c r="D196" s="39"/>
      <c r="E196" s="39">
        <v>0</v>
      </c>
      <c r="F196" s="39">
        <f t="shared" si="23"/>
        <v>0</v>
      </c>
      <c r="G196" s="39">
        <v>0</v>
      </c>
      <c r="H196" s="39">
        <f t="shared" si="24"/>
        <v>0</v>
      </c>
      <c r="I196" s="33"/>
      <c r="L196" s="94"/>
      <c r="M196" s="94"/>
      <c r="N196" s="33"/>
      <c r="T196" s="18"/>
    </row>
    <row r="197" spans="1:20" s="34" customFormat="1" ht="15.75" hidden="1" customHeight="1" x14ac:dyDescent="0.35">
      <c r="A197" s="87">
        <f>A196+1</f>
        <v>4</v>
      </c>
      <c r="B197" s="88"/>
      <c r="C197" s="39"/>
      <c r="D197" s="39"/>
      <c r="E197" s="39">
        <v>0</v>
      </c>
      <c r="F197" s="39">
        <f t="shared" si="23"/>
        <v>0</v>
      </c>
      <c r="G197" s="39">
        <v>0</v>
      </c>
      <c r="H197" s="39">
        <f t="shared" si="24"/>
        <v>0</v>
      </c>
      <c r="I197" s="33"/>
      <c r="L197" s="94"/>
      <c r="M197" s="94"/>
      <c r="N197" s="33"/>
      <c r="T197" s="18"/>
    </row>
    <row r="198" spans="1:20" s="34" customFormat="1" x14ac:dyDescent="0.35">
      <c r="A198" s="87"/>
      <c r="B198" s="95"/>
      <c r="C198" s="95"/>
      <c r="D198" s="95"/>
      <c r="E198" s="95"/>
      <c r="F198" s="95"/>
      <c r="G198" s="95"/>
      <c r="H198" s="88"/>
      <c r="I198" s="33"/>
      <c r="N198" s="33"/>
    </row>
    <row r="199" spans="1:20" ht="47.25" customHeight="1" x14ac:dyDescent="0.35">
      <c r="A199" s="199" t="s">
        <v>117</v>
      </c>
      <c r="B199" s="148" t="s">
        <v>174</v>
      </c>
      <c r="C199" s="148" t="s">
        <v>55</v>
      </c>
      <c r="D199" s="138" t="s">
        <v>228</v>
      </c>
      <c r="E199" s="148" t="s">
        <v>384</v>
      </c>
      <c r="F199" s="148" t="s">
        <v>56</v>
      </c>
      <c r="G199" s="150" t="s">
        <v>57</v>
      </c>
      <c r="H199" s="56" t="s">
        <v>379</v>
      </c>
      <c r="I199" s="33"/>
      <c r="T199" s="34"/>
    </row>
    <row r="200" spans="1:20" s="34" customFormat="1" x14ac:dyDescent="0.35">
      <c r="A200" s="200"/>
      <c r="B200" s="149"/>
      <c r="C200" s="149"/>
      <c r="D200" s="139"/>
      <c r="E200" s="149"/>
      <c r="F200" s="149"/>
      <c r="G200" s="151"/>
      <c r="H200" s="79">
        <v>0.65</v>
      </c>
      <c r="I200" s="33"/>
    </row>
    <row r="201" spans="1:20" s="34" customFormat="1" x14ac:dyDescent="0.35">
      <c r="A201" s="90" t="s">
        <v>353</v>
      </c>
      <c r="B201" s="91"/>
      <c r="C201" s="91"/>
      <c r="D201" s="91"/>
      <c r="E201" s="91"/>
      <c r="F201" s="91"/>
      <c r="G201" s="91"/>
      <c r="H201" s="92"/>
      <c r="J201" s="33"/>
      <c r="T201" s="32"/>
    </row>
    <row r="202" spans="1:20" s="34" customFormat="1" x14ac:dyDescent="0.35">
      <c r="A202" s="93" t="s">
        <v>357</v>
      </c>
      <c r="B202" s="93"/>
      <c r="C202" s="93"/>
      <c r="D202" s="93"/>
      <c r="E202" s="93"/>
      <c r="F202" s="93"/>
      <c r="G202" s="93"/>
      <c r="H202" s="93"/>
      <c r="I202" s="33"/>
      <c r="K202" s="71">
        <f>1034/F204</f>
        <v>1.9242977541472523</v>
      </c>
      <c r="L202" s="94"/>
      <c r="M202" s="94"/>
    </row>
    <row r="203" spans="1:20" s="34" customFormat="1" x14ac:dyDescent="0.35">
      <c r="A203" s="89">
        <v>1</v>
      </c>
      <c r="B203" s="89"/>
      <c r="C203" s="87" t="s">
        <v>385</v>
      </c>
      <c r="D203" s="95"/>
      <c r="E203" s="95"/>
      <c r="F203" s="95"/>
      <c r="G203" s="95"/>
      <c r="H203" s="88"/>
      <c r="I203" s="33">
        <f>(4.6*3.1+2.1*3.35+2.75*3.35+3.5*3.1+0.9*1.3+1.25*2.1+2.25*1.25)</f>
        <v>47.965000000000003</v>
      </c>
      <c r="K203" s="71">
        <f>737/F204</f>
        <v>1.3715739311475097</v>
      </c>
      <c r="N203" s="33"/>
    </row>
    <row r="204" spans="1:20" s="34" customFormat="1" x14ac:dyDescent="0.35">
      <c r="A204" s="89">
        <v>2</v>
      </c>
      <c r="B204" s="89"/>
      <c r="C204" s="39" t="s">
        <v>358</v>
      </c>
      <c r="D204" s="67">
        <f>(49.92)*(10.764)</f>
        <v>537.33888000000002</v>
      </c>
      <c r="E204" s="67">
        <f>0*(10.764)</f>
        <v>0</v>
      </c>
      <c r="F204" s="39">
        <f t="shared" ref="F204:F209" si="25">D204+E204</f>
        <v>537.33888000000002</v>
      </c>
      <c r="G204" s="67">
        <f>(2.3*4.05+1.95*4.05+6*(2.1+2.75))*(10.764)</f>
        <v>498.50774999999999</v>
      </c>
      <c r="H204" s="39">
        <v>1034</v>
      </c>
      <c r="I204" s="33">
        <f>(4.6*3.1+2.1*3.35+2.75*3.35+3.5*3.1+0.9*1.3+1.25*2.1+2.25*1.25)</f>
        <v>47.965000000000003</v>
      </c>
      <c r="K204" s="71">
        <f>737/F205</f>
        <v>1.9200496534740239</v>
      </c>
      <c r="N204" s="33"/>
    </row>
    <row r="205" spans="1:20" s="34" customFormat="1" x14ac:dyDescent="0.35">
      <c r="A205" s="89">
        <f t="shared" ref="A205:A212" si="26">A204+1</f>
        <v>3</v>
      </c>
      <c r="B205" s="89"/>
      <c r="C205" s="39" t="s">
        <v>359</v>
      </c>
      <c r="D205" s="67">
        <f>(29.91)*(10.764)</f>
        <v>321.95123999999998</v>
      </c>
      <c r="E205" s="67">
        <f>(5.75)*(10.764)</f>
        <v>61.892999999999994</v>
      </c>
      <c r="F205" s="39">
        <f t="shared" si="25"/>
        <v>383.84423999999996</v>
      </c>
      <c r="G205" s="67">
        <f>(1.95*4.05+0.75*(3.5+2.2))*(10.764)</f>
        <v>131.02479</v>
      </c>
      <c r="H205" s="39">
        <v>737</v>
      </c>
      <c r="I205" s="33">
        <f>(4.3*3.1+2.15*2.05+3.5*2.05+1.2*1.2+1*1.35+1*0.9)</f>
        <v>28.602500000000003</v>
      </c>
      <c r="J205" s="34">
        <f>1*(3.5+2.15)</f>
        <v>5.65</v>
      </c>
      <c r="K205" s="71">
        <f t="shared" ref="K205:K207" si="27">737/F206</f>
        <v>1.9200496534740239</v>
      </c>
      <c r="N205" s="33"/>
    </row>
    <row r="206" spans="1:20" s="34" customFormat="1" x14ac:dyDescent="0.35">
      <c r="A206" s="89">
        <f t="shared" si="26"/>
        <v>4</v>
      </c>
      <c r="B206" s="89"/>
      <c r="C206" s="39" t="s">
        <v>359</v>
      </c>
      <c r="D206" s="67">
        <f>(29.91)*(10.764)</f>
        <v>321.95123999999998</v>
      </c>
      <c r="E206" s="67">
        <f>(5.75)*(10.764)</f>
        <v>61.892999999999994</v>
      </c>
      <c r="F206" s="39">
        <f t="shared" si="25"/>
        <v>383.84423999999996</v>
      </c>
      <c r="G206" s="67">
        <f>(1.95*4.05+0.75*(3.5+2.2))*(10.764)</f>
        <v>131.02479</v>
      </c>
      <c r="H206" s="39">
        <v>737</v>
      </c>
      <c r="I206" s="33"/>
      <c r="K206" s="71">
        <f t="shared" si="27"/>
        <v>1.9200496534740239</v>
      </c>
      <c r="N206" s="33"/>
    </row>
    <row r="207" spans="1:20" s="34" customFormat="1" x14ac:dyDescent="0.35">
      <c r="A207" s="89">
        <f t="shared" si="26"/>
        <v>5</v>
      </c>
      <c r="B207" s="89"/>
      <c r="C207" s="39" t="s">
        <v>359</v>
      </c>
      <c r="D207" s="67">
        <f>(29.91)*(10.764)</f>
        <v>321.95123999999998</v>
      </c>
      <c r="E207" s="67">
        <f>(5.75)*(10.764)</f>
        <v>61.892999999999994</v>
      </c>
      <c r="F207" s="39">
        <f t="shared" si="25"/>
        <v>383.84423999999996</v>
      </c>
      <c r="G207" s="67">
        <f>(1.95*4.05+0.75*(3.5+2.2))*(10.764)</f>
        <v>131.02479</v>
      </c>
      <c r="H207" s="39">
        <v>737</v>
      </c>
      <c r="I207" s="33"/>
      <c r="K207" s="71">
        <f t="shared" si="27"/>
        <v>1.9200496534740239</v>
      </c>
      <c r="N207" s="33"/>
    </row>
    <row r="208" spans="1:20" s="34" customFormat="1" x14ac:dyDescent="0.35">
      <c r="A208" s="89">
        <f t="shared" si="26"/>
        <v>6</v>
      </c>
      <c r="B208" s="89"/>
      <c r="C208" s="39" t="s">
        <v>359</v>
      </c>
      <c r="D208" s="67">
        <f>(29.91)*(10.764)</f>
        <v>321.95123999999998</v>
      </c>
      <c r="E208" s="67">
        <f>(5.75)*(10.764)</f>
        <v>61.892999999999994</v>
      </c>
      <c r="F208" s="39">
        <f t="shared" si="25"/>
        <v>383.84423999999996</v>
      </c>
      <c r="G208" s="67">
        <f>(1.95*4.05+0.75*(3.5+2.2))*(10.764)</f>
        <v>131.02479</v>
      </c>
      <c r="H208" s="39">
        <v>737</v>
      </c>
      <c r="I208" s="33"/>
      <c r="K208" s="71">
        <f>737/F208</f>
        <v>1.9200496534740239</v>
      </c>
      <c r="N208" s="33"/>
    </row>
    <row r="209" spans="1:14" s="34" customFormat="1" x14ac:dyDescent="0.35">
      <c r="A209" s="89">
        <f t="shared" si="26"/>
        <v>7</v>
      </c>
      <c r="B209" s="89"/>
      <c r="C209" s="39" t="s">
        <v>358</v>
      </c>
      <c r="D209" s="67">
        <f>(49.92)*(10.764)</f>
        <v>537.33888000000002</v>
      </c>
      <c r="E209" s="67">
        <f>0*(10.764)</f>
        <v>0</v>
      </c>
      <c r="F209" s="39">
        <f t="shared" si="25"/>
        <v>537.33888000000002</v>
      </c>
      <c r="G209" s="67">
        <f>(2.3*4.05+0.6*(2.75+2.1))*(10.764)</f>
        <v>131.5899</v>
      </c>
      <c r="H209" s="39">
        <f>1034</f>
        <v>1034</v>
      </c>
      <c r="I209" s="33"/>
      <c r="K209" s="71">
        <f>1034/F209</f>
        <v>1.9242977541472523</v>
      </c>
      <c r="N209" s="33"/>
    </row>
    <row r="210" spans="1:14" s="34" customFormat="1" x14ac:dyDescent="0.35">
      <c r="A210" s="89">
        <f t="shared" si="26"/>
        <v>8</v>
      </c>
      <c r="B210" s="89"/>
      <c r="C210" s="96" t="s">
        <v>385</v>
      </c>
      <c r="D210" s="97"/>
      <c r="E210" s="97"/>
      <c r="F210" s="97"/>
      <c r="G210" s="97"/>
      <c r="H210" s="98"/>
      <c r="I210" s="33"/>
      <c r="K210" s="71" t="e">
        <f t="shared" ref="K210" si="28">737/F211</f>
        <v>#DIV/0!</v>
      </c>
      <c r="N210" s="33"/>
    </row>
    <row r="211" spans="1:14" s="34" customFormat="1" x14ac:dyDescent="0.35">
      <c r="A211" s="89">
        <f t="shared" si="26"/>
        <v>9</v>
      </c>
      <c r="B211" s="89"/>
      <c r="C211" s="99"/>
      <c r="D211" s="100"/>
      <c r="E211" s="100"/>
      <c r="F211" s="100"/>
      <c r="G211" s="100"/>
      <c r="H211" s="101"/>
      <c r="I211" s="33"/>
      <c r="K211" s="71" t="e">
        <f>737/F211</f>
        <v>#DIV/0!</v>
      </c>
      <c r="N211" s="33"/>
    </row>
    <row r="212" spans="1:14" s="34" customFormat="1" x14ac:dyDescent="0.35">
      <c r="A212" s="89">
        <f t="shared" si="26"/>
        <v>10</v>
      </c>
      <c r="B212" s="89"/>
      <c r="C212" s="102"/>
      <c r="D212" s="103"/>
      <c r="E212" s="103"/>
      <c r="F212" s="103"/>
      <c r="G212" s="103"/>
      <c r="H212" s="104"/>
      <c r="I212" s="33"/>
      <c r="K212" s="71" t="e">
        <f>1034/F212</f>
        <v>#DIV/0!</v>
      </c>
      <c r="N212" s="33"/>
    </row>
    <row r="213" spans="1:14" s="34" customFormat="1" x14ac:dyDescent="0.35">
      <c r="A213" s="93" t="s">
        <v>360</v>
      </c>
      <c r="B213" s="93"/>
      <c r="C213" s="93"/>
      <c r="D213" s="93"/>
      <c r="E213" s="93"/>
      <c r="F213" s="93"/>
      <c r="G213" s="93"/>
      <c r="H213" s="93"/>
      <c r="I213" s="33"/>
      <c r="L213" s="94"/>
      <c r="M213" s="94"/>
    </row>
    <row r="214" spans="1:14" s="34" customFormat="1" x14ac:dyDescent="0.35">
      <c r="A214" s="89">
        <v>1</v>
      </c>
      <c r="B214" s="89"/>
      <c r="C214" s="87" t="s">
        <v>385</v>
      </c>
      <c r="D214" s="95"/>
      <c r="E214" s="95"/>
      <c r="F214" s="95"/>
      <c r="G214" s="95"/>
      <c r="H214" s="88"/>
      <c r="I214" s="33">
        <f>(4.6*3.1+2.1*3.35+2.75*3.35+3.5*3.1+0.9*1.3+1.25*2.1+2.25*1.25)</f>
        <v>47.965000000000003</v>
      </c>
      <c r="K214" s="71">
        <f>737/F215</f>
        <v>1.3715739311475097</v>
      </c>
      <c r="N214" s="33"/>
    </row>
    <row r="215" spans="1:14" s="34" customFormat="1" x14ac:dyDescent="0.35">
      <c r="A215" s="89">
        <v>2</v>
      </c>
      <c r="B215" s="89"/>
      <c r="C215" s="39" t="s">
        <v>358</v>
      </c>
      <c r="D215" s="67">
        <f>(49.92)*(10.764)</f>
        <v>537.33888000000002</v>
      </c>
      <c r="E215" s="67">
        <f>0*(10.764)</f>
        <v>0</v>
      </c>
      <c r="F215" s="39">
        <f t="shared" ref="F215:F220" si="29">D215+E215</f>
        <v>537.33888000000002</v>
      </c>
      <c r="G215" s="39">
        <v>0</v>
      </c>
      <c r="H215" s="39">
        <f>888</f>
        <v>888</v>
      </c>
      <c r="I215" s="33"/>
      <c r="J215" s="71">
        <f>H215/F215</f>
        <v>1.6525884000800388</v>
      </c>
      <c r="N215" s="33"/>
    </row>
    <row r="216" spans="1:14" s="34" customFormat="1" x14ac:dyDescent="0.35">
      <c r="A216" s="89">
        <f t="shared" ref="A216:A223" si="30">A215+1</f>
        <v>3</v>
      </c>
      <c r="B216" s="89"/>
      <c r="C216" s="39" t="s">
        <v>359</v>
      </c>
      <c r="D216" s="67">
        <f>(29.91)*(10.764)</f>
        <v>321.95123999999998</v>
      </c>
      <c r="E216" s="67">
        <f>(5.75)*(10.764)</f>
        <v>61.892999999999994</v>
      </c>
      <c r="F216" s="39">
        <f t="shared" si="29"/>
        <v>383.84423999999996</v>
      </c>
      <c r="G216" s="39">
        <v>0</v>
      </c>
      <c r="H216" s="39">
        <f>634</f>
        <v>634</v>
      </c>
      <c r="I216" s="33"/>
      <c r="J216" s="71">
        <f t="shared" ref="J216:J220" si="31">H216/F216</f>
        <v>1.6517116422015348</v>
      </c>
      <c r="N216" s="33"/>
    </row>
    <row r="217" spans="1:14" s="34" customFormat="1" x14ac:dyDescent="0.35">
      <c r="A217" s="89">
        <f t="shared" si="30"/>
        <v>4</v>
      </c>
      <c r="B217" s="89"/>
      <c r="C217" s="39" t="s">
        <v>359</v>
      </c>
      <c r="D217" s="67">
        <f>(29.91)*(10.764)</f>
        <v>321.95123999999998</v>
      </c>
      <c r="E217" s="67">
        <f>(5.75)*(10.764)</f>
        <v>61.892999999999994</v>
      </c>
      <c r="F217" s="39">
        <f t="shared" si="29"/>
        <v>383.84423999999996</v>
      </c>
      <c r="G217" s="39">
        <v>0</v>
      </c>
      <c r="H217" s="39">
        <f>634</f>
        <v>634</v>
      </c>
      <c r="I217" s="33"/>
      <c r="J217" s="71">
        <f t="shared" si="31"/>
        <v>1.6517116422015348</v>
      </c>
      <c r="N217" s="33"/>
    </row>
    <row r="218" spans="1:14" s="34" customFormat="1" x14ac:dyDescent="0.35">
      <c r="A218" s="89">
        <f t="shared" si="30"/>
        <v>5</v>
      </c>
      <c r="B218" s="89"/>
      <c r="C218" s="39" t="s">
        <v>359</v>
      </c>
      <c r="D218" s="67">
        <f>(29.91)*(10.764)</f>
        <v>321.95123999999998</v>
      </c>
      <c r="E218" s="67">
        <f>(5.75)*(10.764)</f>
        <v>61.892999999999994</v>
      </c>
      <c r="F218" s="39">
        <f t="shared" si="29"/>
        <v>383.84423999999996</v>
      </c>
      <c r="G218" s="39">
        <v>0</v>
      </c>
      <c r="H218" s="39">
        <f>634</f>
        <v>634</v>
      </c>
      <c r="I218" s="33"/>
      <c r="J218" s="71">
        <f t="shared" si="31"/>
        <v>1.6517116422015348</v>
      </c>
      <c r="N218" s="33"/>
    </row>
    <row r="219" spans="1:14" s="34" customFormat="1" x14ac:dyDescent="0.35">
      <c r="A219" s="89">
        <f t="shared" si="30"/>
        <v>6</v>
      </c>
      <c r="B219" s="89"/>
      <c r="C219" s="39" t="s">
        <v>359</v>
      </c>
      <c r="D219" s="67">
        <f>(29.91)*(10.764)</f>
        <v>321.95123999999998</v>
      </c>
      <c r="E219" s="67">
        <f>(5.75)*(10.764)</f>
        <v>61.892999999999994</v>
      </c>
      <c r="F219" s="39">
        <f t="shared" si="29"/>
        <v>383.84423999999996</v>
      </c>
      <c r="G219" s="39">
        <v>0</v>
      </c>
      <c r="H219" s="39">
        <f>634</f>
        <v>634</v>
      </c>
      <c r="I219" s="33"/>
      <c r="J219" s="71">
        <f t="shared" si="31"/>
        <v>1.6517116422015348</v>
      </c>
      <c r="N219" s="33"/>
    </row>
    <row r="220" spans="1:14" s="34" customFormat="1" x14ac:dyDescent="0.35">
      <c r="A220" s="89">
        <f t="shared" si="30"/>
        <v>7</v>
      </c>
      <c r="B220" s="89"/>
      <c r="C220" s="39" t="s">
        <v>358</v>
      </c>
      <c r="D220" s="67">
        <f>(49.92)*(10.764)</f>
        <v>537.33888000000002</v>
      </c>
      <c r="E220" s="67">
        <f>0*(10.764)</f>
        <v>0</v>
      </c>
      <c r="F220" s="39">
        <f t="shared" si="29"/>
        <v>537.33888000000002</v>
      </c>
      <c r="G220" s="39">
        <v>0</v>
      </c>
      <c r="H220" s="39">
        <f>888</f>
        <v>888</v>
      </c>
      <c r="I220" s="33"/>
      <c r="J220" s="71">
        <f t="shared" si="31"/>
        <v>1.6525884000800388</v>
      </c>
      <c r="N220" s="33"/>
    </row>
    <row r="221" spans="1:14" s="34" customFormat="1" x14ac:dyDescent="0.35">
      <c r="A221" s="89">
        <f t="shared" si="30"/>
        <v>8</v>
      </c>
      <c r="B221" s="89"/>
      <c r="C221" s="96" t="s">
        <v>385</v>
      </c>
      <c r="D221" s="97"/>
      <c r="E221" s="97"/>
      <c r="F221" s="97"/>
      <c r="G221" s="97"/>
      <c r="H221" s="98"/>
      <c r="I221" s="33"/>
      <c r="K221" s="71" t="e">
        <f t="shared" ref="K221" si="32">737/F222</f>
        <v>#DIV/0!</v>
      </c>
      <c r="N221" s="33"/>
    </row>
    <row r="222" spans="1:14" s="34" customFormat="1" x14ac:dyDescent="0.35">
      <c r="A222" s="89">
        <f t="shared" si="30"/>
        <v>9</v>
      </c>
      <c r="B222" s="89"/>
      <c r="C222" s="99"/>
      <c r="D222" s="100"/>
      <c r="E222" s="100"/>
      <c r="F222" s="100"/>
      <c r="G222" s="100"/>
      <c r="H222" s="101"/>
      <c r="I222" s="33"/>
      <c r="K222" s="71" t="e">
        <f>737/F222</f>
        <v>#DIV/0!</v>
      </c>
      <c r="N222" s="33"/>
    </row>
    <row r="223" spans="1:14" s="34" customFormat="1" x14ac:dyDescent="0.35">
      <c r="A223" s="89">
        <f t="shared" si="30"/>
        <v>10</v>
      </c>
      <c r="B223" s="89"/>
      <c r="C223" s="102"/>
      <c r="D223" s="103"/>
      <c r="E223" s="103"/>
      <c r="F223" s="103"/>
      <c r="G223" s="103"/>
      <c r="H223" s="104"/>
      <c r="I223" s="33"/>
      <c r="K223" s="71" t="e">
        <f>1034/F223</f>
        <v>#DIV/0!</v>
      </c>
      <c r="N223" s="33"/>
    </row>
    <row r="224" spans="1:14" s="34" customFormat="1" x14ac:dyDescent="0.35">
      <c r="A224" s="93" t="s">
        <v>361</v>
      </c>
      <c r="B224" s="93"/>
      <c r="C224" s="93"/>
      <c r="D224" s="93"/>
      <c r="E224" s="93"/>
      <c r="F224" s="93"/>
      <c r="G224" s="93"/>
      <c r="H224" s="93"/>
      <c r="I224" s="33"/>
      <c r="L224" s="94"/>
      <c r="M224" s="94"/>
    </row>
    <row r="225" spans="1:14" s="34" customFormat="1" x14ac:dyDescent="0.35">
      <c r="A225" s="89">
        <v>1</v>
      </c>
      <c r="B225" s="89"/>
      <c r="C225" s="87" t="s">
        <v>385</v>
      </c>
      <c r="D225" s="95"/>
      <c r="E225" s="95"/>
      <c r="F225" s="95"/>
      <c r="G225" s="95"/>
      <c r="H225" s="88"/>
      <c r="I225" s="33">
        <f>(4.6*3.1+2.1*3.35+2.75*3.35+3.5*3.1+0.9*1.3+1.25*2.1+2.25*1.25)</f>
        <v>47.965000000000003</v>
      </c>
      <c r="K225" s="71">
        <f>737/F226</f>
        <v>1.3715739311475097</v>
      </c>
      <c r="N225" s="33"/>
    </row>
    <row r="226" spans="1:14" s="34" customFormat="1" x14ac:dyDescent="0.35">
      <c r="A226" s="89">
        <v>2</v>
      </c>
      <c r="B226" s="89"/>
      <c r="C226" s="39" t="s">
        <v>358</v>
      </c>
      <c r="D226" s="67">
        <f>(49.92)*(10.764)</f>
        <v>537.33888000000002</v>
      </c>
      <c r="E226" s="67">
        <f>0*(10.764)</f>
        <v>0</v>
      </c>
      <c r="F226" s="39">
        <f t="shared" ref="F226:F231" si="33">D226+E226</f>
        <v>537.33888000000002</v>
      </c>
      <c r="G226" s="39">
        <v>0</v>
      </c>
      <c r="H226" s="39">
        <f>888</f>
        <v>888</v>
      </c>
      <c r="I226" s="33"/>
      <c r="N226" s="33"/>
    </row>
    <row r="227" spans="1:14" s="34" customFormat="1" x14ac:dyDescent="0.35">
      <c r="A227" s="89">
        <f t="shared" ref="A227:A234" si="34">A226+1</f>
        <v>3</v>
      </c>
      <c r="B227" s="89"/>
      <c r="C227" s="39" t="s">
        <v>359</v>
      </c>
      <c r="D227" s="67">
        <f>(29.91)*(10.764)</f>
        <v>321.95123999999998</v>
      </c>
      <c r="E227" s="67">
        <f>(5.75)*(10.764)</f>
        <v>61.892999999999994</v>
      </c>
      <c r="F227" s="39">
        <f t="shared" si="33"/>
        <v>383.84423999999996</v>
      </c>
      <c r="G227" s="39">
        <v>0</v>
      </c>
      <c r="H227" s="39">
        <f>634</f>
        <v>634</v>
      </c>
      <c r="I227" s="33"/>
      <c r="N227" s="33"/>
    </row>
    <row r="228" spans="1:14" s="34" customFormat="1" x14ac:dyDescent="0.35">
      <c r="A228" s="89">
        <f t="shared" si="34"/>
        <v>4</v>
      </c>
      <c r="B228" s="89"/>
      <c r="C228" s="39" t="s">
        <v>359</v>
      </c>
      <c r="D228" s="67">
        <f>(29.91)*(10.764)</f>
        <v>321.95123999999998</v>
      </c>
      <c r="E228" s="67">
        <f>(5.75)*(10.764)</f>
        <v>61.892999999999994</v>
      </c>
      <c r="F228" s="39">
        <f t="shared" si="33"/>
        <v>383.84423999999996</v>
      </c>
      <c r="G228" s="39">
        <v>0</v>
      </c>
      <c r="H228" s="39">
        <f>634</f>
        <v>634</v>
      </c>
      <c r="I228" s="33"/>
      <c r="N228" s="33"/>
    </row>
    <row r="229" spans="1:14" s="34" customFormat="1" x14ac:dyDescent="0.35">
      <c r="A229" s="89">
        <f t="shared" si="34"/>
        <v>5</v>
      </c>
      <c r="B229" s="89"/>
      <c r="C229" s="39" t="s">
        <v>359</v>
      </c>
      <c r="D229" s="67">
        <f>(29.91)*(10.764)</f>
        <v>321.95123999999998</v>
      </c>
      <c r="E229" s="67">
        <f>(5.75)*(10.764)</f>
        <v>61.892999999999994</v>
      </c>
      <c r="F229" s="39">
        <f t="shared" si="33"/>
        <v>383.84423999999996</v>
      </c>
      <c r="G229" s="39">
        <v>0</v>
      </c>
      <c r="H229" s="39">
        <f>634</f>
        <v>634</v>
      </c>
      <c r="I229" s="33"/>
      <c r="N229" s="33"/>
    </row>
    <row r="230" spans="1:14" s="34" customFormat="1" x14ac:dyDescent="0.35">
      <c r="A230" s="89">
        <f t="shared" si="34"/>
        <v>6</v>
      </c>
      <c r="B230" s="89"/>
      <c r="C230" s="39" t="s">
        <v>359</v>
      </c>
      <c r="D230" s="67">
        <f>(29.91)*(10.764)</f>
        <v>321.95123999999998</v>
      </c>
      <c r="E230" s="67">
        <f>(5.75)*(10.764)</f>
        <v>61.892999999999994</v>
      </c>
      <c r="F230" s="39">
        <f t="shared" si="33"/>
        <v>383.84423999999996</v>
      </c>
      <c r="G230" s="39">
        <v>0</v>
      </c>
      <c r="H230" s="39">
        <f>634</f>
        <v>634</v>
      </c>
      <c r="I230" s="33"/>
      <c r="N230" s="33"/>
    </row>
    <row r="231" spans="1:14" s="34" customFormat="1" x14ac:dyDescent="0.35">
      <c r="A231" s="89">
        <f t="shared" si="34"/>
        <v>7</v>
      </c>
      <c r="B231" s="89"/>
      <c r="C231" s="39" t="s">
        <v>358</v>
      </c>
      <c r="D231" s="67">
        <f>(49.92)*(10.764)</f>
        <v>537.33888000000002</v>
      </c>
      <c r="E231" s="67">
        <f>0*(10.764)</f>
        <v>0</v>
      </c>
      <c r="F231" s="39">
        <f t="shared" si="33"/>
        <v>537.33888000000002</v>
      </c>
      <c r="G231" s="39">
        <v>0</v>
      </c>
      <c r="H231" s="39">
        <f>888</f>
        <v>888</v>
      </c>
      <c r="I231" s="33"/>
      <c r="N231" s="33"/>
    </row>
    <row r="232" spans="1:14" s="34" customFormat="1" x14ac:dyDescent="0.35">
      <c r="A232" s="89">
        <f t="shared" si="34"/>
        <v>8</v>
      </c>
      <c r="B232" s="89"/>
      <c r="C232" s="96" t="s">
        <v>385</v>
      </c>
      <c r="D232" s="97"/>
      <c r="E232" s="97"/>
      <c r="F232" s="97"/>
      <c r="G232" s="97"/>
      <c r="H232" s="98"/>
      <c r="I232" s="33"/>
      <c r="K232" s="71" t="e">
        <f t="shared" ref="K232" si="35">737/F233</f>
        <v>#DIV/0!</v>
      </c>
      <c r="N232" s="33"/>
    </row>
    <row r="233" spans="1:14" s="34" customFormat="1" x14ac:dyDescent="0.35">
      <c r="A233" s="89">
        <f t="shared" si="34"/>
        <v>9</v>
      </c>
      <c r="B233" s="89"/>
      <c r="C233" s="99"/>
      <c r="D233" s="100"/>
      <c r="E233" s="100"/>
      <c r="F233" s="100"/>
      <c r="G233" s="100"/>
      <c r="H233" s="101"/>
      <c r="I233" s="33"/>
      <c r="K233" s="71" t="e">
        <f>737/F233</f>
        <v>#DIV/0!</v>
      </c>
      <c r="N233" s="33"/>
    </row>
    <row r="234" spans="1:14" s="34" customFormat="1" x14ac:dyDescent="0.35">
      <c r="A234" s="89">
        <f t="shared" si="34"/>
        <v>10</v>
      </c>
      <c r="B234" s="89"/>
      <c r="C234" s="102"/>
      <c r="D234" s="103"/>
      <c r="E234" s="103"/>
      <c r="F234" s="103"/>
      <c r="G234" s="103"/>
      <c r="H234" s="104"/>
      <c r="I234" s="33"/>
      <c r="K234" s="71" t="e">
        <f>1034/F234</f>
        <v>#DIV/0!</v>
      </c>
      <c r="N234" s="33"/>
    </row>
    <row r="235" spans="1:14" s="34" customFormat="1" ht="15.75" customHeight="1" x14ac:dyDescent="0.35">
      <c r="A235" s="90" t="s">
        <v>362</v>
      </c>
      <c r="B235" s="91"/>
      <c r="C235" s="91"/>
      <c r="D235" s="91"/>
      <c r="E235" s="91"/>
      <c r="F235" s="91"/>
      <c r="G235" s="91"/>
      <c r="H235" s="92"/>
      <c r="I235" s="33"/>
      <c r="L235" s="34">
        <v>6000</v>
      </c>
    </row>
    <row r="236" spans="1:14" s="34" customFormat="1" ht="15.75" customHeight="1" x14ac:dyDescent="0.35">
      <c r="A236" s="87">
        <v>1</v>
      </c>
      <c r="B236" s="88"/>
      <c r="C236" s="39" t="s">
        <v>358</v>
      </c>
      <c r="D236" s="67">
        <f>(48.299)*(10.764)</f>
        <v>519.89043599999991</v>
      </c>
      <c r="E236" s="67">
        <f>(9.831)*(10.764)</f>
        <v>105.82088399999999</v>
      </c>
      <c r="F236" s="39">
        <f t="shared" ref="F236:F245" si="36">D236+E236</f>
        <v>625.71131999999989</v>
      </c>
      <c r="G236" s="39">
        <v>0</v>
      </c>
      <c r="H236" s="39">
        <v>1033</v>
      </c>
      <c r="I236" s="33"/>
      <c r="J236" s="33">
        <f>2.3*1.4+2.75*1.15+2.1*1.15</f>
        <v>8.7974999999999994</v>
      </c>
      <c r="K236" s="71">
        <f>1033/F236</f>
        <v>1.6509210669226828</v>
      </c>
      <c r="L236" s="34">
        <f>$L$235*H236</f>
        <v>6198000</v>
      </c>
    </row>
    <row r="237" spans="1:14" s="34" customFormat="1" ht="15.75" customHeight="1" x14ac:dyDescent="0.35">
      <c r="A237" s="87">
        <f>A236+1</f>
        <v>2</v>
      </c>
      <c r="B237" s="88"/>
      <c r="C237" s="39" t="s">
        <v>358</v>
      </c>
      <c r="D237" s="67">
        <f>(49.92)*(10.764)</f>
        <v>537.33888000000002</v>
      </c>
      <c r="E237" s="67">
        <f>0*(10.764)</f>
        <v>0</v>
      </c>
      <c r="F237" s="39">
        <f t="shared" si="36"/>
        <v>537.33888000000002</v>
      </c>
      <c r="G237" s="39">
        <v>0</v>
      </c>
      <c r="H237" s="39">
        <f>888</f>
        <v>888</v>
      </c>
      <c r="I237" s="33"/>
      <c r="K237" s="71">
        <f>888/F237</f>
        <v>1.6525884000800388</v>
      </c>
      <c r="L237" s="34">
        <f t="shared" ref="L237:L245" si="37">$L$235*H237</f>
        <v>5328000</v>
      </c>
    </row>
    <row r="238" spans="1:14" s="34" customFormat="1" ht="15.75" customHeight="1" x14ac:dyDescent="0.35">
      <c r="A238" s="87">
        <f t="shared" ref="A238:A245" si="38">A237+1</f>
        <v>3</v>
      </c>
      <c r="B238" s="88"/>
      <c r="C238" s="39" t="s">
        <v>359</v>
      </c>
      <c r="D238" s="67">
        <f>(29.91)*(10.764)</f>
        <v>321.95123999999998</v>
      </c>
      <c r="E238" s="67">
        <f>(5.75)*(10.764)</f>
        <v>61.892999999999994</v>
      </c>
      <c r="F238" s="39">
        <f t="shared" si="36"/>
        <v>383.84423999999996</v>
      </c>
      <c r="G238" s="39">
        <v>0</v>
      </c>
      <c r="H238" s="39">
        <f>634</f>
        <v>634</v>
      </c>
      <c r="I238" s="33"/>
      <c r="K238" s="71">
        <f>634/F238</f>
        <v>1.6517116422015348</v>
      </c>
      <c r="L238" s="34">
        <f t="shared" si="37"/>
        <v>3804000</v>
      </c>
    </row>
    <row r="239" spans="1:14" s="34" customFormat="1" ht="15.75" customHeight="1" x14ac:dyDescent="0.35">
      <c r="A239" s="87">
        <f t="shared" si="38"/>
        <v>4</v>
      </c>
      <c r="B239" s="88"/>
      <c r="C239" s="39" t="s">
        <v>359</v>
      </c>
      <c r="D239" s="67">
        <f>(29.91)*(10.764)</f>
        <v>321.95123999999998</v>
      </c>
      <c r="E239" s="67">
        <f>(5.75)*(10.764)</f>
        <v>61.892999999999994</v>
      </c>
      <c r="F239" s="39">
        <f t="shared" si="36"/>
        <v>383.84423999999996</v>
      </c>
      <c r="G239" s="39">
        <v>0</v>
      </c>
      <c r="H239" s="39">
        <f>634</f>
        <v>634</v>
      </c>
      <c r="I239" s="33"/>
      <c r="K239" s="71">
        <f t="shared" ref="K239:K241" si="39">634/F239</f>
        <v>1.6517116422015348</v>
      </c>
      <c r="L239" s="34">
        <f t="shared" si="37"/>
        <v>3804000</v>
      </c>
    </row>
    <row r="240" spans="1:14" s="34" customFormat="1" ht="15.75" customHeight="1" x14ac:dyDescent="0.35">
      <c r="A240" s="87">
        <f t="shared" si="38"/>
        <v>5</v>
      </c>
      <c r="B240" s="88"/>
      <c r="C240" s="39" t="s">
        <v>359</v>
      </c>
      <c r="D240" s="67">
        <f>(29.91)*(10.764)</f>
        <v>321.95123999999998</v>
      </c>
      <c r="E240" s="67">
        <f>(5.75)*(10.764)</f>
        <v>61.892999999999994</v>
      </c>
      <c r="F240" s="39">
        <f t="shared" si="36"/>
        <v>383.84423999999996</v>
      </c>
      <c r="G240" s="39">
        <v>0</v>
      </c>
      <c r="H240" s="39">
        <f>634</f>
        <v>634</v>
      </c>
      <c r="I240" s="33"/>
      <c r="K240" s="71">
        <f t="shared" si="39"/>
        <v>1.6517116422015348</v>
      </c>
      <c r="L240" s="34">
        <f t="shared" si="37"/>
        <v>3804000</v>
      </c>
    </row>
    <row r="241" spans="1:12" s="34" customFormat="1" ht="15.75" customHeight="1" x14ac:dyDescent="0.35">
      <c r="A241" s="87">
        <f t="shared" si="38"/>
        <v>6</v>
      </c>
      <c r="B241" s="88"/>
      <c r="C241" s="39" t="s">
        <v>359</v>
      </c>
      <c r="D241" s="67">
        <f>(29.91)*(10.764)</f>
        <v>321.95123999999998</v>
      </c>
      <c r="E241" s="67">
        <f>(5.75)*(10.764)</f>
        <v>61.892999999999994</v>
      </c>
      <c r="F241" s="39">
        <f t="shared" si="36"/>
        <v>383.84423999999996</v>
      </c>
      <c r="G241" s="39">
        <v>0</v>
      </c>
      <c r="H241" s="39">
        <f>634</f>
        <v>634</v>
      </c>
      <c r="I241" s="33"/>
      <c r="K241" s="71">
        <f t="shared" si="39"/>
        <v>1.6517116422015348</v>
      </c>
      <c r="L241" s="34">
        <f t="shared" si="37"/>
        <v>3804000</v>
      </c>
    </row>
    <row r="242" spans="1:12" s="34" customFormat="1" ht="15.75" customHeight="1" x14ac:dyDescent="0.35">
      <c r="A242" s="87">
        <f t="shared" si="38"/>
        <v>7</v>
      </c>
      <c r="B242" s="88"/>
      <c r="C242" s="39" t="s">
        <v>358</v>
      </c>
      <c r="D242" s="67">
        <f>(49.92)*(10.764)</f>
        <v>537.33888000000002</v>
      </c>
      <c r="E242" s="67">
        <f>0*(10.764)</f>
        <v>0</v>
      </c>
      <c r="F242" s="39">
        <f t="shared" si="36"/>
        <v>537.33888000000002</v>
      </c>
      <c r="G242" s="39">
        <v>0</v>
      </c>
      <c r="H242" s="39">
        <f>888</f>
        <v>888</v>
      </c>
      <c r="I242" s="33"/>
      <c r="K242" s="71">
        <f>888/F242</f>
        <v>1.6525884000800388</v>
      </c>
      <c r="L242" s="34">
        <f t="shared" si="37"/>
        <v>5328000</v>
      </c>
    </row>
    <row r="243" spans="1:12" s="34" customFormat="1" ht="15.75" customHeight="1" x14ac:dyDescent="0.35">
      <c r="A243" s="87">
        <f t="shared" si="38"/>
        <v>8</v>
      </c>
      <c r="B243" s="88"/>
      <c r="C243" s="39" t="s">
        <v>358</v>
      </c>
      <c r="D243" s="67">
        <f>(48.299)*(10.764)</f>
        <v>519.89043599999991</v>
      </c>
      <c r="E243" s="67">
        <f>(9.831)*(10.764)</f>
        <v>105.82088399999999</v>
      </c>
      <c r="F243" s="39">
        <f t="shared" si="36"/>
        <v>625.71131999999989</v>
      </c>
      <c r="G243" s="39">
        <v>0</v>
      </c>
      <c r="H243" s="39">
        <v>1033</v>
      </c>
      <c r="I243" s="33">
        <f>(4.6*3.35+2.1*2.65+2.75*2.65+3.5*3.35+2.25*1.5+1.25*2.35+0.9*1.3)</f>
        <v>47.47</v>
      </c>
      <c r="K243" s="71">
        <f>1033/F243</f>
        <v>1.6509210669226828</v>
      </c>
      <c r="L243" s="34">
        <f t="shared" si="37"/>
        <v>6198000</v>
      </c>
    </row>
    <row r="244" spans="1:12" s="34" customFormat="1" ht="15.75" customHeight="1" x14ac:dyDescent="0.35">
      <c r="A244" s="87">
        <f t="shared" si="38"/>
        <v>9</v>
      </c>
      <c r="B244" s="88"/>
      <c r="C244" s="39" t="s">
        <v>359</v>
      </c>
      <c r="D244" s="67">
        <f>(41.32)*(10.764)</f>
        <v>444.76847999999995</v>
      </c>
      <c r="E244" s="67">
        <f>0*(10.764)</f>
        <v>0</v>
      </c>
      <c r="F244" s="39">
        <f t="shared" si="36"/>
        <v>444.76847999999995</v>
      </c>
      <c r="G244" s="39">
        <v>0</v>
      </c>
      <c r="H244" s="39">
        <f>734</f>
        <v>734</v>
      </c>
      <c r="I244" s="33">
        <f>(4.45*3.35+2.15*3.2+3.5*3.2+2.2*1.25+1.2*2.35+1*1.2)</f>
        <v>39.757500000000007</v>
      </c>
      <c r="K244" s="71">
        <f>734/F244</f>
        <v>1.6502968016078838</v>
      </c>
      <c r="L244" s="34">
        <f t="shared" si="37"/>
        <v>4404000</v>
      </c>
    </row>
    <row r="245" spans="1:12" s="34" customFormat="1" ht="15.75" customHeight="1" x14ac:dyDescent="0.35">
      <c r="A245" s="87">
        <f t="shared" si="38"/>
        <v>10</v>
      </c>
      <c r="B245" s="88"/>
      <c r="C245" s="39" t="s">
        <v>359</v>
      </c>
      <c r="D245" s="67">
        <f>(41.32)*(10.764)</f>
        <v>444.76847999999995</v>
      </c>
      <c r="E245" s="67">
        <f>0*(10.764)</f>
        <v>0</v>
      </c>
      <c r="F245" s="39">
        <f t="shared" si="36"/>
        <v>444.76847999999995</v>
      </c>
      <c r="G245" s="39">
        <v>0</v>
      </c>
      <c r="H245" s="39">
        <f>734</f>
        <v>734</v>
      </c>
      <c r="I245" s="33"/>
      <c r="K245" s="71">
        <f>734/F245</f>
        <v>1.6502968016078838</v>
      </c>
      <c r="L245" s="34">
        <f t="shared" si="37"/>
        <v>4404000</v>
      </c>
    </row>
    <row r="246" spans="1:12" s="34" customFormat="1" ht="15.75" customHeight="1" x14ac:dyDescent="0.35">
      <c r="A246" s="90" t="s">
        <v>363</v>
      </c>
      <c r="B246" s="91"/>
      <c r="C246" s="91"/>
      <c r="D246" s="91"/>
      <c r="E246" s="91"/>
      <c r="F246" s="91"/>
      <c r="G246" s="91"/>
      <c r="H246" s="92"/>
      <c r="I246" s="33"/>
    </row>
    <row r="247" spans="1:12" s="34" customFormat="1" ht="15.75" customHeight="1" x14ac:dyDescent="0.35">
      <c r="A247" s="87">
        <v>1</v>
      </c>
      <c r="B247" s="88"/>
      <c r="C247" s="39" t="s">
        <v>358</v>
      </c>
      <c r="D247" s="67">
        <f>(48.299)*(10.764)</f>
        <v>519.89043599999991</v>
      </c>
      <c r="E247" s="67">
        <f>(9.831)*(10.764)</f>
        <v>105.82088399999999</v>
      </c>
      <c r="F247" s="39">
        <f t="shared" ref="F247:F256" si="40">D247+E247</f>
        <v>625.71131999999989</v>
      </c>
      <c r="G247" s="39">
        <v>0</v>
      </c>
      <c r="H247" s="39">
        <v>1033</v>
      </c>
      <c r="I247" s="33"/>
      <c r="J247" s="33"/>
    </row>
    <row r="248" spans="1:12" s="34" customFormat="1" ht="15.75" customHeight="1" x14ac:dyDescent="0.35">
      <c r="A248" s="87">
        <f>A247+1</f>
        <v>2</v>
      </c>
      <c r="B248" s="88"/>
      <c r="C248" s="39" t="s">
        <v>358</v>
      </c>
      <c r="D248" s="67">
        <f>(49.92)*(10.764)</f>
        <v>537.33888000000002</v>
      </c>
      <c r="E248" s="67">
        <f>0*(10.764)</f>
        <v>0</v>
      </c>
      <c r="F248" s="39">
        <f t="shared" si="40"/>
        <v>537.33888000000002</v>
      </c>
      <c r="G248" s="39">
        <v>0</v>
      </c>
      <c r="H248" s="39">
        <f>888</f>
        <v>888</v>
      </c>
      <c r="I248" s="33"/>
    </row>
    <row r="249" spans="1:12" s="34" customFormat="1" ht="15.75" customHeight="1" x14ac:dyDescent="0.35">
      <c r="A249" s="87">
        <f t="shared" ref="A249:A256" si="41">A248+1</f>
        <v>3</v>
      </c>
      <c r="B249" s="88"/>
      <c r="C249" s="87" t="s">
        <v>364</v>
      </c>
      <c r="D249" s="95"/>
      <c r="E249" s="95"/>
      <c r="F249" s="95"/>
      <c r="G249" s="95"/>
      <c r="H249" s="88"/>
      <c r="I249" s="33"/>
    </row>
    <row r="250" spans="1:12" s="34" customFormat="1" ht="15.75" customHeight="1" x14ac:dyDescent="0.35">
      <c r="A250" s="87">
        <f t="shared" si="41"/>
        <v>4</v>
      </c>
      <c r="B250" s="88"/>
      <c r="C250" s="39" t="s">
        <v>359</v>
      </c>
      <c r="D250" s="67">
        <f>(29.91)*(10.764)</f>
        <v>321.95123999999998</v>
      </c>
      <c r="E250" s="67">
        <f>(5.75)*(10.764)</f>
        <v>61.892999999999994</v>
      </c>
      <c r="F250" s="39">
        <f t="shared" si="40"/>
        <v>383.84423999999996</v>
      </c>
      <c r="G250" s="39">
        <v>0</v>
      </c>
      <c r="H250" s="39">
        <f>634</f>
        <v>634</v>
      </c>
      <c r="I250" s="33"/>
    </row>
    <row r="251" spans="1:12" s="34" customFormat="1" ht="15.75" customHeight="1" x14ac:dyDescent="0.35">
      <c r="A251" s="87">
        <f t="shared" si="41"/>
        <v>5</v>
      </c>
      <c r="B251" s="88"/>
      <c r="C251" s="39" t="s">
        <v>359</v>
      </c>
      <c r="D251" s="67">
        <f>(29.91)*(10.764)</f>
        <v>321.95123999999998</v>
      </c>
      <c r="E251" s="67">
        <f>(5.75)*(10.764)</f>
        <v>61.892999999999994</v>
      </c>
      <c r="F251" s="39">
        <f t="shared" si="40"/>
        <v>383.84423999999996</v>
      </c>
      <c r="G251" s="39">
        <v>0</v>
      </c>
      <c r="H251" s="39">
        <f>634</f>
        <v>634</v>
      </c>
      <c r="I251" s="33"/>
    </row>
    <row r="252" spans="1:12" s="34" customFormat="1" ht="15.75" customHeight="1" x14ac:dyDescent="0.35">
      <c r="A252" s="87">
        <f t="shared" si="41"/>
        <v>6</v>
      </c>
      <c r="B252" s="88"/>
      <c r="C252" s="39" t="s">
        <v>359</v>
      </c>
      <c r="D252" s="67">
        <f>(29.91)*(10.764)</f>
        <v>321.95123999999998</v>
      </c>
      <c r="E252" s="67">
        <f>(5.75)*(10.764)</f>
        <v>61.892999999999994</v>
      </c>
      <c r="F252" s="39">
        <f t="shared" si="40"/>
        <v>383.84423999999996</v>
      </c>
      <c r="G252" s="39">
        <v>0</v>
      </c>
      <c r="H252" s="39">
        <f>634</f>
        <v>634</v>
      </c>
      <c r="I252" s="33"/>
    </row>
    <row r="253" spans="1:12" s="34" customFormat="1" ht="15.75" customHeight="1" x14ac:dyDescent="0.35">
      <c r="A253" s="87">
        <f t="shared" si="41"/>
        <v>7</v>
      </c>
      <c r="B253" s="88"/>
      <c r="C253" s="39" t="s">
        <v>358</v>
      </c>
      <c r="D253" s="67">
        <f>(49.92)*(10.764)</f>
        <v>537.33888000000002</v>
      </c>
      <c r="E253" s="67">
        <f>0*(10.764)</f>
        <v>0</v>
      </c>
      <c r="F253" s="39">
        <f t="shared" si="40"/>
        <v>537.33888000000002</v>
      </c>
      <c r="G253" s="39">
        <v>0</v>
      </c>
      <c r="H253" s="39">
        <f>888</f>
        <v>888</v>
      </c>
      <c r="I253" s="33"/>
    </row>
    <row r="254" spans="1:12" s="34" customFormat="1" ht="15.75" customHeight="1" x14ac:dyDescent="0.35">
      <c r="A254" s="87">
        <f t="shared" si="41"/>
        <v>8</v>
      </c>
      <c r="B254" s="88"/>
      <c r="C254" s="39" t="s">
        <v>358</v>
      </c>
      <c r="D254" s="67">
        <f>(48.299)*(10.764)</f>
        <v>519.89043599999991</v>
      </c>
      <c r="E254" s="67">
        <f>(9.831)*(10.764)</f>
        <v>105.82088399999999</v>
      </c>
      <c r="F254" s="39">
        <f t="shared" si="40"/>
        <v>625.71131999999989</v>
      </c>
      <c r="G254" s="39">
        <v>0</v>
      </c>
      <c r="H254" s="39">
        <v>1033</v>
      </c>
      <c r="I254" s="33"/>
    </row>
    <row r="255" spans="1:12" s="34" customFormat="1" ht="15.75" customHeight="1" x14ac:dyDescent="0.35">
      <c r="A255" s="87">
        <f t="shared" si="41"/>
        <v>9</v>
      </c>
      <c r="B255" s="88"/>
      <c r="C255" s="39" t="s">
        <v>359</v>
      </c>
      <c r="D255" s="67">
        <f>(41.32)*(10.764)</f>
        <v>444.76847999999995</v>
      </c>
      <c r="E255" s="67">
        <f>0*(10.764)</f>
        <v>0</v>
      </c>
      <c r="F255" s="39">
        <f t="shared" si="40"/>
        <v>444.76847999999995</v>
      </c>
      <c r="G255" s="39">
        <v>0</v>
      </c>
      <c r="H255" s="39">
        <f>734</f>
        <v>734</v>
      </c>
      <c r="I255" s="33"/>
    </row>
    <row r="256" spans="1:12" s="34" customFormat="1" ht="15.75" customHeight="1" x14ac:dyDescent="0.35">
      <c r="A256" s="87">
        <f t="shared" si="41"/>
        <v>10</v>
      </c>
      <c r="B256" s="88"/>
      <c r="C256" s="39" t="s">
        <v>359</v>
      </c>
      <c r="D256" s="67">
        <f>(41.32)*(10.764)</f>
        <v>444.76847999999995</v>
      </c>
      <c r="E256" s="67">
        <f>0*(10.764)</f>
        <v>0</v>
      </c>
      <c r="F256" s="39">
        <f t="shared" si="40"/>
        <v>444.76847999999995</v>
      </c>
      <c r="G256" s="39">
        <v>0</v>
      </c>
      <c r="H256" s="39">
        <f>734</f>
        <v>734</v>
      </c>
      <c r="I256" s="33"/>
    </row>
    <row r="257" spans="1:20" s="34" customFormat="1" hidden="1" x14ac:dyDescent="0.35">
      <c r="A257" s="90" t="s">
        <v>115</v>
      </c>
      <c r="B257" s="91"/>
      <c r="C257" s="91"/>
      <c r="D257" s="91"/>
      <c r="E257" s="91"/>
      <c r="F257" s="91"/>
      <c r="G257" s="91"/>
      <c r="H257" s="92"/>
      <c r="J257" s="33"/>
    </row>
    <row r="258" spans="1:20" s="34" customFormat="1" ht="15.75" hidden="1" customHeight="1" x14ac:dyDescent="0.35">
      <c r="A258" s="87">
        <v>1</v>
      </c>
      <c r="B258" s="88"/>
      <c r="C258" s="39"/>
      <c r="D258" s="39"/>
      <c r="E258" s="39">
        <v>0</v>
      </c>
      <c r="F258" s="39">
        <f>D258+E258</f>
        <v>0</v>
      </c>
      <c r="G258" s="39">
        <v>0</v>
      </c>
      <c r="H258" s="39">
        <f>F258*(($H$200)+1)+(IF(G258&lt;101,G258,IF(G258&lt;201,G258/2,IF(G258&lt;=301,G258/3,G258/4))))</f>
        <v>0</v>
      </c>
      <c r="I258" s="33"/>
      <c r="L258" s="94"/>
      <c r="M258" s="94"/>
      <c r="N258" s="33"/>
    </row>
    <row r="259" spans="1:20" s="34" customFormat="1" ht="15.75" hidden="1" customHeight="1" x14ac:dyDescent="0.35">
      <c r="A259" s="87">
        <f>A258+1</f>
        <v>2</v>
      </c>
      <c r="B259" s="88"/>
      <c r="C259" s="39"/>
      <c r="D259" s="39"/>
      <c r="E259" s="39">
        <v>0</v>
      </c>
      <c r="F259" s="39">
        <f>D259+E259</f>
        <v>0</v>
      </c>
      <c r="G259" s="39">
        <v>0</v>
      </c>
      <c r="H259" s="39">
        <f>F259*(($H$200)+1)+(IF(G259&lt;101,G259,IF(G259&lt;201,G259/2,IF(G259&lt;=301,G259/3,G259/4))))</f>
        <v>0</v>
      </c>
      <c r="I259" s="33"/>
      <c r="L259" s="94"/>
      <c r="M259" s="94"/>
      <c r="N259" s="33"/>
    </row>
    <row r="260" spans="1:20" s="34" customFormat="1" ht="15.75" hidden="1" customHeight="1" x14ac:dyDescent="0.35">
      <c r="A260" s="87">
        <f>A259+1</f>
        <v>3</v>
      </c>
      <c r="B260" s="88"/>
      <c r="C260" s="39"/>
      <c r="D260" s="39"/>
      <c r="E260" s="39">
        <v>0</v>
      </c>
      <c r="F260" s="39">
        <f>D260+E260</f>
        <v>0</v>
      </c>
      <c r="G260" s="39">
        <v>0</v>
      </c>
      <c r="H260" s="39">
        <f>F260*(($H$200)+1)+(IF(G260&lt;101,G260,IF(G260&lt;201,G260/2,IF(G260&lt;=301,G260/3,G260/4))))</f>
        <v>0</v>
      </c>
      <c r="I260" s="33"/>
      <c r="L260" s="94"/>
      <c r="M260" s="94"/>
      <c r="N260" s="33"/>
    </row>
    <row r="261" spans="1:20" s="34" customFormat="1" ht="15.75" hidden="1" customHeight="1" x14ac:dyDescent="0.35">
      <c r="A261" s="87">
        <f>A260+1</f>
        <v>4</v>
      </c>
      <c r="B261" s="88"/>
      <c r="C261" s="39"/>
      <c r="D261" s="39"/>
      <c r="E261" s="39">
        <v>0</v>
      </c>
      <c r="F261" s="39">
        <f>D261+E261</f>
        <v>0</v>
      </c>
      <c r="G261" s="39">
        <v>0</v>
      </c>
      <c r="H261" s="39">
        <f>F261*(($H$200)+1)+(IF(G261&lt;101,G261,IF(G261&lt;201,G261/2,IF(G261&lt;=301,G261/3,G261/4))))</f>
        <v>0</v>
      </c>
      <c r="I261" s="33"/>
      <c r="L261" s="94"/>
      <c r="M261" s="94"/>
      <c r="N261" s="33"/>
      <c r="T261" s="18"/>
    </row>
    <row r="262" spans="1:20" s="34" customFormat="1" hidden="1" x14ac:dyDescent="0.35">
      <c r="A262" s="93" t="s">
        <v>116</v>
      </c>
      <c r="B262" s="93"/>
      <c r="C262" s="93"/>
      <c r="D262" s="93"/>
      <c r="E262" s="93"/>
      <c r="F262" s="93"/>
      <c r="G262" s="93"/>
      <c r="H262" s="93"/>
      <c r="I262" s="33"/>
      <c r="L262" s="94"/>
      <c r="M262" s="94"/>
    </row>
    <row r="263" spans="1:20" s="34" customFormat="1" hidden="1" x14ac:dyDescent="0.35">
      <c r="A263" s="89">
        <f>LEFT(A262,SUM(LEN(A262)-LEN(SUBSTITUTE(A262,{"0","1","2","3","4","5","6","7","8","9"},""))))*100+1</f>
        <v>201</v>
      </c>
      <c r="B263" s="89"/>
      <c r="C263" s="39"/>
      <c r="D263" s="39"/>
      <c r="E263" s="39">
        <v>0</v>
      </c>
      <c r="F263" s="39">
        <f>D263+E263</f>
        <v>0</v>
      </c>
      <c r="G263" s="39">
        <v>0</v>
      </c>
      <c r="H263" s="39">
        <f>F263*(($H$200)+1)+(IF(G263&lt;101,G263,IF(G263&lt;201,G263/2,IF(G263&lt;=301,G263/3,G263/4))))</f>
        <v>0</v>
      </c>
      <c r="I263" s="33"/>
      <c r="N263" s="33"/>
    </row>
    <row r="264" spans="1:20" s="34" customFormat="1" hidden="1" x14ac:dyDescent="0.35">
      <c r="A264" s="89">
        <f>A263+1</f>
        <v>202</v>
      </c>
      <c r="B264" s="89"/>
      <c r="C264" s="39"/>
      <c r="D264" s="39"/>
      <c r="E264" s="39">
        <v>0</v>
      </c>
      <c r="F264" s="39">
        <f>D264+E264</f>
        <v>0</v>
      </c>
      <c r="G264" s="39">
        <v>0</v>
      </c>
      <c r="H264" s="39">
        <f>F264*(($H$200)+1)+(IF(G264&lt;101,G264,IF(G264&lt;201,G264/2,IF(G264&lt;=301,G264/3,G264/4))))</f>
        <v>0</v>
      </c>
      <c r="I264" s="33"/>
      <c r="N264" s="33"/>
    </row>
    <row r="265" spans="1:20" s="34" customFormat="1" hidden="1" x14ac:dyDescent="0.35">
      <c r="A265" s="89">
        <f>A264+1</f>
        <v>203</v>
      </c>
      <c r="B265" s="89"/>
      <c r="C265" s="39"/>
      <c r="D265" s="39"/>
      <c r="E265" s="39">
        <v>0</v>
      </c>
      <c r="F265" s="39">
        <f>D265+E265</f>
        <v>0</v>
      </c>
      <c r="G265" s="39">
        <v>0</v>
      </c>
      <c r="H265" s="39">
        <f>F265*(($H$200)+1)+(IF(G265&lt;101,G265,IF(G265&lt;201,G265/2,IF(G265&lt;=301,G265/3,G265/4))))</f>
        <v>0</v>
      </c>
      <c r="I265" s="33"/>
      <c r="N265" s="33"/>
    </row>
    <row r="266" spans="1:20" s="34" customFormat="1" hidden="1" x14ac:dyDescent="0.35">
      <c r="A266" s="89">
        <f>A265+1</f>
        <v>204</v>
      </c>
      <c r="B266" s="89"/>
      <c r="C266" s="39"/>
      <c r="D266" s="39"/>
      <c r="E266" s="39">
        <v>0</v>
      </c>
      <c r="F266" s="39">
        <f>D266+E266</f>
        <v>0</v>
      </c>
      <c r="G266" s="39">
        <v>0</v>
      </c>
      <c r="H266" s="39">
        <f>F266*(($H$200)+1)+(IF(G266&lt;101,G266,IF(G266&lt;201,G266/2,IF(G266&lt;=301,G266/3,G266/4))))</f>
        <v>0</v>
      </c>
      <c r="I266" s="33"/>
      <c r="N266" s="33"/>
    </row>
    <row r="267" spans="1:20" s="34" customFormat="1" hidden="1" x14ac:dyDescent="0.35">
      <c r="A267" s="89">
        <f>A266+1</f>
        <v>205</v>
      </c>
      <c r="B267" s="89"/>
      <c r="C267" s="39"/>
      <c r="D267" s="39"/>
      <c r="E267" s="39">
        <v>0</v>
      </c>
      <c r="F267" s="39">
        <f>D267+E267</f>
        <v>0</v>
      </c>
      <c r="G267" s="39">
        <v>0</v>
      </c>
      <c r="H267" s="39">
        <f>F267*(($H$200)+1)+(IF(G267&lt;101,G267,IF(G267&lt;201,G267/2,IF(G267&lt;=301,G267/3,G267/4))))</f>
        <v>0</v>
      </c>
      <c r="I267" s="33"/>
      <c r="N267" s="33"/>
    </row>
    <row r="268" spans="1:20" s="34" customFormat="1" ht="15.75" hidden="1" customHeight="1" x14ac:dyDescent="0.35">
      <c r="A268" s="90" t="s">
        <v>147</v>
      </c>
      <c r="B268" s="91"/>
      <c r="C268" s="91"/>
      <c r="D268" s="91"/>
      <c r="E268" s="91"/>
      <c r="F268" s="91"/>
      <c r="G268" s="91"/>
      <c r="H268" s="92"/>
      <c r="I268" s="33"/>
    </row>
    <row r="269" spans="1:20" s="34" customFormat="1" ht="15.75" hidden="1" customHeight="1" x14ac:dyDescent="0.35">
      <c r="A269" s="87"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10^ROW(INDIRECT("1:"&amp;LEN((LEFT(A268,SUM(LEN(A268)-LEN(SUBSTITUTE(A268,{"0","1","2"},""))))))))/10))*100+1&amp;""&amp;" ,..,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",LEN(A268))),LEN(A268)))))))/10))*100+1</f>
        <v>301 ,.., 1501</v>
      </c>
      <c r="B269" s="88"/>
      <c r="C269" s="39"/>
      <c r="D269" s="39"/>
      <c r="E269" s="39">
        <v>0</v>
      </c>
      <c r="F269" s="39">
        <f>D269+E269</f>
        <v>0</v>
      </c>
      <c r="G269" s="39">
        <v>0</v>
      </c>
      <c r="H269" s="39">
        <f>F269*(($H$200)+1)+(IF(G269&lt;101,G269,IF(G269&lt;201,G269/2,IF(G269&lt;=301,G269/3,G269/4))))</f>
        <v>0</v>
      </c>
      <c r="I269" s="33"/>
    </row>
    <row r="270" spans="1:20" s="34" customFormat="1" ht="15.75" hidden="1" customHeight="1" x14ac:dyDescent="0.35">
      <c r="A270" s="87"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302 ,.., 1502</v>
      </c>
      <c r="B270" s="88"/>
      <c r="C270" s="39"/>
      <c r="D270" s="39"/>
      <c r="E270" s="39">
        <v>0</v>
      </c>
      <c r="F270" s="39">
        <f>D270+E270</f>
        <v>0</v>
      </c>
      <c r="G270" s="39">
        <v>0</v>
      </c>
      <c r="H270" s="39">
        <f>F270*(($H$200)+1)+(IF(G270&lt;101,G270,IF(G270&lt;201,G270/2,IF(G270&lt;=301,G270/3,G270/4))))</f>
        <v>0</v>
      </c>
      <c r="I270" s="33"/>
    </row>
    <row r="271" spans="1:20" s="34" customFormat="1" ht="15.75" hidden="1" customHeight="1" x14ac:dyDescent="0.35">
      <c r="A271" s="87"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303 ,.., 1503</v>
      </c>
      <c r="B271" s="88"/>
      <c r="C271" s="39"/>
      <c r="D271" s="39"/>
      <c r="E271" s="39">
        <v>0</v>
      </c>
      <c r="F271" s="39">
        <f>D271+E271</f>
        <v>0</v>
      </c>
      <c r="G271" s="39">
        <v>0</v>
      </c>
      <c r="H271" s="39">
        <f>F271*(($H$200)+1)+(IF(G271&lt;101,G271,IF(G271&lt;201,G271/2,IF(G271&lt;=301,G271/3,G271/4))))</f>
        <v>0</v>
      </c>
      <c r="I271" s="33"/>
    </row>
    <row r="272" spans="1:20" s="34" customFormat="1" ht="15.75" hidden="1" customHeight="1" x14ac:dyDescent="0.35">
      <c r="A272" s="87"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304 ,.., 1504</v>
      </c>
      <c r="B272" s="88"/>
      <c r="C272" s="39"/>
      <c r="D272" s="39"/>
      <c r="E272" s="39">
        <v>0</v>
      </c>
      <c r="F272" s="39">
        <f>D272+E272</f>
        <v>0</v>
      </c>
      <c r="G272" s="39">
        <v>0</v>
      </c>
      <c r="H272" s="39">
        <f>F272*(($H$200)+1)+(IF(G272&lt;101,G272,IF(G272&lt;201,G272/2,IF(G272&lt;=301,G272/3,G272/4))))</f>
        <v>0</v>
      </c>
      <c r="I272" s="33"/>
    </row>
    <row r="273" spans="1:20" s="34" customFormat="1" ht="15.75" hidden="1" customHeight="1" x14ac:dyDescent="0.35">
      <c r="A273" s="87"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305 ,.., 1505</v>
      </c>
      <c r="B273" s="88"/>
      <c r="C273" s="39"/>
      <c r="D273" s="39"/>
      <c r="E273" s="39">
        <v>0</v>
      </c>
      <c r="F273" s="39">
        <f>D273+E273</f>
        <v>0</v>
      </c>
      <c r="G273" s="39">
        <v>0</v>
      </c>
      <c r="H273" s="39">
        <f>F273*(($H$200)+1)+(IF(G273&lt;101,G273,IF(G273&lt;201,G273/2,IF(G273&lt;=301,G273/3,G273/4))))</f>
        <v>0</v>
      </c>
      <c r="I273" s="33"/>
    </row>
    <row r="274" spans="1:20" s="34" customFormat="1" hidden="1" x14ac:dyDescent="0.35">
      <c r="A274" s="90" t="s">
        <v>142</v>
      </c>
      <c r="B274" s="91"/>
      <c r="C274" s="91"/>
      <c r="D274" s="91"/>
      <c r="E274" s="91"/>
      <c r="F274" s="91"/>
      <c r="G274" s="91"/>
      <c r="H274" s="92"/>
      <c r="I274" s="33"/>
    </row>
    <row r="275" spans="1:20" s="34" customFormat="1" ht="15.75" hidden="1" customHeight="1" x14ac:dyDescent="0.35">
      <c r="A275" s="87"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10^ROW(INDIRECT("1:"&amp;LEN((LEFT(A274,SUM(LEN(A274)-LEN(SUBSTITUTE(A274,{"0","1","2"},""))))))))/10))*100+1&amp;""&amp;" to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",LEN(A274))),LEN(A274)))))))/10))*100+1</f>
        <v>201 to 501</v>
      </c>
      <c r="B275" s="88"/>
      <c r="C275" s="39"/>
      <c r="D275" s="39"/>
      <c r="E275" s="39">
        <v>0</v>
      </c>
      <c r="F275" s="39">
        <f>D275+E275</f>
        <v>0</v>
      </c>
      <c r="G275" s="39">
        <v>0</v>
      </c>
      <c r="H275" s="39">
        <f>F275*(($H$200)+1)+(IF(G275&lt;101,G275,IF(G275&lt;201,G275/2,IF(G275&lt;=301,G275/3,G275/4))))</f>
        <v>0</v>
      </c>
      <c r="I275" s="33"/>
    </row>
    <row r="276" spans="1:20" s="34" customFormat="1" ht="15.75" hidden="1" customHeight="1" x14ac:dyDescent="0.35">
      <c r="A276" s="87"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to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202 to 502</v>
      </c>
      <c r="B276" s="88"/>
      <c r="C276" s="39"/>
      <c r="D276" s="39"/>
      <c r="E276" s="39">
        <v>0</v>
      </c>
      <c r="F276" s="39">
        <f>D276+E276</f>
        <v>0</v>
      </c>
      <c r="G276" s="39">
        <v>0</v>
      </c>
      <c r="H276" s="39">
        <f>F276*(($H$200)+1)+(IF(G276&lt;101,G276,IF(G276&lt;201,G276/2,IF(G276&lt;=301,G276/3,G276/4))))</f>
        <v>0</v>
      </c>
      <c r="I276" s="33"/>
    </row>
    <row r="277" spans="1:20" s="34" customFormat="1" ht="15.75" hidden="1" customHeight="1" x14ac:dyDescent="0.35">
      <c r="A277" s="87"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to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203 to 503</v>
      </c>
      <c r="B277" s="88"/>
      <c r="C277" s="39"/>
      <c r="D277" s="39"/>
      <c r="E277" s="39">
        <v>0</v>
      </c>
      <c r="F277" s="39">
        <f>D277+E277</f>
        <v>0</v>
      </c>
      <c r="G277" s="39">
        <v>0</v>
      </c>
      <c r="H277" s="39">
        <f>F277*(($H$200)+1)+(IF(G277&lt;101,G277,IF(G277&lt;201,G277/2,IF(G277&lt;=301,G277/3,G277/4))))</f>
        <v>0</v>
      </c>
      <c r="I277" s="33"/>
    </row>
    <row r="278" spans="1:20" s="34" customFormat="1" ht="15.75" hidden="1" customHeight="1" x14ac:dyDescent="0.35">
      <c r="A278" s="87"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10^ROW(INDIRECT("1:"&amp;LEN((LEFT(A277,SUM(LEN(A277)-LEN(SUBSTITUTE(A277,{"0","1","2"},""))))))))/10))*1+1&amp;""&amp;" to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",LEN(A277))),LEN(A277)))))))/10))*1+1</f>
        <v>204 to 504</v>
      </c>
      <c r="B278" s="88"/>
      <c r="C278" s="39"/>
      <c r="D278" s="39"/>
      <c r="E278" s="39">
        <v>0</v>
      </c>
      <c r="F278" s="39">
        <f>D278+E278</f>
        <v>0</v>
      </c>
      <c r="G278" s="39">
        <v>0</v>
      </c>
      <c r="H278" s="39">
        <f>F278*(($H$200)+1)+(IF(G278&lt;101,G278,IF(G278&lt;201,G278/2,IF(G278&lt;=301,G278/3,G278/4))))</f>
        <v>0</v>
      </c>
      <c r="I278" s="33"/>
    </row>
    <row r="279" spans="1:20" s="34" customFormat="1" ht="15.75" hidden="1" customHeight="1" x14ac:dyDescent="0.35">
      <c r="A279" s="87" t="str">
        <f ca="1">(SUMPRODUCT(MID(0&amp;(LEFT(A278,SUM(LEN(A278)-LEN(SUBSTITUTE(A278,{"0","1","2"},""))))), LARGE(INDEX(ISNUMBER(--MID((LEFT(A278,SUM(LEN(A278)-LEN(SUBSTITUTE(A278,{"0","1","2"},""))))), ROW(INDIRECT("1:"&amp;LEN((LEFT(A278,SUM(LEN(A278)-LEN(SUBSTITUTE(A278,{"0","1","2"},"")))))))), 1)) * ROW(INDIRECT("1:"&amp;LEN((LEFT(A278,SUM(LEN(A278)-LEN(SUBSTITUTE(A278,{"0","1","2"},"")))))))), 0), ROW(INDIRECT("1:"&amp;LEN((LEFT(A278,SUM(LEN(A278)-LEN(SUBSTITUTE(A278,{"0","1","2"},"")))))))))+1, 1) * 10^ROW(INDIRECT("1:"&amp;LEN((LEFT(A278,SUM(LEN(A278)-LEN(SUBSTITUTE(A278,{"0","1","2"},""))))))))/10))*1+1&amp;""&amp;" to "&amp;""&amp;(SUMPRODUCT(MID(0&amp;(--TRIM(RIGHT(SUBSTITUTE(LEFT(A278,_xlfn.AGGREGATE(16,6,FIND({0,1,2,3,4,5,6,7,8,9},A278,ROW(INDIRECT("1:"&amp;LEN(A278)))),1))," ",REPT(" ",LEN(A278))),LEN(A278)))), LARGE(INDEX(ISNUMBER(--MID((--TRIM(RIGHT(SUBSTITUTE(LEFT(A278,_xlfn.AGGREGATE(16,6,FIND({0,1,2,3,4,5,6,7,8,9},A278,ROW(INDIRECT("1:"&amp;LEN(A278)))),1))," ",REPT(" ",LEN(A278))),LEN(A278)))), ROW(INDIRECT("1:"&amp;LEN((--TRIM(RIGHT(SUBSTITUTE(LEFT(A278,_xlfn.AGGREGATE(16,6,FIND({0,1,2,3,4,5,6,7,8,9},A278,ROW(INDIRECT("1:"&amp;LEN(A278)))),1))," ",REPT(" ",LEN(A278))),LEN(A278))))))), 1)) * ROW(INDIRECT("1:"&amp;LEN((--TRIM(RIGHT(SUBSTITUTE(LEFT(A278,_xlfn.AGGREGATE(16,6,FIND({0,1,2,3,4,5,6,7,8,9},A278,ROW(INDIRECT("1:"&amp;LEN(A278)))),1))," ",REPT(" ",LEN(A278))),LEN(A278))))))), 0), ROW(INDIRECT("1:"&amp;LEN((--TRIM(RIGHT(SUBSTITUTE(LEFT(A278,_xlfn.AGGREGATE(16,6,FIND({0,1,2,3,4,5,6,7,8,9},A278,ROW(INDIRECT("1:"&amp;LEN(A278)))),1))," ",REPT(" ",LEN(A278))),LEN(A278))))))))+1, 1) * 10^ROW(INDIRECT("1:"&amp;LEN((--TRIM(RIGHT(SUBSTITUTE(LEFT(A278,_xlfn.AGGREGATE(16,6,FIND({0,1,2,3,4,5,6,7,8,9},A278,ROW(INDIRECT("1:"&amp;LEN(A278)))),1))," ",REPT(" ",LEN(A278))),LEN(A278)))))))/10))*1+1</f>
        <v>205 to 505</v>
      </c>
      <c r="B279" s="88"/>
      <c r="C279" s="39"/>
      <c r="D279" s="39"/>
      <c r="E279" s="39">
        <v>0</v>
      </c>
      <c r="F279" s="39">
        <f>D279+E279</f>
        <v>0</v>
      </c>
      <c r="G279" s="39">
        <v>0</v>
      </c>
      <c r="H279" s="39">
        <f>F279*(($H$200)+1)+(IF(G279&lt;101,G279,IF(G279&lt;201,G279/2,IF(G279&lt;=301,G279/3,G279/4))))</f>
        <v>0</v>
      </c>
      <c r="I279" s="33"/>
    </row>
    <row r="280" spans="1:20" s="34" customFormat="1" hidden="1" x14ac:dyDescent="0.35">
      <c r="A280" s="90" t="s">
        <v>143</v>
      </c>
      <c r="B280" s="91"/>
      <c r="C280" s="91"/>
      <c r="D280" s="91"/>
      <c r="E280" s="91"/>
      <c r="F280" s="91"/>
      <c r="G280" s="91"/>
      <c r="H280" s="92"/>
      <c r="I280" s="33"/>
    </row>
    <row r="281" spans="1:20" s="34" customFormat="1" ht="15.75" hidden="1" customHeight="1" x14ac:dyDescent="0.35">
      <c r="A281" s="87"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10^ROW(INDIRECT("1:"&amp;LEN((LEFT(A280,SUM(LEN(A280)-LEN(SUBSTITUTE(A280,{"0","1","2"},""))))))))/10))*100+1&amp;""&amp;" &amp;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",LEN(A280))),LEN(A280)))))))/10))*100+1</f>
        <v>201 &amp; 501</v>
      </c>
      <c r="B281" s="88"/>
      <c r="C281" s="39"/>
      <c r="D281" s="39"/>
      <c r="E281" s="39">
        <v>0</v>
      </c>
      <c r="F281" s="39">
        <f>D281+E281</f>
        <v>0</v>
      </c>
      <c r="G281" s="39">
        <v>0</v>
      </c>
      <c r="H281" s="39">
        <f>F281*(($H$200)+1)+(IF(G281&lt;101,G281,IF(G281&lt;201,G281/2,IF(G281&lt;=301,G281/3,G281/4))))</f>
        <v>0</v>
      </c>
      <c r="I281" s="33"/>
    </row>
    <row r="282" spans="1:20" s="34" customFormat="1" ht="15.75" hidden="1" customHeight="1" x14ac:dyDescent="0.35">
      <c r="A282" s="87"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&amp;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202 &amp; 502</v>
      </c>
      <c r="B282" s="88"/>
      <c r="C282" s="39"/>
      <c r="D282" s="39"/>
      <c r="E282" s="39">
        <v>0</v>
      </c>
      <c r="F282" s="39">
        <f>D282+E282</f>
        <v>0</v>
      </c>
      <c r="G282" s="39">
        <v>0</v>
      </c>
      <c r="H282" s="39">
        <f>F282*(($H$200)+1)+(IF(G282&lt;101,G282,IF(G282&lt;201,G282/2,IF(G282&lt;=301,G282/3,G282/4))))</f>
        <v>0</v>
      </c>
      <c r="I282" s="33"/>
    </row>
    <row r="283" spans="1:20" s="34" customFormat="1" ht="15.75" hidden="1" customHeight="1" x14ac:dyDescent="0.35">
      <c r="A283" s="87"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&amp;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203 &amp; 503</v>
      </c>
      <c r="B283" s="88"/>
      <c r="C283" s="39"/>
      <c r="D283" s="39"/>
      <c r="E283" s="39">
        <v>0</v>
      </c>
      <c r="F283" s="39">
        <f>D283+E283</f>
        <v>0</v>
      </c>
      <c r="G283" s="39">
        <v>0</v>
      </c>
      <c r="H283" s="39">
        <f>F283*(($H$200)+1)+(IF(G283&lt;101,G283,IF(G283&lt;201,G283/2,IF(G283&lt;=301,G283/3,G283/4))))</f>
        <v>0</v>
      </c>
      <c r="I283" s="33"/>
    </row>
    <row r="284" spans="1:20" s="34" customFormat="1" ht="15.75" hidden="1" customHeight="1" x14ac:dyDescent="0.35">
      <c r="A284" s="87"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&amp;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204 &amp; 504</v>
      </c>
      <c r="B284" s="88"/>
      <c r="C284" s="39"/>
      <c r="D284" s="39"/>
      <c r="E284" s="39">
        <v>0</v>
      </c>
      <c r="F284" s="39">
        <f>D284+E284</f>
        <v>0</v>
      </c>
      <c r="G284" s="39">
        <v>0</v>
      </c>
      <c r="H284" s="39">
        <f>F284*(($H$200)+1)+(IF(G284&lt;101,G284,IF(G284&lt;201,G284/2,IF(G284&lt;=301,G284/3,G284/4))))</f>
        <v>0</v>
      </c>
      <c r="I284" s="33"/>
    </row>
    <row r="285" spans="1:20" s="34" customFormat="1" ht="15.75" hidden="1" customHeight="1" x14ac:dyDescent="0.35">
      <c r="A285" s="87"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&amp;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205 &amp; 505</v>
      </c>
      <c r="B285" s="88"/>
      <c r="C285" s="39"/>
      <c r="D285" s="39"/>
      <c r="E285" s="39">
        <v>0</v>
      </c>
      <c r="F285" s="39">
        <f>D285+E285</f>
        <v>0</v>
      </c>
      <c r="G285" s="39">
        <v>0</v>
      </c>
      <c r="H285" s="39">
        <f>F285*(($H$200)+1)+(IF(G285&lt;101,G285,IF(G285&lt;201,G285/2,IF(G285&lt;=301,G285/3,G285/4))))</f>
        <v>0</v>
      </c>
      <c r="I285" s="33"/>
    </row>
    <row r="286" spans="1:20" s="32" customFormat="1" x14ac:dyDescent="0.35">
      <c r="A286" s="203" t="s">
        <v>65</v>
      </c>
      <c r="B286" s="203"/>
      <c r="C286" s="203"/>
      <c r="D286" s="203"/>
      <c r="E286" s="203"/>
      <c r="F286" s="203"/>
      <c r="G286" s="203"/>
      <c r="H286" s="203"/>
      <c r="T286" s="34"/>
    </row>
    <row r="287" spans="1:20" s="32" customFormat="1" x14ac:dyDescent="0.35">
      <c r="A287" s="41" t="s">
        <v>151</v>
      </c>
      <c r="B287" s="105" t="s">
        <v>403</v>
      </c>
      <c r="C287" s="106"/>
      <c r="D287" s="106"/>
      <c r="E287" s="106"/>
      <c r="F287" s="106"/>
      <c r="G287" s="106"/>
      <c r="H287" s="107"/>
      <c r="T287" s="34"/>
    </row>
    <row r="288" spans="1:20" s="32" customFormat="1" x14ac:dyDescent="0.35">
      <c r="A288" s="41" t="s">
        <v>151</v>
      </c>
      <c r="B288" s="105" t="str">
        <f>(IF(H199="Saleable area Loading :","We have considered Saleable area of Flats as per our Calculation.","We considered Saleable area of Flat as per Builder area Sheet."))</f>
        <v>We considered Saleable area of Flat as per Builder area Sheet.</v>
      </c>
      <c r="C288" s="106"/>
      <c r="D288" s="106"/>
      <c r="E288" s="106"/>
      <c r="F288" s="106"/>
      <c r="G288" s="106"/>
      <c r="H288" s="107"/>
      <c r="T288" s="34"/>
    </row>
    <row r="289" spans="1:20" s="32" customFormat="1" x14ac:dyDescent="0.35">
      <c r="A289" s="41" t="s">
        <v>151</v>
      </c>
      <c r="B289" s="105" t="str">
        <f>(IF(H143="Saleable area Loading :","We have considered Saleable area of Commercial as per our Calculation.","We considered Saleable area of Commercial as per Builder area Sheet."))</f>
        <v>We considered Saleable area of Commercial as per Builder area Sheet.</v>
      </c>
      <c r="C289" s="106"/>
      <c r="D289" s="106"/>
      <c r="E289" s="106"/>
      <c r="F289" s="106"/>
      <c r="G289" s="106"/>
      <c r="H289" s="107"/>
      <c r="T289" s="34"/>
    </row>
    <row r="290" spans="1:20" s="32" customFormat="1" x14ac:dyDescent="0.35">
      <c r="A290" s="41" t="s">
        <v>151</v>
      </c>
      <c r="B290" s="123" t="s">
        <v>119</v>
      </c>
      <c r="C290" s="124"/>
      <c r="D290" s="124"/>
      <c r="E290" s="124"/>
      <c r="F290" s="124"/>
      <c r="G290" s="124"/>
      <c r="H290" s="125"/>
      <c r="T290" s="34"/>
    </row>
    <row r="291" spans="1:20" s="32" customFormat="1" x14ac:dyDescent="0.35">
      <c r="A291" s="41" t="s">
        <v>151</v>
      </c>
      <c r="B291" s="123" t="s">
        <v>375</v>
      </c>
      <c r="C291" s="124"/>
      <c r="D291" s="124"/>
      <c r="E291" s="124"/>
      <c r="F291" s="124"/>
      <c r="G291" s="124"/>
      <c r="H291" s="125"/>
      <c r="T291" s="34"/>
    </row>
    <row r="292" spans="1:20" s="32" customFormat="1" x14ac:dyDescent="0.35">
      <c r="A292" s="41" t="s">
        <v>151</v>
      </c>
      <c r="B292" s="123" t="s">
        <v>150</v>
      </c>
      <c r="C292" s="124"/>
      <c r="D292" s="124"/>
      <c r="E292" s="124"/>
      <c r="F292" s="124"/>
      <c r="G292" s="124"/>
      <c r="H292" s="125"/>
    </row>
    <row r="293" spans="1:20" s="32" customFormat="1" x14ac:dyDescent="0.35">
      <c r="A293" s="41" t="s">
        <v>151</v>
      </c>
      <c r="B293" s="123" t="s">
        <v>120</v>
      </c>
      <c r="C293" s="124"/>
      <c r="D293" s="124"/>
      <c r="E293" s="124"/>
      <c r="F293" s="124"/>
      <c r="G293" s="124"/>
      <c r="H293" s="125"/>
    </row>
    <row r="294" spans="1:20" s="32" customFormat="1" ht="34.5" customHeight="1" x14ac:dyDescent="0.35">
      <c r="A294" s="41" t="s">
        <v>151</v>
      </c>
      <c r="B294" s="123" t="s">
        <v>152</v>
      </c>
      <c r="C294" s="124"/>
      <c r="D294" s="124"/>
      <c r="E294" s="124"/>
      <c r="F294" s="124"/>
      <c r="G294" s="124"/>
      <c r="H294" s="125"/>
    </row>
    <row r="295" spans="1:20" s="32" customFormat="1" x14ac:dyDescent="0.35">
      <c r="A295" s="41" t="s">
        <v>151</v>
      </c>
      <c r="B295" s="123" t="s">
        <v>121</v>
      </c>
      <c r="C295" s="124"/>
      <c r="D295" s="124"/>
      <c r="E295" s="124"/>
      <c r="F295" s="124"/>
      <c r="G295" s="124"/>
      <c r="H295" s="125"/>
    </row>
    <row r="296" spans="1:20" s="81" customFormat="1" x14ac:dyDescent="0.35">
      <c r="A296" s="84" t="s">
        <v>151</v>
      </c>
      <c r="B296" s="105" t="s">
        <v>390</v>
      </c>
      <c r="C296" s="106"/>
      <c r="D296" s="106"/>
      <c r="E296" s="106"/>
      <c r="F296" s="106"/>
      <c r="G296" s="106"/>
      <c r="H296" s="107"/>
    </row>
    <row r="297" spans="1:20" s="32" customFormat="1" ht="32.15" customHeight="1" x14ac:dyDescent="0.35">
      <c r="A297" s="41" t="s">
        <v>151</v>
      </c>
      <c r="B297" s="105" t="s">
        <v>398</v>
      </c>
      <c r="C297" s="106"/>
      <c r="D297" s="106"/>
      <c r="E297" s="106"/>
      <c r="F297" s="106"/>
      <c r="G297" s="106"/>
      <c r="H297" s="107"/>
    </row>
    <row r="298" spans="1:20" s="32" customFormat="1" x14ac:dyDescent="0.35">
      <c r="A298" s="85" t="s">
        <v>151</v>
      </c>
      <c r="B298" s="105" t="s">
        <v>401</v>
      </c>
      <c r="C298" s="106"/>
      <c r="D298" s="106"/>
      <c r="E298" s="106"/>
      <c r="F298" s="106"/>
      <c r="G298" s="106"/>
      <c r="H298" s="107"/>
    </row>
    <row r="299" spans="1:20" x14ac:dyDescent="0.35">
      <c r="A299" s="195" t="s">
        <v>58</v>
      </c>
      <c r="B299" s="195"/>
      <c r="C299" s="195"/>
      <c r="D299" s="195"/>
      <c r="E299" s="195"/>
      <c r="F299" s="195"/>
      <c r="G299" s="195"/>
      <c r="H299" s="195"/>
      <c r="T299" s="32"/>
    </row>
    <row r="300" spans="1:20" x14ac:dyDescent="0.35">
      <c r="A300" s="108" t="s">
        <v>59</v>
      </c>
      <c r="B300" s="108"/>
      <c r="C300" s="108"/>
      <c r="D300" s="108"/>
      <c r="E300" s="108"/>
      <c r="F300" s="108"/>
      <c r="G300" s="108"/>
      <c r="H300" s="108"/>
      <c r="T300" s="32"/>
    </row>
    <row r="301" spans="1:20" ht="15.75" customHeight="1" x14ac:dyDescent="0.35">
      <c r="A301" s="217" t="s">
        <v>60</v>
      </c>
      <c r="B301" s="217"/>
      <c r="C301" s="217"/>
      <c r="D301" s="217"/>
      <c r="E301" s="217"/>
      <c r="F301" s="217"/>
      <c r="G301" s="217"/>
      <c r="H301" s="217"/>
      <c r="T301" s="32"/>
    </row>
    <row r="302" spans="1:20" x14ac:dyDescent="0.35">
      <c r="A302" s="108" t="s">
        <v>61</v>
      </c>
      <c r="B302" s="108"/>
      <c r="C302" s="108"/>
      <c r="D302" s="108"/>
      <c r="E302" s="108"/>
      <c r="F302" s="108"/>
      <c r="G302" s="108"/>
      <c r="H302" s="108"/>
      <c r="T302" s="32"/>
    </row>
    <row r="303" spans="1:20" x14ac:dyDescent="0.35">
      <c r="A303" s="108" t="s">
        <v>62</v>
      </c>
      <c r="B303" s="108"/>
      <c r="C303" s="108"/>
      <c r="D303" s="108"/>
      <c r="E303" s="108"/>
      <c r="F303" s="108"/>
      <c r="G303" s="108"/>
      <c r="H303" s="108"/>
      <c r="T303" s="32"/>
    </row>
    <row r="304" spans="1:20" x14ac:dyDescent="0.35">
      <c r="A304" s="108" t="s">
        <v>122</v>
      </c>
      <c r="B304" s="108"/>
      <c r="C304" s="108"/>
      <c r="D304" s="108"/>
      <c r="E304" s="108"/>
      <c r="F304" s="108"/>
      <c r="G304" s="108"/>
      <c r="H304" s="108"/>
      <c r="T304" s="32"/>
    </row>
    <row r="305" spans="1:8" ht="34" customHeight="1" x14ac:dyDescent="0.35">
      <c r="A305" s="186" t="s">
        <v>123</v>
      </c>
      <c r="B305" s="186"/>
      <c r="C305" s="186"/>
      <c r="D305" s="186"/>
      <c r="E305" s="186"/>
      <c r="F305" s="186"/>
      <c r="G305" s="186"/>
      <c r="H305" s="186"/>
    </row>
    <row r="306" spans="1:8" x14ac:dyDescent="0.35">
      <c r="A306" s="193" t="s">
        <v>72</v>
      </c>
      <c r="B306" s="193"/>
      <c r="C306" s="193" t="s">
        <v>381</v>
      </c>
      <c r="D306" s="193"/>
      <c r="E306" s="193" t="s">
        <v>102</v>
      </c>
      <c r="F306" s="193"/>
      <c r="G306" s="193" t="s">
        <v>404</v>
      </c>
      <c r="H306" s="193"/>
    </row>
    <row r="307" spans="1:8" x14ac:dyDescent="0.35">
      <c r="A307" s="192" t="s">
        <v>74</v>
      </c>
      <c r="B307" s="192"/>
      <c r="C307" s="192"/>
      <c r="D307" s="192"/>
      <c r="E307" s="192"/>
      <c r="F307" s="192"/>
      <c r="G307" s="192"/>
      <c r="H307" s="192"/>
    </row>
    <row r="308" spans="1:8" x14ac:dyDescent="0.35">
      <c r="A308" s="192"/>
      <c r="B308" s="192"/>
      <c r="C308" s="192"/>
      <c r="D308" s="192"/>
      <c r="E308" s="192"/>
      <c r="F308" s="192"/>
      <c r="G308" s="192"/>
      <c r="H308" s="192"/>
    </row>
    <row r="309" spans="1:8" x14ac:dyDescent="0.35">
      <c r="A309" s="192"/>
      <c r="B309" s="192"/>
      <c r="C309" s="192"/>
      <c r="D309" s="192"/>
      <c r="E309" s="192"/>
      <c r="F309" s="192"/>
      <c r="G309" s="192"/>
      <c r="H309" s="192"/>
    </row>
    <row r="310" spans="1:8" x14ac:dyDescent="0.35">
      <c r="A310" s="192"/>
      <c r="B310" s="192"/>
      <c r="C310" s="192"/>
      <c r="D310" s="192"/>
      <c r="E310" s="192"/>
      <c r="F310" s="192"/>
      <c r="G310" s="192"/>
      <c r="H310" s="192"/>
    </row>
    <row r="311" spans="1:8" x14ac:dyDescent="0.35">
      <c r="A311" s="35" t="s">
        <v>63</v>
      </c>
      <c r="B311" s="36"/>
      <c r="C311" s="36"/>
      <c r="D311" s="35" t="str">
        <f>E9</f>
        <v>Ayaana</v>
      </c>
      <c r="F311" s="36"/>
      <c r="G311" s="36"/>
      <c r="H311" s="36"/>
    </row>
    <row r="312" spans="1:8" x14ac:dyDescent="0.35">
      <c r="A312" s="36"/>
      <c r="B312" s="36"/>
      <c r="C312" s="36"/>
      <c r="D312" s="36"/>
      <c r="E312" s="36"/>
      <c r="F312" s="36"/>
      <c r="G312" s="36"/>
      <c r="H312" s="36"/>
    </row>
    <row r="313" spans="1:8" x14ac:dyDescent="0.35">
      <c r="A313" s="36"/>
      <c r="B313" s="36"/>
      <c r="C313" s="36"/>
      <c r="D313" s="36"/>
      <c r="E313" s="36"/>
      <c r="F313" s="36"/>
      <c r="G313" s="36"/>
      <c r="H313" s="36"/>
    </row>
    <row r="314" spans="1:8" ht="15" customHeight="1" x14ac:dyDescent="0.35"/>
    <row r="320" spans="1:8" x14ac:dyDescent="0.35">
      <c r="D320"/>
    </row>
    <row r="354" spans="1:1" x14ac:dyDescent="0.35">
      <c r="A354" s="38" t="s">
        <v>160</v>
      </c>
    </row>
    <row r="397" spans="1:1" x14ac:dyDescent="0.35">
      <c r="A397" s="38" t="s">
        <v>64</v>
      </c>
    </row>
  </sheetData>
  <mergeCells count="517">
    <mergeCell ref="A123:E123"/>
    <mergeCell ref="F123:H123"/>
    <mergeCell ref="B298:H298"/>
    <mergeCell ref="A255:B255"/>
    <mergeCell ref="A256:B256"/>
    <mergeCell ref="C249:H249"/>
    <mergeCell ref="A165:B165"/>
    <mergeCell ref="L165:M165"/>
    <mergeCell ref="A166:B166"/>
    <mergeCell ref="L166:M166"/>
    <mergeCell ref="A163:B163"/>
    <mergeCell ref="L163:M163"/>
    <mergeCell ref="A164:B164"/>
    <mergeCell ref="L164:M164"/>
    <mergeCell ref="A190:H190"/>
    <mergeCell ref="A192:B192"/>
    <mergeCell ref="L192:M192"/>
    <mergeCell ref="A246:H246"/>
    <mergeCell ref="A247:B247"/>
    <mergeCell ref="A248:B248"/>
    <mergeCell ref="A249:B249"/>
    <mergeCell ref="A250:B250"/>
    <mergeCell ref="A251:B251"/>
    <mergeCell ref="A252:B252"/>
    <mergeCell ref="A253:B253"/>
    <mergeCell ref="A254:B254"/>
    <mergeCell ref="A167:B167"/>
    <mergeCell ref="I15:P15"/>
    <mergeCell ref="F128:H128"/>
    <mergeCell ref="F126:H126"/>
    <mergeCell ref="A270:B270"/>
    <mergeCell ref="A142:H142"/>
    <mergeCell ref="G132:H132"/>
    <mergeCell ref="A127:E127"/>
    <mergeCell ref="A195:B195"/>
    <mergeCell ref="A60:B60"/>
    <mergeCell ref="C60:E60"/>
    <mergeCell ref="D62:H62"/>
    <mergeCell ref="F127:H127"/>
    <mergeCell ref="E132:F132"/>
    <mergeCell ref="A132:B132"/>
    <mergeCell ref="A134:B134"/>
    <mergeCell ref="C137:D137"/>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304:H304"/>
    <mergeCell ref="A301:H301"/>
    <mergeCell ref="A263:B263"/>
    <mergeCell ref="A137:B137"/>
    <mergeCell ref="D199:D200"/>
    <mergeCell ref="E199:E200"/>
    <mergeCell ref="A97:B97"/>
    <mergeCell ref="A98:B98"/>
    <mergeCell ref="A99:B99"/>
    <mergeCell ref="A113:B113"/>
    <mergeCell ref="F118:H118"/>
    <mergeCell ref="G133:H133"/>
    <mergeCell ref="A116:B116"/>
    <mergeCell ref="F125:H125"/>
    <mergeCell ref="C132:D132"/>
    <mergeCell ref="C139:D139"/>
    <mergeCell ref="A257:H257"/>
    <mergeCell ref="A272:B272"/>
    <mergeCell ref="A269:B269"/>
    <mergeCell ref="A194:B194"/>
    <mergeCell ref="B296:H296"/>
    <mergeCell ref="A140:B140"/>
    <mergeCell ref="C140:D140"/>
    <mergeCell ref="E140:F140"/>
    <mergeCell ref="B295:H295"/>
    <mergeCell ref="B293:H293"/>
    <mergeCell ref="B289:H289"/>
    <mergeCell ref="A283:B283"/>
    <mergeCell ref="A280:H280"/>
    <mergeCell ref="A281:B281"/>
    <mergeCell ref="A282:B282"/>
    <mergeCell ref="A285:B285"/>
    <mergeCell ref="A284:B284"/>
    <mergeCell ref="B287:H287"/>
    <mergeCell ref="B288:H288"/>
    <mergeCell ref="B290:H290"/>
    <mergeCell ref="B291:H291"/>
    <mergeCell ref="A286:H286"/>
    <mergeCell ref="A278:B278"/>
    <mergeCell ref="A279:B279"/>
    <mergeCell ref="A274:H274"/>
    <mergeCell ref="A268:H268"/>
    <mergeCell ref="F117:H117"/>
    <mergeCell ref="F122:H122"/>
    <mergeCell ref="A258:B258"/>
    <mergeCell ref="A197:B197"/>
    <mergeCell ref="A196:B196"/>
    <mergeCell ref="E92:F92"/>
    <mergeCell ref="G92:H92"/>
    <mergeCell ref="A124:E124"/>
    <mergeCell ref="F124:H124"/>
    <mergeCell ref="A126:E126"/>
    <mergeCell ref="F120:H120"/>
    <mergeCell ref="A125:E125"/>
    <mergeCell ref="A110:B110"/>
    <mergeCell ref="A111:B111"/>
    <mergeCell ref="E93:F102"/>
    <mergeCell ref="A100:B100"/>
    <mergeCell ref="A101:B101"/>
    <mergeCell ref="E106:F106"/>
    <mergeCell ref="E107:F116"/>
    <mergeCell ref="A198:H198"/>
    <mergeCell ref="E137:F137"/>
    <mergeCell ref="A141:H141"/>
    <mergeCell ref="A199:A200"/>
    <mergeCell ref="F199:F200"/>
    <mergeCell ref="A307:H310"/>
    <mergeCell ref="A306:B306"/>
    <mergeCell ref="E306:F306"/>
    <mergeCell ref="C306:D306"/>
    <mergeCell ref="G306:H306"/>
    <mergeCell ref="A131:H131"/>
    <mergeCell ref="A129:E129"/>
    <mergeCell ref="F129:H129"/>
    <mergeCell ref="A130:E130"/>
    <mergeCell ref="F130:H130"/>
    <mergeCell ref="A262:H262"/>
    <mergeCell ref="A138:B138"/>
    <mergeCell ref="A271:B271"/>
    <mergeCell ref="A133:B133"/>
    <mergeCell ref="A302:H302"/>
    <mergeCell ref="A136:H136"/>
    <mergeCell ref="A305:H305"/>
    <mergeCell ref="A303:H303"/>
    <mergeCell ref="A299:H299"/>
    <mergeCell ref="G137:H137"/>
    <mergeCell ref="A273:B273"/>
    <mergeCell ref="C143:C144"/>
    <mergeCell ref="B199:B200"/>
    <mergeCell ref="A300:H300"/>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L197:M197"/>
    <mergeCell ref="L196:M196"/>
    <mergeCell ref="L195:M195"/>
    <mergeCell ref="L194:M194"/>
    <mergeCell ref="A86:B86"/>
    <mergeCell ref="C138:D138"/>
    <mergeCell ref="E138:F138"/>
    <mergeCell ref="G138:H138"/>
    <mergeCell ref="A118:E118"/>
    <mergeCell ref="A103:B103"/>
    <mergeCell ref="C103:H103"/>
    <mergeCell ref="A193:H193"/>
    <mergeCell ref="E143:E144"/>
    <mergeCell ref="A93:B93"/>
    <mergeCell ref="A47:D47"/>
    <mergeCell ref="A48:H48"/>
    <mergeCell ref="D64:H64"/>
    <mergeCell ref="A64:C64"/>
    <mergeCell ref="A85:B85"/>
    <mergeCell ref="C91:H91"/>
    <mergeCell ref="A45:D45"/>
    <mergeCell ref="L262:M262"/>
    <mergeCell ref="A267:B267"/>
    <mergeCell ref="A264:B264"/>
    <mergeCell ref="A265:B265"/>
    <mergeCell ref="A275:B275"/>
    <mergeCell ref="A40:B40"/>
    <mergeCell ref="C40:H40"/>
    <mergeCell ref="F143:F144"/>
    <mergeCell ref="C133:D133"/>
    <mergeCell ref="E133:F133"/>
    <mergeCell ref="B143:B144"/>
    <mergeCell ref="A143:A144"/>
    <mergeCell ref="C199:C200"/>
    <mergeCell ref="G199:G200"/>
    <mergeCell ref="L261:M261"/>
    <mergeCell ref="L258:M258"/>
    <mergeCell ref="A259:B259"/>
    <mergeCell ref="G140:H140"/>
    <mergeCell ref="L259:M259"/>
    <mergeCell ref="A260:B260"/>
    <mergeCell ref="L260:M260"/>
    <mergeCell ref="C55:H55"/>
    <mergeCell ref="A261:B261"/>
    <mergeCell ref="A78:B78"/>
    <mergeCell ref="A49:B49"/>
    <mergeCell ref="C49:H49"/>
    <mergeCell ref="B292:H292"/>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276:B276"/>
    <mergeCell ref="A81:B81"/>
    <mergeCell ref="B297:H297"/>
    <mergeCell ref="A122:E122"/>
    <mergeCell ref="A102:B102"/>
    <mergeCell ref="A107:B107"/>
    <mergeCell ref="A139:B139"/>
    <mergeCell ref="E139:F139"/>
    <mergeCell ref="C105:H105"/>
    <mergeCell ref="A106:B106"/>
    <mergeCell ref="A128:E128"/>
    <mergeCell ref="G139:H139"/>
    <mergeCell ref="C134:D134"/>
    <mergeCell ref="E134:F134"/>
    <mergeCell ref="G134:H134"/>
    <mergeCell ref="A135:B135"/>
    <mergeCell ref="C135:D135"/>
    <mergeCell ref="E135:F135"/>
    <mergeCell ref="G135:H135"/>
    <mergeCell ref="B294:H294"/>
    <mergeCell ref="A277:B277"/>
    <mergeCell ref="A266:B266"/>
    <mergeCell ref="A145:H145"/>
    <mergeCell ref="A146:H146"/>
    <mergeCell ref="A147:B147"/>
    <mergeCell ref="A152:B152"/>
    <mergeCell ref="L147:M147"/>
    <mergeCell ref="A148:B148"/>
    <mergeCell ref="L148:M148"/>
    <mergeCell ref="A149:B149"/>
    <mergeCell ref="L149:M149"/>
    <mergeCell ref="A150:B150"/>
    <mergeCell ref="L150:M150"/>
    <mergeCell ref="A151:B151"/>
    <mergeCell ref="L151:M151"/>
    <mergeCell ref="L152:M152"/>
    <mergeCell ref="A153:B153"/>
    <mergeCell ref="L153:M153"/>
    <mergeCell ref="A154:B154"/>
    <mergeCell ref="L154:M154"/>
    <mergeCell ref="A155:B155"/>
    <mergeCell ref="L155:M155"/>
    <mergeCell ref="A157:H157"/>
    <mergeCell ref="A158:H158"/>
    <mergeCell ref="A156:B156"/>
    <mergeCell ref="L156:M156"/>
    <mergeCell ref="A159:B159"/>
    <mergeCell ref="L159:M159"/>
    <mergeCell ref="A160:B160"/>
    <mergeCell ref="L160:M160"/>
    <mergeCell ref="A171:B171"/>
    <mergeCell ref="L171:M171"/>
    <mergeCell ref="A172:B172"/>
    <mergeCell ref="L172:M172"/>
    <mergeCell ref="A173:B173"/>
    <mergeCell ref="L173:M173"/>
    <mergeCell ref="L167:M167"/>
    <mergeCell ref="A168:B168"/>
    <mergeCell ref="L168:M168"/>
    <mergeCell ref="A169:B169"/>
    <mergeCell ref="L169:M169"/>
    <mergeCell ref="A170:B170"/>
    <mergeCell ref="L170:M170"/>
    <mergeCell ref="A161:B161"/>
    <mergeCell ref="L161:M161"/>
    <mergeCell ref="A162:B162"/>
    <mergeCell ref="L162:M162"/>
    <mergeCell ref="A174:B174"/>
    <mergeCell ref="L174:M174"/>
    <mergeCell ref="A175:B175"/>
    <mergeCell ref="L175:M175"/>
    <mergeCell ref="A176:B176"/>
    <mergeCell ref="L176:M176"/>
    <mergeCell ref="A177:B177"/>
    <mergeCell ref="L177:M177"/>
    <mergeCell ref="A178:B178"/>
    <mergeCell ref="L178:M178"/>
    <mergeCell ref="A179:B179"/>
    <mergeCell ref="L179:M179"/>
    <mergeCell ref="A180:B180"/>
    <mergeCell ref="L180:M180"/>
    <mergeCell ref="A181:B181"/>
    <mergeCell ref="L181:M181"/>
    <mergeCell ref="A182:B182"/>
    <mergeCell ref="L182:M182"/>
    <mergeCell ref="A183:B183"/>
    <mergeCell ref="L183:M183"/>
    <mergeCell ref="A184:B184"/>
    <mergeCell ref="L184:M184"/>
    <mergeCell ref="A185:B185"/>
    <mergeCell ref="L185:M185"/>
    <mergeCell ref="A186:B186"/>
    <mergeCell ref="L186:M186"/>
    <mergeCell ref="A187:B187"/>
    <mergeCell ref="L187:M187"/>
    <mergeCell ref="A188:B188"/>
    <mergeCell ref="L188:M188"/>
    <mergeCell ref="A189:B189"/>
    <mergeCell ref="L189:M189"/>
    <mergeCell ref="A201:H201"/>
    <mergeCell ref="A202:H202"/>
    <mergeCell ref="L202:M202"/>
    <mergeCell ref="A204:B204"/>
    <mergeCell ref="A205:B205"/>
    <mergeCell ref="A206:B206"/>
    <mergeCell ref="A207:B207"/>
    <mergeCell ref="A191:B191"/>
    <mergeCell ref="L191:M191"/>
    <mergeCell ref="A203:B203"/>
    <mergeCell ref="C203:H203"/>
    <mergeCell ref="L213:M213"/>
    <mergeCell ref="A215:B215"/>
    <mergeCell ref="A216:B216"/>
    <mergeCell ref="A217:B217"/>
    <mergeCell ref="A218:B218"/>
    <mergeCell ref="A219:B219"/>
    <mergeCell ref="A210:B210"/>
    <mergeCell ref="A211:B211"/>
    <mergeCell ref="A212:B212"/>
    <mergeCell ref="C210:H212"/>
    <mergeCell ref="A214:B214"/>
    <mergeCell ref="C214:H214"/>
    <mergeCell ref="C221:H223"/>
    <mergeCell ref="A222:B222"/>
    <mergeCell ref="A223:B223"/>
    <mergeCell ref="A232:B232"/>
    <mergeCell ref="C232:H234"/>
    <mergeCell ref="A233:B233"/>
    <mergeCell ref="A234:B234"/>
    <mergeCell ref="A208:B208"/>
    <mergeCell ref="A209:B209"/>
    <mergeCell ref="A213:H213"/>
    <mergeCell ref="I11:L11"/>
    <mergeCell ref="A244:B244"/>
    <mergeCell ref="A245:B245"/>
    <mergeCell ref="A227:B227"/>
    <mergeCell ref="A228:B228"/>
    <mergeCell ref="A229:B229"/>
    <mergeCell ref="A230:B230"/>
    <mergeCell ref="A231:B231"/>
    <mergeCell ref="A235:H235"/>
    <mergeCell ref="A236:B236"/>
    <mergeCell ref="A237:B237"/>
    <mergeCell ref="A238:B238"/>
    <mergeCell ref="A220:B220"/>
    <mergeCell ref="A224:H224"/>
    <mergeCell ref="L224:M224"/>
    <mergeCell ref="A226:B226"/>
    <mergeCell ref="A239:B239"/>
    <mergeCell ref="A240:B240"/>
    <mergeCell ref="A241:B241"/>
    <mergeCell ref="A242:B242"/>
    <mergeCell ref="A243:B243"/>
    <mergeCell ref="A225:B225"/>
    <mergeCell ref="C225:H225"/>
    <mergeCell ref="A221:B221"/>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306:H306">
      <formula1>"Kunal Kadam,Pranita Mhatre,Shruti Fule,Pooja Kawale,Gaurav Panchal,Shruti Tathare, Diptee Gotawade,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9:H129">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99:B20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9:E200">
      <formula1>"Fungible area,Balcony Area,Chajja Area,Cornice Area,AP Area,WS Area"</formula1>
    </dataValidation>
    <dataValidation type="list" allowBlank="1" showInputMessage="1" showErrorMessage="1" sqref="H144">
      <formula1>".45,.50,.55,.60,1.1"</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99">
      <formula1>"Saleable area Loading :,Builder Saleable Area"</formula1>
    </dataValidation>
    <dataValidation type="list" allowBlank="1" showInputMessage="1" showErrorMessage="1" sqref="D143:D144 D199:D200">
      <formula1>"Carpet area,RERA Carpet area"</formula1>
    </dataValidation>
    <dataValidation type="list" allowBlank="1" showInputMessage="1" showErrorMessage="1" sqref="H200">
      <formula1>".45,.50,.55,.65"</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16383" man="1"/>
    <brk id="310" max="16383" man="1"/>
    <brk id="353" max="16383" man="1"/>
    <brk id="39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7" t="s">
        <v>103</v>
      </c>
      <c r="C3" s="237"/>
      <c r="D3" s="237"/>
      <c r="E3" s="237"/>
      <c r="F3" s="237"/>
      <c r="G3" s="237"/>
      <c r="H3" s="237"/>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175</v>
      </c>
      <c r="E4" s="48" t="s">
        <v>185</v>
      </c>
      <c r="F4" s="48" t="s">
        <v>169</v>
      </c>
      <c r="G4" s="48" t="s">
        <v>190</v>
      </c>
      <c r="H4" s="48" t="s">
        <v>208</v>
      </c>
      <c r="J4" t="s">
        <v>190</v>
      </c>
      <c r="K4" t="s">
        <v>206</v>
      </c>
    </row>
    <row r="5" spans="2:11" x14ac:dyDescent="0.35">
      <c r="B5" s="47"/>
      <c r="C5" s="47"/>
      <c r="D5" s="48" t="s">
        <v>176</v>
      </c>
      <c r="E5" s="48" t="s">
        <v>183</v>
      </c>
      <c r="F5" s="48" t="s">
        <v>205</v>
      </c>
      <c r="G5" s="48" t="s">
        <v>191</v>
      </c>
      <c r="H5" s="48" t="s">
        <v>209</v>
      </c>
    </row>
    <row r="6" spans="2:11" x14ac:dyDescent="0.35">
      <c r="B6" s="47"/>
      <c r="C6" s="47"/>
      <c r="D6" s="48" t="s">
        <v>177</v>
      </c>
      <c r="E6" s="48" t="s">
        <v>184</v>
      </c>
      <c r="F6" s="48" t="s">
        <v>206</v>
      </c>
      <c r="G6" s="48" t="s">
        <v>192</v>
      </c>
      <c r="H6" s="48" t="s">
        <v>222</v>
      </c>
    </row>
    <row r="7" spans="2:11" x14ac:dyDescent="0.35">
      <c r="B7" s="47"/>
      <c r="C7" s="47"/>
      <c r="D7" s="48" t="s">
        <v>178</v>
      </c>
      <c r="E7" s="48" t="s">
        <v>186</v>
      </c>
      <c r="F7" s="48" t="s">
        <v>207</v>
      </c>
      <c r="G7" s="48" t="s">
        <v>193</v>
      </c>
      <c r="H7" s="48" t="s">
        <v>210</v>
      </c>
    </row>
    <row r="8" spans="2:11" x14ac:dyDescent="0.35">
      <c r="B8" s="47"/>
      <c r="C8" s="47"/>
      <c r="D8" s="48" t="s">
        <v>179</v>
      </c>
      <c r="E8" s="48" t="s">
        <v>187</v>
      </c>
      <c r="F8" s="48"/>
      <c r="G8" s="48" t="s">
        <v>194</v>
      </c>
      <c r="H8" s="48" t="s">
        <v>211</v>
      </c>
    </row>
    <row r="9" spans="2:11" x14ac:dyDescent="0.35">
      <c r="B9" s="47"/>
      <c r="C9" s="47"/>
      <c r="D9" s="48" t="s">
        <v>180</v>
      </c>
      <c r="E9" s="48" t="s">
        <v>185</v>
      </c>
      <c r="F9" s="48"/>
      <c r="G9" s="48" t="s">
        <v>195</v>
      </c>
      <c r="H9" s="48" t="s">
        <v>212</v>
      </c>
    </row>
    <row r="10" spans="2:11" x14ac:dyDescent="0.35">
      <c r="B10" s="47"/>
      <c r="C10" s="47"/>
      <c r="D10" s="48" t="s">
        <v>181</v>
      </c>
      <c r="E10" s="48" t="s">
        <v>188</v>
      </c>
      <c r="F10" s="48"/>
      <c r="G10" s="48" t="s">
        <v>196</v>
      </c>
      <c r="H10" s="48" t="s">
        <v>213</v>
      </c>
    </row>
    <row r="11" spans="2:11" x14ac:dyDescent="0.35">
      <c r="B11" s="47"/>
      <c r="C11" s="47"/>
      <c r="D11" s="48" t="s">
        <v>182</v>
      </c>
      <c r="E11" s="48" t="s">
        <v>189</v>
      </c>
      <c r="F11" s="48"/>
      <c r="G11" s="48" t="s">
        <v>197</v>
      </c>
      <c r="H11" s="48" t="s">
        <v>214</v>
      </c>
    </row>
    <row r="12" spans="2:11" x14ac:dyDescent="0.35">
      <c r="B12" s="47"/>
      <c r="C12" s="47"/>
      <c r="D12" s="48"/>
      <c r="E12" s="48"/>
      <c r="F12" s="48"/>
      <c r="G12" s="48" t="s">
        <v>198</v>
      </c>
      <c r="H12" s="48" t="s">
        <v>215</v>
      </c>
    </row>
    <row r="13" spans="2:11" x14ac:dyDescent="0.35">
      <c r="B13" s="47"/>
      <c r="C13" s="47"/>
      <c r="D13" s="48"/>
      <c r="E13" s="48"/>
      <c r="F13" s="48"/>
      <c r="G13" s="48" t="s">
        <v>199</v>
      </c>
      <c r="H13" s="48" t="s">
        <v>216</v>
      </c>
    </row>
    <row r="14" spans="2:11" x14ac:dyDescent="0.35">
      <c r="B14" s="47"/>
      <c r="C14" s="47"/>
      <c r="D14" s="48"/>
      <c r="E14" s="48"/>
      <c r="F14" s="48"/>
      <c r="G14" s="48" t="s">
        <v>200</v>
      </c>
      <c r="H14" s="48" t="s">
        <v>217</v>
      </c>
    </row>
    <row r="15" spans="2:11" x14ac:dyDescent="0.35">
      <c r="B15" s="47"/>
      <c r="C15" s="47"/>
      <c r="D15" s="48"/>
      <c r="E15" s="48"/>
      <c r="F15" s="48"/>
      <c r="G15" s="48" t="s">
        <v>201</v>
      </c>
      <c r="H15" s="48" t="s">
        <v>218</v>
      </c>
    </row>
    <row r="16" spans="2:11" x14ac:dyDescent="0.35">
      <c r="B16" s="47"/>
      <c r="C16" s="47"/>
      <c r="D16" s="48"/>
      <c r="E16" s="48"/>
      <c r="F16" s="48"/>
      <c r="G16" s="48" t="s">
        <v>202</v>
      </c>
      <c r="H16" s="48" t="s">
        <v>219</v>
      </c>
    </row>
    <row r="17" spans="2:8" x14ac:dyDescent="0.35">
      <c r="B17" s="47"/>
      <c r="C17" s="47"/>
      <c r="D17" s="48"/>
      <c r="E17" s="48"/>
      <c r="F17" s="48"/>
      <c r="G17" s="48" t="s">
        <v>203</v>
      </c>
      <c r="H17" s="48" t="s">
        <v>220</v>
      </c>
    </row>
    <row r="18" spans="2:8" x14ac:dyDescent="0.35">
      <c r="B18" s="47"/>
      <c r="C18" s="47"/>
      <c r="D18" s="48"/>
      <c r="E18" s="48"/>
      <c r="F18" s="48"/>
      <c r="G18" s="48" t="s">
        <v>204</v>
      </c>
      <c r="H18" s="48" t="s">
        <v>221</v>
      </c>
    </row>
    <row r="24" spans="2:8" x14ac:dyDescent="0.35">
      <c r="C24" t="s">
        <v>166</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166</v>
      </c>
    </row>
    <row r="33" spans="3:11" x14ac:dyDescent="0.35">
      <c r="J33">
        <v>1</v>
      </c>
      <c r="K33">
        <v>2</v>
      </c>
    </row>
    <row r="34" spans="3:11" x14ac:dyDescent="0.35">
      <c r="C34" s="49" t="s">
        <v>232</v>
      </c>
      <c r="D34" s="48" t="s">
        <v>230</v>
      </c>
      <c r="E34" s="48" t="s">
        <v>235</v>
      </c>
      <c r="F34" s="48" t="s">
        <v>233</v>
      </c>
      <c r="G34" s="48" t="s">
        <v>234</v>
      </c>
      <c r="H34" s="48" t="s">
        <v>236</v>
      </c>
      <c r="J34" t="s">
        <v>190</v>
      </c>
      <c r="K34" t="s">
        <v>206</v>
      </c>
    </row>
    <row r="35" spans="3:11" x14ac:dyDescent="0.35">
      <c r="C35" s="47" t="s">
        <v>231</v>
      </c>
      <c r="D35" s="48" t="s">
        <v>167</v>
      </c>
      <c r="E35" s="48" t="s">
        <v>240</v>
      </c>
      <c r="F35" s="48" t="s">
        <v>242</v>
      </c>
      <c r="G35" s="48" t="s">
        <v>244</v>
      </c>
      <c r="H35" s="48"/>
    </row>
    <row r="36" spans="3:11" x14ac:dyDescent="0.35">
      <c r="C36" s="47"/>
      <c r="D36" s="48" t="s">
        <v>237</v>
      </c>
      <c r="E36" s="48" t="s">
        <v>241</v>
      </c>
      <c r="F36" s="48" t="s">
        <v>243</v>
      </c>
      <c r="G36" s="48" t="s">
        <v>245</v>
      </c>
      <c r="H36" s="48"/>
    </row>
    <row r="37" spans="3:11" x14ac:dyDescent="0.35">
      <c r="C37" s="47"/>
      <c r="D37" s="48" t="s">
        <v>238</v>
      </c>
      <c r="E37" s="48"/>
      <c r="F37" s="48"/>
      <c r="G37" s="48" t="s">
        <v>246</v>
      </c>
      <c r="H37" s="48"/>
    </row>
    <row r="38" spans="3:11" x14ac:dyDescent="0.35">
      <c r="C38" s="47"/>
      <c r="D38" s="48" t="s">
        <v>239</v>
      </c>
      <c r="E38" s="48"/>
      <c r="F38" s="48"/>
      <c r="G38" s="48" t="s">
        <v>246</v>
      </c>
      <c r="H38" s="48"/>
    </row>
    <row r="39" spans="3:11" x14ac:dyDescent="0.35">
      <c r="C39" s="47"/>
      <c r="D39" s="48"/>
      <c r="E39" s="48"/>
      <c r="F39" s="48"/>
      <c r="G39" s="48" t="s">
        <v>247</v>
      </c>
      <c r="H39" s="48"/>
    </row>
    <row r="40" spans="3:11" x14ac:dyDescent="0.35">
      <c r="C40" s="47"/>
      <c r="D40" s="48"/>
      <c r="E40" s="48"/>
      <c r="F40" s="48"/>
      <c r="G40" s="48" t="s">
        <v>248</v>
      </c>
      <c r="H40" s="48"/>
    </row>
    <row r="41" spans="3:11" x14ac:dyDescent="0.35">
      <c r="C41" s="47"/>
      <c r="D41" s="48"/>
      <c r="E41" s="48"/>
      <c r="F41" s="48"/>
      <c r="G41" s="48"/>
      <c r="H41" s="48"/>
    </row>
    <row r="43" spans="3:11" x14ac:dyDescent="0.35">
      <c r="C43" t="s">
        <v>249</v>
      </c>
    </row>
    <row r="44" spans="3:11" x14ac:dyDescent="0.35">
      <c r="C44" t="s">
        <v>169</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175</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190</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185</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4.5" x14ac:dyDescent="0.35"/>
  <cols>
    <col min="2" max="2" width="3" bestFit="1" customWidth="1"/>
    <col min="3" max="3" width="155.26953125" customWidth="1"/>
  </cols>
  <sheetData>
    <row r="2" spans="2:3" ht="15" customHeight="1" x14ac:dyDescent="0.35">
      <c r="B2" s="50">
        <v>1</v>
      </c>
      <c r="C2" s="52" t="s">
        <v>280</v>
      </c>
    </row>
    <row r="3" spans="2:3" x14ac:dyDescent="0.35">
      <c r="B3" s="50">
        <v>2</v>
      </c>
      <c r="C3" s="51" t="s">
        <v>281</v>
      </c>
    </row>
    <row r="4" spans="2:3" x14ac:dyDescent="0.35">
      <c r="B4" s="50">
        <v>3</v>
      </c>
      <c r="C4" s="50" t="s">
        <v>282</v>
      </c>
    </row>
    <row r="5" spans="2:3" x14ac:dyDescent="0.35">
      <c r="B5" s="50">
        <v>4</v>
      </c>
      <c r="C5" s="51" t="s">
        <v>283</v>
      </c>
    </row>
    <row r="6" spans="2:3" x14ac:dyDescent="0.35">
      <c r="B6" s="50">
        <v>5</v>
      </c>
      <c r="C6" s="50" t="s">
        <v>284</v>
      </c>
    </row>
    <row r="7" spans="2:3" ht="29" x14ac:dyDescent="0.35">
      <c r="B7" s="50">
        <v>6</v>
      </c>
      <c r="C7" s="51" t="s">
        <v>285</v>
      </c>
    </row>
    <row r="8" spans="2:3" ht="72.5" x14ac:dyDescent="0.35">
      <c r="B8" s="50">
        <v>7</v>
      </c>
      <c r="C8" s="51" t="s">
        <v>286</v>
      </c>
    </row>
    <row r="9" spans="2:3" x14ac:dyDescent="0.35">
      <c r="B9" s="50">
        <v>8</v>
      </c>
      <c r="C9" s="50" t="s">
        <v>287</v>
      </c>
    </row>
    <row r="10" spans="2:3" x14ac:dyDescent="0.35">
      <c r="B10" s="50">
        <v>9</v>
      </c>
      <c r="C10" s="50" t="s">
        <v>288</v>
      </c>
    </row>
    <row r="11" spans="2:3" x14ac:dyDescent="0.35">
      <c r="B11" s="50">
        <v>10</v>
      </c>
      <c r="C11" s="50" t="s">
        <v>289</v>
      </c>
    </row>
    <row r="12" spans="2:3" x14ac:dyDescent="0.35">
      <c r="B12" s="50">
        <v>11</v>
      </c>
      <c r="C12" s="50" t="s">
        <v>290</v>
      </c>
    </row>
    <row r="13" spans="2:3" x14ac:dyDescent="0.35">
      <c r="B13" s="50">
        <v>12</v>
      </c>
      <c r="C13" s="50" t="s">
        <v>291</v>
      </c>
    </row>
    <row r="14" spans="2:3" x14ac:dyDescent="0.35">
      <c r="B14" s="50">
        <v>13</v>
      </c>
      <c r="C14" s="50" t="s">
        <v>292</v>
      </c>
    </row>
    <row r="15" spans="2:3" x14ac:dyDescent="0.35">
      <c r="B15" s="50">
        <v>14</v>
      </c>
      <c r="C15" s="50" t="s">
        <v>282</v>
      </c>
    </row>
    <row r="16" spans="2:3" x14ac:dyDescent="0.35">
      <c r="B16" s="50">
        <v>15</v>
      </c>
      <c r="C16" s="50" t="s">
        <v>294</v>
      </c>
    </row>
    <row r="17" spans="2:3" ht="31.5" customHeight="1" x14ac:dyDescent="0.35">
      <c r="B17" s="53">
        <v>16</v>
      </c>
      <c r="C17" s="55" t="s">
        <v>295</v>
      </c>
    </row>
    <row r="18" spans="2:3" x14ac:dyDescent="0.35">
      <c r="B18" s="54">
        <v>17</v>
      </c>
      <c r="C18" s="55" t="s">
        <v>296</v>
      </c>
    </row>
    <row r="19" spans="2:3" x14ac:dyDescent="0.35">
      <c r="B19" s="53">
        <v>18</v>
      </c>
      <c r="C19" s="50" t="s">
        <v>297</v>
      </c>
    </row>
    <row r="20" spans="2:3" x14ac:dyDescent="0.35">
      <c r="B20" s="54">
        <v>19</v>
      </c>
      <c r="C20" s="50" t="s">
        <v>298</v>
      </c>
    </row>
    <row r="21" spans="2:3" x14ac:dyDescent="0.35">
      <c r="B21" s="50">
        <v>20</v>
      </c>
      <c r="C21" s="50" t="s">
        <v>299</v>
      </c>
    </row>
    <row r="22" spans="2:3" x14ac:dyDescent="0.35">
      <c r="B22" s="54">
        <v>21</v>
      </c>
      <c r="C22" s="50" t="s">
        <v>297</v>
      </c>
    </row>
    <row r="23" spans="2:3" s="64" customFormat="1" ht="29.25" customHeight="1" x14ac:dyDescent="0.35">
      <c r="B23" s="63">
        <v>22</v>
      </c>
      <c r="C23" s="52" t="s">
        <v>326</v>
      </c>
    </row>
    <row r="24" spans="2:3" s="64" customFormat="1" ht="30.75" customHeight="1" x14ac:dyDescent="0.35">
      <c r="B24" s="65">
        <v>23</v>
      </c>
      <c r="C24" s="52" t="s">
        <v>327</v>
      </c>
    </row>
    <row r="25" spans="2:3" x14ac:dyDescent="0.35">
      <c r="B25" s="50">
        <v>24</v>
      </c>
      <c r="C25" s="50" t="s">
        <v>330</v>
      </c>
    </row>
    <row r="26" spans="2:3" x14ac:dyDescent="0.35">
      <c r="B26" s="54">
        <v>25</v>
      </c>
      <c r="C26" s="50" t="s">
        <v>328</v>
      </c>
    </row>
    <row r="27" spans="2:3" x14ac:dyDescent="0.35">
      <c r="B27" s="65">
        <v>26</v>
      </c>
      <c r="C27" s="50" t="s">
        <v>329</v>
      </c>
    </row>
    <row r="28" spans="2:3" x14ac:dyDescent="0.35">
      <c r="B28" s="54">
        <v>27</v>
      </c>
      <c r="C28" s="50"/>
    </row>
    <row r="29" spans="2:3" x14ac:dyDescent="0.35">
      <c r="B29" s="54">
        <v>28</v>
      </c>
      <c r="C29" s="50"/>
    </row>
    <row r="30" spans="2:3" x14ac:dyDescent="0.35">
      <c r="B30" s="65">
        <v>29</v>
      </c>
      <c r="C30" s="50"/>
    </row>
    <row r="31" spans="2:3" x14ac:dyDescent="0.35">
      <c r="B31" s="54">
        <v>30</v>
      </c>
      <c r="C31" s="50"/>
    </row>
    <row r="32" spans="2:3" x14ac:dyDescent="0.35">
      <c r="B32" s="54">
        <v>31</v>
      </c>
      <c r="C32" s="50"/>
    </row>
    <row r="33" spans="2:3" x14ac:dyDescent="0.35">
      <c r="B33" s="65">
        <v>32</v>
      </c>
      <c r="C33" s="50"/>
    </row>
    <row r="34" spans="2:3" x14ac:dyDescent="0.35">
      <c r="B34" s="54">
        <v>33</v>
      </c>
      <c r="C34" s="50"/>
    </row>
    <row r="35" spans="2:3" x14ac:dyDescent="0.35">
      <c r="B35" s="54">
        <v>34</v>
      </c>
      <c r="C35"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7"/>
    <col min="2" max="2" width="12.26953125" style="47" customWidth="1"/>
    <col min="3" max="16384" width="9.1796875" style="47"/>
  </cols>
  <sheetData>
    <row r="2" spans="1:12" x14ac:dyDescent="0.35">
      <c r="B2" s="57" t="s">
        <v>300</v>
      </c>
      <c r="C2" s="238"/>
      <c r="D2" s="238"/>
    </row>
    <row r="3" spans="1:12" x14ac:dyDescent="0.35">
      <c r="D3" s="58"/>
      <c r="E3" s="58"/>
      <c r="F3" s="58"/>
      <c r="G3" s="58"/>
      <c r="H3" s="58"/>
      <c r="I3" s="58"/>
    </row>
    <row r="4" spans="1:12" x14ac:dyDescent="0.35">
      <c r="A4" s="57" t="s">
        <v>66</v>
      </c>
      <c r="B4" s="59" t="s">
        <v>301</v>
      </c>
      <c r="C4" s="239" t="s">
        <v>302</v>
      </c>
      <c r="D4" s="239"/>
      <c r="E4" s="239"/>
      <c r="F4" s="59"/>
      <c r="G4" s="240" t="s">
        <v>303</v>
      </c>
      <c r="H4" s="240"/>
      <c r="I4" s="240"/>
      <c r="J4" s="241" t="s">
        <v>304</v>
      </c>
      <c r="K4" s="241"/>
      <c r="L4" s="241"/>
    </row>
    <row r="5" spans="1:12" x14ac:dyDescent="0.35">
      <c r="A5" s="57"/>
      <c r="B5" s="59"/>
      <c r="C5" s="59" t="s">
        <v>305</v>
      </c>
      <c r="D5" s="59" t="s">
        <v>306</v>
      </c>
      <c r="E5" s="59" t="s">
        <v>307</v>
      </c>
      <c r="F5" s="59"/>
      <c r="G5" s="59" t="s">
        <v>305</v>
      </c>
      <c r="H5" s="59" t="s">
        <v>306</v>
      </c>
      <c r="I5" s="59" t="s">
        <v>307</v>
      </c>
      <c r="J5" s="59" t="s">
        <v>305</v>
      </c>
      <c r="K5" s="59" t="s">
        <v>306</v>
      </c>
      <c r="L5" s="59" t="s">
        <v>307</v>
      </c>
    </row>
    <row r="6" spans="1:12" x14ac:dyDescent="0.35">
      <c r="B6" s="48" t="s">
        <v>308</v>
      </c>
      <c r="C6" s="48"/>
      <c r="D6" s="48"/>
      <c r="E6" s="48">
        <f>C6*D6</f>
        <v>0</v>
      </c>
      <c r="F6" s="48" t="s">
        <v>325</v>
      </c>
      <c r="G6" s="48"/>
      <c r="H6" s="48"/>
      <c r="I6" s="48">
        <f>G6*H6</f>
        <v>0</v>
      </c>
      <c r="J6" s="48"/>
      <c r="K6" s="48"/>
      <c r="L6" s="48">
        <f>J6*K6</f>
        <v>0</v>
      </c>
    </row>
    <row r="7" spans="1:12" x14ac:dyDescent="0.35">
      <c r="B7" s="48"/>
      <c r="C7" s="48"/>
      <c r="D7" s="48"/>
      <c r="E7" s="48">
        <f t="shared" ref="E7:E41" si="0">C7*D7</f>
        <v>0</v>
      </c>
      <c r="F7" s="48" t="s">
        <v>325</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309</v>
      </c>
      <c r="G9" s="48"/>
      <c r="H9" s="48"/>
      <c r="I9" s="48">
        <f t="shared" si="1"/>
        <v>0</v>
      </c>
      <c r="J9" s="48"/>
      <c r="K9" s="48"/>
      <c r="L9" s="48">
        <f t="shared" si="2"/>
        <v>0</v>
      </c>
    </row>
    <row r="10" spans="1:12" x14ac:dyDescent="0.35">
      <c r="B10" s="48" t="s">
        <v>310</v>
      </c>
      <c r="C10" s="48"/>
      <c r="D10" s="48"/>
      <c r="E10" s="48">
        <f t="shared" si="0"/>
        <v>0</v>
      </c>
      <c r="F10" s="48" t="s">
        <v>309</v>
      </c>
      <c r="G10" s="48"/>
      <c r="H10" s="48"/>
      <c r="I10" s="48">
        <f t="shared" si="1"/>
        <v>0</v>
      </c>
      <c r="J10" s="48"/>
      <c r="K10" s="48"/>
      <c r="L10" s="48">
        <f t="shared" si="2"/>
        <v>0</v>
      </c>
    </row>
    <row r="11" spans="1:12" x14ac:dyDescent="0.35">
      <c r="B11" s="48"/>
      <c r="C11" s="48"/>
      <c r="D11" s="48"/>
      <c r="E11" s="48">
        <f t="shared" si="0"/>
        <v>0</v>
      </c>
      <c r="F11" s="48" t="s">
        <v>311</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312</v>
      </c>
      <c r="C14" s="48"/>
      <c r="D14" s="48"/>
      <c r="E14" s="48">
        <f t="shared" si="0"/>
        <v>0</v>
      </c>
      <c r="F14" s="48" t="s">
        <v>309</v>
      </c>
      <c r="G14" s="48"/>
      <c r="H14" s="48"/>
      <c r="I14" s="48">
        <f t="shared" si="1"/>
        <v>0</v>
      </c>
      <c r="J14" s="48"/>
      <c r="K14" s="48"/>
      <c r="L14" s="48">
        <f t="shared" si="2"/>
        <v>0</v>
      </c>
    </row>
    <row r="15" spans="1:12" x14ac:dyDescent="0.35">
      <c r="B15" s="48"/>
      <c r="C15" s="48"/>
      <c r="D15" s="48"/>
      <c r="E15" s="48">
        <f t="shared" si="0"/>
        <v>0</v>
      </c>
      <c r="F15" s="48" t="s">
        <v>311</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313</v>
      </c>
      <c r="C18" s="48"/>
      <c r="D18" s="48"/>
      <c r="E18" s="48">
        <f t="shared" si="0"/>
        <v>0</v>
      </c>
      <c r="F18" s="48" t="s">
        <v>309</v>
      </c>
      <c r="G18" s="48"/>
      <c r="H18" s="48"/>
      <c r="I18" s="48">
        <f t="shared" si="1"/>
        <v>0</v>
      </c>
      <c r="J18" s="48"/>
      <c r="K18" s="48"/>
      <c r="L18" s="48">
        <f t="shared" si="2"/>
        <v>0</v>
      </c>
    </row>
    <row r="19" spans="2:12" x14ac:dyDescent="0.35">
      <c r="B19" s="48"/>
      <c r="C19" s="48"/>
      <c r="D19" s="48"/>
      <c r="E19" s="48">
        <f t="shared" si="0"/>
        <v>0</v>
      </c>
      <c r="F19" s="48" t="s">
        <v>311</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314</v>
      </c>
      <c r="C21" s="48"/>
      <c r="D21" s="48"/>
      <c r="E21" s="48">
        <f t="shared" si="0"/>
        <v>0</v>
      </c>
      <c r="F21" s="48" t="s">
        <v>309</v>
      </c>
      <c r="G21" s="48"/>
      <c r="H21" s="48"/>
      <c r="I21" s="48">
        <f t="shared" si="1"/>
        <v>0</v>
      </c>
      <c r="J21" s="48"/>
      <c r="K21" s="48"/>
      <c r="L21" s="48">
        <f t="shared" si="2"/>
        <v>0</v>
      </c>
    </row>
    <row r="22" spans="2:12" x14ac:dyDescent="0.35">
      <c r="B22" s="48"/>
      <c r="C22" s="48"/>
      <c r="D22" s="48"/>
      <c r="E22" s="48">
        <f t="shared" si="0"/>
        <v>0</v>
      </c>
      <c r="F22" s="48" t="s">
        <v>311</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315</v>
      </c>
      <c r="C24" s="48"/>
      <c r="D24" s="48"/>
      <c r="E24" s="48">
        <f t="shared" si="0"/>
        <v>0</v>
      </c>
      <c r="F24" s="48" t="s">
        <v>316</v>
      </c>
      <c r="G24" s="48"/>
      <c r="H24" s="48"/>
      <c r="I24" s="48">
        <f t="shared" si="1"/>
        <v>0</v>
      </c>
      <c r="J24" s="48"/>
      <c r="K24" s="48"/>
      <c r="L24" s="48">
        <f t="shared" si="2"/>
        <v>0</v>
      </c>
    </row>
    <row r="25" spans="2:12" x14ac:dyDescent="0.35">
      <c r="B25" s="48"/>
      <c r="C25" s="48"/>
      <c r="D25" s="48"/>
      <c r="E25" s="48">
        <f t="shared" ref="E25:E27" si="3">C25*D25</f>
        <v>0</v>
      </c>
      <c r="F25" s="48" t="s">
        <v>316</v>
      </c>
      <c r="G25" s="48"/>
      <c r="H25" s="48"/>
      <c r="I25" s="48">
        <f t="shared" ref="I25:I27" si="4">G25*H25</f>
        <v>0</v>
      </c>
      <c r="J25" s="48"/>
      <c r="K25" s="48"/>
      <c r="L25" s="48">
        <f t="shared" ref="L25:L27" si="5">J25*K25</f>
        <v>0</v>
      </c>
    </row>
    <row r="26" spans="2:12" x14ac:dyDescent="0.35">
      <c r="B26" s="48"/>
      <c r="C26" s="48"/>
      <c r="D26" s="48"/>
      <c r="E26" s="48">
        <f t="shared" si="3"/>
        <v>0</v>
      </c>
      <c r="F26" s="48" t="s">
        <v>316</v>
      </c>
      <c r="G26" s="48"/>
      <c r="H26" s="48"/>
      <c r="I26" s="48">
        <f t="shared" si="4"/>
        <v>0</v>
      </c>
      <c r="J26" s="48"/>
      <c r="K26" s="48"/>
      <c r="L26" s="48">
        <f t="shared" si="5"/>
        <v>0</v>
      </c>
    </row>
    <row r="27" spans="2:12" x14ac:dyDescent="0.35">
      <c r="B27" s="48"/>
      <c r="C27" s="48"/>
      <c r="D27" s="48"/>
      <c r="E27" s="48">
        <f t="shared" si="3"/>
        <v>0</v>
      </c>
      <c r="F27" s="48" t="s">
        <v>316</v>
      </c>
      <c r="G27" s="48"/>
      <c r="H27" s="48"/>
      <c r="I27" s="48">
        <f t="shared" si="4"/>
        <v>0</v>
      </c>
      <c r="J27" s="48"/>
      <c r="K27" s="48"/>
      <c r="L27" s="48">
        <f t="shared" si="5"/>
        <v>0</v>
      </c>
    </row>
    <row r="28" spans="2:12" x14ac:dyDescent="0.35">
      <c r="B28" s="48" t="s">
        <v>317</v>
      </c>
      <c r="C28" s="48"/>
      <c r="D28" s="48"/>
      <c r="E28" s="48">
        <f t="shared" si="0"/>
        <v>0</v>
      </c>
      <c r="F28" s="48" t="s">
        <v>316</v>
      </c>
      <c r="G28" s="48"/>
      <c r="H28" s="48"/>
      <c r="I28" s="48">
        <f t="shared" si="1"/>
        <v>0</v>
      </c>
      <c r="J28" s="48"/>
      <c r="K28" s="48"/>
      <c r="L28" s="48">
        <f t="shared" si="2"/>
        <v>0</v>
      </c>
    </row>
    <row r="29" spans="2:12" x14ac:dyDescent="0.35">
      <c r="B29" s="48" t="s">
        <v>318</v>
      </c>
      <c r="C29" s="48"/>
      <c r="D29" s="48"/>
      <c r="E29" s="48">
        <f t="shared" si="0"/>
        <v>0</v>
      </c>
      <c r="F29" s="48" t="s">
        <v>316</v>
      </c>
      <c r="G29" s="48"/>
      <c r="H29" s="48"/>
      <c r="I29" s="48">
        <f t="shared" si="1"/>
        <v>0</v>
      </c>
      <c r="J29" s="48"/>
      <c r="K29" s="48"/>
      <c r="L29" s="48">
        <f t="shared" si="2"/>
        <v>0</v>
      </c>
    </row>
    <row r="30" spans="2:12" x14ac:dyDescent="0.35">
      <c r="B30" s="48" t="s">
        <v>322</v>
      </c>
      <c r="C30" s="48"/>
      <c r="D30" s="48"/>
      <c r="E30" s="48">
        <f t="shared" si="0"/>
        <v>0</v>
      </c>
      <c r="F30" s="48"/>
      <c r="G30" s="48"/>
      <c r="H30" s="48"/>
      <c r="I30" s="48">
        <f t="shared" si="1"/>
        <v>0</v>
      </c>
      <c r="J30" s="48"/>
      <c r="K30" s="48"/>
      <c r="L30" s="48">
        <f t="shared" si="2"/>
        <v>0</v>
      </c>
    </row>
    <row r="31" spans="2:12" x14ac:dyDescent="0.35">
      <c r="B31" s="48"/>
      <c r="C31" s="48"/>
      <c r="D31" s="48"/>
      <c r="E31" s="48">
        <f t="shared" ref="E31:E32" si="6">C31*D31</f>
        <v>0</v>
      </c>
      <c r="F31" s="48"/>
      <c r="G31" s="48"/>
      <c r="H31" s="48"/>
      <c r="I31" s="48">
        <f t="shared" ref="I31:I32" si="7">G31*H31</f>
        <v>0</v>
      </c>
      <c r="J31" s="48"/>
      <c r="K31" s="48"/>
      <c r="L31" s="48">
        <f t="shared" ref="L31:L32" si="8">J31*K31</f>
        <v>0</v>
      </c>
    </row>
    <row r="32" spans="2:12" x14ac:dyDescent="0.35">
      <c r="B32" s="48"/>
      <c r="C32" s="48"/>
      <c r="D32" s="48"/>
      <c r="E32" s="48">
        <f t="shared" si="6"/>
        <v>0</v>
      </c>
      <c r="F32" s="48"/>
      <c r="G32" s="48"/>
      <c r="H32" s="48"/>
      <c r="I32" s="48">
        <f t="shared" si="7"/>
        <v>0</v>
      </c>
      <c r="J32" s="48"/>
      <c r="K32" s="48"/>
      <c r="L32" s="48">
        <f t="shared" si="8"/>
        <v>0</v>
      </c>
    </row>
    <row r="33" spans="2:12" x14ac:dyDescent="0.35">
      <c r="B33" s="48" t="s">
        <v>319</v>
      </c>
      <c r="C33" s="48"/>
      <c r="D33" s="48"/>
      <c r="E33" s="48">
        <f t="shared" si="0"/>
        <v>0</v>
      </c>
      <c r="F33" s="48"/>
      <c r="G33" s="48"/>
      <c r="H33" s="48"/>
      <c r="I33" s="48">
        <f t="shared" si="1"/>
        <v>0</v>
      </c>
      <c r="J33" s="48"/>
      <c r="K33" s="48"/>
      <c r="L33" s="48">
        <f t="shared" si="2"/>
        <v>0</v>
      </c>
    </row>
    <row r="34" spans="2:12" x14ac:dyDescent="0.35">
      <c r="B34" s="48" t="s">
        <v>323</v>
      </c>
      <c r="C34" s="48"/>
      <c r="D34" s="48"/>
      <c r="E34" s="48">
        <f t="shared" si="0"/>
        <v>0</v>
      </c>
      <c r="F34" s="48"/>
      <c r="G34" s="48"/>
      <c r="H34" s="48"/>
      <c r="I34" s="48">
        <f t="shared" si="1"/>
        <v>0</v>
      </c>
      <c r="J34" s="48"/>
      <c r="K34" s="48"/>
      <c r="L34" s="48">
        <f t="shared" si="2"/>
        <v>0</v>
      </c>
    </row>
    <row r="35" spans="2:12" x14ac:dyDescent="0.35">
      <c r="B35" s="48" t="s">
        <v>320</v>
      </c>
      <c r="C35" s="48"/>
      <c r="D35" s="48"/>
      <c r="E35" s="48">
        <f t="shared" si="0"/>
        <v>0</v>
      </c>
      <c r="F35" s="48"/>
      <c r="G35" s="48"/>
      <c r="H35" s="48"/>
      <c r="I35" s="48">
        <f t="shared" si="1"/>
        <v>0</v>
      </c>
      <c r="J35" s="48"/>
      <c r="K35" s="48"/>
      <c r="L35" s="48">
        <f t="shared" si="2"/>
        <v>0</v>
      </c>
    </row>
    <row r="36" spans="2:12" x14ac:dyDescent="0.35">
      <c r="B36" s="48" t="s">
        <v>321</v>
      </c>
      <c r="C36" s="48"/>
      <c r="D36" s="48"/>
      <c r="E36" s="48">
        <f t="shared" si="0"/>
        <v>0</v>
      </c>
      <c r="F36" s="48"/>
      <c r="G36" s="48"/>
      <c r="H36" s="48"/>
      <c r="I36" s="48">
        <f>G36*H36</f>
        <v>0</v>
      </c>
      <c r="J36" s="48"/>
      <c r="K36" s="48"/>
      <c r="L36" s="48">
        <f>J36*K36</f>
        <v>0</v>
      </c>
    </row>
    <row r="37" spans="2:12" x14ac:dyDescent="0.35">
      <c r="B37" s="48"/>
      <c r="C37" s="48"/>
      <c r="D37" s="48"/>
      <c r="E37" s="48">
        <f t="shared" ref="E37:E38" si="9">C37*D37</f>
        <v>0</v>
      </c>
      <c r="F37" s="48"/>
      <c r="G37" s="48"/>
      <c r="H37" s="48"/>
      <c r="I37" s="48">
        <f t="shared" ref="I37:I38" si="10">G37*H37</f>
        <v>0</v>
      </c>
      <c r="J37" s="48"/>
      <c r="K37" s="48"/>
      <c r="L37" s="48">
        <f t="shared" ref="L37:L38" si="11">J37*K37</f>
        <v>0</v>
      </c>
    </row>
    <row r="38" spans="2:12" x14ac:dyDescent="0.35">
      <c r="B38" s="48" t="s">
        <v>324</v>
      </c>
      <c r="C38" s="48"/>
      <c r="D38" s="48"/>
      <c r="E38" s="48">
        <f t="shared" si="9"/>
        <v>0</v>
      </c>
      <c r="F38" s="48"/>
      <c r="G38" s="48"/>
      <c r="H38" s="48"/>
      <c r="I38" s="48">
        <f t="shared" si="10"/>
        <v>0</v>
      </c>
      <c r="J38" s="48"/>
      <c r="K38" s="48"/>
      <c r="L38" s="48">
        <f t="shared" si="11"/>
        <v>0</v>
      </c>
    </row>
    <row r="39" spans="2:12" x14ac:dyDescent="0.35">
      <c r="B39" s="48"/>
      <c r="C39" s="48"/>
      <c r="D39" s="48"/>
      <c r="E39" s="48">
        <f t="shared" si="0"/>
        <v>0</v>
      </c>
      <c r="F39" s="48"/>
      <c r="G39" s="48"/>
      <c r="H39" s="48"/>
      <c r="I39" s="48">
        <f>G39*H39</f>
        <v>0</v>
      </c>
      <c r="J39" s="48"/>
      <c r="K39" s="48"/>
      <c r="L39" s="48">
        <f>J39*K39</f>
        <v>0</v>
      </c>
    </row>
    <row r="40" spans="2:12" x14ac:dyDescent="0.35">
      <c r="B40" s="48"/>
      <c r="C40" s="48"/>
      <c r="D40" s="48"/>
      <c r="E40" s="48">
        <f t="shared" si="0"/>
        <v>0</v>
      </c>
      <c r="F40" s="48"/>
      <c r="G40" s="48"/>
      <c r="H40" s="48"/>
      <c r="I40" s="48">
        <f>G40*H40</f>
        <v>0</v>
      </c>
      <c r="J40" s="48"/>
      <c r="K40" s="48"/>
      <c r="L40" s="48">
        <f>J40*K40</f>
        <v>0</v>
      </c>
    </row>
    <row r="41" spans="2:12" x14ac:dyDescent="0.35">
      <c r="B41" s="48"/>
      <c r="C41" s="48"/>
      <c r="D41" s="48"/>
      <c r="E41" s="48">
        <f t="shared" si="0"/>
        <v>0</v>
      </c>
      <c r="F41" s="48"/>
      <c r="G41" s="48"/>
      <c r="H41" s="48"/>
      <c r="I41" s="48">
        <f>G41*H41</f>
        <v>0</v>
      </c>
      <c r="J41" s="48"/>
      <c r="K41" s="48"/>
      <c r="L41" s="48">
        <f>J41*K41</f>
        <v>0</v>
      </c>
    </row>
    <row r="42" spans="2:12" x14ac:dyDescent="0.35">
      <c r="B42" s="48" t="s">
        <v>148</v>
      </c>
      <c r="C42" s="48"/>
      <c r="D42" s="48">
        <f>E42*10.764</f>
        <v>0</v>
      </c>
      <c r="E42" s="62">
        <f>SUM(E6:E41)</f>
        <v>0</v>
      </c>
      <c r="F42" s="48"/>
      <c r="G42" s="48"/>
      <c r="H42" s="48">
        <f>I42*10.764</f>
        <v>0</v>
      </c>
      <c r="I42" s="61">
        <f>SUM(I6:I41)</f>
        <v>0</v>
      </c>
      <c r="J42" s="48"/>
      <c r="K42" s="48">
        <f>L42*10.764</f>
        <v>0</v>
      </c>
      <c r="L42" s="60">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2025-07-14T13:37:48Z</cp:lastPrinted>
  <dcterms:created xsi:type="dcterms:W3CDTF">2019-07-16T09:29:46Z</dcterms:created>
  <dcterms:modified xsi:type="dcterms:W3CDTF">2025-07-14T13:38:23Z</dcterms:modified>
</cp:coreProperties>
</file>