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Shruti\Sept 25\13599 - Crown Dombivli 4\"/>
    </mc:Choice>
  </mc:AlternateContent>
  <bookViews>
    <workbookView xWindow="0" yWindow="0" windowWidth="20490" windowHeight="7755"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Report!$A$1:$H$387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02" i="1" l="1"/>
  <c r="F202" i="1" s="1"/>
  <c r="H202" i="1" s="1"/>
  <c r="D201" i="1"/>
  <c r="D200" i="1"/>
  <c r="D199" i="1"/>
  <c r="D198" i="1"/>
  <c r="D197" i="1"/>
  <c r="D196" i="1"/>
  <c r="D195" i="1"/>
  <c r="D194" i="1"/>
  <c r="D192" i="1"/>
  <c r="D185" i="1"/>
  <c r="D186" i="1"/>
  <c r="D187" i="1"/>
  <c r="D188" i="1"/>
  <c r="D189" i="1"/>
  <c r="D190" i="1"/>
  <c r="D191" i="1"/>
  <c r="D184" i="1"/>
  <c r="C138" i="1" s="1"/>
  <c r="E138" i="1" l="1"/>
  <c r="D170" i="1"/>
  <c r="D171" i="1"/>
  <c r="D172" i="1"/>
  <c r="D173" i="1"/>
  <c r="D174" i="1"/>
  <c r="D175" i="1"/>
  <c r="D176" i="1"/>
  <c r="D177" i="1"/>
  <c r="D178" i="1"/>
  <c r="F178" i="1" s="1"/>
  <c r="H178" i="1" s="1"/>
  <c r="I158" i="1"/>
  <c r="D159" i="1"/>
  <c r="D160" i="1"/>
  <c r="D161" i="1"/>
  <c r="D162" i="1"/>
  <c r="D163" i="1"/>
  <c r="D164" i="1"/>
  <c r="D165" i="1"/>
  <c r="D166" i="1"/>
  <c r="D167" i="1"/>
  <c r="D168" i="1"/>
  <c r="D158" i="1"/>
  <c r="C137" i="1" s="1"/>
  <c r="C139" i="1" s="1"/>
  <c r="F168" i="1"/>
  <c r="H168" i="1" s="1"/>
  <c r="F167" i="1"/>
  <c r="H167" i="1" s="1"/>
  <c r="C82" i="1" l="1"/>
  <c r="F201" i="1" l="1"/>
  <c r="H201" i="1" s="1"/>
  <c r="F200" i="1" l="1"/>
  <c r="H200" i="1" s="1"/>
  <c r="F199" i="1"/>
  <c r="H199" i="1" s="1"/>
  <c r="F198" i="1"/>
  <c r="H198" i="1" s="1"/>
  <c r="F197" i="1"/>
  <c r="H197" i="1" s="1"/>
  <c r="F196" i="1"/>
  <c r="H196" i="1" s="1"/>
  <c r="F195" i="1"/>
  <c r="H195" i="1" s="1"/>
  <c r="F194" i="1"/>
  <c r="H194" i="1" s="1"/>
  <c r="A195" i="1"/>
  <c r="A196" i="1" s="1"/>
  <c r="A197" i="1" s="1"/>
  <c r="A198" i="1" s="1"/>
  <c r="F192" i="1"/>
  <c r="H192" i="1" s="1"/>
  <c r="F191" i="1"/>
  <c r="H191" i="1" s="1"/>
  <c r="F190" i="1"/>
  <c r="H190" i="1" s="1"/>
  <c r="F189" i="1"/>
  <c r="H189" i="1" s="1"/>
  <c r="F188" i="1"/>
  <c r="H188" i="1" s="1"/>
  <c r="F187" i="1"/>
  <c r="H187" i="1" s="1"/>
  <c r="F186" i="1"/>
  <c r="H186" i="1" s="1"/>
  <c r="F185" i="1"/>
  <c r="A185" i="1"/>
  <c r="A186" i="1" s="1"/>
  <c r="A187" i="1" s="1"/>
  <c r="A188" i="1" s="1"/>
  <c r="A189" i="1" s="1"/>
  <c r="A190" i="1" s="1"/>
  <c r="A191" i="1" s="1"/>
  <c r="A192" i="1" s="1"/>
  <c r="I184" i="1"/>
  <c r="I183" i="1"/>
  <c r="F177" i="1"/>
  <c r="H177" i="1" s="1"/>
  <c r="F176" i="1"/>
  <c r="H176" i="1" s="1"/>
  <c r="F175" i="1"/>
  <c r="H175" i="1" s="1"/>
  <c r="F166" i="1"/>
  <c r="H166" i="1" s="1"/>
  <c r="F165" i="1"/>
  <c r="H165" i="1" s="1"/>
  <c r="F164" i="1"/>
  <c r="H164" i="1" s="1"/>
  <c r="F163" i="1"/>
  <c r="H163" i="1" s="1"/>
  <c r="F162" i="1"/>
  <c r="H162" i="1" s="1"/>
  <c r="I157" i="1"/>
  <c r="F212" i="1"/>
  <c r="H212" i="1" s="1"/>
  <c r="F211" i="1"/>
  <c r="H211" i="1" s="1"/>
  <c r="F210" i="1"/>
  <c r="H210" i="1" s="1"/>
  <c r="F209" i="1"/>
  <c r="H209" i="1" s="1"/>
  <c r="F208" i="1"/>
  <c r="H208" i="1" s="1"/>
  <c r="F207" i="1"/>
  <c r="H207" i="1" s="1"/>
  <c r="F206" i="1"/>
  <c r="H206" i="1" s="1"/>
  <c r="F205" i="1"/>
  <c r="H205" i="1" s="1"/>
  <c r="A205" i="1"/>
  <c r="A206" i="1" s="1"/>
  <c r="A207" i="1" s="1"/>
  <c r="A208" i="1" s="1"/>
  <c r="A209" i="1" s="1"/>
  <c r="A210" i="1" s="1"/>
  <c r="A211" i="1" s="1"/>
  <c r="A212" i="1" s="1"/>
  <c r="F204" i="1"/>
  <c r="H204" i="1" s="1"/>
  <c r="A171" i="1"/>
  <c r="A172" i="1" s="1"/>
  <c r="A173" i="1" s="1"/>
  <c r="A174" i="1" s="1"/>
  <c r="A175" i="1" s="1"/>
  <c r="A176" i="1" s="1"/>
  <c r="A177" i="1" s="1"/>
  <c r="A178" i="1" s="1"/>
  <c r="A179" i="1" s="1"/>
  <c r="A180" i="1" s="1"/>
  <c r="F184" i="1" l="1"/>
  <c r="H185" i="1"/>
  <c r="A199" i="1"/>
  <c r="A200" i="1" s="1"/>
  <c r="A201" i="1" s="1"/>
  <c r="A202" i="1" s="1"/>
  <c r="H184" i="1" l="1"/>
  <c r="G138" i="1"/>
  <c r="G52" i="1"/>
  <c r="L41" i="7" l="1"/>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265" i="1"/>
  <c r="B234" i="1"/>
  <c r="B233" i="1"/>
  <c r="F230" i="1"/>
  <c r="H230" i="1" s="1"/>
  <c r="F229" i="1"/>
  <c r="H229" i="1" s="1"/>
  <c r="F228" i="1"/>
  <c r="H228" i="1" s="1"/>
  <c r="F227" i="1"/>
  <c r="H227" i="1" s="1"/>
  <c r="F226" i="1"/>
  <c r="H226" i="1" s="1"/>
  <c r="F224" i="1"/>
  <c r="H224" i="1" s="1"/>
  <c r="F223" i="1"/>
  <c r="H223" i="1" s="1"/>
  <c r="F222" i="1"/>
  <c r="H222" i="1" s="1"/>
  <c r="F221" i="1"/>
  <c r="H221" i="1" s="1"/>
  <c r="F220" i="1"/>
  <c r="H220" i="1" s="1"/>
  <c r="F218" i="1"/>
  <c r="H218" i="1" s="1"/>
  <c r="F217" i="1"/>
  <c r="H217" i="1" s="1"/>
  <c r="F216" i="1"/>
  <c r="H216" i="1" s="1"/>
  <c r="F215" i="1"/>
  <c r="H215" i="1" s="1"/>
  <c r="F214" i="1"/>
  <c r="H214" i="1" s="1"/>
  <c r="F174" i="1"/>
  <c r="H174" i="1" s="1"/>
  <c r="F173" i="1"/>
  <c r="H173" i="1" s="1"/>
  <c r="F172" i="1"/>
  <c r="H172" i="1" s="1"/>
  <c r="F171" i="1"/>
  <c r="H171" i="1" s="1"/>
  <c r="F170" i="1"/>
  <c r="H170" i="1" s="1"/>
  <c r="F161" i="1"/>
  <c r="H161" i="1" s="1"/>
  <c r="F160" i="1"/>
  <c r="H160" i="1" s="1"/>
  <c r="F159" i="1"/>
  <c r="H159" i="1" s="1"/>
  <c r="A159" i="1"/>
  <c r="A160" i="1" s="1"/>
  <c r="A161" i="1" s="1"/>
  <c r="A162" i="1" s="1"/>
  <c r="A163" i="1" s="1"/>
  <c r="A164" i="1" s="1"/>
  <c r="A165" i="1" s="1"/>
  <c r="A166" i="1" s="1"/>
  <c r="A167" i="1" s="1"/>
  <c r="A168" i="1" s="1"/>
  <c r="F158" i="1"/>
  <c r="F149" i="1"/>
  <c r="H149" i="1" s="1"/>
  <c r="F148" i="1"/>
  <c r="H148" i="1" s="1"/>
  <c r="F147" i="1"/>
  <c r="H147" i="1" s="1"/>
  <c r="A147" i="1"/>
  <c r="A148" i="1" s="1"/>
  <c r="A149" i="1" s="1"/>
  <c r="F146" i="1"/>
  <c r="H146" i="1" s="1"/>
  <c r="C140" i="1"/>
  <c r="F129" i="1"/>
  <c r="C103" i="1"/>
  <c r="B104" i="1" s="1"/>
  <c r="J112" i="1" s="1"/>
  <c r="C89" i="1"/>
  <c r="C75" i="1"/>
  <c r="B76" i="1" s="1"/>
  <c r="D69" i="1"/>
  <c r="K54" i="1"/>
  <c r="G51" i="1"/>
  <c r="C51" i="1"/>
  <c r="E44" i="1"/>
  <c r="E45" i="1" s="1"/>
  <c r="S33" i="1"/>
  <c r="E31" i="1"/>
  <c r="E28" i="1"/>
  <c r="E26" i="1"/>
  <c r="C16" i="1"/>
  <c r="I15" i="1"/>
  <c r="Z13" i="1"/>
  <c r="E8" i="1"/>
  <c r="E3" i="1"/>
  <c r="B250" i="1" s="1"/>
  <c r="A226" i="1"/>
  <c r="H90" i="1"/>
  <c r="H76" i="1"/>
  <c r="H104" i="1"/>
  <c r="A220" i="1"/>
  <c r="A214" i="1"/>
  <c r="E137" i="1" l="1"/>
  <c r="E139" i="1" s="1"/>
  <c r="E140" i="1" s="1"/>
  <c r="E42" i="7"/>
  <c r="I42" i="7"/>
  <c r="H42" i="7" s="1"/>
  <c r="L42" i="7"/>
  <c r="K42" i="7" s="1"/>
  <c r="H158" i="1"/>
  <c r="G137" i="1" s="1"/>
  <c r="G139" i="1" s="1"/>
  <c r="J83" i="1"/>
  <c r="J84" i="1"/>
  <c r="J89" i="1"/>
  <c r="J91" i="1" s="1"/>
  <c r="D98" i="1"/>
  <c r="D97" i="1"/>
  <c r="D102" i="1"/>
  <c r="D96" i="1"/>
  <c r="J92" i="1"/>
  <c r="D101" i="1"/>
  <c r="J94" i="1"/>
  <c r="C93" i="1" s="1"/>
  <c r="D95" i="1"/>
  <c r="D100" i="1"/>
  <c r="J93" i="1"/>
  <c r="D99" i="1"/>
  <c r="D84" i="1"/>
  <c r="J78" i="1"/>
  <c r="D83" i="1"/>
  <c r="D88" i="1"/>
  <c r="D82" i="1"/>
  <c r="D87" i="1"/>
  <c r="D81" i="1"/>
  <c r="J80" i="1"/>
  <c r="C79" i="1" s="1"/>
  <c r="D86" i="1"/>
  <c r="D85" i="1"/>
  <c r="J79" i="1"/>
  <c r="J75" i="1"/>
  <c r="J77" i="1" s="1"/>
  <c r="D113" i="1"/>
  <c r="J107" i="1"/>
  <c r="J103" i="1"/>
  <c r="J105" i="1" s="1"/>
  <c r="J106" i="1"/>
  <c r="D111" i="1"/>
  <c r="D116" i="1"/>
  <c r="D110" i="1"/>
  <c r="D115" i="1"/>
  <c r="D109" i="1"/>
  <c r="D112" i="1"/>
  <c r="J108" i="1"/>
  <c r="C107" i="1" s="1"/>
  <c r="D107" i="1" s="1"/>
  <c r="D114" i="1"/>
  <c r="E44" i="7"/>
  <c r="D42" i="7"/>
  <c r="D44" i="7" s="1"/>
  <c r="L54" i="1"/>
  <c r="B90" i="1"/>
  <c r="J85" i="1"/>
  <c r="J114" i="1"/>
  <c r="J86" i="1"/>
  <c r="J109" i="1"/>
  <c r="J110" i="1" s="1"/>
  <c r="J115" i="1" s="1"/>
  <c r="J116" i="1" s="1"/>
  <c r="C108" i="1" s="1"/>
  <c r="I52" i="1"/>
  <c r="J113" i="1"/>
  <c r="J81" i="1"/>
  <c r="J111" i="1"/>
  <c r="A215" i="1"/>
  <c r="A221" i="1"/>
  <c r="A227" i="1"/>
  <c r="J82" i="1" l="1"/>
  <c r="J87" i="1" s="1"/>
  <c r="J88" i="1" s="1"/>
  <c r="C80" i="1" s="1"/>
  <c r="E79" i="1" s="1"/>
  <c r="G140" i="1"/>
  <c r="E107" i="1"/>
  <c r="D108" i="1"/>
  <c r="I104" i="1" s="1"/>
  <c r="G107" i="1"/>
  <c r="J104" i="1"/>
  <c r="D79" i="1"/>
  <c r="D93" i="1"/>
  <c r="J98" i="1"/>
  <c r="J95" i="1"/>
  <c r="J96" i="1" s="1"/>
  <c r="J101" i="1" s="1"/>
  <c r="J102" i="1" s="1"/>
  <c r="C94" i="1" s="1"/>
  <c r="J100" i="1"/>
  <c r="J97" i="1"/>
  <c r="J99" i="1"/>
  <c r="A216" i="1"/>
  <c r="A228" i="1"/>
  <c r="A222" i="1"/>
  <c r="G79" i="1" l="1"/>
  <c r="D73" i="1" s="1"/>
  <c r="F74" i="1" s="1"/>
  <c r="D80" i="1"/>
  <c r="I76" i="1" s="1"/>
  <c r="I77" i="1" s="1"/>
  <c r="J76" i="1"/>
  <c r="E93" i="1"/>
  <c r="D94" i="1"/>
  <c r="I90" i="1" s="1"/>
  <c r="J90" i="1"/>
  <c r="G93" i="1"/>
  <c r="I105" i="1"/>
  <c r="I103" i="1" s="1"/>
  <c r="C105" i="1" s="1"/>
  <c r="A223" i="1"/>
  <c r="A229" i="1"/>
  <c r="A217" i="1"/>
  <c r="D74" i="1" l="1"/>
  <c r="I75" i="1"/>
  <c r="C77" i="1" s="1"/>
  <c r="I91" i="1"/>
  <c r="I89" i="1" s="1"/>
  <c r="C91" i="1" s="1"/>
  <c r="A218" i="1"/>
  <c r="A230" i="1"/>
  <c r="A224"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2"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<sst xmlns="http://schemas.openxmlformats.org/spreadsheetml/2006/main" count="746" uniqueCount="425">
  <si>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</si>
  <si>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</si>
  <si>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</si>
  <si>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</si>
  <si>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</si>
  <si>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</si>
  <si>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</si>
  <si>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</si>
  <si>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</si>
  <si>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</si>
  <si>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</si>
  <si>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</si>
  <si>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</si>
  <si>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</si>
  <si>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</si>
  <si>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</si>
  <si>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</si>
  <si>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</si>
  <si>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</si>
  <si>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</si>
  <si>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</si>
  <si>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</si>
  <si>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</si>
  <si>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</si>
  <si>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</si>
  <si>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</si>
  <si>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</si>
  <si>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</si>
  <si>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</si>
  <si>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</si>
  <si>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</si>
  <si>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</si>
  <si>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</si>
  <si>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</si>
  <si>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</si>
  <si>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</si>
  <si>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</si>
  <si>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</si>
  <si>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</si>
  <si>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</si>
  <si>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</si>
  <si>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</si>
  <si>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</si>
  <si>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</si>
  <si>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</si>
  <si>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</si>
  <si>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</si>
  <si>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</si>
  <si>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</si>
  <si>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</si>
  <si>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</si>
  <si>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</si>
  <si>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</si>
  <si>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</si>
  <si>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</si>
  <si>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</si>
  <si>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</si>
  <si>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</si>
  <si>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</si>
  <si>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</si>
  <si>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</si>
  <si>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</si>
  <si>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</si>
  <si>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</si>
  <si>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</si>
  <si>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</si>
  <si>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</si>
  <si>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</si>
  <si>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</si>
  <si>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</si>
  <si>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</si>
  <si>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</si>
  <si>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</si>
  <si>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</si>
  <si>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</si>
  <si>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</si>
  <si>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</si>
  <si>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</si>
  <si>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</si>
  <si>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</si>
  <si>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</si>
  <si>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</si>
  <si>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</si>
  <si>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</si>
  <si>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</si>
  <si>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</si>
  <si>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</si>
  <si>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</si>
  <si>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</si>
  <si>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</si>
  <si>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</si>
  <si>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</si>
  <si>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</si>
  <si>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</si>
  <si>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</si>
  <si>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</si>
  <si>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</si>
  <si>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</si>
  <si>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</si>
  <si>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</si>
  <si>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</si>
  <si>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</si>
  <si>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</si>
  <si>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</si>
  <si>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</si>
  <si>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</si>
  <si>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</si>
  <si>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</si>
  <si>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</si>
  <si>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</si>
  <si>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</si>
  <si>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</si>
  <si>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</si>
  <si>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</si>
  <si>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</si>
  <si>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</si>
  <si>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</si>
  <si>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</si>
  <si>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</si>
  <si>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</si>
  <si>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</si>
  <si>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</si>
  <si>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</si>
  <si>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</si>
  <si>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</si>
  <si>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</si>
  <si>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</si>
  <si>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</si>
  <si>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</si>
  <si>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</si>
  <si>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</si>
  <si>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</si>
  <si>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</si>
  <si>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</si>
  <si>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</si>
  <si>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</si>
  <si>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</si>
  <si>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</si>
  <si>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</si>
  <si>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</si>
  <si>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</si>
  <si>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</si>
  <si>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</si>
  <si>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</si>
  <si>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</si>
  <si>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</si>
  <si>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</si>
  <si>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</si>
  <si>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</si>
  <si>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</si>
  <si>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</si>
  <si>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</si>
  <si>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</si>
  <si>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</si>
  <si>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</si>
  <si>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</si>
  <si>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</si>
  <si>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</si>
  <si>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Flat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</si>
  <si>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</si>
  <si>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</si>
  <si>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</si>
  <si>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</si>
  <si>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</si>
  <si>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</si>
  <si>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</si>
  <si>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</si>
  <si>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</si>
  <si>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</si>
  <si>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</si>
  <si>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</si>
  <si>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</si>
  <si>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</si>
  <si>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</si>
  <si>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</si>
  <si>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</si>
  <si>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</si>
  <si>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</si>
  <si>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</si>
  <si>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</si>
  <si>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</si>
  <si>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</si>
  <si>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</si>
  <si>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</si>
  <si>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</si>
  <si>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</si>
  <si>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</si>
  <si>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</si>
  <si>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</si>
  <si>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</si>
  <si>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</si>
  <si>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</si>
  <si>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</si>
  <si>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</si>
  <si>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</si>
  <si>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</si>
  <si>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</si>
  <si>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</si>
  <si>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</si>
  <si>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</si>
  <si>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</si>
  <si>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</si>
  <si>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</si>
  <si>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</si>
  <si>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</si>
  <si>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</si>
  <si>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</si>
  <si>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</si>
  <si>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</si>
  <si>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</si>
  <si>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</si>
  <si>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</si>
  <si>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</si>
  <si>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</si>
  <si>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</si>
  <si>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</si>
  <si>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</si>
  <si>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</si>
  <si>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</si>
  <si>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</si>
  <si>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</si>
  <si>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</si>
  <si>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</si>
  <si>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</si>
  <si>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</si>
  <si>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</si>
  <si>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</si>
  <si>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</si>
  <si>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</si>
  <si>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</si>
  <si>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</si>
  <si>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</si>
  <si>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</si>
  <si>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</si>
  <si>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</si>
  <si>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</si>
  <si>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</si>
  <si>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</si>
  <si>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</si>
  <si>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</si>
  <si>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</si>
  <si>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</si>
  <si>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</si>
  <si>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</si>
  <si>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</si>
  <si>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</si>
  <si>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</si>
  <si>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</si>
  <si>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</si>
  <si>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</si>
  <si>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</si>
  <si>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</si>
  <si>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</si>
  <si>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</si>
  <si>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</si>
  <si>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</si>
  <si>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</si>
  <si>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</si>
  <si>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</si>
  <si>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</si>
  <si>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</si>
  <si>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</si>
  <si>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</si>
  <si>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</si>
  <si>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</si>
  <si>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</si>
  <si>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</si>
  <si>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</si>
  <si>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</si>
  <si>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</si>
  <si>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</si>
  <si>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</si>
  <si>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</si>
  <si>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</si>
  <si>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</si>
  <si>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</si>
  <si>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</si>
  <si>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</si>
  <si>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</si>
  <si>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</si>
  <si>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</si>
  <si>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</si>
  <si>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</si>
  <si>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</si>
  <si>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</si>
  <si>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</si>
  <si>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</si>
  <si>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</si>
  <si>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</si>
  <si>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</si>
  <si>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</si>
  <si>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</si>
  <si>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</si>
  <si>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</si>
  <si>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</si>
  <si>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</si>
  <si>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</si>
  <si>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</si>
  <si>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</si>
  <si>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</si>
  <si>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</si>
  <si>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</si>
  <si>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</si>
  <si>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</si>
  <si>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</si>
  <si>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</si>
  <si>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</si>
  <si>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</si>
  <si>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</si>
  <si>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</si>
  <si>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</si>
  <si>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</si>
  <si>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</si>
  <si>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</si>
  <si>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</si>
  <si>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</si>
  <si>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</si>
  <si>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</si>
  <si>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</si>
  <si>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</si>
  <si>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</si>
  <si>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</si>
  <si>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</si>
  <si>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</si>
  <si>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</si>
  <si>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</si>
  <si>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</si>
  <si>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</si>
  <si>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</si>
  <si>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</si>
  <si>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</si>
  <si>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</si>
  <si>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</si>
  <si>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</si>
  <si>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</si>
  <si>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</si>
  <si>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</si>
  <si>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</si>
  <si>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</si>
  <si>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</si>
  <si>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</si>
  <si>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</si>
  <si>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</si>
  <si>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</si>
  <si>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</si>
  <si>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</si>
  <si>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</si>
  <si>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</si>
  <si>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As per Approved Floor Plan, In C to E wing on Ground floor Shop No. 19 &amp; 20 are merged into single shop.</t>
  </si>
  <si>
    <t>Palghar Muncipal Council</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</si>
  <si>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</si>
  <si>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</si>
  <si>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</si>
  <si>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</si>
  <si>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 xml:space="preserve">Site Elevation = 
Permissible Top Elevation = </t>
  </si>
  <si>
    <t>P51700056338</t>
  </si>
  <si>
    <t>Crown Dombivli 4</t>
  </si>
  <si>
    <t>Macrotech Developers Limited</t>
  </si>
  <si>
    <t>Mr. Rajendra Giri 9820248856</t>
  </si>
  <si>
    <t>Survey No</t>
  </si>
  <si>
    <t>60/7 Part</t>
  </si>
  <si>
    <t>19.184279,73.097387</t>
  </si>
  <si>
    <t>Dombivlli East</t>
  </si>
  <si>
    <t>Crown Dombivli Ruby Wing D &amp; E</t>
  </si>
  <si>
    <t>Sonarpada</t>
  </si>
  <si>
    <t>Khoni-Umbarli Gaon- Kalyan Shil Road</t>
  </si>
  <si>
    <t>https://maps.app.goo.gl/SkQshhxdDWeLMWi17</t>
  </si>
  <si>
    <t>4.80KM from Dombivli Railway Station</t>
  </si>
  <si>
    <t>02 Wings</t>
  </si>
  <si>
    <t>Wing F &amp; G = G + 1st to 14th Floor</t>
  </si>
  <si>
    <t>As per RERA - 30/06/2028</t>
  </si>
  <si>
    <t>As per visitor</t>
  </si>
  <si>
    <t>Community Spaces, Sports Ground, Kids Play Area, Swimming Pool, Banquet Hall, Gymnasium, Ganesha Temple, Café etc.</t>
  </si>
  <si>
    <t>https://www.lodhagroup.in/projects/campaigns/lodha-crown-dombivli/</t>
  </si>
  <si>
    <r>
      <t xml:space="preserve">Proposed Amenities :                                                                                                                                                                                                                         </t>
    </r>
    <r>
      <rPr>
        <b/>
        <sz val="12"/>
        <color theme="1"/>
        <rFont val="Times New Roman"/>
        <family val="1"/>
      </rPr>
      <t xml:space="preserve">                                               </t>
    </r>
  </si>
  <si>
    <t>Wing F</t>
  </si>
  <si>
    <t>Sector O</t>
  </si>
  <si>
    <t>Ground Floor For Entrance Lobby, Meter Room &amp; Parking</t>
  </si>
  <si>
    <t>Khoni - Umbharli - Kalyan Shil Road</t>
  </si>
  <si>
    <t>Manda Dham Chawl No.3</t>
  </si>
  <si>
    <t>Open Plot/ Internal Road</t>
  </si>
  <si>
    <t>taken As per RERA and Title search since Survey No, are not mentioned on approved plan &amp; CC properly</t>
  </si>
  <si>
    <t>Other Plot</t>
  </si>
  <si>
    <t>12.00M Wide Proposed Road</t>
  </si>
  <si>
    <t>1BHK</t>
  </si>
  <si>
    <t>Balcony Area</t>
  </si>
  <si>
    <t>-</t>
  </si>
  <si>
    <t>Refuge Area</t>
  </si>
  <si>
    <t>Wing G</t>
  </si>
  <si>
    <t>We considered Gross carpet area = Net carpet.</t>
  </si>
  <si>
    <t xml:space="preserve">SIA/MH/MIS/63043/2021 </t>
  </si>
  <si>
    <t xml:space="preserve">Plot Area = 5539590.50 Sq.mt
Total Built up Area = 17168486.98 Sq.mt
</t>
  </si>
  <si>
    <t>Fire NoC query</t>
  </si>
  <si>
    <t>1st to 7th, 9th to 12th &amp; 
14th Floor (15th Floor as per Builder) For Residential</t>
  </si>
  <si>
    <t>As approved floor plan does not consisit of flat numering, we have considered Wing naming &amp; flat numbering as per provided sale plan.</t>
  </si>
  <si>
    <t>The provided sale plan of Wing F consists of 11 no. of flats per floor.
The provided approved floor plan of Wing F consists of 9 no. of flats per floor.
Please check for a revised sale plan or floor plan when available.</t>
  </si>
  <si>
    <t>Provisional Building Common Area Maintenance (CAM) Charges for 18 months*</t>
  </si>
  <si>
    <t>City management charges for 60 months*</t>
  </si>
  <si>
    <t>Utility Connection &amp; Related Expenses*</t>
  </si>
  <si>
    <t>Land Under Construction (LUC) Reimbursement Charges*</t>
  </si>
  <si>
    <t>Ruby Wing F &amp; G (Cluster 15.07 Sector O)</t>
  </si>
  <si>
    <t>Sector O Cluster 15.07 (Ruby)</t>
  </si>
  <si>
    <t>Cluster 15.07 (Ruby)</t>
  </si>
  <si>
    <t>Survey No. are taken from RERA site.</t>
  </si>
  <si>
    <t>Construction work is in process at the time of Visit (labour found). Internal photographs was not allowed.</t>
  </si>
  <si>
    <t>Krishna Kambali</t>
  </si>
  <si>
    <t>Ekatmikrut Nagar Vasahat/Mouje-Antarli,
Khoni, Hedutane, Kole, Gharivali, Katai &amp;
Mangaon, Ta. Kalyan &amp; Mouje-Umbroli, Tal - Ambernath SSThane/4770</t>
  </si>
  <si>
    <t>Ekamitkrut Nagar Vasahat/Mou. Antarli, Khoni &amp; others/ Sector "C, D, E, F, I1, I2, O &amp; P"/SSThane/4770</t>
  </si>
  <si>
    <t>Sector O Cluster 15.07(Ruby ) Wing F &amp; G = G + 1st to 14th Floor 
(Builtup Area = 11535.96 Sq.M. )</t>
  </si>
  <si>
    <t>Approved area of building (Sq.Mt)
 Cluster 15.07 (Wing F &amp; G)</t>
  </si>
  <si>
    <t>8th Floor &amp;
13th Floor (14th Floor as per Builder) (Part Refuge Area)</t>
  </si>
  <si>
    <t>8th  Floor &amp;
13th Floor (14th Floor as per Builder) (Part Refuge Area)</t>
  </si>
  <si>
    <t>Flats - 276</t>
  </si>
  <si>
    <t>Ground Floor For Entrance Lobby, Society Office, Garbage Room, Meter Room &amp; Parking</t>
  </si>
  <si>
    <t xml:space="preserve">Details of Residential in Building   </t>
  </si>
  <si>
    <t>Shruti Tathare</t>
  </si>
  <si>
    <t>We have updated approved plans &amp; CC on 08/09/2025.</t>
  </si>
  <si>
    <t>7000 to 7500</t>
  </si>
  <si>
    <t>viraj verbal</t>
  </si>
  <si>
    <t xml:space="preserve">Recommended Rates / Other charges of the Property have been revised on 09/09/2025.
</t>
  </si>
  <si>
    <t>MFS/51/2024/75</t>
  </si>
  <si>
    <t>Sector O- Cluster 15.07 (Wing F &amp; G) = G + 1st to 14th Floor 
(Total Height = 45 Mtrs.)</t>
  </si>
  <si>
    <t>Approved Plans, CC, RERA Certificate, Environmental clearance certificate &amp; Fire NOC.</t>
  </si>
  <si>
    <t>Survey no. is not mentioned in Environmental clearance certificate but Village name is mentioned.</t>
  </si>
  <si>
    <t>We have updated Environmental clearance certificate &amp; Fire NOC on 03/10/2025.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</si>
</sst>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4"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rgb="FFFF0000"/>
      <name val="Times New Roman"/>
      <family val="1"/>
    </font>
    <font>
      <b/>
      <sz val="18"/>
      <color rgb="FFFF0000"/>
      <name val="Times New Roman"/>
      <family val="1"/>
    </font>
    <font>
      <b/>
      <sz val="12"/>
      <color rgb="FFFFFF00"/>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97">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9" fontId="17" fillId="0" borderId="16"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15"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1" fontId="8" fillId="0" borderId="3" xfId="1" applyNumberFormat="1" applyFont="1" applyBorder="1" applyAlignment="1" applyProtection="1">
      <alignment horizontal="center" vertical="top" wrapText="1"/>
      <protection locked="0"/>
    </xf>
    <xf numFmtId="1" fontId="17"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2" fillId="0" borderId="1" xfId="1" applyFont="1" applyBorder="1"/>
    <xf numFmtId="0" fontId="7" fillId="0" borderId="1" xfId="1" applyFont="1" applyBorder="1"/>
    <xf numFmtId="0" fontId="7" fillId="0" borderId="7"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1"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15" fillId="2" borderId="0" xfId="1" applyFont="1" applyFill="1"/>
    <xf numFmtId="14" fontId="12" fillId="0" borderId="0" xfId="1" applyNumberFormat="1" applyFont="1"/>
    <xf numFmtId="0" fontId="0" fillId="0" borderId="1" xfId="0" applyBorder="1" applyAlignment="1">
      <alignment horizontal="left" vertical="top"/>
    </xf>
    <xf numFmtId="1" fontId="6"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17" fillId="0" borderId="0" xfId="1" applyFont="1"/>
    <xf numFmtId="0" fontId="32" fillId="0" borderId="0" xfId="1" applyFont="1"/>
    <xf numFmtId="0" fontId="7" fillId="0" borderId="1" xfId="1" applyFont="1" applyBorder="1" applyAlignment="1" applyProtection="1">
      <alignment horizontal="center" vertical="top"/>
      <protection locked="0"/>
    </xf>
    <xf numFmtId="0" fontId="27" fillId="0" borderId="0" xfId="10"/>
    <xf numFmtId="1"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9" fontId="10" fillId="0" borderId="16" xfId="8" applyFont="1" applyFill="1" applyBorder="1" applyAlignment="1" applyProtection="1">
      <alignment horizontal="center" vertical="top" wrapText="1"/>
      <protection locked="0"/>
    </xf>
    <xf numFmtId="1" fontId="7" fillId="0" borderId="1" xfId="1" applyNumberFormat="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25" fillId="2" borderId="15" xfId="0" applyFont="1" applyFill="1" applyBorder="1"/>
    <xf numFmtId="0" fontId="26" fillId="0" borderId="9" xfId="0" applyFont="1" applyBorder="1"/>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33" fillId="0" borderId="25" xfId="1" applyFont="1" applyBorder="1" applyAlignment="1">
      <alignment horizontal="center" vertical="center"/>
    </xf>
    <xf numFmtId="0" fontId="33" fillId="0" borderId="0" xfId="1" applyFont="1" applyAlignment="1">
      <alignment horizontal="center" vertical="center"/>
    </xf>
    <xf numFmtId="1" fontId="10" fillId="0" borderId="8" xfId="0" applyNumberFormat="1" applyFont="1" applyBorder="1" applyAlignment="1" applyProtection="1">
      <alignment vertical="top" wrapText="1"/>
      <protection locked="0"/>
    </xf>
    <xf numFmtId="1" fontId="10" fillId="0" borderId="21" xfId="0" applyNumberFormat="1" applyFont="1" applyBorder="1" applyAlignment="1" applyProtection="1">
      <alignment vertical="top" wrapText="1"/>
      <protection locked="0"/>
    </xf>
    <xf numFmtId="1" fontId="10" fillId="0" borderId="9" xfId="0" applyNumberFormat="1" applyFont="1" applyBorder="1" applyAlignment="1" applyProtection="1">
      <alignment vertical="top"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6" fillId="0" borderId="1" xfId="1" applyNumberFormat="1" applyFont="1" applyBorder="1" applyAlignment="1" applyProtection="1">
      <alignment horizontal="center" vertical="center"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7" fillId="0" borderId="0" xfId="1" applyFont="1" applyAlignment="1">
      <alignment horizontal="center" vertical="center"/>
    </xf>
    <xf numFmtId="1" fontId="8" fillId="0" borderId="1"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64" fontId="6"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7" fillId="0" borderId="1" xfId="1" applyFont="1" applyBorder="1" applyAlignment="1" applyProtection="1">
      <alignment horizontal="center"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5" fillId="0" borderId="19" xfId="1" applyFont="1" applyBorder="1" applyAlignment="1" applyProtection="1">
      <alignment horizontal="left" vertical="top"/>
      <protection locked="0"/>
    </xf>
    <xf numFmtId="0" fontId="15" fillId="0" borderId="2" xfId="1" applyFont="1" applyBorder="1" applyAlignment="1" applyProtection="1">
      <alignment horizontal="left" vertical="top"/>
      <protection locked="0"/>
    </xf>
    <xf numFmtId="0" fontId="15" fillId="0" borderId="20" xfId="1" applyFont="1" applyBorder="1" applyAlignment="1" applyProtection="1">
      <alignment horizontal="left" vertical="top"/>
      <protection locked="0"/>
    </xf>
    <xf numFmtId="0" fontId="6" fillId="0" borderId="21" xfId="1" applyFont="1" applyBorder="1" applyAlignment="1" applyProtection="1">
      <alignment horizontal="left" vertical="top" wrapText="1"/>
      <protection locked="0"/>
    </xf>
    <xf numFmtId="1" fontId="8" fillId="0" borderId="1" xfId="0" applyNumberFormat="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7" fillId="0" borderId="25"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10"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7" fillId="0" borderId="1" xfId="1" applyFont="1" applyBorder="1" applyAlignment="1" applyProtection="1">
      <alignment horizontal="left" vertical="top"/>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8" fillId="0" borderId="16" xfId="1" applyFont="1" applyBorder="1" applyAlignment="1" applyProtection="1">
      <alignment horizontal="left" vertical="top"/>
      <protection locked="0"/>
    </xf>
    <xf numFmtId="1" fontId="8" fillId="0" borderId="1" xfId="0" applyNumberFormat="1" applyFont="1" applyFill="1" applyBorder="1" applyAlignment="1" applyProtection="1">
      <alignment horizontal="center" vertical="top" wrapText="1"/>
      <protection locked="0"/>
    </xf>
    <xf numFmtId="1" fontId="10" fillId="0" borderId="3" xfId="1" applyNumberFormat="1" applyFont="1" applyBorder="1" applyAlignment="1" applyProtection="1">
      <alignment horizontal="center" vertical="top" wrapText="1"/>
      <protection locked="0"/>
    </xf>
    <xf numFmtId="1" fontId="10" fillId="0" borderId="16" xfId="1" applyNumberFormat="1" applyFont="1" applyBorder="1" applyAlignment="1" applyProtection="1">
      <alignment horizontal="center" vertical="top" wrapText="1"/>
      <protection locked="0"/>
    </xf>
    <xf numFmtId="0" fontId="7" fillId="0" borderId="4"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1" fontId="8" fillId="0" borderId="34" xfId="0" applyNumberFormat="1" applyFont="1" applyBorder="1" applyAlignment="1" applyProtection="1">
      <alignment horizontal="center" vertical="center" wrapText="1"/>
      <protection locked="0"/>
    </xf>
    <xf numFmtId="1" fontId="8" fillId="0" borderId="35" xfId="0" applyNumberFormat="1" applyFont="1" applyBorder="1" applyAlignment="1" applyProtection="1">
      <alignment horizontal="center" vertical="center" wrapText="1"/>
      <protection locked="0"/>
    </xf>
    <xf numFmtId="1" fontId="10" fillId="0" borderId="8" xfId="1" applyNumberFormat="1" applyFont="1" applyBorder="1" applyAlignment="1" applyProtection="1">
      <alignment horizontal="center" vertical="center" wrapText="1"/>
      <protection locked="0"/>
    </xf>
    <xf numFmtId="1" fontId="10" fillId="0" borderId="21" xfId="1" applyNumberFormat="1" applyFont="1" applyBorder="1" applyAlignment="1" applyProtection="1">
      <alignment horizontal="center" vertical="center" wrapText="1"/>
      <protection locked="0"/>
    </xf>
    <xf numFmtId="1" fontId="10" fillId="0" borderId="9" xfId="1" applyNumberFormat="1" applyFont="1" applyBorder="1" applyAlignment="1" applyProtection="1">
      <alignment horizontal="center" vertical="center" wrapText="1"/>
      <protection locked="0"/>
    </xf>
    <xf numFmtId="0" fontId="6" fillId="0" borderId="1" xfId="1" applyFont="1" applyBorder="1" applyAlignment="1" applyProtection="1">
      <alignment vertical="top"/>
      <protection locked="0"/>
    </xf>
    <xf numFmtId="1" fontId="6" fillId="0" borderId="3" xfId="0" applyNumberFormat="1" applyFont="1" applyBorder="1" applyAlignment="1" applyProtection="1">
      <alignment horizontal="center" vertical="center" wrapText="1"/>
      <protection locked="0"/>
    </xf>
    <xf numFmtId="1" fontId="6" fillId="0" borderId="16" xfId="0" applyNumberFormat="1" applyFont="1" applyBorder="1" applyAlignment="1" applyProtection="1">
      <alignment horizontal="center" vertical="center" wrapText="1"/>
      <protection locked="0"/>
    </xf>
    <xf numFmtId="1" fontId="10" fillId="0" borderId="35" xfId="0" applyNumberFormat="1" applyFont="1" applyBorder="1" applyAlignment="1" applyProtection="1">
      <alignment horizontal="center" vertical="top" wrapText="1"/>
      <protection locked="0"/>
    </xf>
    <xf numFmtId="0" fontId="10" fillId="0" borderId="16" xfId="1" applyFont="1" applyBorder="1" applyAlignment="1" applyProtection="1">
      <alignment horizontal="center" vertical="top"/>
      <protection locked="0"/>
    </xf>
    <xf numFmtId="1" fontId="6" fillId="0" borderId="21" xfId="1" applyNumberFormat="1" applyFont="1" applyBorder="1" applyAlignment="1" applyProtection="1">
      <alignment horizontal="center" vertical="center" wrapText="1"/>
      <protection locked="0"/>
    </xf>
    <xf numFmtId="0" fontId="8" fillId="0" borderId="16" xfId="1" applyFont="1" applyBorder="1" applyAlignment="1" applyProtection="1">
      <alignment horizontal="center" vertical="top"/>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67" fontId="7" fillId="0" borderId="1" xfId="9" applyNumberFormat="1" applyFont="1" applyFill="1" applyBorder="1" applyAlignment="1" applyProtection="1">
      <alignment horizontal="left" vertical="top"/>
      <protection locked="0"/>
    </xf>
    <xf numFmtId="0" fontId="8" fillId="0" borderId="1" xfId="1" applyFont="1" applyBorder="1" applyAlignment="1" applyProtection="1">
      <alignment horizontal="left" vertical="top"/>
      <protection locked="0"/>
    </xf>
    <xf numFmtId="0" fontId="8" fillId="0" borderId="1" xfId="1" applyFont="1" applyBorder="1" applyAlignment="1" applyProtection="1">
      <alignment vertical="top"/>
      <protection locked="0"/>
    </xf>
    <xf numFmtId="0" fontId="10" fillId="0" borderId="35" xfId="0" applyFont="1" applyBorder="1" applyAlignment="1" applyProtection="1">
      <alignment horizontal="center" vertical="center"/>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2"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7"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7" fillId="0" borderId="3" xfId="1" applyFont="1" applyBorder="1" applyAlignment="1" applyProtection="1">
      <alignment horizontal="left" vertical="top" wrapText="1"/>
      <protection locked="0"/>
    </xf>
    <xf numFmtId="0" fontId="7" fillId="0" borderId="3" xfId="1" applyFont="1" applyBorder="1" applyAlignment="1" applyProtection="1">
      <alignment horizontal="left" vertical="top"/>
      <protection locked="0"/>
    </xf>
    <xf numFmtId="0" fontId="15" fillId="0" borderId="25" xfId="1" applyFont="1" applyBorder="1" applyAlignment="1" applyProtection="1">
      <alignment horizontal="left" vertical="top"/>
      <protection locked="0"/>
    </xf>
    <xf numFmtId="0" fontId="15" fillId="0" borderId="0" xfId="1" applyFont="1" applyAlignment="1" applyProtection="1">
      <alignment horizontal="left" vertical="top"/>
      <protection locked="0"/>
    </xf>
    <xf numFmtId="0" fontId="15" fillId="0" borderId="26" xfId="1" applyFont="1" applyBorder="1" applyAlignment="1" applyProtection="1">
      <alignment horizontal="left" vertical="top"/>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8"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2" fillId="0" borderId="18" xfId="1" applyFont="1" applyBorder="1" applyAlignment="1" applyProtection="1">
      <alignment horizontal="left" vertical="top" wrapText="1"/>
      <protection locked="0"/>
    </xf>
    <xf numFmtId="0" fontId="10" fillId="0" borderId="8" xfId="1" applyFont="1" applyBorder="1" applyAlignment="1" applyProtection="1">
      <alignment horizontal="left" vertical="top"/>
      <protection locked="0"/>
    </xf>
    <xf numFmtId="0" fontId="10" fillId="0" borderId="21" xfId="1" applyFont="1" applyBorder="1" applyAlignment="1" applyProtection="1">
      <alignment horizontal="left" vertical="top"/>
      <protection locked="0"/>
    </xf>
    <xf numFmtId="0" fontId="10" fillId="0" borderId="9" xfId="1" applyFont="1" applyBorder="1" applyAlignment="1" applyProtection="1">
      <alignment horizontal="left" vertical="top"/>
      <protection locked="0"/>
    </xf>
    <xf numFmtId="2" fontId="6" fillId="0" borderId="1" xfId="1" applyNumberFormat="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1" fontId="8" fillId="0" borderId="35" xfId="0" applyNumberFormat="1" applyFont="1" applyBorder="1" applyAlignment="1" applyProtection="1">
      <alignment horizontal="center" vertical="top" wrapText="1"/>
      <protection locked="0"/>
    </xf>
    <xf numFmtId="1" fontId="8" fillId="0" borderId="36"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protection locked="0"/>
    </xf>
    <xf numFmtId="0" fontId="8" fillId="0" borderId="32"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8" fillId="0" borderId="19" xfId="1" applyFont="1" applyBorder="1" applyAlignment="1" applyProtection="1">
      <alignment horizontal="left" vertical="top" wrapText="1"/>
      <protection locked="0"/>
    </xf>
    <xf numFmtId="0" fontId="8" fillId="0" borderId="2" xfId="1" applyFont="1" applyBorder="1" applyAlignment="1" applyProtection="1">
      <alignment horizontal="left" vertical="top" wrapText="1"/>
      <protection locked="0"/>
    </xf>
    <xf numFmtId="0" fontId="8" fillId="0" borderId="33" xfId="1" applyFont="1" applyBorder="1" applyAlignment="1" applyProtection="1">
      <alignment horizontal="left" vertical="top" wrapText="1"/>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0" fontId="27" fillId="0" borderId="1" xfId="10" applyFill="1" applyBorder="1" applyAlignment="1" applyProtection="1">
      <alignment horizontal="left" vertical="top"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17" fillId="0" borderId="3" xfId="1" applyNumberFormat="1" applyFont="1" applyBorder="1" applyAlignment="1" applyProtection="1">
      <alignment horizontal="center" vertical="top" wrapText="1"/>
      <protection locked="0"/>
    </xf>
    <xf numFmtId="1" fontId="17" fillId="0" borderId="16" xfId="1" applyNumberFormat="1" applyFont="1" applyBorder="1" applyAlignment="1" applyProtection="1">
      <alignment horizontal="center" vertical="top" wrapText="1"/>
      <protection locked="0"/>
    </xf>
    <xf numFmtId="0" fontId="13" fillId="0" borderId="5" xfId="1" applyFont="1" applyBorder="1" applyAlignment="1" applyProtection="1">
      <alignment horizontal="left" vertical="top" wrapText="1"/>
      <protection locked="0"/>
    </xf>
    <xf numFmtId="9" fontId="7" fillId="0" borderId="17"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13" fillId="0" borderId="4" xfId="1" applyFont="1" applyBorder="1" applyAlignment="1" applyProtection="1">
      <alignment horizontal="left" vertical="top"/>
      <protection locked="0"/>
    </xf>
    <xf numFmtId="1" fontId="6" fillId="0" borderId="1" xfId="1" applyNumberFormat="1" applyFont="1" applyBorder="1" applyAlignment="1" applyProtection="1">
      <alignment horizontal="left" vertical="top" wrapText="1"/>
      <protection locked="0"/>
    </xf>
    <xf numFmtId="9" fontId="7" fillId="0" borderId="1" xfId="8" applyFont="1" applyFill="1" applyBorder="1" applyAlignment="1" applyProtection="1">
      <alignment horizontal="center" vertical="center" wrapText="1"/>
      <protection locked="0"/>
    </xf>
    <xf numFmtId="0" fontId="7" fillId="0" borderId="5" xfId="1" applyFont="1" applyBorder="1" applyAlignment="1" applyProtection="1">
      <alignment horizontal="center" vertical="top" wrapText="1"/>
      <protection locked="0"/>
    </xf>
    <xf numFmtId="9" fontId="7" fillId="0" borderId="18"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xf numFmtId="0" fontId="12" fillId="0" borderId="8" xfId="1" applyFont="1" applyBorder="1" applyAlignment="1" applyProtection="1">
      <alignment horizontal="left" vertical="top" wrapText="1"/>
      <protection locked="0"/>
    </xf>
    <xf numFmtId="0" fontId="12" fillId="0" borderId="21"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12" fillId="0" borderId="1" xfId="1" applyFont="1" applyBorder="1" applyAlignment="1" applyProtection="1">
      <alignment vertical="top" wrapText="1"/>
      <protection locked="0"/>
    </xf>
    <xf numFmtId="14" fontId="12" fillId="0" borderId="8" xfId="1" applyNumberFormat="1" applyFont="1" applyBorder="1" applyAlignment="1" applyProtection="1">
      <alignment horizontal="left" vertical="top" wrapText="1"/>
      <protection locked="0"/>
    </xf>
    <xf numFmtId="14" fontId="12" fillId="0" borderId="9" xfId="1" applyNumberFormat="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2" fillId="0" borderId="8" xfId="1" applyFont="1" applyBorder="1" applyAlignment="1" applyProtection="1">
      <alignment vertical="top" wrapText="1"/>
      <protection locked="0"/>
    </xf>
    <xf numFmtId="0" fontId="12" fillId="0" borderId="21" xfId="1" applyFont="1" applyBorder="1" applyAlignment="1" applyProtection="1">
      <alignment vertical="top" wrapText="1"/>
      <protection locked="0"/>
    </xf>
    <xf numFmtId="0" fontId="12" fillId="0" borderId="9" xfId="1" applyFont="1" applyBorder="1" applyAlignment="1" applyProtection="1">
      <alignment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4.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8</xdr:col>
      <xdr:colOff>1057275</xdr:colOff>
      <xdr:row>4</xdr:row>
      <xdr:rowOff>76200</xdr:rowOff>
    </xdr:from>
    <xdr:to>
      <xdr:col>14</xdr:col>
      <xdr:colOff>328050</xdr:colOff>
      <xdr:row>15</xdr:row>
      <xdr:rowOff>148416</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372350" y="1266825"/>
          <a:ext cx="4500000" cy="2266141"/>
        </a:xfrm>
        <a:prstGeom prst="rect">
          <a:avLst/>
        </a:prstGeom>
      </xdr:spPr>
    </xdr:pic>
    <xdr:clientData/>
  </xdr:twoCellAnchor>
  <xdr:twoCellAnchor editAs="oneCell">
    <xdr:from>
      <xdr:col>9</xdr:col>
      <xdr:colOff>523875</xdr:colOff>
      <xdr:row>17</xdr:row>
      <xdr:rowOff>76200</xdr:rowOff>
    </xdr:from>
    <xdr:to>
      <xdr:col>13</xdr:col>
      <xdr:colOff>354900</xdr:colOff>
      <xdr:row>24</xdr:row>
      <xdr:rowOff>119847</xdr:rowOff>
    </xdr:to>
    <xdr:pic>
      <xdr:nvPicPr>
        <xdr:cNvPr id="4" name="Picture 3">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8001000" y="4276725"/>
          <a:ext cx="3060000" cy="1881972"/>
        </a:xfrm>
        <a:prstGeom prst="rect">
          <a:avLst/>
        </a:prstGeom>
        <a:ln>
          <a:solidFill>
            <a:schemeClr val="tx1"/>
          </a:solidFill>
        </a:ln>
      </xdr:spPr>
    </xdr:pic>
    <xdr:clientData/>
  </xdr:twoCellAnchor>
  <xdr:twoCellAnchor>
    <xdr:from>
      <xdr:col>9</xdr:col>
      <xdr:colOff>447675</xdr:colOff>
      <xdr:row>165</xdr:row>
      <xdr:rowOff>66675</xdr:rowOff>
    </xdr:from>
    <xdr:to>
      <xdr:col>12</xdr:col>
      <xdr:colOff>371475</xdr:colOff>
      <xdr:row>182</xdr:row>
      <xdr:rowOff>104775</xdr:rowOff>
    </xdr:to>
    <xdr:grpSp>
      <xdr:nvGrpSpPr>
        <xdr:cNvPr id="11" name="Group 10">
          <a:extLst>
            <a:ext uri="{FF2B5EF4-FFF2-40B4-BE49-F238E27FC236}">
              <a16:creationId xmlns="" xmlns:a16="http://schemas.microsoft.com/office/drawing/2014/main" id="{00000000-0008-0000-0000-00000B000000}"/>
            </a:ext>
          </a:extLst>
        </xdr:cNvPr>
        <xdr:cNvGrpSpPr/>
      </xdr:nvGrpSpPr>
      <xdr:grpSpPr>
        <a:xfrm>
          <a:off x="7924800" y="28803600"/>
          <a:ext cx="2362200" cy="3676650"/>
          <a:chOff x="2247901" y="2252662"/>
          <a:chExt cx="2362200" cy="4638675"/>
        </a:xfrm>
      </xdr:grpSpPr>
      <xdr:pic>
        <xdr:nvPicPr>
          <xdr:cNvPr id="12" name="Picture 11">
            <a:extLst>
              <a:ext uri="{FF2B5EF4-FFF2-40B4-BE49-F238E27FC236}">
                <a16:creationId xmlns="" xmlns:a16="http://schemas.microsoft.com/office/drawing/2014/main" id="{00000000-0008-0000-0000-00000C000000}"/>
              </a:ext>
            </a:extLst>
          </xdr:cNvPr>
          <xdr:cNvPicPr>
            <a:picLocks noChangeAspect="1"/>
          </xdr:cNvPicPr>
        </xdr:nvPicPr>
        <xdr:blipFill>
          <a:blip xmlns:r="http://schemas.openxmlformats.org/officeDocument/2006/relationships" r:embed="rId3"/>
          <a:stretch>
            <a:fillRect/>
          </a:stretch>
        </xdr:blipFill>
        <xdr:spPr>
          <a:xfrm>
            <a:off x="2247901" y="2252662"/>
            <a:ext cx="2362200" cy="4638675"/>
          </a:xfrm>
          <a:prstGeom prst="rect">
            <a:avLst/>
          </a:prstGeom>
          <a:ln>
            <a:solidFill>
              <a:schemeClr val="tx1"/>
            </a:solidFill>
          </a:ln>
        </xdr:spPr>
      </xdr:pic>
      <xdr:sp macro="" textlink="">
        <xdr:nvSpPr>
          <xdr:cNvPr id="13" name="TextBox 19">
            <a:extLst>
              <a:ext uri="{FF2B5EF4-FFF2-40B4-BE49-F238E27FC236}">
                <a16:creationId xmlns="" xmlns:a16="http://schemas.microsoft.com/office/drawing/2014/main" id="{00000000-0008-0000-0000-00000D000000}"/>
              </a:ext>
            </a:extLst>
          </xdr:cNvPr>
          <xdr:cNvSpPr txBox="1"/>
        </xdr:nvSpPr>
        <xdr:spPr>
          <a:xfrm>
            <a:off x="3835400" y="5241290"/>
            <a:ext cx="30168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1</a:t>
            </a:r>
            <a:endParaRPr lang="en-IN" b="1">
              <a:solidFill>
                <a:srgbClr val="FF0000"/>
              </a:solidFill>
            </a:endParaRPr>
          </a:p>
        </xdr:txBody>
      </xdr:sp>
      <xdr:sp macro="" textlink="">
        <xdr:nvSpPr>
          <xdr:cNvPr id="14" name="TextBox 61">
            <a:extLst>
              <a:ext uri="{FF2B5EF4-FFF2-40B4-BE49-F238E27FC236}">
                <a16:creationId xmlns="" xmlns:a16="http://schemas.microsoft.com/office/drawing/2014/main" id="{00000000-0008-0000-0000-00000E000000}"/>
              </a:ext>
            </a:extLst>
          </xdr:cNvPr>
          <xdr:cNvSpPr txBox="1"/>
        </xdr:nvSpPr>
        <xdr:spPr>
          <a:xfrm>
            <a:off x="3829050" y="6174740"/>
            <a:ext cx="30168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2</a:t>
            </a:r>
            <a:endParaRPr lang="en-IN" b="1">
              <a:solidFill>
                <a:srgbClr val="FF0000"/>
              </a:solidFill>
            </a:endParaRPr>
          </a:p>
        </xdr:txBody>
      </xdr:sp>
      <xdr:sp macro="" textlink="">
        <xdr:nvSpPr>
          <xdr:cNvPr id="15" name="TextBox 66">
            <a:extLst>
              <a:ext uri="{FF2B5EF4-FFF2-40B4-BE49-F238E27FC236}">
                <a16:creationId xmlns="" xmlns:a16="http://schemas.microsoft.com/office/drawing/2014/main" id="{00000000-0008-0000-0000-00000F000000}"/>
              </a:ext>
            </a:extLst>
          </xdr:cNvPr>
          <xdr:cNvSpPr txBox="1"/>
        </xdr:nvSpPr>
        <xdr:spPr>
          <a:xfrm>
            <a:off x="2868582" y="6130290"/>
            <a:ext cx="30168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3</a:t>
            </a:r>
            <a:endParaRPr lang="en-IN" b="1">
              <a:solidFill>
                <a:srgbClr val="FF0000"/>
              </a:solidFill>
            </a:endParaRPr>
          </a:p>
        </xdr:txBody>
      </xdr:sp>
      <xdr:sp macro="" textlink="">
        <xdr:nvSpPr>
          <xdr:cNvPr id="16" name="TextBox 67">
            <a:extLst>
              <a:ext uri="{FF2B5EF4-FFF2-40B4-BE49-F238E27FC236}">
                <a16:creationId xmlns="" xmlns:a16="http://schemas.microsoft.com/office/drawing/2014/main" id="{00000000-0008-0000-0000-000010000000}"/>
              </a:ext>
            </a:extLst>
          </xdr:cNvPr>
          <xdr:cNvSpPr txBox="1"/>
        </xdr:nvSpPr>
        <xdr:spPr>
          <a:xfrm>
            <a:off x="2868582" y="5241290"/>
            <a:ext cx="30168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4</a:t>
            </a:r>
            <a:endParaRPr lang="en-IN" b="1">
              <a:solidFill>
                <a:srgbClr val="FF0000"/>
              </a:solidFill>
            </a:endParaRPr>
          </a:p>
        </xdr:txBody>
      </xdr:sp>
      <xdr:sp macro="" textlink="">
        <xdr:nvSpPr>
          <xdr:cNvPr id="17" name="TextBox 68">
            <a:extLst>
              <a:ext uri="{FF2B5EF4-FFF2-40B4-BE49-F238E27FC236}">
                <a16:creationId xmlns="" xmlns:a16="http://schemas.microsoft.com/office/drawing/2014/main" id="{00000000-0008-0000-0000-000011000000}"/>
              </a:ext>
            </a:extLst>
          </xdr:cNvPr>
          <xdr:cNvSpPr txBox="1"/>
        </xdr:nvSpPr>
        <xdr:spPr>
          <a:xfrm>
            <a:off x="2868582" y="4404649"/>
            <a:ext cx="30168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5</a:t>
            </a:r>
            <a:endParaRPr lang="en-IN" b="1">
              <a:solidFill>
                <a:srgbClr val="FF0000"/>
              </a:solidFill>
            </a:endParaRPr>
          </a:p>
        </xdr:txBody>
      </xdr:sp>
      <xdr:sp macro="" textlink="">
        <xdr:nvSpPr>
          <xdr:cNvPr id="18" name="TextBox 69">
            <a:extLst>
              <a:ext uri="{FF2B5EF4-FFF2-40B4-BE49-F238E27FC236}">
                <a16:creationId xmlns="" xmlns:a16="http://schemas.microsoft.com/office/drawing/2014/main" id="{00000000-0008-0000-0000-000012000000}"/>
              </a:ext>
            </a:extLst>
          </xdr:cNvPr>
          <xdr:cNvSpPr txBox="1"/>
        </xdr:nvSpPr>
        <xdr:spPr>
          <a:xfrm>
            <a:off x="2861809" y="3394390"/>
            <a:ext cx="30168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6</a:t>
            </a:r>
            <a:endParaRPr lang="en-IN" b="1">
              <a:solidFill>
                <a:srgbClr val="FF0000"/>
              </a:solidFill>
            </a:endParaRPr>
          </a:p>
        </xdr:txBody>
      </xdr:sp>
      <xdr:sp macro="" textlink="">
        <xdr:nvSpPr>
          <xdr:cNvPr id="19" name="TextBox 70">
            <a:extLst>
              <a:ext uri="{FF2B5EF4-FFF2-40B4-BE49-F238E27FC236}">
                <a16:creationId xmlns="" xmlns:a16="http://schemas.microsoft.com/office/drawing/2014/main" id="{00000000-0008-0000-0000-000013000000}"/>
              </a:ext>
            </a:extLst>
          </xdr:cNvPr>
          <xdr:cNvSpPr txBox="1"/>
        </xdr:nvSpPr>
        <xdr:spPr>
          <a:xfrm>
            <a:off x="2860251" y="2606738"/>
            <a:ext cx="30168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7</a:t>
            </a:r>
            <a:endParaRPr lang="en-IN" b="1">
              <a:solidFill>
                <a:srgbClr val="FF0000"/>
              </a:solidFill>
            </a:endParaRPr>
          </a:p>
        </xdr:txBody>
      </xdr:sp>
      <xdr:sp macro="" textlink="">
        <xdr:nvSpPr>
          <xdr:cNvPr id="20" name="TextBox 71">
            <a:extLst>
              <a:ext uri="{FF2B5EF4-FFF2-40B4-BE49-F238E27FC236}">
                <a16:creationId xmlns="" xmlns:a16="http://schemas.microsoft.com/office/drawing/2014/main" id="{00000000-0008-0000-0000-000014000000}"/>
              </a:ext>
            </a:extLst>
          </xdr:cNvPr>
          <xdr:cNvSpPr txBox="1"/>
        </xdr:nvSpPr>
        <xdr:spPr>
          <a:xfrm>
            <a:off x="3774288" y="2598048"/>
            <a:ext cx="30168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8</a:t>
            </a:r>
            <a:endParaRPr lang="en-IN" b="1">
              <a:solidFill>
                <a:srgbClr val="FF0000"/>
              </a:solidFill>
            </a:endParaRPr>
          </a:p>
        </xdr:txBody>
      </xdr:sp>
      <xdr:sp macro="" textlink="">
        <xdr:nvSpPr>
          <xdr:cNvPr id="21" name="TextBox 72">
            <a:extLst>
              <a:ext uri="{FF2B5EF4-FFF2-40B4-BE49-F238E27FC236}">
                <a16:creationId xmlns="" xmlns:a16="http://schemas.microsoft.com/office/drawing/2014/main" id="{00000000-0008-0000-0000-000015000000}"/>
              </a:ext>
            </a:extLst>
          </xdr:cNvPr>
          <xdr:cNvSpPr txBox="1"/>
        </xdr:nvSpPr>
        <xdr:spPr>
          <a:xfrm>
            <a:off x="3774288" y="3346832"/>
            <a:ext cx="30168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9</a:t>
            </a:r>
            <a:endParaRPr lang="en-IN" b="1">
              <a:solidFill>
                <a:srgbClr val="FF0000"/>
              </a:solidFill>
            </a:endParaRPr>
          </a:p>
        </xdr:txBody>
      </xdr:sp>
    </xdr:grpSp>
    <xdr:clientData/>
  </xdr:twoCellAnchor>
  <xdr:twoCellAnchor>
    <xdr:from>
      <xdr:col>9</xdr:col>
      <xdr:colOff>95250</xdr:colOff>
      <xdr:row>186</xdr:row>
      <xdr:rowOff>152400</xdr:rowOff>
    </xdr:from>
    <xdr:to>
      <xdr:col>15</xdr:col>
      <xdr:colOff>581025</xdr:colOff>
      <xdr:row>197</xdr:row>
      <xdr:rowOff>133350</xdr:rowOff>
    </xdr:to>
    <xdr:grpSp>
      <xdr:nvGrpSpPr>
        <xdr:cNvPr id="23" name="Group 22">
          <a:extLst>
            <a:ext uri="{FF2B5EF4-FFF2-40B4-BE49-F238E27FC236}">
              <a16:creationId xmlns="" xmlns:a16="http://schemas.microsoft.com/office/drawing/2014/main" id="{00000000-0008-0000-0000-000017000000}"/>
            </a:ext>
          </a:extLst>
        </xdr:cNvPr>
        <xdr:cNvGrpSpPr/>
      </xdr:nvGrpSpPr>
      <xdr:grpSpPr>
        <a:xfrm>
          <a:off x="7572375" y="33585150"/>
          <a:ext cx="5362575" cy="2390775"/>
          <a:chOff x="747712" y="3381375"/>
          <a:chExt cx="5362575" cy="2381250"/>
        </a:xfrm>
      </xdr:grpSpPr>
      <xdr:pic>
        <xdr:nvPicPr>
          <xdr:cNvPr id="24" name="Picture 23">
            <a:extLst>
              <a:ext uri="{FF2B5EF4-FFF2-40B4-BE49-F238E27FC236}">
                <a16:creationId xmlns="" xmlns:a16="http://schemas.microsoft.com/office/drawing/2014/main" id="{00000000-0008-0000-0000-000018000000}"/>
              </a:ext>
            </a:extLst>
          </xdr:cNvPr>
          <xdr:cNvPicPr>
            <a:picLocks noChangeAspect="1"/>
          </xdr:cNvPicPr>
        </xdr:nvPicPr>
        <xdr:blipFill>
          <a:blip xmlns:r="http://schemas.openxmlformats.org/officeDocument/2006/relationships" r:embed="rId4"/>
          <a:stretch>
            <a:fillRect/>
          </a:stretch>
        </xdr:blipFill>
        <xdr:spPr>
          <a:xfrm>
            <a:off x="747712" y="3381375"/>
            <a:ext cx="5362575" cy="2381250"/>
          </a:xfrm>
          <a:prstGeom prst="rect">
            <a:avLst/>
          </a:prstGeom>
          <a:ln>
            <a:solidFill>
              <a:schemeClr val="tx1"/>
            </a:solidFill>
          </a:ln>
        </xdr:spPr>
      </xdr:pic>
      <xdr:sp macro="" textlink="">
        <xdr:nvSpPr>
          <xdr:cNvPr id="25" name="TextBox 22">
            <a:extLst>
              <a:ext uri="{FF2B5EF4-FFF2-40B4-BE49-F238E27FC236}">
                <a16:creationId xmlns="" xmlns:a16="http://schemas.microsoft.com/office/drawing/2014/main" id="{00000000-0008-0000-0000-000019000000}"/>
              </a:ext>
            </a:extLst>
          </xdr:cNvPr>
          <xdr:cNvSpPr txBox="1"/>
        </xdr:nvSpPr>
        <xdr:spPr>
          <a:xfrm>
            <a:off x="1124547" y="4821674"/>
            <a:ext cx="30168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1</a:t>
            </a:r>
            <a:endParaRPr lang="en-IN" b="1">
              <a:solidFill>
                <a:srgbClr val="FF0000"/>
              </a:solidFill>
            </a:endParaRPr>
          </a:p>
        </xdr:txBody>
      </xdr:sp>
      <xdr:sp macro="" textlink="">
        <xdr:nvSpPr>
          <xdr:cNvPr id="26" name="Rectangle 25">
            <a:extLst>
              <a:ext uri="{FF2B5EF4-FFF2-40B4-BE49-F238E27FC236}">
                <a16:creationId xmlns="" xmlns:a16="http://schemas.microsoft.com/office/drawing/2014/main" id="{00000000-0008-0000-0000-00001A000000}"/>
              </a:ext>
            </a:extLst>
          </xdr:cNvPr>
          <xdr:cNvSpPr/>
        </xdr:nvSpPr>
        <xdr:spPr>
          <a:xfrm>
            <a:off x="1541553" y="3764399"/>
            <a:ext cx="301686"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2</a:t>
            </a:r>
            <a:endParaRPr lang="en-IN" b="1">
              <a:solidFill>
                <a:srgbClr val="FF0000"/>
              </a:solidFill>
            </a:endParaRPr>
          </a:p>
        </xdr:txBody>
      </xdr:sp>
      <xdr:sp macro="" textlink="">
        <xdr:nvSpPr>
          <xdr:cNvPr id="27" name="Rectangle 26">
            <a:extLst>
              <a:ext uri="{FF2B5EF4-FFF2-40B4-BE49-F238E27FC236}">
                <a16:creationId xmlns="" xmlns:a16="http://schemas.microsoft.com/office/drawing/2014/main" id="{00000000-0008-0000-0000-00001B000000}"/>
              </a:ext>
            </a:extLst>
          </xdr:cNvPr>
          <xdr:cNvSpPr/>
        </xdr:nvSpPr>
        <xdr:spPr>
          <a:xfrm>
            <a:off x="2579241" y="3735824"/>
            <a:ext cx="301686"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3</a:t>
            </a:r>
            <a:endParaRPr lang="en-IN" b="1">
              <a:solidFill>
                <a:srgbClr val="FF0000"/>
              </a:solidFill>
            </a:endParaRPr>
          </a:p>
        </xdr:txBody>
      </xdr:sp>
      <xdr:sp macro="" textlink="">
        <xdr:nvSpPr>
          <xdr:cNvPr id="28" name="Rectangle 27">
            <a:extLst>
              <a:ext uri="{FF2B5EF4-FFF2-40B4-BE49-F238E27FC236}">
                <a16:creationId xmlns="" xmlns:a16="http://schemas.microsoft.com/office/drawing/2014/main" id="{00000000-0008-0000-0000-00001C000000}"/>
              </a:ext>
            </a:extLst>
          </xdr:cNvPr>
          <xdr:cNvSpPr/>
        </xdr:nvSpPr>
        <xdr:spPr>
          <a:xfrm>
            <a:off x="3363817" y="3711419"/>
            <a:ext cx="301686"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4</a:t>
            </a:r>
            <a:endParaRPr lang="en-IN" b="1">
              <a:solidFill>
                <a:srgbClr val="FF0000"/>
              </a:solidFill>
            </a:endParaRPr>
          </a:p>
        </xdr:txBody>
      </xdr:sp>
      <xdr:sp macro="" textlink="">
        <xdr:nvSpPr>
          <xdr:cNvPr id="29" name="Rectangle 28">
            <a:extLst>
              <a:ext uri="{FF2B5EF4-FFF2-40B4-BE49-F238E27FC236}">
                <a16:creationId xmlns="" xmlns:a16="http://schemas.microsoft.com/office/drawing/2014/main" id="{00000000-0008-0000-0000-00001D000000}"/>
              </a:ext>
            </a:extLst>
          </xdr:cNvPr>
          <xdr:cNvSpPr/>
        </xdr:nvSpPr>
        <xdr:spPr>
          <a:xfrm>
            <a:off x="4427628" y="3764724"/>
            <a:ext cx="301686"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5</a:t>
            </a:r>
            <a:endParaRPr lang="en-IN" b="1">
              <a:solidFill>
                <a:srgbClr val="FF0000"/>
              </a:solidFill>
            </a:endParaRPr>
          </a:p>
        </xdr:txBody>
      </xdr:sp>
      <xdr:sp macro="" textlink="">
        <xdr:nvSpPr>
          <xdr:cNvPr id="30" name="Rectangle 29">
            <a:extLst>
              <a:ext uri="{FF2B5EF4-FFF2-40B4-BE49-F238E27FC236}">
                <a16:creationId xmlns="" xmlns:a16="http://schemas.microsoft.com/office/drawing/2014/main" id="{00000000-0008-0000-0000-00001E000000}"/>
              </a:ext>
            </a:extLst>
          </xdr:cNvPr>
          <xdr:cNvSpPr/>
        </xdr:nvSpPr>
        <xdr:spPr>
          <a:xfrm>
            <a:off x="5372098" y="3717099"/>
            <a:ext cx="301686"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6</a:t>
            </a:r>
            <a:endParaRPr lang="en-IN" b="1">
              <a:solidFill>
                <a:srgbClr val="FF0000"/>
              </a:solidFill>
            </a:endParaRPr>
          </a:p>
        </xdr:txBody>
      </xdr:sp>
      <xdr:sp macro="" textlink="">
        <xdr:nvSpPr>
          <xdr:cNvPr id="31" name="Rectangle 30">
            <a:extLst>
              <a:ext uri="{FF2B5EF4-FFF2-40B4-BE49-F238E27FC236}">
                <a16:creationId xmlns="" xmlns:a16="http://schemas.microsoft.com/office/drawing/2014/main" id="{00000000-0008-0000-0000-00001F000000}"/>
              </a:ext>
            </a:extLst>
          </xdr:cNvPr>
          <xdr:cNvSpPr/>
        </xdr:nvSpPr>
        <xdr:spPr>
          <a:xfrm>
            <a:off x="5196546" y="4637484"/>
            <a:ext cx="301686"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7</a:t>
            </a:r>
            <a:endParaRPr lang="en-IN" b="1">
              <a:solidFill>
                <a:srgbClr val="FF0000"/>
              </a:solidFill>
            </a:endParaRPr>
          </a:p>
        </xdr:txBody>
      </xdr:sp>
      <xdr:sp macro="" textlink="">
        <xdr:nvSpPr>
          <xdr:cNvPr id="32" name="Rectangle 31">
            <a:extLst>
              <a:ext uri="{FF2B5EF4-FFF2-40B4-BE49-F238E27FC236}">
                <a16:creationId xmlns="" xmlns:a16="http://schemas.microsoft.com/office/drawing/2014/main" id="{00000000-0008-0000-0000-000020000000}"/>
              </a:ext>
            </a:extLst>
          </xdr:cNvPr>
          <xdr:cNvSpPr/>
        </xdr:nvSpPr>
        <xdr:spPr>
          <a:xfrm>
            <a:off x="4585233" y="4673444"/>
            <a:ext cx="301686"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8</a:t>
            </a:r>
            <a:endParaRPr lang="en-IN" b="1">
              <a:solidFill>
                <a:srgbClr val="FF0000"/>
              </a:solidFill>
            </a:endParaRPr>
          </a:p>
        </xdr:txBody>
      </xdr:sp>
      <xdr:sp macro="" textlink="">
        <xdr:nvSpPr>
          <xdr:cNvPr id="33" name="Rectangle 32">
            <a:extLst>
              <a:ext uri="{FF2B5EF4-FFF2-40B4-BE49-F238E27FC236}">
                <a16:creationId xmlns="" xmlns:a16="http://schemas.microsoft.com/office/drawing/2014/main" id="{00000000-0008-0000-0000-000021000000}"/>
              </a:ext>
            </a:extLst>
          </xdr:cNvPr>
          <xdr:cNvSpPr/>
        </xdr:nvSpPr>
        <xdr:spPr>
          <a:xfrm>
            <a:off x="3415317" y="4634349"/>
            <a:ext cx="301686"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9</a:t>
            </a:r>
            <a:endParaRPr lang="en-IN" b="1">
              <a:solidFill>
                <a:srgbClr val="FF0000"/>
              </a:solidFill>
            </a:endParaRPr>
          </a:p>
        </xdr:txBody>
      </xdr:sp>
      <xdr:sp macro="" textlink="">
        <xdr:nvSpPr>
          <xdr:cNvPr id="34" name="Rectangle 33">
            <a:extLst>
              <a:ext uri="{FF2B5EF4-FFF2-40B4-BE49-F238E27FC236}">
                <a16:creationId xmlns="" xmlns:a16="http://schemas.microsoft.com/office/drawing/2014/main" id="{00000000-0008-0000-0000-000022000000}"/>
              </a:ext>
            </a:extLst>
          </xdr:cNvPr>
          <xdr:cNvSpPr/>
        </xdr:nvSpPr>
        <xdr:spPr>
          <a:xfrm>
            <a:off x="2596221" y="4322199"/>
            <a:ext cx="883575" cy="37414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b="1">
              <a:solidFill>
                <a:srgbClr val="FF0000"/>
              </a:solidFill>
            </a:endParaRPr>
          </a:p>
        </xdr:txBody>
      </xdr:sp>
    </xdr:grpSp>
    <xdr:clientData/>
  </xdr:twoCellAnchor>
  <xdr:twoCellAnchor editAs="oneCell">
    <xdr:from>
      <xdr:col>2</xdr:col>
      <xdr:colOff>64879</xdr:colOff>
      <xdr:row>351</xdr:row>
      <xdr:rowOff>123825</xdr:rowOff>
    </xdr:from>
    <xdr:to>
      <xdr:col>5</xdr:col>
      <xdr:colOff>624458</xdr:colOff>
      <xdr:row>367</xdr:row>
      <xdr:rowOff>161925</xdr:rowOff>
    </xdr:to>
    <xdr:pic>
      <xdr:nvPicPr>
        <xdr:cNvPr id="35" name="Picture 34">
          <a:extLst>
            <a:ext uri="{FF2B5EF4-FFF2-40B4-BE49-F238E27FC236}">
              <a16:creationId xmlns="" xmlns:a16="http://schemas.microsoft.com/office/drawing/2014/main" id="{00000000-0008-0000-0000-000023000000}"/>
            </a:ext>
          </a:extLst>
        </xdr:cNvPr>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1626979" y="60950475"/>
          <a:ext cx="3102754" cy="3238500"/>
        </a:xfrm>
        <a:prstGeom prst="rect">
          <a:avLst/>
        </a:prstGeom>
        <a:ln>
          <a:solidFill>
            <a:schemeClr val="tx1"/>
          </a:solidFill>
        </a:ln>
      </xdr:spPr>
    </xdr:pic>
    <xdr:clientData/>
  </xdr:twoCellAnchor>
  <xdr:twoCellAnchor>
    <xdr:from>
      <xdr:col>1</xdr:col>
      <xdr:colOff>266700</xdr:colOff>
      <xdr:row>368</xdr:row>
      <xdr:rowOff>58891</xdr:rowOff>
    </xdr:from>
    <xdr:to>
      <xdr:col>6</xdr:col>
      <xdr:colOff>320475</xdr:colOff>
      <xdr:row>382</xdr:row>
      <xdr:rowOff>138541</xdr:rowOff>
    </xdr:to>
    <xdr:grpSp>
      <xdr:nvGrpSpPr>
        <xdr:cNvPr id="36" name="Group 35">
          <a:extLst>
            <a:ext uri="{FF2B5EF4-FFF2-40B4-BE49-F238E27FC236}">
              <a16:creationId xmlns="" xmlns:a16="http://schemas.microsoft.com/office/drawing/2014/main" id="{00000000-0008-0000-0000-000024000000}"/>
            </a:ext>
          </a:extLst>
        </xdr:cNvPr>
        <xdr:cNvGrpSpPr/>
      </xdr:nvGrpSpPr>
      <xdr:grpSpPr>
        <a:xfrm>
          <a:off x="1028700" y="64285966"/>
          <a:ext cx="4140000" cy="2880000"/>
          <a:chOff x="1756229" y="3701144"/>
          <a:chExt cx="3338285" cy="2336800"/>
        </a:xfrm>
      </xdr:grpSpPr>
      <xdr:pic>
        <xdr:nvPicPr>
          <xdr:cNvPr id="37" name="Picture 36">
            <a:extLst>
              <a:ext uri="{FF2B5EF4-FFF2-40B4-BE49-F238E27FC236}">
                <a16:creationId xmlns="" xmlns:a16="http://schemas.microsoft.com/office/drawing/2014/main" id="{00000000-0008-0000-0000-000025000000}"/>
              </a:ext>
            </a:extLst>
          </xdr:cNvPr>
          <xdr:cNvPicPr>
            <a:picLocks noChangeAspect="1"/>
          </xdr:cNvPicPr>
        </xdr:nvPicPr>
        <xdr:blipFill rotWithShape="1">
          <a:blip xmlns:r="http://schemas.openxmlformats.org/officeDocument/2006/relationships" r:embed="rId6" cstate="screen">
            <a:extLst>
              <a:ext uri="{28A0092B-C50C-407E-A947-70E740481C1C}">
                <a14:useLocalDpi xmlns:a14="http://schemas.microsoft.com/office/drawing/2010/main"/>
              </a:ext>
            </a:extLst>
          </a:blip>
          <a:srcRect/>
          <a:stretch/>
        </xdr:blipFill>
        <xdr:spPr>
          <a:xfrm>
            <a:off x="1756229" y="3701144"/>
            <a:ext cx="3338285" cy="2336800"/>
          </a:xfrm>
          <a:prstGeom prst="rect">
            <a:avLst/>
          </a:prstGeom>
          <a:ln>
            <a:solidFill>
              <a:schemeClr val="tx1"/>
            </a:solidFill>
          </a:ln>
        </xdr:spPr>
      </xdr:pic>
      <xdr:sp macro="" textlink="">
        <xdr:nvSpPr>
          <xdr:cNvPr id="38" name="Freeform 37">
            <a:extLst>
              <a:ext uri="{FF2B5EF4-FFF2-40B4-BE49-F238E27FC236}">
                <a16:creationId xmlns="" xmlns:a16="http://schemas.microsoft.com/office/drawing/2014/main" id="{00000000-0008-0000-0000-000026000000}"/>
              </a:ext>
            </a:extLst>
          </xdr:cNvPr>
          <xdr:cNvSpPr/>
        </xdr:nvSpPr>
        <xdr:spPr>
          <a:xfrm>
            <a:off x="3238500" y="4689475"/>
            <a:ext cx="327025" cy="352425"/>
          </a:xfrm>
          <a:custGeom>
            <a:avLst/>
            <a:gdLst>
              <a:gd name="connsiteX0" fmla="*/ 73025 w 327025"/>
              <a:gd name="connsiteY0" fmla="*/ 34925 h 352425"/>
              <a:gd name="connsiteX1" fmla="*/ 133350 w 327025"/>
              <a:gd name="connsiteY1" fmla="*/ 196850 h 352425"/>
              <a:gd name="connsiteX2" fmla="*/ 0 w 327025"/>
              <a:gd name="connsiteY2" fmla="*/ 254000 h 352425"/>
              <a:gd name="connsiteX3" fmla="*/ 139700 w 327025"/>
              <a:gd name="connsiteY3" fmla="*/ 352425 h 352425"/>
              <a:gd name="connsiteX4" fmla="*/ 254000 w 327025"/>
              <a:gd name="connsiteY4" fmla="*/ 317500 h 352425"/>
              <a:gd name="connsiteX5" fmla="*/ 292100 w 327025"/>
              <a:gd name="connsiteY5" fmla="*/ 276225 h 352425"/>
              <a:gd name="connsiteX6" fmla="*/ 260350 w 327025"/>
              <a:gd name="connsiteY6" fmla="*/ 184150 h 352425"/>
              <a:gd name="connsiteX7" fmla="*/ 327025 w 327025"/>
              <a:gd name="connsiteY7" fmla="*/ 149225 h 352425"/>
              <a:gd name="connsiteX8" fmla="*/ 314325 w 327025"/>
              <a:gd name="connsiteY8" fmla="*/ 53975 h 352425"/>
              <a:gd name="connsiteX9" fmla="*/ 241300 w 327025"/>
              <a:gd name="connsiteY9" fmla="*/ 0 h 352425"/>
              <a:gd name="connsiteX10" fmla="*/ 73025 w 327025"/>
              <a:gd name="connsiteY10" fmla="*/ 34925 h 3524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327025" h="352425">
                <a:moveTo>
                  <a:pt x="73025" y="34925"/>
                </a:moveTo>
                <a:lnTo>
                  <a:pt x="133350" y="196850"/>
                </a:lnTo>
                <a:lnTo>
                  <a:pt x="0" y="254000"/>
                </a:lnTo>
                <a:lnTo>
                  <a:pt x="139700" y="352425"/>
                </a:lnTo>
                <a:lnTo>
                  <a:pt x="254000" y="317500"/>
                </a:lnTo>
                <a:lnTo>
                  <a:pt x="292100" y="276225"/>
                </a:lnTo>
                <a:lnTo>
                  <a:pt x="260350" y="184150"/>
                </a:lnTo>
                <a:lnTo>
                  <a:pt x="327025" y="149225"/>
                </a:lnTo>
                <a:lnTo>
                  <a:pt x="314325" y="53975"/>
                </a:lnTo>
                <a:lnTo>
                  <a:pt x="241300" y="0"/>
                </a:lnTo>
                <a:lnTo>
                  <a:pt x="73025" y="34925"/>
                </a:lnTo>
                <a:close/>
              </a:path>
            </a:pathLst>
          </a:custGeom>
          <a:no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9" name="TextBox 29">
            <a:extLst>
              <a:ext uri="{FF2B5EF4-FFF2-40B4-BE49-F238E27FC236}">
                <a16:creationId xmlns="" xmlns:a16="http://schemas.microsoft.com/office/drawing/2014/main" id="{00000000-0008-0000-0000-000027000000}"/>
              </a:ext>
            </a:extLst>
          </xdr:cNvPr>
          <xdr:cNvSpPr txBox="1"/>
        </xdr:nvSpPr>
        <xdr:spPr>
          <a:xfrm>
            <a:off x="1756229" y="3737243"/>
            <a:ext cx="2176621" cy="276999"/>
          </a:xfrm>
          <a:prstGeom prst="rect">
            <a:avLst/>
          </a:prstGeom>
          <a:solidFill>
            <a:srgbClr val="F5F5F5"/>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t>Crown Dombivli 4 (Wing F &amp; G)</a:t>
            </a:r>
            <a:endParaRPr lang="en-IN" sz="1200" b="1"/>
          </a:p>
        </xdr:txBody>
      </xdr:sp>
      <xdr:cxnSp macro="">
        <xdr:nvCxnSpPr>
          <xdr:cNvPr id="40" name="Straight Arrow Connector 39">
            <a:extLst>
              <a:ext uri="{FF2B5EF4-FFF2-40B4-BE49-F238E27FC236}">
                <a16:creationId xmlns="" xmlns:a16="http://schemas.microsoft.com/office/drawing/2014/main" id="{00000000-0008-0000-0000-000028000000}"/>
              </a:ext>
            </a:extLst>
          </xdr:cNvPr>
          <xdr:cNvCxnSpPr>
            <a:stCxn id="39" idx="2"/>
            <a:endCxn id="38" idx="0"/>
          </xdr:cNvCxnSpPr>
        </xdr:nvCxnSpPr>
        <xdr:spPr>
          <a:xfrm>
            <a:off x="2844540" y="4014242"/>
            <a:ext cx="466986" cy="710158"/>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41" name="Rectangle 40">
            <a:extLst>
              <a:ext uri="{FF2B5EF4-FFF2-40B4-BE49-F238E27FC236}">
                <a16:creationId xmlns="" xmlns:a16="http://schemas.microsoft.com/office/drawing/2014/main" id="{00000000-0008-0000-0000-000029000000}"/>
              </a:ext>
            </a:extLst>
          </xdr:cNvPr>
          <xdr:cNvSpPr/>
        </xdr:nvSpPr>
        <xdr:spPr>
          <a:xfrm rot="581191">
            <a:off x="3531394" y="4975778"/>
            <a:ext cx="431006" cy="98666"/>
          </a:xfrm>
          <a:prstGeom prst="rect">
            <a:avLst/>
          </a:pr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2" name="Freeform 41">
            <a:extLst>
              <a:ext uri="{FF2B5EF4-FFF2-40B4-BE49-F238E27FC236}">
                <a16:creationId xmlns="" xmlns:a16="http://schemas.microsoft.com/office/drawing/2014/main" id="{00000000-0008-0000-0000-00002A000000}"/>
              </a:ext>
            </a:extLst>
          </xdr:cNvPr>
          <xdr:cNvSpPr/>
        </xdr:nvSpPr>
        <xdr:spPr>
          <a:xfrm>
            <a:off x="3652838" y="4829175"/>
            <a:ext cx="223837" cy="145256"/>
          </a:xfrm>
          <a:custGeom>
            <a:avLst/>
            <a:gdLst>
              <a:gd name="connsiteX0" fmla="*/ 0 w 223837"/>
              <a:gd name="connsiteY0" fmla="*/ 71438 h 145256"/>
              <a:gd name="connsiteX1" fmla="*/ 28575 w 223837"/>
              <a:gd name="connsiteY1" fmla="*/ 128588 h 145256"/>
              <a:gd name="connsiteX2" fmla="*/ 121443 w 223837"/>
              <a:gd name="connsiteY2" fmla="*/ 95250 h 145256"/>
              <a:gd name="connsiteX3" fmla="*/ 154781 w 223837"/>
              <a:gd name="connsiteY3" fmla="*/ 145256 h 145256"/>
              <a:gd name="connsiteX4" fmla="*/ 223837 w 223837"/>
              <a:gd name="connsiteY4" fmla="*/ 121444 h 145256"/>
              <a:gd name="connsiteX5" fmla="*/ 157162 w 223837"/>
              <a:gd name="connsiteY5" fmla="*/ 0 h 145256"/>
              <a:gd name="connsiteX6" fmla="*/ 0 w 223837"/>
              <a:gd name="connsiteY6" fmla="*/ 71438 h 1452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3837" h="145256">
                <a:moveTo>
                  <a:pt x="0" y="71438"/>
                </a:moveTo>
                <a:lnTo>
                  <a:pt x="28575" y="128588"/>
                </a:lnTo>
                <a:lnTo>
                  <a:pt x="121443" y="95250"/>
                </a:lnTo>
                <a:lnTo>
                  <a:pt x="154781" y="145256"/>
                </a:lnTo>
                <a:lnTo>
                  <a:pt x="223837" y="121444"/>
                </a:lnTo>
                <a:lnTo>
                  <a:pt x="157162" y="0"/>
                </a:lnTo>
                <a:lnTo>
                  <a:pt x="0" y="71438"/>
                </a:lnTo>
                <a:close/>
              </a:path>
            </a:pathLst>
          </a:custGeom>
          <a:no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3" name="TextBox 86">
            <a:extLst>
              <a:ext uri="{FF2B5EF4-FFF2-40B4-BE49-F238E27FC236}">
                <a16:creationId xmlns="" xmlns:a16="http://schemas.microsoft.com/office/drawing/2014/main" id="{00000000-0008-0000-0000-00002B000000}"/>
              </a:ext>
            </a:extLst>
          </xdr:cNvPr>
          <xdr:cNvSpPr txBox="1"/>
        </xdr:nvSpPr>
        <xdr:spPr>
          <a:xfrm>
            <a:off x="3746442" y="4710945"/>
            <a:ext cx="659155" cy="21544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b="1">
                <a:solidFill>
                  <a:srgbClr val="00B0F0"/>
                </a:solidFill>
              </a:rPr>
              <a:t>Wing D &amp; E</a:t>
            </a:r>
            <a:endParaRPr lang="en-IN" sz="800" b="1">
              <a:solidFill>
                <a:srgbClr val="00B0F0"/>
              </a:solidFill>
            </a:endParaRPr>
          </a:p>
        </xdr:txBody>
      </xdr:sp>
      <xdr:sp macro="" textlink="">
        <xdr:nvSpPr>
          <xdr:cNvPr id="44" name="TextBox 92">
            <a:extLst>
              <a:ext uri="{FF2B5EF4-FFF2-40B4-BE49-F238E27FC236}">
                <a16:creationId xmlns="" xmlns:a16="http://schemas.microsoft.com/office/drawing/2014/main" id="{00000000-0008-0000-0000-00002C000000}"/>
              </a:ext>
            </a:extLst>
          </xdr:cNvPr>
          <xdr:cNvSpPr txBox="1"/>
        </xdr:nvSpPr>
        <xdr:spPr>
          <a:xfrm rot="553079">
            <a:off x="3414914" y="5040609"/>
            <a:ext cx="769763" cy="21544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b="1">
                <a:solidFill>
                  <a:srgbClr val="7030A0"/>
                </a:solidFill>
              </a:rPr>
              <a:t>Wing A, B &amp; C</a:t>
            </a:r>
            <a:endParaRPr lang="en-IN" sz="800" b="1">
              <a:solidFill>
                <a:srgbClr val="7030A0"/>
              </a:solidFill>
            </a:endParaRPr>
          </a:p>
        </xdr:txBody>
      </xdr:sp>
    </xdr:grpSp>
    <xdr:clientData/>
  </xdr:twoCellAnchor>
  <xdr:twoCellAnchor>
    <xdr:from>
      <xdr:col>1</xdr:col>
      <xdr:colOff>609600</xdr:colOff>
      <xdr:row>308</xdr:row>
      <xdr:rowOff>104775</xdr:rowOff>
    </xdr:from>
    <xdr:to>
      <xdr:col>6</xdr:col>
      <xdr:colOff>152400</xdr:colOff>
      <xdr:row>333</xdr:row>
      <xdr:rowOff>95250</xdr:rowOff>
    </xdr:to>
    <xdr:grpSp>
      <xdr:nvGrpSpPr>
        <xdr:cNvPr id="54" name="Group 53">
          <a:extLst>
            <a:ext uri="{FF2B5EF4-FFF2-40B4-BE49-F238E27FC236}">
              <a16:creationId xmlns="" xmlns:a16="http://schemas.microsoft.com/office/drawing/2014/main" id="{00000000-0008-0000-0000-000036000000}"/>
            </a:ext>
          </a:extLst>
        </xdr:cNvPr>
        <xdr:cNvGrpSpPr/>
      </xdr:nvGrpSpPr>
      <xdr:grpSpPr>
        <a:xfrm>
          <a:off x="1371600" y="52330350"/>
          <a:ext cx="3629025" cy="4991100"/>
          <a:chOff x="1614487" y="2076450"/>
          <a:chExt cx="3629025" cy="4991100"/>
        </a:xfrm>
      </xdr:grpSpPr>
      <xdr:pic>
        <xdr:nvPicPr>
          <xdr:cNvPr id="55" name="Picture 54">
            <a:extLst>
              <a:ext uri="{FF2B5EF4-FFF2-40B4-BE49-F238E27FC236}">
                <a16:creationId xmlns="" xmlns:a16="http://schemas.microsoft.com/office/drawing/2014/main" id="{00000000-0008-0000-0000-000037000000}"/>
              </a:ext>
            </a:extLst>
          </xdr:cNvPr>
          <xdr:cNvPicPr>
            <a:picLocks noChangeAspect="1"/>
          </xdr:cNvPicPr>
        </xdr:nvPicPr>
        <xdr:blipFill>
          <a:blip xmlns:r="http://schemas.openxmlformats.org/officeDocument/2006/relationships" r:embed="rId7"/>
          <a:stretch>
            <a:fillRect/>
          </a:stretch>
        </xdr:blipFill>
        <xdr:spPr>
          <a:xfrm>
            <a:off x="1614487" y="2076450"/>
            <a:ext cx="3629025" cy="4991100"/>
          </a:xfrm>
          <a:prstGeom prst="rect">
            <a:avLst/>
          </a:prstGeom>
          <a:ln>
            <a:solidFill>
              <a:schemeClr val="tx1"/>
            </a:solidFill>
          </a:ln>
        </xdr:spPr>
      </xdr:pic>
      <xdr:sp macro="" textlink="">
        <xdr:nvSpPr>
          <xdr:cNvPr id="56" name="TextBox 73">
            <a:extLst>
              <a:ext uri="{FF2B5EF4-FFF2-40B4-BE49-F238E27FC236}">
                <a16:creationId xmlns="" xmlns:a16="http://schemas.microsoft.com/office/drawing/2014/main" id="{00000000-0008-0000-0000-000038000000}"/>
              </a:ext>
            </a:extLst>
          </xdr:cNvPr>
          <xdr:cNvSpPr txBox="1"/>
        </xdr:nvSpPr>
        <xdr:spPr>
          <a:xfrm>
            <a:off x="3253866" y="3831429"/>
            <a:ext cx="1418146"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F &amp; G</a:t>
            </a:r>
            <a:endParaRPr lang="en-IN" b="1">
              <a:solidFill>
                <a:srgbClr val="FF0000"/>
              </a:solidFill>
            </a:endParaRPr>
          </a:p>
        </xdr:txBody>
      </xdr:sp>
      <xdr:sp macro="" textlink="">
        <xdr:nvSpPr>
          <xdr:cNvPr id="57" name="Freeform 56">
            <a:extLst>
              <a:ext uri="{FF2B5EF4-FFF2-40B4-BE49-F238E27FC236}">
                <a16:creationId xmlns="" xmlns:a16="http://schemas.microsoft.com/office/drawing/2014/main" id="{00000000-0008-0000-0000-000039000000}"/>
              </a:ext>
            </a:extLst>
          </xdr:cNvPr>
          <xdr:cNvSpPr/>
        </xdr:nvSpPr>
        <xdr:spPr>
          <a:xfrm>
            <a:off x="1701800" y="2120900"/>
            <a:ext cx="3467100" cy="4775200"/>
          </a:xfrm>
          <a:custGeom>
            <a:avLst/>
            <a:gdLst>
              <a:gd name="connsiteX0" fmla="*/ 241300 w 3467100"/>
              <a:gd name="connsiteY0" fmla="*/ 0 h 4775200"/>
              <a:gd name="connsiteX1" fmla="*/ 241300 w 3467100"/>
              <a:gd name="connsiteY1" fmla="*/ 711200 h 4775200"/>
              <a:gd name="connsiteX2" fmla="*/ 533400 w 3467100"/>
              <a:gd name="connsiteY2" fmla="*/ 698500 h 4775200"/>
              <a:gd name="connsiteX3" fmla="*/ 533400 w 3467100"/>
              <a:gd name="connsiteY3" fmla="*/ 1016000 h 4775200"/>
              <a:gd name="connsiteX4" fmla="*/ 0 w 3467100"/>
              <a:gd name="connsiteY4" fmla="*/ 1016000 h 4775200"/>
              <a:gd name="connsiteX5" fmla="*/ 25400 w 3467100"/>
              <a:gd name="connsiteY5" fmla="*/ 4762500 h 4775200"/>
              <a:gd name="connsiteX6" fmla="*/ 1511300 w 3467100"/>
              <a:gd name="connsiteY6" fmla="*/ 4775200 h 4775200"/>
              <a:gd name="connsiteX7" fmla="*/ 1485900 w 3467100"/>
              <a:gd name="connsiteY7" fmla="*/ 3479800 h 4775200"/>
              <a:gd name="connsiteX8" fmla="*/ 1587500 w 3467100"/>
              <a:gd name="connsiteY8" fmla="*/ 3467100 h 4775200"/>
              <a:gd name="connsiteX9" fmla="*/ 1524000 w 3467100"/>
              <a:gd name="connsiteY9" fmla="*/ 2832100 h 4775200"/>
              <a:gd name="connsiteX10" fmla="*/ 1435100 w 3467100"/>
              <a:gd name="connsiteY10" fmla="*/ 2806700 h 4775200"/>
              <a:gd name="connsiteX11" fmla="*/ 1397000 w 3467100"/>
              <a:gd name="connsiteY11" fmla="*/ 1663700 h 4775200"/>
              <a:gd name="connsiteX12" fmla="*/ 1574800 w 3467100"/>
              <a:gd name="connsiteY12" fmla="*/ 1663700 h 4775200"/>
              <a:gd name="connsiteX13" fmla="*/ 1574800 w 3467100"/>
              <a:gd name="connsiteY13" fmla="*/ 1384300 h 4775200"/>
              <a:gd name="connsiteX14" fmla="*/ 3454400 w 3467100"/>
              <a:gd name="connsiteY14" fmla="*/ 1346200 h 4775200"/>
              <a:gd name="connsiteX15" fmla="*/ 3467100 w 3467100"/>
              <a:gd name="connsiteY15" fmla="*/ 12700 h 4775200"/>
              <a:gd name="connsiteX16" fmla="*/ 241300 w 3467100"/>
              <a:gd name="connsiteY16" fmla="*/ 0 h 4775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3467100" h="4775200">
                <a:moveTo>
                  <a:pt x="241300" y="0"/>
                </a:moveTo>
                <a:lnTo>
                  <a:pt x="241300" y="711200"/>
                </a:lnTo>
                <a:lnTo>
                  <a:pt x="533400" y="698500"/>
                </a:lnTo>
                <a:lnTo>
                  <a:pt x="533400" y="1016000"/>
                </a:lnTo>
                <a:lnTo>
                  <a:pt x="0" y="1016000"/>
                </a:lnTo>
                <a:lnTo>
                  <a:pt x="25400" y="4762500"/>
                </a:lnTo>
                <a:lnTo>
                  <a:pt x="1511300" y="4775200"/>
                </a:lnTo>
                <a:lnTo>
                  <a:pt x="1485900" y="3479800"/>
                </a:lnTo>
                <a:lnTo>
                  <a:pt x="1587500" y="3467100"/>
                </a:lnTo>
                <a:lnTo>
                  <a:pt x="1524000" y="2832100"/>
                </a:lnTo>
                <a:lnTo>
                  <a:pt x="1435100" y="2806700"/>
                </a:lnTo>
                <a:lnTo>
                  <a:pt x="1397000" y="1663700"/>
                </a:lnTo>
                <a:lnTo>
                  <a:pt x="1574800" y="1663700"/>
                </a:lnTo>
                <a:lnTo>
                  <a:pt x="1574800" y="1384300"/>
                </a:lnTo>
                <a:lnTo>
                  <a:pt x="3454400" y="1346200"/>
                </a:lnTo>
                <a:lnTo>
                  <a:pt x="3467100" y="12700"/>
                </a:lnTo>
                <a:lnTo>
                  <a:pt x="241300" y="0"/>
                </a:lnTo>
                <a:close/>
              </a:path>
            </a:pathLst>
          </a:cu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xdr:from>
      <xdr:col>2</xdr:col>
      <xdr:colOff>114300</xdr:colOff>
      <xdr:row>334</xdr:row>
      <xdr:rowOff>133350</xdr:rowOff>
    </xdr:from>
    <xdr:to>
      <xdr:col>5</xdr:col>
      <xdr:colOff>733425</xdr:colOff>
      <xdr:row>348</xdr:row>
      <xdr:rowOff>161925</xdr:rowOff>
    </xdr:to>
    <xdr:grpSp>
      <xdr:nvGrpSpPr>
        <xdr:cNvPr id="65" name="Group 64">
          <a:extLst>
            <a:ext uri="{FF2B5EF4-FFF2-40B4-BE49-F238E27FC236}">
              <a16:creationId xmlns="" xmlns:a16="http://schemas.microsoft.com/office/drawing/2014/main" id="{00000000-0008-0000-0000-000041000000}"/>
            </a:ext>
          </a:extLst>
        </xdr:cNvPr>
        <xdr:cNvGrpSpPr/>
      </xdr:nvGrpSpPr>
      <xdr:grpSpPr>
        <a:xfrm>
          <a:off x="1676400" y="57559575"/>
          <a:ext cx="3162300" cy="2828925"/>
          <a:chOff x="1847850" y="3157537"/>
          <a:chExt cx="3162300" cy="2828925"/>
        </a:xfrm>
      </xdr:grpSpPr>
      <xdr:grpSp>
        <xdr:nvGrpSpPr>
          <xdr:cNvPr id="66" name="Group 65">
            <a:extLst>
              <a:ext uri="{FF2B5EF4-FFF2-40B4-BE49-F238E27FC236}">
                <a16:creationId xmlns="" xmlns:a16="http://schemas.microsoft.com/office/drawing/2014/main" id="{00000000-0008-0000-0000-000042000000}"/>
              </a:ext>
            </a:extLst>
          </xdr:cNvPr>
          <xdr:cNvGrpSpPr/>
        </xdr:nvGrpSpPr>
        <xdr:grpSpPr>
          <a:xfrm>
            <a:off x="1847850" y="3157537"/>
            <a:ext cx="3162300" cy="2828925"/>
            <a:chOff x="0" y="0"/>
            <a:chExt cx="3162300" cy="2828925"/>
          </a:xfrm>
        </xdr:grpSpPr>
        <xdr:pic>
          <xdr:nvPicPr>
            <xdr:cNvPr id="70" name="Picture 69">
              <a:extLst>
                <a:ext uri="{FF2B5EF4-FFF2-40B4-BE49-F238E27FC236}">
                  <a16:creationId xmlns="" xmlns:a16="http://schemas.microsoft.com/office/drawing/2014/main" id="{00000000-0008-0000-0000-000046000000}"/>
                </a:ext>
              </a:extLst>
            </xdr:cNvPr>
            <xdr:cNvPicPr>
              <a:picLocks noChangeAspect="1"/>
            </xdr:cNvPicPr>
          </xdr:nvPicPr>
          <xdr:blipFill>
            <a:blip xmlns:r="http://schemas.openxmlformats.org/officeDocument/2006/relationships" r:embed="rId8"/>
            <a:stretch>
              <a:fillRect/>
            </a:stretch>
          </xdr:blipFill>
          <xdr:spPr>
            <a:xfrm>
              <a:off x="0" y="0"/>
              <a:ext cx="3162300" cy="2828925"/>
            </a:xfrm>
            <a:prstGeom prst="rect">
              <a:avLst/>
            </a:prstGeom>
            <a:ln>
              <a:solidFill>
                <a:schemeClr val="tx1"/>
              </a:solidFill>
            </a:ln>
          </xdr:spPr>
        </xdr:pic>
        <xdr:pic>
          <xdr:nvPicPr>
            <xdr:cNvPr id="71" name="Picture 70">
              <a:extLst>
                <a:ext uri="{FF2B5EF4-FFF2-40B4-BE49-F238E27FC236}">
                  <a16:creationId xmlns="" xmlns:a16="http://schemas.microsoft.com/office/drawing/2014/main" id="{00000000-0008-0000-0000-000047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2716575" y="84110"/>
              <a:ext cx="360000" cy="347219"/>
            </a:xfrm>
            <a:prstGeom prst="rect">
              <a:avLst/>
            </a:prstGeom>
          </xdr:spPr>
        </xdr:pic>
      </xdr:grpSp>
      <xdr:sp macro="" textlink="">
        <xdr:nvSpPr>
          <xdr:cNvPr id="67" name="TextBox 141">
            <a:extLst>
              <a:ext uri="{FF2B5EF4-FFF2-40B4-BE49-F238E27FC236}">
                <a16:creationId xmlns="" xmlns:a16="http://schemas.microsoft.com/office/drawing/2014/main" id="{00000000-0008-0000-0000-000043000000}"/>
              </a:ext>
            </a:extLst>
          </xdr:cNvPr>
          <xdr:cNvSpPr txBox="1"/>
        </xdr:nvSpPr>
        <xdr:spPr>
          <a:xfrm>
            <a:off x="2176537" y="3823735"/>
            <a:ext cx="715026" cy="21544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b="1">
                <a:solidFill>
                  <a:srgbClr val="FF0000"/>
                </a:solidFill>
              </a:rPr>
              <a:t>Wing F &amp; G </a:t>
            </a:r>
            <a:endParaRPr lang="en-IN" sz="800" b="1">
              <a:solidFill>
                <a:srgbClr val="FF0000"/>
              </a:solidFill>
            </a:endParaRPr>
          </a:p>
        </xdr:txBody>
      </xdr:sp>
      <xdr:sp macro="" textlink="">
        <xdr:nvSpPr>
          <xdr:cNvPr id="68" name="TextBox 142">
            <a:extLst>
              <a:ext uri="{FF2B5EF4-FFF2-40B4-BE49-F238E27FC236}">
                <a16:creationId xmlns="" xmlns:a16="http://schemas.microsoft.com/office/drawing/2014/main" id="{00000000-0008-0000-0000-000044000000}"/>
              </a:ext>
            </a:extLst>
          </xdr:cNvPr>
          <xdr:cNvSpPr txBox="1"/>
        </xdr:nvSpPr>
        <xdr:spPr>
          <a:xfrm>
            <a:off x="3362649" y="3542686"/>
            <a:ext cx="715026" cy="21544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b="1">
                <a:solidFill>
                  <a:srgbClr val="FF0000"/>
                </a:solidFill>
              </a:rPr>
              <a:t>Wing D &amp; E </a:t>
            </a:r>
            <a:endParaRPr lang="en-IN" sz="800" b="1">
              <a:solidFill>
                <a:srgbClr val="FF0000"/>
              </a:solidFill>
            </a:endParaRPr>
          </a:p>
        </xdr:txBody>
      </xdr:sp>
      <xdr:sp macro="" textlink="">
        <xdr:nvSpPr>
          <xdr:cNvPr id="69" name="TextBox 143">
            <a:extLst>
              <a:ext uri="{FF2B5EF4-FFF2-40B4-BE49-F238E27FC236}">
                <a16:creationId xmlns="" xmlns:a16="http://schemas.microsoft.com/office/drawing/2014/main" id="{00000000-0008-0000-0000-000045000000}"/>
              </a:ext>
            </a:extLst>
          </xdr:cNvPr>
          <xdr:cNvSpPr txBox="1"/>
        </xdr:nvSpPr>
        <xdr:spPr>
          <a:xfrm rot="838091">
            <a:off x="3284350" y="3903687"/>
            <a:ext cx="813279" cy="21544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b="1">
                <a:solidFill>
                  <a:srgbClr val="FF0000"/>
                </a:solidFill>
              </a:rPr>
              <a:t>Wing A, B &amp; C </a:t>
            </a:r>
            <a:endParaRPr lang="en-IN" sz="800" b="1">
              <a:solidFill>
                <a:srgbClr val="FF0000"/>
              </a:solidFill>
            </a:endParaRPr>
          </a:p>
        </xdr:txBody>
      </xdr:sp>
    </xdr:grpSp>
    <xdr:clientData/>
  </xdr:twoCellAnchor>
  <xdr:twoCellAnchor>
    <xdr:from>
      <xdr:col>10</xdr:col>
      <xdr:colOff>400050</xdr:colOff>
      <xdr:row>191</xdr:row>
      <xdr:rowOff>76200</xdr:rowOff>
    </xdr:from>
    <xdr:to>
      <xdr:col>11</xdr:col>
      <xdr:colOff>581025</xdr:colOff>
      <xdr:row>193</xdr:row>
      <xdr:rowOff>0</xdr:rowOff>
    </xdr:to>
    <xdr:sp macro="" textlink="">
      <xdr:nvSpPr>
        <xdr:cNvPr id="74" name="TextBox 68">
          <a:extLst>
            <a:ext uri="{FF2B5EF4-FFF2-40B4-BE49-F238E27FC236}">
              <a16:creationId xmlns="" xmlns:a16="http://schemas.microsoft.com/office/drawing/2014/main" id="{00000000-0008-0000-0000-00004A000000}"/>
            </a:ext>
          </a:extLst>
        </xdr:cNvPr>
        <xdr:cNvSpPr txBox="1"/>
      </xdr:nvSpPr>
      <xdr:spPr>
        <a:xfrm>
          <a:off x="8632371" y="34461450"/>
          <a:ext cx="929368" cy="377496"/>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baseline="0">
              <a:solidFill>
                <a:srgbClr val="FF0000"/>
              </a:solidFill>
            </a:rPr>
            <a:t>G Wing</a:t>
          </a:r>
          <a:endParaRPr lang="en-IN" b="1">
            <a:solidFill>
              <a:srgbClr val="FF0000"/>
            </a:solidFill>
          </a:endParaRPr>
        </a:p>
      </xdr:txBody>
    </xdr:sp>
    <xdr:clientData/>
  </xdr:twoCellAnchor>
  <xdr:twoCellAnchor editAs="oneCell">
    <xdr:from>
      <xdr:col>12</xdr:col>
      <xdr:colOff>687800</xdr:colOff>
      <xdr:row>150</xdr:row>
      <xdr:rowOff>559095</xdr:rowOff>
    </xdr:from>
    <xdr:to>
      <xdr:col>18</xdr:col>
      <xdr:colOff>341025</xdr:colOff>
      <xdr:row>177</xdr:row>
      <xdr:rowOff>80123</xdr:rowOff>
    </xdr:to>
    <xdr:pic>
      <xdr:nvPicPr>
        <xdr:cNvPr id="22" name="Picture 21">
          <a:extLst>
            <a:ext uri="{FF2B5EF4-FFF2-40B4-BE49-F238E27FC236}">
              <a16:creationId xmlns="" xmlns:a16="http://schemas.microsoft.com/office/drawing/2014/main" id="{00000000-0008-0000-0000-000016000000}"/>
            </a:ext>
          </a:extLst>
        </xdr:cNvPr>
        <xdr:cNvPicPr>
          <a:picLocks noChangeAspect="1"/>
        </xdr:cNvPicPr>
      </xdr:nvPicPr>
      <xdr:blipFill>
        <a:blip xmlns:r="http://schemas.openxmlformats.org/officeDocument/2006/relationships" r:embed="rId10"/>
        <a:stretch>
          <a:fillRect/>
        </a:stretch>
      </xdr:blipFill>
      <xdr:spPr>
        <a:xfrm>
          <a:off x="10593800" y="24507666"/>
          <a:ext cx="4102761" cy="5854754"/>
        </a:xfrm>
        <a:prstGeom prst="rect">
          <a:avLst/>
        </a:prstGeom>
        <a:ln>
          <a:solidFill>
            <a:schemeClr val="tx1"/>
          </a:solidFill>
        </a:ln>
      </xdr:spPr>
    </xdr:pic>
    <xdr:clientData/>
  </xdr:twoCellAnchor>
  <xdr:twoCellAnchor editAs="oneCell">
    <xdr:from>
      <xdr:col>8</xdr:col>
      <xdr:colOff>1085850</xdr:colOff>
      <xdr:row>59</xdr:row>
      <xdr:rowOff>133350</xdr:rowOff>
    </xdr:from>
    <xdr:to>
      <xdr:col>13</xdr:col>
      <xdr:colOff>313873</xdr:colOff>
      <xdr:row>61</xdr:row>
      <xdr:rowOff>190443</xdr:rowOff>
    </xdr:to>
    <xdr:pic>
      <xdr:nvPicPr>
        <xdr:cNvPr id="45" name="Picture 44">
          <a:extLst>
            <a:ext uri="{FF2B5EF4-FFF2-40B4-BE49-F238E27FC236}">
              <a16:creationId xmlns="" xmlns:a16="http://schemas.microsoft.com/office/drawing/2014/main" id="{00000000-0008-0000-0000-00002D000000}"/>
            </a:ext>
          </a:extLst>
        </xdr:cNvPr>
        <xdr:cNvPicPr>
          <a:picLocks noChangeAspect="1"/>
        </xdr:cNvPicPr>
      </xdr:nvPicPr>
      <xdr:blipFill>
        <a:blip xmlns:r="http://schemas.openxmlformats.org/officeDocument/2006/relationships" r:embed="rId11"/>
        <a:stretch>
          <a:fillRect/>
        </a:stretch>
      </xdr:blipFill>
      <xdr:spPr>
        <a:xfrm>
          <a:off x="7400925" y="13944600"/>
          <a:ext cx="3619048" cy="457143"/>
        </a:xfrm>
        <a:prstGeom prst="rect">
          <a:avLst/>
        </a:prstGeom>
        <a:ln>
          <a:solidFill>
            <a:schemeClr val="tx1"/>
          </a:solidFill>
        </a:ln>
      </xdr:spPr>
    </xdr:pic>
    <xdr:clientData/>
  </xdr:twoCellAnchor>
  <xdr:twoCellAnchor editAs="oneCell">
    <xdr:from>
      <xdr:col>8</xdr:col>
      <xdr:colOff>828675</xdr:colOff>
      <xdr:row>64</xdr:row>
      <xdr:rowOff>85725</xdr:rowOff>
    </xdr:from>
    <xdr:to>
      <xdr:col>15</xdr:col>
      <xdr:colOff>570777</xdr:colOff>
      <xdr:row>73</xdr:row>
      <xdr:rowOff>123615</xdr:rowOff>
    </xdr:to>
    <xdr:pic>
      <xdr:nvPicPr>
        <xdr:cNvPr id="46" name="Picture 45">
          <a:extLst>
            <a:ext uri="{FF2B5EF4-FFF2-40B4-BE49-F238E27FC236}">
              <a16:creationId xmlns="" xmlns:a16="http://schemas.microsoft.com/office/drawing/2014/main" id="{00000000-0008-0000-0000-00002E000000}"/>
            </a:ext>
          </a:extLst>
        </xdr:cNvPr>
        <xdr:cNvPicPr>
          <a:picLocks noChangeAspect="1"/>
        </xdr:cNvPicPr>
      </xdr:nvPicPr>
      <xdr:blipFill>
        <a:blip xmlns:r="http://schemas.openxmlformats.org/officeDocument/2006/relationships" r:embed="rId12"/>
        <a:stretch>
          <a:fillRect/>
        </a:stretch>
      </xdr:blipFill>
      <xdr:spPr>
        <a:xfrm>
          <a:off x="7143750" y="15049500"/>
          <a:ext cx="5780952" cy="1676190"/>
        </a:xfrm>
        <a:prstGeom prst="rect">
          <a:avLst/>
        </a:prstGeom>
        <a:ln>
          <a:solidFill>
            <a:schemeClr val="tx1"/>
          </a:solidFill>
        </a:ln>
      </xdr:spPr>
    </xdr:pic>
    <xdr:clientData/>
  </xdr:twoCellAnchor>
  <xdr:twoCellAnchor>
    <xdr:from>
      <xdr:col>0</xdr:col>
      <xdr:colOff>228600</xdr:colOff>
      <xdr:row>266</xdr:row>
      <xdr:rowOff>44450</xdr:rowOff>
    </xdr:from>
    <xdr:to>
      <xdr:col>7</xdr:col>
      <xdr:colOff>565447</xdr:colOff>
      <xdr:row>289</xdr:row>
      <xdr:rowOff>157594</xdr:rowOff>
    </xdr:to>
    <xdr:grpSp>
      <xdr:nvGrpSpPr>
        <xdr:cNvPr id="8" name="Group 7"/>
        <xdr:cNvGrpSpPr/>
      </xdr:nvGrpSpPr>
      <xdr:grpSpPr>
        <a:xfrm>
          <a:off x="228600" y="43878500"/>
          <a:ext cx="5918497" cy="4704194"/>
          <a:chOff x="228600" y="44399200"/>
          <a:chExt cx="6191547" cy="4634344"/>
        </a:xfrm>
      </xdr:grpSpPr>
      <xdr:pic>
        <xdr:nvPicPr>
          <xdr:cNvPr id="80" name="Picture 79"/>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3398946" y="46765544"/>
            <a:ext cx="3021201" cy="2268000"/>
          </a:xfrm>
          <a:prstGeom prst="rect">
            <a:avLst/>
          </a:prstGeom>
          <a:ln>
            <a:solidFill>
              <a:schemeClr val="tx1"/>
            </a:solidFill>
          </a:ln>
        </xdr:spPr>
      </xdr:pic>
      <xdr:pic>
        <xdr:nvPicPr>
          <xdr:cNvPr id="81" name="Picture 80"/>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228600" y="44399200"/>
            <a:ext cx="3024000" cy="2268000"/>
          </a:xfrm>
          <a:prstGeom prst="rect">
            <a:avLst/>
          </a:prstGeom>
          <a:ln>
            <a:solidFill>
              <a:schemeClr val="tx1"/>
            </a:solidFill>
          </a:ln>
        </xdr:spPr>
      </xdr:pic>
      <xdr:pic>
        <xdr:nvPicPr>
          <xdr:cNvPr id="82" name="Picture 81"/>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3396147" y="44399200"/>
            <a:ext cx="3024000" cy="2268000"/>
          </a:xfrm>
          <a:prstGeom prst="rect">
            <a:avLst/>
          </a:prstGeom>
          <a:ln>
            <a:solidFill>
              <a:schemeClr val="tx1"/>
            </a:solidFill>
          </a:ln>
        </xdr:spPr>
      </xdr:pic>
      <xdr:pic>
        <xdr:nvPicPr>
          <xdr:cNvPr id="83" name="Picture 82"/>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231399" y="46765544"/>
            <a:ext cx="3021201" cy="2268000"/>
          </a:xfrm>
          <a:prstGeom prst="rect">
            <a:avLst/>
          </a:prstGeom>
          <a:ln>
            <a:solidFill>
              <a:schemeClr val="tx1"/>
            </a:solidFill>
          </a:ln>
        </xdr:spPr>
      </xdr:pic>
    </xdr:grpSp>
    <xdr:clientData/>
  </xdr:twoCellAnchor>
  <xdr:twoCellAnchor editAs="oneCell">
    <xdr:from>
      <xdr:col>8</xdr:col>
      <xdr:colOff>647700</xdr:colOff>
      <xdr:row>48</xdr:row>
      <xdr:rowOff>38100</xdr:rowOff>
    </xdr:from>
    <xdr:to>
      <xdr:col>13</xdr:col>
      <xdr:colOff>818580</xdr:colOff>
      <xdr:row>51</xdr:row>
      <xdr:rowOff>3658</xdr:rowOff>
    </xdr:to>
    <xdr:pic>
      <xdr:nvPicPr>
        <xdr:cNvPr id="9" name="Picture 8"/>
        <xdr:cNvPicPr>
          <a:picLocks noChangeAspect="1"/>
        </xdr:cNvPicPr>
      </xdr:nvPicPr>
      <xdr:blipFill>
        <a:blip xmlns:r="http://schemas.openxmlformats.org/officeDocument/2006/relationships" r:embed="rId17"/>
        <a:stretch>
          <a:fillRect/>
        </a:stretch>
      </xdr:blipFill>
      <xdr:spPr>
        <a:xfrm>
          <a:off x="6962775" y="10648950"/>
          <a:ext cx="4561905" cy="2114286"/>
        </a:xfrm>
        <a:prstGeom prst="rect">
          <a:avLst/>
        </a:prstGeom>
      </xdr:spPr>
    </xdr:pic>
    <xdr:clientData/>
  </xdr:twoCellAnchor>
  <xdr:twoCellAnchor editAs="oneCell">
    <xdr:from>
      <xdr:col>10</xdr:col>
      <xdr:colOff>133350</xdr:colOff>
      <xdr:row>48</xdr:row>
      <xdr:rowOff>4783</xdr:rowOff>
    </xdr:from>
    <xdr:to>
      <xdr:col>16</xdr:col>
      <xdr:colOff>18194</xdr:colOff>
      <xdr:row>51</xdr:row>
      <xdr:rowOff>66279</xdr:rowOff>
    </xdr:to>
    <xdr:pic>
      <xdr:nvPicPr>
        <xdr:cNvPr id="10" name="Picture 9"/>
        <xdr:cNvPicPr>
          <a:picLocks noChangeAspect="1"/>
        </xdr:cNvPicPr>
      </xdr:nvPicPr>
      <xdr:blipFill>
        <a:blip xmlns:r="http://schemas.openxmlformats.org/officeDocument/2006/relationships" r:embed="rId18"/>
        <a:stretch>
          <a:fillRect/>
        </a:stretch>
      </xdr:blipFill>
      <xdr:spPr>
        <a:xfrm>
          <a:off x="8372475" y="10615633"/>
          <a:ext cx="4780694" cy="2214146"/>
        </a:xfrm>
        <a:prstGeom prst="rect">
          <a:avLst/>
        </a:prstGeom>
      </xdr:spPr>
    </xdr:pic>
    <xdr:clientData/>
  </xdr:twoCellAnchor>
  <xdr:twoCellAnchor editAs="oneCell">
    <xdr:from>
      <xdr:col>8</xdr:col>
      <xdr:colOff>714375</xdr:colOff>
      <xdr:row>51</xdr:row>
      <xdr:rowOff>241701</xdr:rowOff>
    </xdr:from>
    <xdr:to>
      <xdr:col>14</xdr:col>
      <xdr:colOff>656377</xdr:colOff>
      <xdr:row>52</xdr:row>
      <xdr:rowOff>200025</xdr:rowOff>
    </xdr:to>
    <xdr:pic>
      <xdr:nvPicPr>
        <xdr:cNvPr id="48" name="Picture 47"/>
        <xdr:cNvPicPr>
          <a:picLocks noChangeAspect="1"/>
        </xdr:cNvPicPr>
      </xdr:nvPicPr>
      <xdr:blipFill>
        <a:blip xmlns:r="http://schemas.openxmlformats.org/officeDocument/2006/relationships" r:embed="rId19"/>
        <a:stretch>
          <a:fillRect/>
        </a:stretch>
      </xdr:blipFill>
      <xdr:spPr>
        <a:xfrm>
          <a:off x="7029450" y="13005201"/>
          <a:ext cx="5171227" cy="596400"/>
        </a:xfrm>
        <a:prstGeom prst="rect">
          <a:avLst/>
        </a:prstGeom>
      </xdr:spPr>
    </xdr:pic>
    <xdr:clientData/>
  </xdr:twoCellAnchor>
  <xdr:twoCellAnchor editAs="oneCell">
    <xdr:from>
      <xdr:col>9</xdr:col>
      <xdr:colOff>361951</xdr:colOff>
      <xdr:row>151</xdr:row>
      <xdr:rowOff>190011</xdr:rowOff>
    </xdr:from>
    <xdr:to>
      <xdr:col>12</xdr:col>
      <xdr:colOff>304801</xdr:colOff>
      <xdr:row>163</xdr:row>
      <xdr:rowOff>199536</xdr:rowOff>
    </xdr:to>
    <xdr:pic>
      <xdr:nvPicPr>
        <xdr:cNvPr id="3" name="Picture 2"/>
        <xdr:cNvPicPr>
          <a:picLocks noChangeAspect="1"/>
        </xdr:cNvPicPr>
      </xdr:nvPicPr>
      <xdr:blipFill>
        <a:blip xmlns:r="http://schemas.openxmlformats.org/officeDocument/2006/relationships" r:embed="rId20"/>
        <a:stretch>
          <a:fillRect/>
        </a:stretch>
      </xdr:blipFill>
      <xdr:spPr>
        <a:xfrm>
          <a:off x="7839076" y="24278736"/>
          <a:ext cx="2381250" cy="2609850"/>
        </a:xfrm>
        <a:prstGeom prst="rect">
          <a:avLst/>
        </a:prstGeom>
      </xdr:spPr>
    </xdr:pic>
    <xdr:clientData/>
  </xdr:twoCellAnchor>
  <xdr:twoCellAnchor editAs="oneCell">
    <xdr:from>
      <xdr:col>8</xdr:col>
      <xdr:colOff>533400</xdr:colOff>
      <xdr:row>53</xdr:row>
      <xdr:rowOff>57150</xdr:rowOff>
    </xdr:from>
    <xdr:to>
      <xdr:col>15</xdr:col>
      <xdr:colOff>27883</xdr:colOff>
      <xdr:row>56</xdr:row>
      <xdr:rowOff>333215</xdr:rowOff>
    </xdr:to>
    <xdr:pic>
      <xdr:nvPicPr>
        <xdr:cNvPr id="5" name="Picture 4"/>
        <xdr:cNvPicPr>
          <a:picLocks noChangeAspect="1"/>
        </xdr:cNvPicPr>
      </xdr:nvPicPr>
      <xdr:blipFill>
        <a:blip xmlns:r="http://schemas.openxmlformats.org/officeDocument/2006/relationships" r:embed="rId21"/>
        <a:stretch>
          <a:fillRect/>
        </a:stretch>
      </xdr:blipFill>
      <xdr:spPr>
        <a:xfrm>
          <a:off x="6848475" y="13868400"/>
          <a:ext cx="5533333" cy="12761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www.lodhagroup.in/projects/campaigns/lodha-crown-dombivli/" TargetMode="External"/><Relationship Id="rId1" Type="http://schemas.openxmlformats.org/officeDocument/2006/relationships/hyperlink" Target="https://maps.app.goo.gl/SkQshhxdDWeLMWi17"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51"/>
  <sheetViews>
    <sheetView tabSelected="1" view="pageBreakPreview" zoomScaleNormal="100" zoomScaleSheetLayoutView="100" zoomScalePageLayoutView="85" workbookViewId="0">
      <selection activeCell="I13" sqref="I13"/>
    </sheetView>
  </sheetViews>
  <sheetFormatPr defaultColWidth="9.140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140625" style="40" customWidth="1"/>
    <col min="7" max="8" width="11" style="40" customWidth="1"/>
    <col min="9" max="9" width="17.42578125" style="21" customWidth="1"/>
    <col min="10" max="10" width="11.42578125" style="21" customWidth="1"/>
    <col min="11" max="11" width="11.285156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3">
      <c r="A1" s="202" t="s">
        <v>163</v>
      </c>
      <c r="B1" s="202"/>
      <c r="C1" s="202"/>
      <c r="D1" s="202"/>
      <c r="E1" s="202"/>
      <c r="F1" s="202"/>
      <c r="G1" s="202"/>
      <c r="H1" s="202"/>
      <c r="I1" s="96" t="s">
        <v>392</v>
      </c>
    </row>
    <row r="2" spans="1:26" ht="16.5" customHeight="1" x14ac:dyDescent="0.25">
      <c r="A2" s="203" t="s">
        <v>0</v>
      </c>
      <c r="B2" s="203"/>
      <c r="C2" s="203"/>
      <c r="D2" s="203"/>
      <c r="E2" s="203"/>
      <c r="F2" s="203"/>
      <c r="G2" s="203"/>
      <c r="H2" s="203"/>
    </row>
    <row r="3" spans="1:26" x14ac:dyDescent="0.25">
      <c r="A3" s="204" t="s">
        <v>1</v>
      </c>
      <c r="B3" s="204"/>
      <c r="C3" s="204"/>
      <c r="D3" s="204"/>
      <c r="E3" s="204" t="str">
        <f ca="1">TEXT(TODAY(),"DD/MM/YYYY")</f>
        <v>03/10/2025</v>
      </c>
      <c r="F3" s="204"/>
      <c r="G3" s="204"/>
      <c r="H3" s="204"/>
      <c r="K3" s="56" t="s">
        <v>234</v>
      </c>
      <c r="L3" s="53" t="s">
        <v>232</v>
      </c>
      <c r="M3" s="53" t="s">
        <v>237</v>
      </c>
      <c r="N3" s="53" t="s">
        <v>235</v>
      </c>
      <c r="O3" s="53" t="s">
        <v>340</v>
      </c>
      <c r="P3" s="53" t="s">
        <v>238</v>
      </c>
    </row>
    <row r="4" spans="1:26" ht="15" customHeight="1" x14ac:dyDescent="0.25">
      <c r="A4" s="204" t="s">
        <v>231</v>
      </c>
      <c r="B4" s="204"/>
      <c r="C4" s="204"/>
      <c r="D4" s="204"/>
      <c r="E4" s="157" t="s">
        <v>232</v>
      </c>
      <c r="F4" s="157"/>
      <c r="G4" s="157"/>
      <c r="H4" s="157"/>
      <c r="K4" s="52" t="s">
        <v>233</v>
      </c>
      <c r="L4" s="53" t="s">
        <v>170</v>
      </c>
      <c r="M4" s="53" t="s">
        <v>242</v>
      </c>
      <c r="N4" s="53" t="s">
        <v>244</v>
      </c>
      <c r="O4" s="53" t="s">
        <v>341</v>
      </c>
      <c r="P4" s="53"/>
    </row>
    <row r="5" spans="1:26" ht="15" customHeight="1" x14ac:dyDescent="0.25">
      <c r="A5" s="204" t="s">
        <v>2</v>
      </c>
      <c r="B5" s="204"/>
      <c r="C5" s="204"/>
      <c r="D5" s="204"/>
      <c r="E5" s="157" t="s">
        <v>239</v>
      </c>
      <c r="F5" s="157"/>
      <c r="G5" s="157"/>
      <c r="H5" s="157"/>
      <c r="K5" s="52"/>
      <c r="L5" s="53" t="s">
        <v>239</v>
      </c>
      <c r="M5" s="53" t="s">
        <v>243</v>
      </c>
      <c r="N5" s="53" t="s">
        <v>245</v>
      </c>
      <c r="O5" s="53" t="s">
        <v>342</v>
      </c>
      <c r="P5" s="53"/>
    </row>
    <row r="6" spans="1:26" x14ac:dyDescent="0.25">
      <c r="A6" s="204" t="s">
        <v>3</v>
      </c>
      <c r="B6" s="204"/>
      <c r="C6" s="204"/>
      <c r="D6" s="204"/>
      <c r="E6" s="206">
        <v>45845</v>
      </c>
      <c r="F6" s="204"/>
      <c r="G6" s="204"/>
      <c r="H6" s="204"/>
      <c r="K6" s="52"/>
      <c r="L6" s="53" t="s">
        <v>240</v>
      </c>
      <c r="M6" s="53"/>
      <c r="N6" s="53"/>
      <c r="O6" s="53" t="s">
        <v>343</v>
      </c>
      <c r="P6" s="53"/>
    </row>
    <row r="7" spans="1:26" ht="16.5" customHeight="1" x14ac:dyDescent="0.25">
      <c r="A7" s="204" t="s">
        <v>4</v>
      </c>
      <c r="B7" s="204"/>
      <c r="C7" s="204"/>
      <c r="D7" s="204"/>
      <c r="E7" s="204" t="s">
        <v>357</v>
      </c>
      <c r="F7" s="204"/>
      <c r="G7" s="204"/>
      <c r="H7" s="204"/>
      <c r="K7" s="52"/>
      <c r="L7" s="53" t="s">
        <v>241</v>
      </c>
      <c r="M7" s="53"/>
      <c r="N7" s="53"/>
      <c r="O7" s="53" t="s">
        <v>343</v>
      </c>
      <c r="P7" s="53"/>
    </row>
    <row r="8" spans="1:26" ht="15" customHeight="1" x14ac:dyDescent="0.25">
      <c r="A8" s="204" t="s">
        <v>5</v>
      </c>
      <c r="B8" s="204"/>
      <c r="C8" s="204"/>
      <c r="D8" s="204"/>
      <c r="E8" s="204" t="str">
        <f>E7</f>
        <v>Macrotech Developers Limited</v>
      </c>
      <c r="F8" s="204"/>
      <c r="G8" s="204"/>
      <c r="H8" s="204"/>
      <c r="K8" s="52"/>
      <c r="L8" s="53"/>
      <c r="M8" s="53"/>
      <c r="N8" s="53"/>
      <c r="O8" s="53" t="s">
        <v>344</v>
      </c>
      <c r="P8" s="53"/>
    </row>
    <row r="9" spans="1:26" x14ac:dyDescent="0.25">
      <c r="A9" s="204" t="s">
        <v>6</v>
      </c>
      <c r="B9" s="204"/>
      <c r="C9" s="204"/>
      <c r="D9" s="204"/>
      <c r="E9" s="205" t="s">
        <v>356</v>
      </c>
      <c r="F9" s="205"/>
      <c r="G9" s="205"/>
      <c r="H9" s="205"/>
      <c r="K9" s="52"/>
      <c r="L9" s="53"/>
      <c r="M9" s="53"/>
      <c r="N9" s="53"/>
      <c r="O9" s="53" t="s">
        <v>345</v>
      </c>
      <c r="P9" s="53"/>
    </row>
    <row r="10" spans="1:26" x14ac:dyDescent="0.25">
      <c r="A10" s="204" t="s">
        <v>166</v>
      </c>
      <c r="B10" s="204"/>
      <c r="C10" s="204"/>
      <c r="D10" s="204"/>
      <c r="E10" s="204" t="s">
        <v>358</v>
      </c>
      <c r="F10" s="204"/>
      <c r="G10" s="204"/>
      <c r="H10" s="204"/>
      <c r="K10" s="52"/>
      <c r="L10" s="53"/>
      <c r="M10" s="53"/>
      <c r="N10" s="53"/>
      <c r="O10" s="53" t="s">
        <v>346</v>
      </c>
      <c r="P10" s="53"/>
    </row>
    <row r="11" spans="1:26" hidden="1" x14ac:dyDescent="0.25">
      <c r="A11" s="204" t="s">
        <v>167</v>
      </c>
      <c r="B11" s="204"/>
      <c r="C11" s="204"/>
      <c r="D11" s="204"/>
      <c r="E11" s="204" t="s">
        <v>358</v>
      </c>
      <c r="F11" s="204"/>
      <c r="G11" s="204"/>
      <c r="H11" s="204"/>
      <c r="O11" s="53" t="s">
        <v>347</v>
      </c>
    </row>
    <row r="12" spans="1:26" x14ac:dyDescent="0.25">
      <c r="A12" s="204" t="s">
        <v>7</v>
      </c>
      <c r="B12" s="204"/>
      <c r="C12" s="204"/>
      <c r="D12" s="204"/>
      <c r="E12" s="204" t="s">
        <v>400</v>
      </c>
      <c r="F12" s="204"/>
      <c r="G12" s="204"/>
      <c r="H12" s="204"/>
    </row>
    <row r="13" spans="1:26" x14ac:dyDescent="0.25">
      <c r="A13" s="157" t="s">
        <v>171</v>
      </c>
      <c r="B13" s="157"/>
      <c r="C13" s="157"/>
      <c r="D13" s="157"/>
      <c r="E13" s="204" t="s">
        <v>28</v>
      </c>
      <c r="F13" s="204"/>
      <c r="G13" s="204"/>
      <c r="H13" s="204"/>
      <c r="S13" s="53" t="s">
        <v>178</v>
      </c>
      <c r="T13" s="53" t="s">
        <v>187</v>
      </c>
      <c r="U13" s="53" t="s">
        <v>172</v>
      </c>
      <c r="V13" s="53" t="s">
        <v>192</v>
      </c>
      <c r="W13" s="53" t="s">
        <v>210</v>
      </c>
      <c r="X13"/>
      <c r="Y13" t="s">
        <v>192</v>
      </c>
      <c r="Z13" t="e">
        <f ca="1">OFFSET($S$13,1,MATCH($G20,$S$13:$W$13,0)-1,15,1)</f>
        <v>#VALUE!</v>
      </c>
    </row>
    <row r="14" spans="1:26" ht="31.5" customHeight="1" x14ac:dyDescent="0.25">
      <c r="A14" s="135" t="s">
        <v>277</v>
      </c>
      <c r="B14" s="135"/>
      <c r="C14" s="135"/>
      <c r="D14" s="135"/>
      <c r="E14" s="207" t="s">
        <v>422</v>
      </c>
      <c r="F14" s="207"/>
      <c r="G14" s="207"/>
      <c r="H14" s="207"/>
      <c r="S14" s="53" t="s">
        <v>178</v>
      </c>
      <c r="T14" s="53" t="s">
        <v>185</v>
      </c>
      <c r="U14" s="53" t="s">
        <v>207</v>
      </c>
      <c r="V14" s="53" t="s">
        <v>193</v>
      </c>
      <c r="W14" s="53" t="s">
        <v>211</v>
      </c>
      <c r="X14"/>
      <c r="Y14"/>
      <c r="Z14"/>
    </row>
    <row r="15" spans="1:26" x14ac:dyDescent="0.25">
      <c r="A15" s="135" t="s">
        <v>8</v>
      </c>
      <c r="B15" s="135"/>
      <c r="C15" s="135"/>
      <c r="D15" s="135"/>
      <c r="E15" s="207" t="s">
        <v>355</v>
      </c>
      <c r="F15" s="157"/>
      <c r="G15" s="157"/>
      <c r="H15" s="157"/>
      <c r="I15" s="146" t="e">
        <f ca="1">OFFSET($D$5,1,MATCH($J13,$D$5:$H$5,0)-1,15,1)</f>
        <v>#N/A</v>
      </c>
      <c r="J15" s="147"/>
      <c r="K15" s="147"/>
      <c r="L15" s="147"/>
      <c r="M15" s="147"/>
      <c r="N15" s="147"/>
      <c r="O15" s="147"/>
      <c r="P15" s="147"/>
      <c r="S15" s="53" t="s">
        <v>179</v>
      </c>
      <c r="T15" s="53" t="s">
        <v>186</v>
      </c>
      <c r="U15" s="53" t="s">
        <v>208</v>
      </c>
      <c r="V15" s="53" t="s">
        <v>194</v>
      </c>
      <c r="W15" s="53" t="s">
        <v>224</v>
      </c>
      <c r="X15"/>
      <c r="Y15"/>
      <c r="Z15"/>
    </row>
    <row r="16" spans="1:26" ht="48.75" customHeight="1" x14ac:dyDescent="0.25">
      <c r="A16" s="144" t="s">
        <v>9</v>
      </c>
      <c r="B16" s="144"/>
      <c r="C16" s="144" t="str">
        <f>CONCATENATE((IF(OR(E9="",E9="NA"),"",E9)),", ",(IF(OR(A17="",A17="NA"),"",A17)),".",(IF(OR(C17="",C17="NA"),"",C17)),", near ",(IF(OR(C22="",C22="NA"),"",C22)),", ",(IF(OR(C19="",C19="NA"),"",C19)),", ",(IF(OR(C18="",C18="NA"),"",C18)),", ",(IF(OR(G19="",G19="NA"),"",G19)),", ",(IF(OR(C20="",C20="NA"),"",C20)),", ",(IF(OR(C21="",C21="NA"),"",C21)),", ",(IF(OR(G20="",G20="NA"),"",G20))," - ",(IF(OR(G21="",G21="NA"),"",G21)),".")</f>
        <v>Crown Dombivli 4, Survey No.60/7 Part, near Crown Dombivli Ruby Wing D &amp; E, Khoni-Umbarli Gaon- Kalyan Shil Road, Sonarpada, Mangaon, Dombivlli East, Kalyan, Thane - 421203.</v>
      </c>
      <c r="D16" s="144"/>
      <c r="E16" s="144"/>
      <c r="F16" s="144"/>
      <c r="G16" s="144"/>
      <c r="H16" s="144"/>
      <c r="S16" s="53" t="s">
        <v>180</v>
      </c>
      <c r="T16" s="53" t="s">
        <v>188</v>
      </c>
      <c r="U16" s="53" t="s">
        <v>209</v>
      </c>
      <c r="V16" s="53" t="s">
        <v>195</v>
      </c>
      <c r="W16" s="53" t="s">
        <v>212</v>
      </c>
      <c r="X16"/>
      <c r="Y16"/>
      <c r="Z16"/>
    </row>
    <row r="17" spans="1:26" x14ac:dyDescent="0.25">
      <c r="A17" s="207" t="s">
        <v>359</v>
      </c>
      <c r="B17" s="207"/>
      <c r="C17" s="207" t="s">
        <v>360</v>
      </c>
      <c r="D17" s="207"/>
      <c r="E17" s="207"/>
      <c r="F17" s="207"/>
      <c r="G17" s="207"/>
      <c r="H17" s="207"/>
      <c r="I17" s="95" t="s">
        <v>381</v>
      </c>
      <c r="S17" s="53" t="s">
        <v>181</v>
      </c>
      <c r="T17" s="53" t="s">
        <v>189</v>
      </c>
      <c r="U17" s="53" t="s">
        <v>172</v>
      </c>
      <c r="V17" s="53" t="s">
        <v>196</v>
      </c>
      <c r="W17" s="53" t="s">
        <v>213</v>
      </c>
      <c r="X17"/>
      <c r="Y17"/>
      <c r="Z17"/>
    </row>
    <row r="18" spans="1:26" ht="15.75" customHeight="1" x14ac:dyDescent="0.25">
      <c r="A18" s="145" t="s">
        <v>161</v>
      </c>
      <c r="B18" s="145"/>
      <c r="C18" s="145" t="s">
        <v>364</v>
      </c>
      <c r="D18" s="145"/>
      <c r="E18" s="145"/>
      <c r="F18" s="145"/>
      <c r="G18" s="145"/>
      <c r="H18" s="145"/>
      <c r="S18" s="53" t="s">
        <v>182</v>
      </c>
      <c r="T18" s="53" t="s">
        <v>187</v>
      </c>
      <c r="U18" s="53"/>
      <c r="V18" s="53" t="s">
        <v>197</v>
      </c>
      <c r="W18" s="53" t="s">
        <v>214</v>
      </c>
      <c r="X18"/>
      <c r="Y18"/>
      <c r="Z18"/>
    </row>
    <row r="19" spans="1:26" ht="31.5" customHeight="1" x14ac:dyDescent="0.25">
      <c r="A19" s="144" t="s">
        <v>10</v>
      </c>
      <c r="B19" s="144"/>
      <c r="C19" s="145" t="s">
        <v>365</v>
      </c>
      <c r="D19" s="145"/>
      <c r="E19" s="144" t="s">
        <v>70</v>
      </c>
      <c r="F19" s="144"/>
      <c r="G19" s="145" t="s">
        <v>202</v>
      </c>
      <c r="H19" s="145"/>
      <c r="S19" s="53" t="s">
        <v>183</v>
      </c>
      <c r="T19" s="53" t="s">
        <v>190</v>
      </c>
      <c r="U19" s="53"/>
      <c r="V19" s="53" t="s">
        <v>198</v>
      </c>
      <c r="W19" s="53" t="s">
        <v>215</v>
      </c>
      <c r="X19"/>
      <c r="Y19"/>
      <c r="Z19"/>
    </row>
    <row r="20" spans="1:26" x14ac:dyDescent="0.25">
      <c r="A20" s="135" t="s">
        <v>12</v>
      </c>
      <c r="B20" s="135"/>
      <c r="C20" s="145" t="s">
        <v>362</v>
      </c>
      <c r="D20" s="145"/>
      <c r="E20" s="144" t="s">
        <v>11</v>
      </c>
      <c r="F20" s="144"/>
      <c r="G20" s="208" t="s">
        <v>178</v>
      </c>
      <c r="H20" s="208"/>
      <c r="S20" s="53" t="s">
        <v>184</v>
      </c>
      <c r="T20" s="53" t="s">
        <v>191</v>
      </c>
      <c r="U20" s="53"/>
      <c r="V20" s="53" t="s">
        <v>199</v>
      </c>
      <c r="W20" s="53" t="s">
        <v>216</v>
      </c>
      <c r="X20"/>
      <c r="Y20"/>
      <c r="Z20"/>
    </row>
    <row r="21" spans="1:26" x14ac:dyDescent="0.25">
      <c r="A21" s="135" t="s">
        <v>71</v>
      </c>
      <c r="B21" s="135"/>
      <c r="C21" s="207" t="s">
        <v>180</v>
      </c>
      <c r="D21" s="207"/>
      <c r="E21" s="144" t="s">
        <v>13</v>
      </c>
      <c r="F21" s="144"/>
      <c r="G21" s="145">
        <v>421203</v>
      </c>
      <c r="H21" s="145"/>
      <c r="S21" s="53"/>
      <c r="T21" s="53"/>
      <c r="U21" s="53"/>
      <c r="V21" s="53" t="s">
        <v>200</v>
      </c>
      <c r="W21" s="53" t="s">
        <v>217</v>
      </c>
      <c r="X21"/>
      <c r="Y21"/>
      <c r="Z21"/>
    </row>
    <row r="22" spans="1:26" ht="32.25" customHeight="1" x14ac:dyDescent="0.25">
      <c r="A22" s="135" t="s">
        <v>119</v>
      </c>
      <c r="B22" s="135"/>
      <c r="C22" s="145" t="s">
        <v>363</v>
      </c>
      <c r="D22" s="145"/>
      <c r="E22" s="144" t="s">
        <v>14</v>
      </c>
      <c r="F22" s="144"/>
      <c r="G22" s="207" t="s">
        <v>367</v>
      </c>
      <c r="H22" s="207"/>
      <c r="S22" s="53"/>
      <c r="T22" s="53"/>
      <c r="U22" s="53"/>
      <c r="V22" s="53" t="s">
        <v>201</v>
      </c>
      <c r="W22" s="53" t="s">
        <v>218</v>
      </c>
      <c r="X22"/>
      <c r="Y22"/>
      <c r="Z22"/>
    </row>
    <row r="23" spans="1:26" ht="15" customHeight="1" x14ac:dyDescent="0.25">
      <c r="A23" s="144" t="s">
        <v>73</v>
      </c>
      <c r="B23" s="144"/>
      <c r="C23" s="144"/>
      <c r="D23" s="144"/>
      <c r="E23" s="204" t="s">
        <v>15</v>
      </c>
      <c r="F23" s="204"/>
      <c r="G23" s="204"/>
      <c r="H23" s="204"/>
      <c r="S23" s="53"/>
      <c r="T23" s="53"/>
      <c r="U23" s="53"/>
      <c r="V23" s="53" t="s">
        <v>202</v>
      </c>
      <c r="W23" s="53" t="s">
        <v>219</v>
      </c>
      <c r="X23"/>
      <c r="Y23"/>
      <c r="Z23"/>
    </row>
    <row r="24" spans="1:26" ht="18.75" customHeight="1" x14ac:dyDescent="0.25">
      <c r="A24" s="144"/>
      <c r="B24" s="144"/>
      <c r="C24" s="144"/>
      <c r="D24" s="144"/>
      <c r="E24" s="204"/>
      <c r="F24" s="204"/>
      <c r="G24" s="204"/>
      <c r="H24" s="204"/>
      <c r="S24" s="53"/>
      <c r="T24" s="53"/>
      <c r="U24" s="53"/>
      <c r="V24" s="53" t="s">
        <v>203</v>
      </c>
      <c r="W24" s="53" t="s">
        <v>220</v>
      </c>
      <c r="X24"/>
      <c r="Y24"/>
      <c r="Z24"/>
    </row>
    <row r="25" spans="1:26" ht="15" customHeight="1" x14ac:dyDescent="0.25">
      <c r="A25" s="144" t="s">
        <v>16</v>
      </c>
      <c r="B25" s="144"/>
      <c r="C25" s="144"/>
      <c r="D25" s="144"/>
      <c r="E25" s="145" t="s">
        <v>17</v>
      </c>
      <c r="F25" s="145"/>
      <c r="G25" s="145"/>
      <c r="H25" s="145"/>
      <c r="S25" s="53"/>
      <c r="T25" s="53"/>
      <c r="U25" s="53"/>
      <c r="V25" s="53" t="s">
        <v>204</v>
      </c>
      <c r="W25" s="53" t="s">
        <v>221</v>
      </c>
      <c r="X25"/>
      <c r="Y25"/>
      <c r="Z25"/>
    </row>
    <row r="26" spans="1:26" ht="15" customHeight="1" x14ac:dyDescent="0.25">
      <c r="A26" s="135" t="s">
        <v>18</v>
      </c>
      <c r="B26" s="135"/>
      <c r="C26" s="135"/>
      <c r="D26" s="135"/>
      <c r="E26" s="145" t="str">
        <f>IF(AND(G20="Mumbai"),"Upper Class","Middle Class")</f>
        <v>Middle Class</v>
      </c>
      <c r="F26" s="145"/>
      <c r="G26" s="145"/>
      <c r="H26" s="145"/>
      <c r="S26" s="53"/>
      <c r="T26" s="53"/>
      <c r="U26" s="53"/>
      <c r="V26" s="53" t="s">
        <v>205</v>
      </c>
      <c r="W26" s="53" t="s">
        <v>222</v>
      </c>
      <c r="X26"/>
      <c r="Y26"/>
      <c r="Z26"/>
    </row>
    <row r="27" spans="1:26" x14ac:dyDescent="0.25">
      <c r="A27" s="135" t="s">
        <v>19</v>
      </c>
      <c r="B27" s="135"/>
      <c r="C27" s="135"/>
      <c r="D27" s="135"/>
      <c r="E27" s="145" t="s">
        <v>20</v>
      </c>
      <c r="F27" s="145"/>
      <c r="G27" s="145"/>
      <c r="H27" s="145"/>
      <c r="S27" s="53"/>
      <c r="T27" s="53"/>
      <c r="U27" s="53"/>
      <c r="V27" s="53" t="s">
        <v>206</v>
      </c>
      <c r="W27" s="53" t="s">
        <v>223</v>
      </c>
      <c r="X27"/>
      <c r="Y27"/>
      <c r="Z27"/>
    </row>
    <row r="28" spans="1:26" ht="15.75" customHeight="1" x14ac:dyDescent="0.25">
      <c r="A28" s="135" t="s">
        <v>21</v>
      </c>
      <c r="B28" s="135"/>
      <c r="C28" s="135"/>
      <c r="D28" s="135"/>
      <c r="E28" s="145" t="str">
        <f>IF(AND(G20="Mumbai"),"Developed","Developing")</f>
        <v>Developing</v>
      </c>
      <c r="F28" s="145"/>
      <c r="G28" s="145"/>
      <c r="H28" s="145"/>
    </row>
    <row r="29" spans="1:26" x14ac:dyDescent="0.25">
      <c r="A29" s="135" t="s">
        <v>22</v>
      </c>
      <c r="B29" s="135"/>
      <c r="C29" s="135"/>
      <c r="D29" s="135"/>
      <c r="E29" s="145" t="s">
        <v>23</v>
      </c>
      <c r="F29" s="145"/>
      <c r="G29" s="145"/>
      <c r="H29" s="145"/>
    </row>
    <row r="30" spans="1:26" ht="15.75" customHeight="1" x14ac:dyDescent="0.25">
      <c r="A30" s="135" t="s">
        <v>78</v>
      </c>
      <c r="B30" s="135"/>
      <c r="C30" s="135"/>
      <c r="D30" s="135"/>
      <c r="E30" s="145" t="s">
        <v>79</v>
      </c>
      <c r="F30" s="145"/>
      <c r="G30" s="145"/>
      <c r="H30" s="145"/>
    </row>
    <row r="31" spans="1:26" ht="15" customHeight="1" x14ac:dyDescent="0.25">
      <c r="A31" s="135" t="s">
        <v>30</v>
      </c>
      <c r="B31" s="135"/>
      <c r="C31" s="135"/>
      <c r="D31" s="135"/>
      <c r="E31" s="145"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45"/>
      <c r="G31" s="145"/>
      <c r="H31" s="145"/>
    </row>
    <row r="32" spans="1:26" ht="15.75" customHeight="1" x14ac:dyDescent="0.25">
      <c r="A32" s="135" t="s">
        <v>89</v>
      </c>
      <c r="B32" s="135"/>
      <c r="C32" s="135"/>
      <c r="D32" s="135"/>
      <c r="E32" s="145" t="s">
        <v>31</v>
      </c>
      <c r="F32" s="145"/>
      <c r="G32" s="145"/>
      <c r="H32" s="145"/>
    </row>
    <row r="33" spans="1:19" s="22" customFormat="1" x14ac:dyDescent="0.25">
      <c r="A33" s="216" t="s">
        <v>90</v>
      </c>
      <c r="B33" s="216"/>
      <c r="C33" s="213" t="s">
        <v>173</v>
      </c>
      <c r="D33" s="214"/>
      <c r="E33" s="215"/>
      <c r="F33" s="213" t="s">
        <v>29</v>
      </c>
      <c r="G33" s="214"/>
      <c r="H33" s="215"/>
      <c r="S33" s="22" t="e">
        <f ca="1">OFFSET($S$13,1,MATCH($G20,$S$13:$W$13,0)-1,15,1)</f>
        <v>#VALUE!</v>
      </c>
    </row>
    <row r="34" spans="1:19" s="22" customFormat="1" x14ac:dyDescent="0.25">
      <c r="A34" s="209" t="s">
        <v>24</v>
      </c>
      <c r="B34" s="209" t="s">
        <v>28</v>
      </c>
      <c r="C34" s="210" t="s">
        <v>382</v>
      </c>
      <c r="D34" s="211"/>
      <c r="E34" s="212"/>
      <c r="F34" s="210" t="s">
        <v>379</v>
      </c>
      <c r="G34" s="211"/>
      <c r="H34" s="212"/>
    </row>
    <row r="35" spans="1:19" x14ac:dyDescent="0.25">
      <c r="A35" s="209" t="s">
        <v>25</v>
      </c>
      <c r="B35" s="209" t="s">
        <v>28</v>
      </c>
      <c r="C35" s="210" t="s">
        <v>382</v>
      </c>
      <c r="D35" s="211"/>
      <c r="E35" s="212"/>
      <c r="F35" s="210" t="s">
        <v>380</v>
      </c>
      <c r="G35" s="211"/>
      <c r="H35" s="212"/>
    </row>
    <row r="36" spans="1:19" s="22" customFormat="1" x14ac:dyDescent="0.25">
      <c r="A36" s="209" t="s">
        <v>27</v>
      </c>
      <c r="B36" s="209" t="s">
        <v>28</v>
      </c>
      <c r="C36" s="210" t="s">
        <v>382</v>
      </c>
      <c r="D36" s="211"/>
      <c r="E36" s="212"/>
      <c r="F36" s="210" t="s">
        <v>380</v>
      </c>
      <c r="G36" s="211"/>
      <c r="H36" s="212"/>
    </row>
    <row r="37" spans="1:19" x14ac:dyDescent="0.25">
      <c r="A37" s="209" t="s">
        <v>26</v>
      </c>
      <c r="B37" s="209" t="s">
        <v>28</v>
      </c>
      <c r="C37" s="210" t="s">
        <v>383</v>
      </c>
      <c r="D37" s="211"/>
      <c r="E37" s="212"/>
      <c r="F37" s="210" t="s">
        <v>378</v>
      </c>
      <c r="G37" s="211"/>
      <c r="H37" s="212"/>
    </row>
    <row r="38" spans="1:19" x14ac:dyDescent="0.25">
      <c r="A38" s="135" t="s">
        <v>278</v>
      </c>
      <c r="B38" s="135"/>
      <c r="C38" s="135"/>
      <c r="D38" s="135"/>
      <c r="E38" s="135"/>
      <c r="F38" s="135"/>
      <c r="G38" s="135"/>
      <c r="H38" s="135"/>
    </row>
    <row r="39" spans="1:19" ht="15.75" customHeight="1" x14ac:dyDescent="0.25">
      <c r="A39" s="135" t="s">
        <v>164</v>
      </c>
      <c r="B39" s="135"/>
      <c r="C39" s="199" t="s">
        <v>361</v>
      </c>
      <c r="D39" s="199"/>
      <c r="E39" s="199"/>
      <c r="F39" s="199"/>
      <c r="G39" s="199"/>
      <c r="H39" s="199"/>
    </row>
    <row r="40" spans="1:19" x14ac:dyDescent="0.25">
      <c r="A40" s="135" t="s">
        <v>160</v>
      </c>
      <c r="B40" s="135"/>
      <c r="C40" s="252" t="s">
        <v>366</v>
      </c>
      <c r="D40" s="145"/>
      <c r="E40" s="145"/>
      <c r="F40" s="145"/>
      <c r="G40" s="145"/>
      <c r="H40" s="145"/>
    </row>
    <row r="41" spans="1:19" x14ac:dyDescent="0.25">
      <c r="A41" s="199" t="s">
        <v>32</v>
      </c>
      <c r="B41" s="199"/>
      <c r="C41" s="199"/>
      <c r="D41" s="199"/>
      <c r="E41" s="199"/>
      <c r="F41" s="199"/>
      <c r="G41" s="199"/>
      <c r="H41" s="199"/>
    </row>
    <row r="42" spans="1:19" x14ac:dyDescent="0.25">
      <c r="A42" s="135" t="s">
        <v>33</v>
      </c>
      <c r="B42" s="135"/>
      <c r="C42" s="135"/>
      <c r="D42" s="135"/>
      <c r="E42" s="237">
        <v>134781.95000000001</v>
      </c>
      <c r="F42" s="237"/>
      <c r="G42" s="237"/>
      <c r="H42" s="237"/>
    </row>
    <row r="43" spans="1:19" x14ac:dyDescent="0.25">
      <c r="A43" s="135" t="s">
        <v>34</v>
      </c>
      <c r="B43" s="135"/>
      <c r="C43" s="135"/>
      <c r="D43" s="135"/>
      <c r="E43" s="134">
        <v>1.8</v>
      </c>
      <c r="F43" s="134"/>
      <c r="G43" s="134"/>
      <c r="H43" s="134"/>
    </row>
    <row r="44" spans="1:19" x14ac:dyDescent="0.25">
      <c r="A44" s="135" t="s">
        <v>35</v>
      </c>
      <c r="B44" s="135"/>
      <c r="C44" s="135"/>
      <c r="D44" s="135"/>
      <c r="E44" s="134">
        <f>E46/E42-E43</f>
        <v>2.5880025478189035</v>
      </c>
      <c r="F44" s="134"/>
      <c r="G44" s="134"/>
      <c r="H44" s="134"/>
    </row>
    <row r="45" spans="1:19" x14ac:dyDescent="0.25">
      <c r="A45" s="135" t="s">
        <v>36</v>
      </c>
      <c r="B45" s="135"/>
      <c r="C45" s="135"/>
      <c r="D45" s="135"/>
      <c r="E45" s="134">
        <f>E43+E44</f>
        <v>4.3880025478189033</v>
      </c>
      <c r="F45" s="134"/>
      <c r="G45" s="134"/>
      <c r="H45" s="134"/>
    </row>
    <row r="46" spans="1:19" x14ac:dyDescent="0.25">
      <c r="A46" s="135" t="s">
        <v>88</v>
      </c>
      <c r="B46" s="135"/>
      <c r="C46" s="135"/>
      <c r="D46" s="135"/>
      <c r="E46" s="232">
        <v>591423.54</v>
      </c>
      <c r="F46" s="232"/>
      <c r="G46" s="232"/>
      <c r="H46" s="232"/>
    </row>
    <row r="47" spans="1:19" x14ac:dyDescent="0.25">
      <c r="A47" s="204" t="s">
        <v>37</v>
      </c>
      <c r="B47" s="204"/>
      <c r="C47" s="204"/>
      <c r="D47" s="204"/>
      <c r="E47" s="157" t="s">
        <v>368</v>
      </c>
      <c r="F47" s="157"/>
      <c r="G47" s="157"/>
      <c r="H47" s="157"/>
    </row>
    <row r="48" spans="1:19" x14ac:dyDescent="0.25">
      <c r="A48" s="199" t="s">
        <v>38</v>
      </c>
      <c r="B48" s="199"/>
      <c r="C48" s="199"/>
      <c r="D48" s="199"/>
      <c r="E48" s="199"/>
      <c r="F48" s="199"/>
      <c r="G48" s="199"/>
      <c r="H48" s="199"/>
    </row>
    <row r="49" spans="1:24" ht="33.75" customHeight="1" x14ac:dyDescent="0.25">
      <c r="A49" s="137" t="s">
        <v>151</v>
      </c>
      <c r="B49" s="138"/>
      <c r="C49" s="234" t="s">
        <v>261</v>
      </c>
      <c r="D49" s="235"/>
      <c r="E49" s="235"/>
      <c r="F49" s="235"/>
      <c r="G49" s="235"/>
      <c r="H49" s="236"/>
      <c r="R49" t="s">
        <v>251</v>
      </c>
      <c r="S49" s="57" t="s">
        <v>172</v>
      </c>
      <c r="T49" s="57" t="s">
        <v>178</v>
      </c>
      <c r="U49" s="57" t="s">
        <v>192</v>
      </c>
      <c r="V49" s="57" t="s">
        <v>187</v>
      </c>
    </row>
    <row r="50" spans="1:24" ht="67.5" customHeight="1" x14ac:dyDescent="0.25">
      <c r="A50" s="137" t="s">
        <v>39</v>
      </c>
      <c r="B50" s="138"/>
      <c r="C50" s="137" t="s">
        <v>406</v>
      </c>
      <c r="D50" s="142"/>
      <c r="E50" s="138"/>
      <c r="F50" s="18" t="s">
        <v>40</v>
      </c>
      <c r="G50" s="228">
        <v>45656</v>
      </c>
      <c r="H50" s="229"/>
      <c r="R50"/>
      <c r="S50" s="57" t="s">
        <v>252</v>
      </c>
      <c r="T50" s="57" t="s">
        <v>257</v>
      </c>
      <c r="U50" s="57" t="s">
        <v>268</v>
      </c>
      <c r="V50" s="57" t="s">
        <v>273</v>
      </c>
    </row>
    <row r="51" spans="1:24" ht="68.25" customHeight="1" x14ac:dyDescent="0.25">
      <c r="A51" s="137" t="s">
        <v>41</v>
      </c>
      <c r="B51" s="138"/>
      <c r="C51" s="137" t="str">
        <f>C50</f>
        <v>Ekatmikrut Nagar Vasahat/Mouje-Antarli,
Khoni, Hedutane, Kole, Gharivali, Katai &amp;
Mangaon, Ta. Kalyan &amp; Mouje-Umbroli, Tal - Ambernath SSThane/4770</v>
      </c>
      <c r="D51" s="142"/>
      <c r="E51" s="138"/>
      <c r="F51" s="18" t="s">
        <v>40</v>
      </c>
      <c r="G51" s="228">
        <f>G50</f>
        <v>45656</v>
      </c>
      <c r="H51" s="229"/>
      <c r="R51"/>
      <c r="S51" s="57" t="s">
        <v>253</v>
      </c>
      <c r="T51" s="57" t="s">
        <v>258</v>
      </c>
      <c r="U51" s="57" t="s">
        <v>266</v>
      </c>
      <c r="V51" s="57" t="s">
        <v>274</v>
      </c>
    </row>
    <row r="52" spans="1:24" s="23" customFormat="1" ht="49.5" customHeight="1" x14ac:dyDescent="0.25">
      <c r="A52" s="238" t="s">
        <v>155</v>
      </c>
      <c r="B52" s="239"/>
      <c r="C52" s="137" t="s">
        <v>407</v>
      </c>
      <c r="D52" s="142"/>
      <c r="E52" s="138"/>
      <c r="F52" s="18" t="s">
        <v>40</v>
      </c>
      <c r="G52" s="228">
        <f>G50</f>
        <v>45656</v>
      </c>
      <c r="H52" s="229"/>
      <c r="I52" s="22" t="str">
        <f ca="1">IF(G52&gt;EDATE(E3,-48),"NO REMARK","CC REMARK FOR CC")</f>
        <v>NO REMARK</v>
      </c>
      <c r="J52" s="89"/>
      <c r="R52"/>
      <c r="S52" s="57" t="s">
        <v>254</v>
      </c>
      <c r="T52" s="57" t="s">
        <v>259</v>
      </c>
      <c r="U52" s="57" t="s">
        <v>256</v>
      </c>
      <c r="V52" s="57" t="s">
        <v>275</v>
      </c>
    </row>
    <row r="53" spans="1:24" s="23" customFormat="1" ht="33" customHeight="1" x14ac:dyDescent="0.25">
      <c r="A53" s="240"/>
      <c r="B53" s="241"/>
      <c r="C53" s="137" t="s">
        <v>408</v>
      </c>
      <c r="D53" s="142"/>
      <c r="E53" s="142"/>
      <c r="F53" s="142"/>
      <c r="G53" s="142"/>
      <c r="H53" s="138"/>
      <c r="R53"/>
      <c r="S53" s="57" t="s">
        <v>255</v>
      </c>
      <c r="T53" s="57" t="s">
        <v>262</v>
      </c>
      <c r="U53" s="57" t="s">
        <v>269</v>
      </c>
      <c r="V53" s="80" t="s">
        <v>349</v>
      </c>
    </row>
    <row r="54" spans="1:24" s="23" customFormat="1" x14ac:dyDescent="0.25">
      <c r="A54" s="217" t="s">
        <v>279</v>
      </c>
      <c r="B54" s="233"/>
      <c r="C54" s="287" t="s">
        <v>420</v>
      </c>
      <c r="D54" s="288"/>
      <c r="E54" s="289"/>
      <c r="F54" s="290" t="s">
        <v>40</v>
      </c>
      <c r="G54" s="291">
        <v>45337</v>
      </c>
      <c r="H54" s="292"/>
      <c r="K54" s="90">
        <f>EDATE(G52,-48)</f>
        <v>44195</v>
      </c>
      <c r="L54" s="23" t="str">
        <f ca="1">IF(G52&gt;EDATE(E3,-48),"NO REMARK","CC REMARK FOR CC")</f>
        <v>NO REMARK</v>
      </c>
      <c r="R54"/>
      <c r="S54" s="57" t="s">
        <v>254</v>
      </c>
      <c r="T54" s="57" t="s">
        <v>259</v>
      </c>
      <c r="U54" s="57" t="s">
        <v>256</v>
      </c>
      <c r="V54" s="57" t="s">
        <v>275</v>
      </c>
    </row>
    <row r="55" spans="1:24" s="23" customFormat="1" ht="32.25" customHeight="1" x14ac:dyDescent="0.25">
      <c r="A55" s="221"/>
      <c r="B55" s="293"/>
      <c r="C55" s="294" t="s">
        <v>421</v>
      </c>
      <c r="D55" s="295"/>
      <c r="E55" s="295"/>
      <c r="F55" s="295"/>
      <c r="G55" s="295"/>
      <c r="H55" s="296"/>
      <c r="R55"/>
      <c r="S55" s="57" t="s">
        <v>256</v>
      </c>
      <c r="T55" s="57" t="s">
        <v>260</v>
      </c>
      <c r="U55" s="57" t="s">
        <v>270</v>
      </c>
      <c r="V55" s="81"/>
      <c r="W55" s="21"/>
      <c r="X55" s="21"/>
    </row>
    <row r="56" spans="1:24" s="23" customFormat="1" ht="30.75" customHeight="1" x14ac:dyDescent="0.25">
      <c r="A56" s="217" t="s">
        <v>280</v>
      </c>
      <c r="B56" s="233"/>
      <c r="C56" s="287" t="s">
        <v>390</v>
      </c>
      <c r="D56" s="288"/>
      <c r="E56" s="289"/>
      <c r="F56" s="290" t="s">
        <v>40</v>
      </c>
      <c r="G56" s="291">
        <v>44618</v>
      </c>
      <c r="H56" s="292"/>
      <c r="R56"/>
      <c r="S56" s="81"/>
      <c r="T56" s="57" t="s">
        <v>261</v>
      </c>
      <c r="U56" s="57" t="s">
        <v>271</v>
      </c>
      <c r="V56" s="81"/>
      <c r="W56" s="21"/>
      <c r="X56" s="21"/>
    </row>
    <row r="57" spans="1:24" s="23" customFormat="1" ht="35.25" customHeight="1" x14ac:dyDescent="0.25">
      <c r="A57" s="221"/>
      <c r="B57" s="293"/>
      <c r="C57" s="287" t="s">
        <v>391</v>
      </c>
      <c r="D57" s="288"/>
      <c r="E57" s="288"/>
      <c r="F57" s="288"/>
      <c r="G57" s="288"/>
      <c r="H57" s="289"/>
      <c r="R57"/>
      <c r="S57" s="81"/>
      <c r="T57" s="57" t="s">
        <v>263</v>
      </c>
      <c r="U57" s="57" t="s">
        <v>272</v>
      </c>
      <c r="V57" s="81"/>
      <c r="W57" s="21"/>
      <c r="X57" s="21"/>
    </row>
    <row r="58" spans="1:24" s="23" customFormat="1" ht="15.75" hidden="1" customHeight="1" x14ac:dyDescent="0.25">
      <c r="A58" s="160" t="s">
        <v>352</v>
      </c>
      <c r="B58" s="161"/>
      <c r="C58" s="137"/>
      <c r="D58" s="142"/>
      <c r="E58" s="138"/>
      <c r="F58" s="18" t="s">
        <v>40</v>
      </c>
      <c r="G58" s="228"/>
      <c r="H58" s="229"/>
      <c r="R58"/>
      <c r="S58" s="81"/>
      <c r="T58" s="57" t="s">
        <v>264</v>
      </c>
      <c r="U58" s="81" t="s">
        <v>294</v>
      </c>
      <c r="V58" s="81"/>
      <c r="W58" s="21"/>
      <c r="X58" s="21"/>
    </row>
    <row r="59" spans="1:24" s="23" customFormat="1" ht="33.75" hidden="1" customHeight="1" x14ac:dyDescent="0.25">
      <c r="A59" s="162"/>
      <c r="B59" s="163"/>
      <c r="C59" s="144" t="s">
        <v>354</v>
      </c>
      <c r="D59" s="144"/>
      <c r="E59" s="144"/>
      <c r="F59" s="18" t="s">
        <v>353</v>
      </c>
      <c r="G59" s="228"/>
      <c r="H59" s="229"/>
      <c r="R59"/>
      <c r="S59" s="81"/>
      <c r="T59" s="57" t="s">
        <v>265</v>
      </c>
      <c r="U59" s="81"/>
      <c r="V59" s="81"/>
      <c r="W59" s="21"/>
      <c r="X59" s="21"/>
    </row>
    <row r="60" spans="1:24" x14ac:dyDescent="0.25">
      <c r="A60" s="151" t="s">
        <v>42</v>
      </c>
      <c r="B60" s="152"/>
      <c r="C60" s="151" t="s">
        <v>101</v>
      </c>
      <c r="D60" s="153"/>
      <c r="E60" s="152"/>
      <c r="F60" s="43" t="s">
        <v>40</v>
      </c>
      <c r="G60" s="158" t="s">
        <v>28</v>
      </c>
      <c r="H60" s="159"/>
      <c r="R60"/>
      <c r="S60" s="81"/>
      <c r="T60" s="57" t="s">
        <v>267</v>
      </c>
      <c r="U60" s="81"/>
      <c r="V60" s="81"/>
    </row>
    <row r="61" spans="1:24" x14ac:dyDescent="0.25">
      <c r="A61" s="200" t="s">
        <v>44</v>
      </c>
      <c r="B61" s="200"/>
      <c r="C61" s="200"/>
      <c r="D61" s="200"/>
      <c r="E61" s="200"/>
      <c r="F61" s="200"/>
      <c r="G61" s="200"/>
      <c r="H61" s="200"/>
      <c r="S61" s="81"/>
      <c r="T61" s="57" t="s">
        <v>276</v>
      </c>
      <c r="U61" s="81"/>
      <c r="V61" s="81"/>
    </row>
    <row r="62" spans="1:24" ht="32.25" customHeight="1" x14ac:dyDescent="0.25">
      <c r="A62" s="144" t="s">
        <v>409</v>
      </c>
      <c r="B62" s="144"/>
      <c r="C62" s="144"/>
      <c r="D62" s="135">
        <v>11535.96</v>
      </c>
      <c r="E62" s="135"/>
      <c r="F62" s="135"/>
      <c r="G62" s="135"/>
      <c r="H62" s="135"/>
      <c r="R62"/>
    </row>
    <row r="63" spans="1:24" x14ac:dyDescent="0.25">
      <c r="A63" s="145" t="s">
        <v>45</v>
      </c>
      <c r="B63" s="204"/>
      <c r="C63" s="204"/>
      <c r="D63" s="157" t="s">
        <v>412</v>
      </c>
      <c r="E63" s="157"/>
      <c r="F63" s="157"/>
      <c r="G63" s="157"/>
      <c r="H63" s="157"/>
      <c r="I63" s="24"/>
      <c r="R63"/>
    </row>
    <row r="64" spans="1:24" x14ac:dyDescent="0.25">
      <c r="A64" s="217" t="s">
        <v>46</v>
      </c>
      <c r="B64" s="218"/>
      <c r="C64" s="233"/>
      <c r="D64" s="223" t="s">
        <v>369</v>
      </c>
      <c r="E64" s="224"/>
      <c r="F64" s="224"/>
      <c r="G64" s="224"/>
      <c r="H64" s="224"/>
      <c r="R64"/>
    </row>
    <row r="65" spans="1:19" ht="15.75" customHeight="1" x14ac:dyDescent="0.25">
      <c r="A65" s="217" t="s">
        <v>86</v>
      </c>
      <c r="B65" s="218"/>
      <c r="C65" s="218"/>
      <c r="D65" s="223" t="s">
        <v>369</v>
      </c>
      <c r="E65" s="224"/>
      <c r="F65" s="224"/>
      <c r="G65" s="224"/>
      <c r="H65" s="224"/>
      <c r="I65" s="21" t="s">
        <v>371</v>
      </c>
      <c r="R65"/>
    </row>
    <row r="66" spans="1:19" ht="15.75" hidden="1" customHeight="1" x14ac:dyDescent="0.25">
      <c r="A66" s="219"/>
      <c r="B66" s="220"/>
      <c r="C66" s="220"/>
      <c r="D66" s="225" t="s">
        <v>295</v>
      </c>
      <c r="E66" s="226"/>
      <c r="F66" s="226"/>
      <c r="G66" s="226"/>
      <c r="H66" s="227"/>
      <c r="R66"/>
    </row>
    <row r="67" spans="1:19" ht="15.75" hidden="1" customHeight="1" x14ac:dyDescent="0.25">
      <c r="A67" s="221"/>
      <c r="B67" s="222"/>
      <c r="C67" s="222"/>
      <c r="D67" s="139" t="s">
        <v>168</v>
      </c>
      <c r="E67" s="140"/>
      <c r="F67" s="140"/>
      <c r="G67" s="140"/>
      <c r="H67" s="141"/>
      <c r="S67"/>
    </row>
    <row r="68" spans="1:19" ht="15.75" customHeight="1" x14ac:dyDescent="0.25">
      <c r="A68" s="135" t="s">
        <v>43</v>
      </c>
      <c r="B68" s="135"/>
      <c r="C68" s="135"/>
      <c r="D68" s="207" t="s">
        <v>370</v>
      </c>
      <c r="E68" s="207"/>
      <c r="F68" s="207"/>
      <c r="G68" s="207"/>
      <c r="H68" s="207"/>
      <c r="J68" s="25"/>
      <c r="K68" s="24"/>
      <c r="N68" s="24"/>
      <c r="S68"/>
    </row>
    <row r="69" spans="1:19" ht="15.75" customHeight="1" x14ac:dyDescent="0.25">
      <c r="A69" s="135" t="s">
        <v>84</v>
      </c>
      <c r="B69" s="135"/>
      <c r="C69" s="135"/>
      <c r="D69" s="265" t="str">
        <f>(IF(G60="NA","60 Years After Completion",IF(G60&lt;&gt;"NA",""&amp;60-ROUNDDOWN((E3-G60)/360,0)&amp;" Years"," ")))</f>
        <v>60 Years After Completion</v>
      </c>
      <c r="E69" s="265"/>
      <c r="F69" s="265"/>
      <c r="G69" s="265"/>
      <c r="H69" s="265"/>
      <c r="N69" s="24"/>
      <c r="S69"/>
    </row>
    <row r="70" spans="1:19" ht="15.75" customHeight="1" x14ac:dyDescent="0.25">
      <c r="A70" s="135" t="s">
        <v>85</v>
      </c>
      <c r="B70" s="135"/>
      <c r="C70" s="135"/>
      <c r="D70" s="144" t="s">
        <v>23</v>
      </c>
      <c r="E70" s="144"/>
      <c r="F70" s="144"/>
      <c r="G70" s="144"/>
      <c r="H70" s="144"/>
      <c r="J70" s="26"/>
      <c r="K70" s="26"/>
      <c r="S70"/>
    </row>
    <row r="71" spans="1:19" ht="34.5" customHeight="1" x14ac:dyDescent="0.25">
      <c r="A71" s="157" t="s">
        <v>374</v>
      </c>
      <c r="B71" s="157"/>
      <c r="C71" s="157"/>
      <c r="D71" s="145" t="s">
        <v>372</v>
      </c>
      <c r="E71" s="144"/>
      <c r="F71" s="144"/>
      <c r="G71" s="144"/>
      <c r="H71" s="144"/>
      <c r="I71" s="98" t="s">
        <v>373</v>
      </c>
      <c r="S71"/>
    </row>
    <row r="72" spans="1:19" x14ac:dyDescent="0.25">
      <c r="A72" s="144" t="s">
        <v>147</v>
      </c>
      <c r="B72" s="144"/>
      <c r="C72" s="144"/>
      <c r="D72" s="144" t="s">
        <v>28</v>
      </c>
      <c r="E72" s="144"/>
      <c r="F72" s="144"/>
      <c r="G72" s="144"/>
      <c r="H72" s="144"/>
      <c r="I72" s="27"/>
      <c r="J72" s="27"/>
      <c r="K72" s="27"/>
      <c r="L72" s="27"/>
      <c r="M72" s="27"/>
      <c r="N72" s="27"/>
    </row>
    <row r="73" spans="1:19" ht="15.75" customHeight="1" x14ac:dyDescent="0.25">
      <c r="A73" s="135" t="s">
        <v>83</v>
      </c>
      <c r="B73" s="135"/>
      <c r="C73" s="135"/>
      <c r="D73" s="145" t="str">
        <f ca="1">(IF(G79&gt;95%,"Nothing",IF(G79&gt;0%,"Cement, Aggregate, Steel, etc",IF(G79=0%,"Work not yet Started"))))</f>
        <v>Cement, Aggregate, Steel, etc</v>
      </c>
      <c r="E73" s="145"/>
      <c r="F73" s="145"/>
      <c r="G73" s="145"/>
      <c r="H73" s="145"/>
      <c r="J73" s="26"/>
      <c r="S73"/>
    </row>
    <row r="74" spans="1:19" ht="33.75" customHeight="1" thickBot="1" x14ac:dyDescent="0.3">
      <c r="A74" s="144" t="s">
        <v>114</v>
      </c>
      <c r="B74" s="144"/>
      <c r="C74" s="144"/>
      <c r="D74" s="145" t="str">
        <f ca="1">(IF(D73="Nothing","Yes",IF(D73="Cement, Aggregate, Steel, etc","Under Construction",IF(D73="Work not yet Started","Work not yet Started"))))</f>
        <v>Under Construction</v>
      </c>
      <c r="E74" s="145"/>
      <c r="F74" s="145" t="str">
        <f ca="1">(IF(D73="Nothing","Yes",IF(D73="Cement, Aggregate, Steel, etc","Under Construction",IF(D73="Work not yet Started","Work not yet Started"))))</f>
        <v>Under Construction</v>
      </c>
      <c r="G74" s="145"/>
      <c r="H74" s="145"/>
      <c r="S74"/>
    </row>
    <row r="75" spans="1:19" ht="15.75" customHeight="1" x14ac:dyDescent="0.25">
      <c r="A75" s="230" t="s">
        <v>137</v>
      </c>
      <c r="B75" s="230"/>
      <c r="C75" s="230" t="str">
        <f>D65</f>
        <v>Wing F &amp; G = G + 1st to 14th Floor</v>
      </c>
      <c r="D75" s="230"/>
      <c r="E75" s="230"/>
      <c r="F75" s="230"/>
      <c r="G75" s="230"/>
      <c r="H75" s="230"/>
      <c r="I75" s="106" t="str">
        <f ca="1">IF(D88=100%,"All work Completed. Possession granted to the Building.",IF(D87=100%,"All work Completed, Waiting for OC",I76&amp;""&amp;I77&amp;""&amp;J76&amp;""&amp;J75&amp;" "&amp;J77))</f>
        <v>Excavation, Plinth Completed, RCC upto 2 Slab, Brickwork upto 1 Floor Completed</v>
      </c>
      <c r="J75" s="47"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RCC upto 2 Slab, Brickwork upto 1 Floor</v>
      </c>
      <c r="S75"/>
    </row>
    <row r="76" spans="1:19" x14ac:dyDescent="0.25">
      <c r="A76" s="50" t="s">
        <v>139</v>
      </c>
      <c r="B76" s="50">
        <f>IF(AND(ISNUMBER(SEARCH("1B",C75))),1,IF(AND(ISNUMBER(SEARCH("2B",C75))),2,IF(AND(ISNUMBER(SEARCH("3B",C75))),3,IF(AND(ISNUMBER(SEARCH("4B",C75))),4,IF(ISNUMBER(SEARCH("5B",C75)),5,0)))))</f>
        <v>0</v>
      </c>
      <c r="C76" s="50" t="s">
        <v>69</v>
      </c>
      <c r="D76" s="50">
        <v>1</v>
      </c>
      <c r="E76" s="50" t="s">
        <v>68</v>
      </c>
      <c r="F76" s="97">
        <v>0</v>
      </c>
      <c r="G76" s="45" t="s">
        <v>77</v>
      </c>
      <c r="H76" s="50">
        <f ca="1">--TRIM(RIGHT(SUBSTITUTE(LEFT(C75,_xlfn.AGGREGATE(16,6,FIND({0,1,2,3,4,5,6,7,8,9},C75,ROW(INDIRECT("1:"&amp;LEN(C75)))),1))," ",REPT(" ",LEN(C75))),LEN(C75)))</f>
        <v>14</v>
      </c>
      <c r="I76" s="107" t="str">
        <f ca="1">IF(D79=100%,"Excavation","")&amp;IF(D80=100%,", Plinth","")&amp;IF(D81=100%,", RCC Slab","")&amp;IF(D82=100%,", Brickwork","")&amp;IF(D83=100%,", Internal Plaster","")&amp;IF(D84=100%,", External Plaster","")&amp;IF(D85=100%,", Flooring","")&amp;IF(D86=100%,", Painting","")&amp;IF(D87=100%,", Building common Amenities","")</f>
        <v>Excavation, Plinth</v>
      </c>
      <c r="J76" s="49"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32.1" customHeight="1" x14ac:dyDescent="0.25">
      <c r="A77" s="205" t="s">
        <v>87</v>
      </c>
      <c r="B77" s="205"/>
      <c r="C77" s="231" t="str">
        <f ca="1">I75</f>
        <v>Excavation, Plinth Completed, RCC upto 2 Slab, Brickwork upto 1 Floor Completed</v>
      </c>
      <c r="D77" s="231"/>
      <c r="E77" s="231"/>
      <c r="F77" s="231"/>
      <c r="G77" s="231"/>
      <c r="H77" s="231"/>
      <c r="I77" s="107" t="str">
        <f ca="1">IF(I76&lt;&gt;""," Completed","")</f>
        <v xml:space="preserve"> Completed</v>
      </c>
      <c r="J77" s="49" t="str">
        <f ca="1">IF(J75&lt;&gt;"","Completed","")</f>
        <v>Completed</v>
      </c>
      <c r="S77"/>
    </row>
    <row r="78" spans="1:19" ht="15.75" customHeight="1" x14ac:dyDescent="0.25">
      <c r="A78" s="136" t="s">
        <v>47</v>
      </c>
      <c r="B78" s="136"/>
      <c r="C78" s="105" t="s">
        <v>136</v>
      </c>
      <c r="D78" s="105" t="s">
        <v>80</v>
      </c>
      <c r="E78" s="136" t="s">
        <v>82</v>
      </c>
      <c r="F78" s="136"/>
      <c r="G78" s="136" t="s">
        <v>81</v>
      </c>
      <c r="H78" s="136"/>
      <c r="I78" s="13" t="s">
        <v>138</v>
      </c>
      <c r="J78" s="28">
        <f ca="1">H76*25%</f>
        <v>3.5</v>
      </c>
      <c r="S78"/>
    </row>
    <row r="79" spans="1:19" x14ac:dyDescent="0.25">
      <c r="A79" s="136" t="s">
        <v>125</v>
      </c>
      <c r="B79" s="136"/>
      <c r="C79" s="105">
        <f ca="1">J80</f>
        <v>14</v>
      </c>
      <c r="D79" s="19">
        <f ca="1">((100/H76)*C79)/100</f>
        <v>1</v>
      </c>
      <c r="E79" s="266">
        <f ca="1">(((C80/H76*10)+(40/(D76+F76+H76)*C81)+(7.5/(H76)*C82)+(7.5/(H76)*C83)+(10/H76*C84)+(10/H76*C85)+(5/H76*C86)+(5/H76*C87)+(5/H76*C88))/100)</f>
        <v>0.15869047619047619</v>
      </c>
      <c r="F79" s="266"/>
      <c r="G79" s="266">
        <f ca="1">((((C79/H76)*20)+((C80/H76)*25)+(30/(H76+F76+D76)*C81)+(5/H76*C82)+(5/H76*C83)+(5/H76*C84)+(5/H76*C85)+(0/H76*C86)+(0/H76*C87)+(5/H76*C88))/100)</f>
        <v>0.49357142857142855</v>
      </c>
      <c r="H79" s="266"/>
      <c r="I79" s="13" t="s">
        <v>96</v>
      </c>
      <c r="J79" s="29">
        <f ca="1">H76*50%</f>
        <v>7</v>
      </c>
    </row>
    <row r="80" spans="1:19" x14ac:dyDescent="0.25">
      <c r="A80" s="136" t="s">
        <v>48</v>
      </c>
      <c r="B80" s="136"/>
      <c r="C80" s="104">
        <f ca="1">J88</f>
        <v>14</v>
      </c>
      <c r="D80" s="19">
        <f ca="1">((100/H76)*C80)/100</f>
        <v>1</v>
      </c>
      <c r="E80" s="266"/>
      <c r="F80" s="266"/>
      <c r="G80" s="266"/>
      <c r="H80" s="266"/>
      <c r="I80" s="13" t="s">
        <v>97</v>
      </c>
      <c r="J80" s="29">
        <f ca="1">H76</f>
        <v>14</v>
      </c>
      <c r="S80"/>
    </row>
    <row r="81" spans="1:19" ht="15.75" customHeight="1" x14ac:dyDescent="0.25">
      <c r="A81" s="136" t="s">
        <v>126</v>
      </c>
      <c r="B81" s="136"/>
      <c r="C81" s="105">
        <v>2</v>
      </c>
      <c r="D81" s="19">
        <f ca="1">((100/(D76+F76+H76))*C81)/100</f>
        <v>0.13333333333333333</v>
      </c>
      <c r="E81" s="266"/>
      <c r="F81" s="266"/>
      <c r="G81" s="266"/>
      <c r="H81" s="266"/>
      <c r="I81" s="13" t="s">
        <v>98</v>
      </c>
      <c r="J81" s="30">
        <f ca="1">(IF(B76&gt;1,(H76/(B76+2)),H76/4))</f>
        <v>3.5</v>
      </c>
      <c r="S81"/>
    </row>
    <row r="82" spans="1:19" ht="15.75" customHeight="1" x14ac:dyDescent="0.25">
      <c r="A82" s="136" t="s">
        <v>133</v>
      </c>
      <c r="B82" s="136" t="s">
        <v>127</v>
      </c>
      <c r="C82" s="105">
        <f>C81-1</f>
        <v>1</v>
      </c>
      <c r="D82" s="19">
        <f ca="1">((100/H76)*C82)/100</f>
        <v>7.1428571428571438E-2</v>
      </c>
      <c r="E82" s="266"/>
      <c r="F82" s="266"/>
      <c r="G82" s="266"/>
      <c r="H82" s="266"/>
      <c r="I82" s="13" t="s">
        <v>99</v>
      </c>
      <c r="J82" s="30">
        <f ca="1">(IF(B76&gt;1,(H76/(B76+2)+J81),H76/4+J81))</f>
        <v>7</v>
      </c>
    </row>
    <row r="83" spans="1:19" ht="15.75" customHeight="1" x14ac:dyDescent="0.25">
      <c r="A83" s="136" t="s">
        <v>134</v>
      </c>
      <c r="B83" s="136" t="s">
        <v>127</v>
      </c>
      <c r="C83" s="105">
        <v>0</v>
      </c>
      <c r="D83" s="19">
        <f ca="1">((100/H76)*C83)/100</f>
        <v>0</v>
      </c>
      <c r="E83" s="266"/>
      <c r="F83" s="266"/>
      <c r="G83" s="266"/>
      <c r="H83" s="266"/>
      <c r="I83" s="13" t="s">
        <v>145</v>
      </c>
      <c r="J83" s="30">
        <f>(IF(B76&gt;1,(H76/(B76+2)+J82),0))</f>
        <v>0</v>
      </c>
    </row>
    <row r="84" spans="1:19" ht="15" customHeight="1" x14ac:dyDescent="0.25">
      <c r="A84" s="136" t="s">
        <v>132</v>
      </c>
      <c r="B84" s="136" t="s">
        <v>129</v>
      </c>
      <c r="C84" s="105">
        <v>0</v>
      </c>
      <c r="D84" s="19">
        <f ca="1">((100/(H76))*C84)/100</f>
        <v>0</v>
      </c>
      <c r="E84" s="266"/>
      <c r="F84" s="266"/>
      <c r="G84" s="266"/>
      <c r="H84" s="266"/>
      <c r="I84" s="13" t="s">
        <v>140</v>
      </c>
      <c r="J84" s="30">
        <f>(IF(B76&gt;2,(H76/(B76+2)+J83),0))</f>
        <v>0</v>
      </c>
    </row>
    <row r="85" spans="1:19" ht="15.75" customHeight="1" x14ac:dyDescent="0.25">
      <c r="A85" s="136" t="s">
        <v>128</v>
      </c>
      <c r="B85" s="136" t="s">
        <v>128</v>
      </c>
      <c r="C85" s="105">
        <v>0</v>
      </c>
      <c r="D85" s="19">
        <f ca="1">((100/H76)*C85)/100</f>
        <v>0</v>
      </c>
      <c r="E85" s="266"/>
      <c r="F85" s="266"/>
      <c r="G85" s="266"/>
      <c r="H85" s="266"/>
      <c r="I85" s="13" t="s">
        <v>141</v>
      </c>
      <c r="J85" s="31">
        <f>(IF(B76&gt;3,(H76/(B76+2)+J84),0))</f>
        <v>0</v>
      </c>
    </row>
    <row r="86" spans="1:19" ht="15.75" customHeight="1" x14ac:dyDescent="0.25">
      <c r="A86" s="136" t="s">
        <v>135</v>
      </c>
      <c r="B86" s="136"/>
      <c r="C86" s="105">
        <v>0</v>
      </c>
      <c r="D86" s="19">
        <f ca="1">((100/H76)*C86)/100</f>
        <v>0</v>
      </c>
      <c r="E86" s="266"/>
      <c r="F86" s="266"/>
      <c r="G86" s="266"/>
      <c r="H86" s="266"/>
      <c r="I86" s="13" t="s">
        <v>142</v>
      </c>
      <c r="J86" s="30">
        <f>(IF(B76&gt;4,(H76/(B76+2)+J85),0))</f>
        <v>0</v>
      </c>
    </row>
    <row r="87" spans="1:19" ht="15.75" customHeight="1" x14ac:dyDescent="0.25">
      <c r="A87" s="136" t="s">
        <v>130</v>
      </c>
      <c r="B87" s="136" t="s">
        <v>130</v>
      </c>
      <c r="C87" s="105">
        <v>0</v>
      </c>
      <c r="D87" s="19">
        <f ca="1">((100/(H76))*C87)/100</f>
        <v>0</v>
      </c>
      <c r="E87" s="266"/>
      <c r="F87" s="266"/>
      <c r="G87" s="266"/>
      <c r="H87" s="266"/>
      <c r="I87" s="13" t="s">
        <v>146</v>
      </c>
      <c r="J87" s="30">
        <f ca="1">(IF(B76=1,(H76/(B76+3)+J82),IF(B76=0,(H76/4+J82),IF(B76&gt;1,0))))</f>
        <v>10.5</v>
      </c>
    </row>
    <row r="88" spans="1:19" ht="16.5" thickBot="1" x14ac:dyDescent="0.3">
      <c r="A88" s="136" t="s">
        <v>131</v>
      </c>
      <c r="B88" s="136"/>
      <c r="C88" s="105">
        <v>0</v>
      </c>
      <c r="D88" s="19">
        <f ca="1">((100/(H76))*C88)/100</f>
        <v>0</v>
      </c>
      <c r="E88" s="266"/>
      <c r="F88" s="266"/>
      <c r="G88" s="266"/>
      <c r="H88" s="266"/>
      <c r="I88" s="15" t="s">
        <v>100</v>
      </c>
      <c r="J88" s="32">
        <f ca="1">(IF(B76&gt;1.5,(H76/(B76+2)+J82+MAX(0,J83-J82)+MAX(0,J84-J83)+MAX(0,J85-J84)+MAX(0,J86-J85)+MAX(0,J87-J86)),IF(B76=1,(H76/(B76+3)+J87),IF(B76=0,H76/4+J87))))</f>
        <v>14</v>
      </c>
    </row>
    <row r="89" spans="1:19" ht="15.75" hidden="1" customHeight="1" x14ac:dyDescent="0.25">
      <c r="A89" s="245" t="s">
        <v>137</v>
      </c>
      <c r="B89" s="246"/>
      <c r="C89" s="247" t="str">
        <f>D66</f>
        <v>B Wing = 1B + G + 1st to 19th Floor</v>
      </c>
      <c r="D89" s="248"/>
      <c r="E89" s="248"/>
      <c r="F89" s="248"/>
      <c r="G89" s="248"/>
      <c r="H89" s="249"/>
      <c r="I89" s="46" t="str">
        <f ca="1">IF(D102=100%,"All work Completed. Possession granted to the Building.",IF(D101=100%,"All work Completed, Waiting for OC",I90&amp;""&amp;I91&amp;""&amp;J90&amp;""&amp;J89&amp;" "&amp;J91))</f>
        <v xml:space="preserve">Excavation, Plinth Completed </v>
      </c>
      <c r="J89" s="47"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c r="S89"/>
    </row>
    <row r="90" spans="1:19" hidden="1" x14ac:dyDescent="0.25">
      <c r="A90" s="16" t="s">
        <v>139</v>
      </c>
      <c r="B90" s="50">
        <f>IF(AND(ISNUMBER(SEARCH("1B",C89))),1,IF(AND(ISNUMBER(SEARCH("2B",C89))),2,IF(AND(ISNUMBER(SEARCH("3B",C89))),3,IF(AND(ISNUMBER(SEARCH("4B",C89))),4,IF(ISNUMBER(SEARCH("5B",C89)),5,0)))))</f>
        <v>1</v>
      </c>
      <c r="C90" s="50" t="s">
        <v>69</v>
      </c>
      <c r="D90" s="50">
        <v>1</v>
      </c>
      <c r="E90" s="50" t="s">
        <v>68</v>
      </c>
      <c r="F90" s="14">
        <v>0</v>
      </c>
      <c r="G90" s="45" t="s">
        <v>77</v>
      </c>
      <c r="H90" s="17">
        <f ca="1">--TRIM(RIGHT(SUBSTITUTE(LEFT(C89,_xlfn.AGGREGATE(16,6,FIND({0,1,2,3,4,5,6,7,8,9},C89,ROW(INDIRECT("1:"&amp;LEN(C89)))),1))," ",REPT(" ",LEN(C89))),LEN(C89)))</f>
        <v>19</v>
      </c>
      <c r="I90" s="48" t="str">
        <f ca="1">IF(D93=100%,"Excavation","")&amp;IF(D94=100%,", Plinth","")&amp;IF(D95=100%,", RCC Slab","")&amp;IF(D96=100%,", Brickwork","")&amp;IF(D97=100%,", Internal Plaster","")&amp;IF(D98=100%,", External Plaster","")&amp;IF(D99=100%,", Flooring","")&amp;IF(D100=100%,", Painting","")&amp;IF(D101=100%,", Building common Amenities","")</f>
        <v>Excavation, Plinth</v>
      </c>
      <c r="J90" s="49"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c r="S90"/>
    </row>
    <row r="91" spans="1:19" ht="36.75" hidden="1" customHeight="1" x14ac:dyDescent="0.25">
      <c r="A91" s="264" t="s">
        <v>87</v>
      </c>
      <c r="B91" s="205"/>
      <c r="C91" s="231" t="str">
        <f ca="1">I89</f>
        <v xml:space="preserve">Excavation, Plinth Completed </v>
      </c>
      <c r="D91" s="231"/>
      <c r="E91" s="231"/>
      <c r="F91" s="231"/>
      <c r="G91" s="231"/>
      <c r="H91" s="257"/>
      <c r="I91" s="48" t="str">
        <f ca="1">IF(I90&lt;&gt;""," Completed","")</f>
        <v xml:space="preserve"> Completed</v>
      </c>
      <c r="J91" s="49" t="str">
        <f ca="1">IF(J89&lt;&gt;"","Completed","")</f>
        <v/>
      </c>
      <c r="S91"/>
    </row>
    <row r="92" spans="1:19" ht="15.75" hidden="1" customHeight="1" x14ac:dyDescent="0.25">
      <c r="A92" s="168" t="s">
        <v>47</v>
      </c>
      <c r="B92" s="136"/>
      <c r="C92" s="83" t="s">
        <v>136</v>
      </c>
      <c r="D92" s="83" t="s">
        <v>80</v>
      </c>
      <c r="E92" s="136" t="s">
        <v>82</v>
      </c>
      <c r="F92" s="136"/>
      <c r="G92" s="136" t="s">
        <v>81</v>
      </c>
      <c r="H92" s="267"/>
      <c r="I92" s="13" t="s">
        <v>138</v>
      </c>
      <c r="J92" s="28">
        <f ca="1">H90*25%</f>
        <v>4.75</v>
      </c>
      <c r="S92"/>
    </row>
    <row r="93" spans="1:19" hidden="1" x14ac:dyDescent="0.25">
      <c r="A93" s="168" t="s">
        <v>125</v>
      </c>
      <c r="B93" s="136"/>
      <c r="C93" s="61">
        <f ca="1">J94</f>
        <v>19</v>
      </c>
      <c r="D93" s="19">
        <f ca="1">((100/H90)*C93)/100</f>
        <v>1</v>
      </c>
      <c r="E93" s="258">
        <f ca="1">(((C94/H90*10)+(40/(D90+F90+H90)*C95)+(7.5/(H90)*C96)+(7.5/(H90)*C97)+(10/H90*C98)+(10/H90*C99)+(5/H90*C100)+(5/H90*C101)+(5/H90*C102))/100)</f>
        <v>0.1</v>
      </c>
      <c r="F93" s="268"/>
      <c r="G93" s="258">
        <f ca="1">((((C93/H90)*20)+((C94/H90)*25)+(30/(H90+F90+D90)*C95)+(5/H90*C96)+(5/H90*C97)+(5/H90*C98)+(5/H90*C99)+(0/H90*C100)+(0/H90*C101)+(5/H90*C102))/100)</f>
        <v>0.45</v>
      </c>
      <c r="H93" s="259"/>
      <c r="I93" s="13" t="s">
        <v>96</v>
      </c>
      <c r="J93" s="29">
        <f ca="1">H90*50%</f>
        <v>9.5</v>
      </c>
    </row>
    <row r="94" spans="1:19" hidden="1" x14ac:dyDescent="0.25">
      <c r="A94" s="168" t="s">
        <v>48</v>
      </c>
      <c r="B94" s="136"/>
      <c r="C94" s="83">
        <f ca="1">J102</f>
        <v>19</v>
      </c>
      <c r="D94" s="19">
        <f ca="1">((100/H90)*C94)/100</f>
        <v>1</v>
      </c>
      <c r="E94" s="260"/>
      <c r="F94" s="269"/>
      <c r="G94" s="260"/>
      <c r="H94" s="261"/>
      <c r="I94" s="13" t="s">
        <v>97</v>
      </c>
      <c r="J94" s="29">
        <f ca="1">H90</f>
        <v>19</v>
      </c>
      <c r="S94"/>
    </row>
    <row r="95" spans="1:19" ht="15.75" hidden="1" customHeight="1" x14ac:dyDescent="0.25">
      <c r="A95" s="168" t="s">
        <v>126</v>
      </c>
      <c r="B95" s="136"/>
      <c r="C95" s="83">
        <v>0</v>
      </c>
      <c r="D95" s="19">
        <f ca="1">((100/(D90+F90+H90))*C95)/100</f>
        <v>0</v>
      </c>
      <c r="E95" s="260"/>
      <c r="F95" s="269"/>
      <c r="G95" s="260"/>
      <c r="H95" s="261"/>
      <c r="I95" s="13" t="s">
        <v>98</v>
      </c>
      <c r="J95" s="30">
        <f ca="1">(IF(B90&gt;1,(H90/(B90+2)),H90/4))</f>
        <v>4.75</v>
      </c>
      <c r="S95"/>
    </row>
    <row r="96" spans="1:19" ht="15.75" hidden="1" customHeight="1" x14ac:dyDescent="0.25">
      <c r="A96" s="168" t="s">
        <v>133</v>
      </c>
      <c r="B96" s="136" t="s">
        <v>127</v>
      </c>
      <c r="C96" s="83">
        <v>0</v>
      </c>
      <c r="D96" s="19">
        <f ca="1">((100/H90)*C96)/100</f>
        <v>0</v>
      </c>
      <c r="E96" s="260"/>
      <c r="F96" s="269"/>
      <c r="G96" s="260"/>
      <c r="H96" s="261"/>
      <c r="I96" s="13" t="s">
        <v>99</v>
      </c>
      <c r="J96" s="30">
        <f ca="1">(IF(B90&gt;1,(H90/(B90+2)+J95),H90/4+J95))</f>
        <v>9.5</v>
      </c>
    </row>
    <row r="97" spans="1:19" ht="15.75" hidden="1" customHeight="1" x14ac:dyDescent="0.25">
      <c r="A97" s="168" t="s">
        <v>134</v>
      </c>
      <c r="B97" s="136" t="s">
        <v>127</v>
      </c>
      <c r="C97" s="83">
        <v>0</v>
      </c>
      <c r="D97" s="19">
        <f ca="1">((100/H90)*C97)/100</f>
        <v>0</v>
      </c>
      <c r="E97" s="260"/>
      <c r="F97" s="269"/>
      <c r="G97" s="260"/>
      <c r="H97" s="261"/>
      <c r="I97" s="13" t="s">
        <v>145</v>
      </c>
      <c r="J97" s="30">
        <f>(IF(B90&gt;1,(H90/(B90+2)+J96),0))</f>
        <v>0</v>
      </c>
    </row>
    <row r="98" spans="1:19" ht="15" hidden="1" customHeight="1" x14ac:dyDescent="0.25">
      <c r="A98" s="168" t="s">
        <v>132</v>
      </c>
      <c r="B98" s="136" t="s">
        <v>129</v>
      </c>
      <c r="C98" s="83">
        <v>0</v>
      </c>
      <c r="D98" s="19">
        <f ca="1">((100/(H90))*C98)/100</f>
        <v>0</v>
      </c>
      <c r="E98" s="260"/>
      <c r="F98" s="269"/>
      <c r="G98" s="260"/>
      <c r="H98" s="261"/>
      <c r="I98" s="13" t="s">
        <v>140</v>
      </c>
      <c r="J98" s="30">
        <f>(IF(B90&gt;2,(H90/(B90+2)+J97),0))</f>
        <v>0</v>
      </c>
    </row>
    <row r="99" spans="1:19" ht="15.75" hidden="1" customHeight="1" x14ac:dyDescent="0.25">
      <c r="A99" s="168" t="s">
        <v>128</v>
      </c>
      <c r="B99" s="136" t="s">
        <v>128</v>
      </c>
      <c r="C99" s="83">
        <v>0</v>
      </c>
      <c r="D99" s="19">
        <f ca="1">((100/H90)*C99)/100</f>
        <v>0</v>
      </c>
      <c r="E99" s="260"/>
      <c r="F99" s="269"/>
      <c r="G99" s="260"/>
      <c r="H99" s="261"/>
      <c r="I99" s="13" t="s">
        <v>141</v>
      </c>
      <c r="J99" s="31">
        <f>(IF(B90&gt;3,(H90/(B90+2)+J98),0))</f>
        <v>0</v>
      </c>
    </row>
    <row r="100" spans="1:19" ht="15.75" hidden="1" customHeight="1" x14ac:dyDescent="0.25">
      <c r="A100" s="168" t="s">
        <v>135</v>
      </c>
      <c r="B100" s="136"/>
      <c r="C100" s="83">
        <v>0</v>
      </c>
      <c r="D100" s="19">
        <f ca="1">((100/H90)*C100)/100</f>
        <v>0</v>
      </c>
      <c r="E100" s="260"/>
      <c r="F100" s="269"/>
      <c r="G100" s="260"/>
      <c r="H100" s="261"/>
      <c r="I100" s="13" t="s">
        <v>142</v>
      </c>
      <c r="J100" s="30">
        <f>(IF(B90&gt;4,(H90/(B90+2)+J99),0))</f>
        <v>0</v>
      </c>
    </row>
    <row r="101" spans="1:19" ht="15.75" hidden="1" customHeight="1" x14ac:dyDescent="0.25">
      <c r="A101" s="168" t="s">
        <v>130</v>
      </c>
      <c r="B101" s="136" t="s">
        <v>130</v>
      </c>
      <c r="C101" s="83">
        <v>0</v>
      </c>
      <c r="D101" s="19">
        <f ca="1">((100/(H90))*C101)/100</f>
        <v>0</v>
      </c>
      <c r="E101" s="260"/>
      <c r="F101" s="269"/>
      <c r="G101" s="260"/>
      <c r="H101" s="261"/>
      <c r="I101" s="13" t="s">
        <v>146</v>
      </c>
      <c r="J101" s="30">
        <f ca="1">(IF(B90=1,(H90/(B90+3)+J96),IF(B90=0,(H90/4+J96),IF(B90&gt;1,0))))</f>
        <v>14.25</v>
      </c>
    </row>
    <row r="102" spans="1:19" ht="16.5" hidden="1" thickBot="1" x14ac:dyDescent="0.3">
      <c r="A102" s="170" t="s">
        <v>131</v>
      </c>
      <c r="B102" s="171"/>
      <c r="C102" s="82">
        <v>0</v>
      </c>
      <c r="D102" s="20">
        <f ca="1">((100/(H90))*C102)/100</f>
        <v>0</v>
      </c>
      <c r="E102" s="262"/>
      <c r="F102" s="270"/>
      <c r="G102" s="262"/>
      <c r="H102" s="263"/>
      <c r="I102" s="15" t="s">
        <v>100</v>
      </c>
      <c r="J102" s="32">
        <f ca="1">(IF(B90&gt;1.5,(H90/(B90+2)+J96+MAX(0,J97-J96)+MAX(0,J98-J97)+MAX(0,J99-J98)+MAX(0,J100-J99)+MAX(0,J101-J100)),IF(B90=1,(H90/(B90+3)+J101),IF(B90=0,H90/4+J101))))</f>
        <v>19</v>
      </c>
    </row>
    <row r="103" spans="1:19" ht="15.75" hidden="1" customHeight="1" x14ac:dyDescent="0.25">
      <c r="A103" s="271" t="s">
        <v>137</v>
      </c>
      <c r="B103" s="272"/>
      <c r="C103" s="273" t="str">
        <f>D67</f>
        <v>C Wing = 1B + G + 1st to 20th Floor</v>
      </c>
      <c r="D103" s="274"/>
      <c r="E103" s="274"/>
      <c r="F103" s="274"/>
      <c r="G103" s="274"/>
      <c r="H103" s="275"/>
      <c r="I103" s="46" t="str">
        <f ca="1">IF(D116=100%,"All work Completed. Possession granted to the Building.",IF(D115=100%,"All work Completed, Waiting for OC",I104&amp;""&amp;I105&amp;""&amp;J104&amp;""&amp;J103&amp;" "&amp;J105))</f>
        <v xml:space="preserve">Excavation, Plinth Completed </v>
      </c>
      <c r="J103" s="47"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c r="S103"/>
    </row>
    <row r="104" spans="1:19" hidden="1" x14ac:dyDescent="0.25">
      <c r="A104" s="16" t="s">
        <v>139</v>
      </c>
      <c r="B104" s="50">
        <f>IF(AND(ISNUMBER(SEARCH("1B",C103))),1,IF(AND(ISNUMBER(SEARCH("2B",C103))),2,IF(AND(ISNUMBER(SEARCH("3B",C103))),3,IF(AND(ISNUMBER(SEARCH("4B",C103))),4,IF(ISNUMBER(SEARCH("5B",C103)),5,0)))))</f>
        <v>1</v>
      </c>
      <c r="C104" s="50" t="s">
        <v>69</v>
      </c>
      <c r="D104" s="50">
        <v>1</v>
      </c>
      <c r="E104" s="50" t="s">
        <v>68</v>
      </c>
      <c r="F104" s="14">
        <v>0</v>
      </c>
      <c r="G104" s="45" t="s">
        <v>77</v>
      </c>
      <c r="H104" s="17">
        <f ca="1">--TRIM(RIGHT(SUBSTITUTE(LEFT(C103,_xlfn.AGGREGATE(16,6,FIND({0,1,2,3,4,5,6,7,8,9},C103,ROW(INDIRECT("1:"&amp;LEN(C103)))),1))," ",REPT(" ",LEN(C103))),LEN(C103)))</f>
        <v>20</v>
      </c>
      <c r="I104" s="48" t="str">
        <f ca="1">IF(D107=100%,"Excavation","")&amp;IF(D108=100%,", Plinth","")&amp;IF(D109=100%,", RCC Slab","")&amp;IF(D110=100%,", Brickwork","")&amp;IF(D111=100%,", Internal Plaster","")&amp;IF(D112=100%,", External Plaster","")&amp;IF(D113=100%,", Flooring","")&amp;IF(D114=100%,", Painting","")&amp;IF(D115=100%,", Building common Amenities","")</f>
        <v>Excavation, Plinth</v>
      </c>
      <c r="J104" s="49"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c r="S104"/>
    </row>
    <row r="105" spans="1:19" hidden="1" x14ac:dyDescent="0.25">
      <c r="A105" s="264" t="s">
        <v>87</v>
      </c>
      <c r="B105" s="205"/>
      <c r="C105" s="231" t="str">
        <f ca="1">I103</f>
        <v xml:space="preserve">Excavation, Plinth Completed </v>
      </c>
      <c r="D105" s="231"/>
      <c r="E105" s="231"/>
      <c r="F105" s="231"/>
      <c r="G105" s="231"/>
      <c r="H105" s="257"/>
      <c r="I105" s="48" t="str">
        <f ca="1">IF(I104&lt;&gt;""," Completed","")</f>
        <v xml:space="preserve"> Completed</v>
      </c>
      <c r="J105" s="49" t="str">
        <f ca="1">IF(J103&lt;&gt;"","Completed","")</f>
        <v/>
      </c>
      <c r="S105"/>
    </row>
    <row r="106" spans="1:19" ht="15.75" hidden="1" customHeight="1" x14ac:dyDescent="0.25">
      <c r="A106" s="168" t="s">
        <v>47</v>
      </c>
      <c r="B106" s="136"/>
      <c r="C106" s="83" t="s">
        <v>136</v>
      </c>
      <c r="D106" s="83" t="s">
        <v>80</v>
      </c>
      <c r="E106" s="136" t="s">
        <v>82</v>
      </c>
      <c r="F106" s="136"/>
      <c r="G106" s="136" t="s">
        <v>81</v>
      </c>
      <c r="H106" s="267"/>
      <c r="I106" s="13" t="s">
        <v>138</v>
      </c>
      <c r="J106" s="28">
        <f ca="1">H104*25%</f>
        <v>5</v>
      </c>
      <c r="S106"/>
    </row>
    <row r="107" spans="1:19" hidden="1" x14ac:dyDescent="0.25">
      <c r="A107" s="168" t="s">
        <v>125</v>
      </c>
      <c r="B107" s="136"/>
      <c r="C107" s="61">
        <f ca="1">J108</f>
        <v>20</v>
      </c>
      <c r="D107" s="19">
        <f ca="1">((100/H104)*C107)/100</f>
        <v>1</v>
      </c>
      <c r="E107" s="258">
        <f ca="1">(((C108/H104*10)+(40/(D104+F104+H104)*C109)+(7.5/(H104)*C110)+(7.5/(H104)*C111)+(10/H104*C112)+(10/H104*C113)+(5/H104*C114)+(5/H104*C115)+(5/H104*C116))/100)</f>
        <v>0.1</v>
      </c>
      <c r="F107" s="268"/>
      <c r="G107" s="258">
        <f ca="1">((((C107/H104)*20)+((C108/H104)*25)+(30/(H104+F104+D104)*C109)+(5/H104*C110)+(5/H104*C111)+(5/H104*C112)+(5/H104*C113)+(0/H104*C114)+(0/H104*C115)+(5/H104*C116))/100)</f>
        <v>0.45</v>
      </c>
      <c r="H107" s="259"/>
      <c r="I107" s="13" t="s">
        <v>96</v>
      </c>
      <c r="J107" s="29">
        <f ca="1">H104*50%</f>
        <v>10</v>
      </c>
    </row>
    <row r="108" spans="1:19" hidden="1" x14ac:dyDescent="0.25">
      <c r="A108" s="168" t="s">
        <v>48</v>
      </c>
      <c r="B108" s="136"/>
      <c r="C108" s="83">
        <f ca="1">J116</f>
        <v>20</v>
      </c>
      <c r="D108" s="19">
        <f ca="1">((100/H104)*C108)/100</f>
        <v>1</v>
      </c>
      <c r="E108" s="260"/>
      <c r="F108" s="269"/>
      <c r="G108" s="260"/>
      <c r="H108" s="261"/>
      <c r="I108" s="13" t="s">
        <v>97</v>
      </c>
      <c r="J108" s="29">
        <f ca="1">H104</f>
        <v>20</v>
      </c>
      <c r="S108"/>
    </row>
    <row r="109" spans="1:19" ht="15.75" hidden="1" customHeight="1" x14ac:dyDescent="0.25">
      <c r="A109" s="168" t="s">
        <v>126</v>
      </c>
      <c r="B109" s="136"/>
      <c r="C109" s="83">
        <v>0</v>
      </c>
      <c r="D109" s="19">
        <f ca="1">((100/(D104+F104+H104))*C109)/100</f>
        <v>0</v>
      </c>
      <c r="E109" s="260"/>
      <c r="F109" s="269"/>
      <c r="G109" s="260"/>
      <c r="H109" s="261"/>
      <c r="I109" s="13" t="s">
        <v>98</v>
      </c>
      <c r="J109" s="30">
        <f ca="1">(IF(B104&gt;1,(H104/(B104+2)),H104/4))</f>
        <v>5</v>
      </c>
      <c r="S109"/>
    </row>
    <row r="110" spans="1:19" ht="15.75" hidden="1" customHeight="1" x14ac:dyDescent="0.25">
      <c r="A110" s="168" t="s">
        <v>133</v>
      </c>
      <c r="B110" s="136" t="s">
        <v>127</v>
      </c>
      <c r="C110" s="83">
        <v>0</v>
      </c>
      <c r="D110" s="19">
        <f ca="1">((100/H104)*C110)/100</f>
        <v>0</v>
      </c>
      <c r="E110" s="260"/>
      <c r="F110" s="269"/>
      <c r="G110" s="260"/>
      <c r="H110" s="261"/>
      <c r="I110" s="13" t="s">
        <v>99</v>
      </c>
      <c r="J110" s="30">
        <f ca="1">(IF(B104&gt;1,(H104/(B104+2)+J109),H104/4+J109))</f>
        <v>10</v>
      </c>
    </row>
    <row r="111" spans="1:19" ht="15.75" hidden="1" customHeight="1" x14ac:dyDescent="0.25">
      <c r="A111" s="168" t="s">
        <v>134</v>
      </c>
      <c r="B111" s="136" t="s">
        <v>127</v>
      </c>
      <c r="C111" s="83">
        <v>0</v>
      </c>
      <c r="D111" s="19">
        <f ca="1">((100/H104)*C111)/100</f>
        <v>0</v>
      </c>
      <c r="E111" s="260"/>
      <c r="F111" s="269"/>
      <c r="G111" s="260"/>
      <c r="H111" s="261"/>
      <c r="I111" s="13" t="s">
        <v>145</v>
      </c>
      <c r="J111" s="30">
        <f>(IF(B104&gt;1,(H104/(B104+2)+J110),0))</f>
        <v>0</v>
      </c>
    </row>
    <row r="112" spans="1:19" ht="15" hidden="1" customHeight="1" x14ac:dyDescent="0.25">
      <c r="A112" s="168" t="s">
        <v>132</v>
      </c>
      <c r="B112" s="136" t="s">
        <v>129</v>
      </c>
      <c r="C112" s="83">
        <v>0</v>
      </c>
      <c r="D112" s="19">
        <f ca="1">((100/(H104))*C112)/100</f>
        <v>0</v>
      </c>
      <c r="E112" s="260"/>
      <c r="F112" s="269"/>
      <c r="G112" s="260"/>
      <c r="H112" s="261"/>
      <c r="I112" s="13" t="s">
        <v>140</v>
      </c>
      <c r="J112" s="30">
        <f>(IF(B104&gt;2,(H104/(B104+2)+J111),0))</f>
        <v>0</v>
      </c>
    </row>
    <row r="113" spans="1:22" ht="15.75" hidden="1" customHeight="1" x14ac:dyDescent="0.25">
      <c r="A113" s="168" t="s">
        <v>128</v>
      </c>
      <c r="B113" s="136" t="s">
        <v>128</v>
      </c>
      <c r="C113" s="83">
        <v>0</v>
      </c>
      <c r="D113" s="19">
        <f ca="1">((100/H104)*C113)/100</f>
        <v>0</v>
      </c>
      <c r="E113" s="260"/>
      <c r="F113" s="269"/>
      <c r="G113" s="260"/>
      <c r="H113" s="261"/>
      <c r="I113" s="13" t="s">
        <v>141</v>
      </c>
      <c r="J113" s="31">
        <f>(IF(B104&gt;3,(H104/(B104+2)+J112),0))</f>
        <v>0</v>
      </c>
    </row>
    <row r="114" spans="1:22" ht="15.75" hidden="1" customHeight="1" x14ac:dyDescent="0.25">
      <c r="A114" s="168" t="s">
        <v>135</v>
      </c>
      <c r="B114" s="136"/>
      <c r="C114" s="83">
        <v>0</v>
      </c>
      <c r="D114" s="19">
        <f ca="1">((100/H104)*C114)/100</f>
        <v>0</v>
      </c>
      <c r="E114" s="260"/>
      <c r="F114" s="269"/>
      <c r="G114" s="260"/>
      <c r="H114" s="261"/>
      <c r="I114" s="13" t="s">
        <v>142</v>
      </c>
      <c r="J114" s="30">
        <f>(IF(B104&gt;4,(H104/(B104+2)+J113),0))</f>
        <v>0</v>
      </c>
    </row>
    <row r="115" spans="1:22" ht="15.75" hidden="1" customHeight="1" x14ac:dyDescent="0.25">
      <c r="A115" s="168" t="s">
        <v>130</v>
      </c>
      <c r="B115" s="136" t="s">
        <v>130</v>
      </c>
      <c r="C115" s="83">
        <v>0</v>
      </c>
      <c r="D115" s="19">
        <f ca="1">((100/(H104))*C115)/100</f>
        <v>0</v>
      </c>
      <c r="E115" s="260"/>
      <c r="F115" s="269"/>
      <c r="G115" s="260"/>
      <c r="H115" s="261"/>
      <c r="I115" s="13" t="s">
        <v>146</v>
      </c>
      <c r="J115" s="30">
        <f ca="1">(IF(B104=1,(H104/(B104+3)+J110),IF(B104=0,(H104/4+J110),IF(B104&gt;1,0))))</f>
        <v>15</v>
      </c>
    </row>
    <row r="116" spans="1:22" ht="16.5" hidden="1" thickBot="1" x14ac:dyDescent="0.3">
      <c r="A116" s="170" t="s">
        <v>131</v>
      </c>
      <c r="B116" s="171"/>
      <c r="C116" s="82">
        <v>0</v>
      </c>
      <c r="D116" s="20">
        <f ca="1">((100/(H104))*C116)/100</f>
        <v>0</v>
      </c>
      <c r="E116" s="262"/>
      <c r="F116" s="270"/>
      <c r="G116" s="262"/>
      <c r="H116" s="263"/>
      <c r="I116" s="15" t="s">
        <v>100</v>
      </c>
      <c r="J116" s="32">
        <f ca="1">(IF(B104&gt;1.5,(H104/(B104+2)+J110+MAX(0,J111-J110)+MAX(0,J112-J111)+MAX(0,J113-J112)+MAX(0,J114-J113)+MAX(0,J115-J114)),IF(B104=1,(H104/(B104+3)+J115),IF(B104=0,H104/4+J115))))</f>
        <v>20</v>
      </c>
    </row>
    <row r="117" spans="1:22" x14ac:dyDescent="0.25">
      <c r="A117" s="164" t="s">
        <v>157</v>
      </c>
      <c r="B117" s="164"/>
      <c r="C117" s="164"/>
      <c r="D117" s="164"/>
      <c r="E117" s="164"/>
      <c r="F117" s="182" t="s">
        <v>159</v>
      </c>
      <c r="G117" s="182"/>
      <c r="H117" s="182"/>
      <c r="R117" t="s">
        <v>251</v>
      </c>
      <c r="S117" t="s">
        <v>172</v>
      </c>
      <c r="T117" t="s">
        <v>178</v>
      </c>
      <c r="U117" t="s">
        <v>192</v>
      </c>
      <c r="V117" t="s">
        <v>187</v>
      </c>
    </row>
    <row r="118" spans="1:22" x14ac:dyDescent="0.25">
      <c r="A118" s="135" t="s">
        <v>158</v>
      </c>
      <c r="B118" s="135"/>
      <c r="C118" s="135"/>
      <c r="D118" s="135"/>
      <c r="E118" s="135"/>
      <c r="F118" s="148">
        <v>7500</v>
      </c>
      <c r="G118" s="148"/>
      <c r="H118" s="148"/>
      <c r="I118" s="21" t="s">
        <v>417</v>
      </c>
      <c r="J118" s="21" t="s">
        <v>418</v>
      </c>
      <c r="K118" s="25">
        <v>45909</v>
      </c>
      <c r="R118"/>
      <c r="S118">
        <v>800000</v>
      </c>
      <c r="T118">
        <v>150000</v>
      </c>
      <c r="U118">
        <v>100000</v>
      </c>
      <c r="V118">
        <v>100000</v>
      </c>
    </row>
    <row r="119" spans="1:22" x14ac:dyDescent="0.25">
      <c r="A119" s="135" t="s">
        <v>396</v>
      </c>
      <c r="B119" s="135"/>
      <c r="C119" s="135"/>
      <c r="D119" s="135"/>
      <c r="E119" s="135"/>
      <c r="F119" s="148">
        <v>90000</v>
      </c>
      <c r="G119" s="148"/>
      <c r="H119" s="148"/>
      <c r="R119"/>
      <c r="S119">
        <v>900000</v>
      </c>
      <c r="T119">
        <v>200000</v>
      </c>
      <c r="U119">
        <v>150000</v>
      </c>
      <c r="V119">
        <v>150000</v>
      </c>
    </row>
    <row r="120" spans="1:22" x14ac:dyDescent="0.25">
      <c r="A120" s="135" t="s">
        <v>397</v>
      </c>
      <c r="B120" s="135"/>
      <c r="C120" s="135"/>
      <c r="D120" s="135"/>
      <c r="E120" s="135"/>
      <c r="F120" s="148">
        <v>140000</v>
      </c>
      <c r="G120" s="148"/>
      <c r="H120" s="148"/>
      <c r="R120"/>
      <c r="S120">
        <v>1000000</v>
      </c>
      <c r="T120">
        <v>250000</v>
      </c>
      <c r="U120">
        <v>200000</v>
      </c>
      <c r="V120">
        <v>200000</v>
      </c>
    </row>
    <row r="121" spans="1:22" s="33" customFormat="1" x14ac:dyDescent="0.25">
      <c r="A121" s="135" t="s">
        <v>398</v>
      </c>
      <c r="B121" s="135"/>
      <c r="C121" s="135"/>
      <c r="D121" s="135"/>
      <c r="E121" s="135"/>
      <c r="F121" s="148">
        <v>150000</v>
      </c>
      <c r="G121" s="148"/>
      <c r="H121" s="148"/>
      <c r="R121"/>
      <c r="S121">
        <v>1100000</v>
      </c>
      <c r="T121">
        <v>300000</v>
      </c>
      <c r="U121">
        <v>250000</v>
      </c>
      <c r="V121" s="23">
        <v>250000</v>
      </c>
    </row>
    <row r="122" spans="1:22" s="33" customFormat="1" x14ac:dyDescent="0.25">
      <c r="A122" s="135" t="s">
        <v>399</v>
      </c>
      <c r="B122" s="135"/>
      <c r="C122" s="135"/>
      <c r="D122" s="135"/>
      <c r="E122" s="135"/>
      <c r="F122" s="148">
        <v>20000</v>
      </c>
      <c r="G122" s="148"/>
      <c r="H122" s="148"/>
      <c r="R122"/>
      <c r="S122">
        <v>1200000</v>
      </c>
      <c r="T122">
        <v>350000</v>
      </c>
      <c r="U122">
        <v>300000</v>
      </c>
      <c r="V122">
        <v>300000</v>
      </c>
    </row>
    <row r="123" spans="1:22" s="33" customFormat="1" hidden="1" x14ac:dyDescent="0.25">
      <c r="A123" s="135" t="s">
        <v>91</v>
      </c>
      <c r="B123" s="135"/>
      <c r="C123" s="135"/>
      <c r="D123" s="135"/>
      <c r="E123" s="135"/>
      <c r="F123" s="148"/>
      <c r="G123" s="148"/>
      <c r="H123" s="148"/>
      <c r="R123"/>
      <c r="S123">
        <v>1300000</v>
      </c>
      <c r="T123">
        <v>400000</v>
      </c>
      <c r="U123">
        <v>350000</v>
      </c>
      <c r="V123" s="23">
        <v>400000</v>
      </c>
    </row>
    <row r="124" spans="1:22" s="33" customFormat="1" hidden="1" x14ac:dyDescent="0.25">
      <c r="A124" s="135" t="s">
        <v>92</v>
      </c>
      <c r="B124" s="135"/>
      <c r="C124" s="135"/>
      <c r="D124" s="135"/>
      <c r="E124" s="135"/>
      <c r="F124" s="148"/>
      <c r="G124" s="148"/>
      <c r="H124" s="148"/>
      <c r="R124"/>
      <c r="S124">
        <v>1400000</v>
      </c>
      <c r="T124">
        <v>500000</v>
      </c>
      <c r="U124">
        <v>400000</v>
      </c>
      <c r="V124"/>
    </row>
    <row r="125" spans="1:22" s="33" customFormat="1" hidden="1" x14ac:dyDescent="0.25">
      <c r="A125" s="135" t="s">
        <v>93</v>
      </c>
      <c r="B125" s="135"/>
      <c r="C125" s="135"/>
      <c r="D125" s="135"/>
      <c r="E125" s="135"/>
      <c r="F125" s="148"/>
      <c r="G125" s="148"/>
      <c r="H125" s="148"/>
      <c r="R125"/>
      <c r="S125">
        <v>1500000</v>
      </c>
      <c r="T125">
        <v>600000</v>
      </c>
      <c r="U125">
        <v>500000</v>
      </c>
      <c r="V125" s="23"/>
    </row>
    <row r="126" spans="1:22" s="33" customFormat="1" hidden="1" x14ac:dyDescent="0.25">
      <c r="A126" s="135" t="s">
        <v>94</v>
      </c>
      <c r="B126" s="135"/>
      <c r="C126" s="135"/>
      <c r="D126" s="135"/>
      <c r="E126" s="135"/>
      <c r="F126" s="148"/>
      <c r="G126" s="148"/>
      <c r="H126" s="148"/>
      <c r="R126"/>
      <c r="S126">
        <v>1600000</v>
      </c>
      <c r="T126">
        <v>700000</v>
      </c>
      <c r="U126">
        <v>600000</v>
      </c>
      <c r="V126"/>
    </row>
    <row r="127" spans="1:22" s="33" customFormat="1" hidden="1" x14ac:dyDescent="0.25">
      <c r="A127" s="135" t="s">
        <v>95</v>
      </c>
      <c r="B127" s="135"/>
      <c r="C127" s="135"/>
      <c r="D127" s="135"/>
      <c r="E127" s="135"/>
      <c r="F127" s="148"/>
      <c r="G127" s="148"/>
      <c r="H127" s="148"/>
      <c r="R127"/>
      <c r="S127">
        <v>1700000</v>
      </c>
      <c r="T127">
        <v>800000</v>
      </c>
      <c r="U127"/>
      <c r="V127" s="23"/>
    </row>
    <row r="128" spans="1:22" x14ac:dyDescent="0.25">
      <c r="A128" s="135" t="s">
        <v>49</v>
      </c>
      <c r="B128" s="135"/>
      <c r="C128" s="135"/>
      <c r="D128" s="135"/>
      <c r="E128" s="135"/>
      <c r="F128" s="198">
        <v>350000</v>
      </c>
      <c r="G128" s="198"/>
      <c r="H128" s="198"/>
      <c r="R128"/>
      <c r="S128">
        <v>1800000</v>
      </c>
      <c r="T128">
        <v>900000</v>
      </c>
      <c r="U128"/>
    </row>
    <row r="129" spans="1:22" s="34" customFormat="1" x14ac:dyDescent="0.25">
      <c r="A129" s="199" t="s">
        <v>50</v>
      </c>
      <c r="B129" s="199"/>
      <c r="C129" s="199"/>
      <c r="D129" s="199"/>
      <c r="E129" s="199"/>
      <c r="F129" s="148">
        <f>F118*0.8</f>
        <v>6000</v>
      </c>
      <c r="G129" s="148"/>
      <c r="H129" s="148"/>
      <c r="R129" s="21"/>
      <c r="S129" s="21"/>
      <c r="T129">
        <v>1000000</v>
      </c>
      <c r="U129"/>
      <c r="V129" s="21"/>
    </row>
    <row r="130" spans="1:22" s="35" customFormat="1" ht="15.75" hidden="1" customHeight="1" x14ac:dyDescent="0.25">
      <c r="A130" s="197" t="s">
        <v>72</v>
      </c>
      <c r="B130" s="197"/>
      <c r="C130" s="197"/>
      <c r="D130" s="197"/>
      <c r="E130" s="197"/>
      <c r="F130" s="197"/>
      <c r="G130" s="197"/>
      <c r="H130" s="197"/>
      <c r="R130"/>
      <c r="S130" s="21"/>
      <c r="T130"/>
      <c r="U130"/>
      <c r="V130" s="21"/>
    </row>
    <row r="131" spans="1:22" s="35" customFormat="1" ht="15.75" hidden="1" customHeight="1" x14ac:dyDescent="0.25">
      <c r="A131" s="150" t="s">
        <v>51</v>
      </c>
      <c r="B131" s="150"/>
      <c r="C131" s="156" t="s">
        <v>75</v>
      </c>
      <c r="D131" s="156"/>
      <c r="E131" s="154" t="s">
        <v>52</v>
      </c>
      <c r="F131" s="154"/>
      <c r="G131" s="150" t="s">
        <v>53</v>
      </c>
      <c r="H131" s="150"/>
      <c r="R131"/>
      <c r="S131" s="21"/>
      <c r="T131"/>
      <c r="U131" s="21"/>
      <c r="V131" s="21"/>
    </row>
    <row r="132" spans="1:22" s="35" customFormat="1" hidden="1" x14ac:dyDescent="0.25">
      <c r="A132" s="155"/>
      <c r="B132" s="155"/>
      <c r="C132" s="253"/>
      <c r="D132" s="253"/>
      <c r="E132" s="254"/>
      <c r="F132" s="254"/>
      <c r="G132" s="169"/>
      <c r="H132" s="169"/>
      <c r="R132"/>
      <c r="S132" s="21"/>
      <c r="T132"/>
      <c r="U132" s="21"/>
      <c r="V132" s="21"/>
    </row>
    <row r="133" spans="1:22" s="35" customFormat="1" hidden="1" x14ac:dyDescent="0.25">
      <c r="A133" s="155"/>
      <c r="B133" s="155"/>
      <c r="C133" s="253"/>
      <c r="D133" s="253"/>
      <c r="E133" s="254"/>
      <c r="F133" s="254"/>
      <c r="G133" s="169"/>
      <c r="H133" s="169"/>
      <c r="R133"/>
      <c r="S133" s="21"/>
      <c r="T133"/>
      <c r="U133" s="21"/>
      <c r="V133" s="21"/>
    </row>
    <row r="134" spans="1:22" s="35" customFormat="1" hidden="1" x14ac:dyDescent="0.25">
      <c r="A134" s="197" t="s">
        <v>150</v>
      </c>
      <c r="B134" s="197"/>
      <c r="C134" s="156"/>
      <c r="D134" s="156"/>
      <c r="E134" s="154"/>
      <c r="F134" s="154"/>
      <c r="G134" s="150"/>
      <c r="H134" s="150"/>
      <c r="R134"/>
      <c r="S134" s="21"/>
      <c r="T134"/>
      <c r="U134" s="21"/>
      <c r="V134" s="21"/>
    </row>
    <row r="135" spans="1:22" s="35" customFormat="1" x14ac:dyDescent="0.25">
      <c r="A135" s="197" t="s">
        <v>67</v>
      </c>
      <c r="B135" s="197"/>
      <c r="C135" s="197"/>
      <c r="D135" s="197"/>
      <c r="E135" s="197"/>
      <c r="F135" s="197"/>
      <c r="G135" s="197"/>
      <c r="H135" s="197"/>
      <c r="T135"/>
    </row>
    <row r="136" spans="1:22" s="35" customFormat="1" ht="15.75" customHeight="1" x14ac:dyDescent="0.25">
      <c r="A136" s="165" t="s">
        <v>51</v>
      </c>
      <c r="B136" s="165"/>
      <c r="C136" s="156" t="s">
        <v>75</v>
      </c>
      <c r="D136" s="156"/>
      <c r="E136" s="154" t="s">
        <v>52</v>
      </c>
      <c r="F136" s="154"/>
      <c r="G136" s="150" t="s">
        <v>53</v>
      </c>
      <c r="H136" s="150"/>
      <c r="T136"/>
    </row>
    <row r="137" spans="1:22" s="35" customFormat="1" ht="31.5" customHeight="1" x14ac:dyDescent="0.25">
      <c r="A137" s="179" t="s">
        <v>401</v>
      </c>
      <c r="B137" s="92" t="s">
        <v>375</v>
      </c>
      <c r="C137" s="244">
        <f>COUNT(D158:D168)*12+COUNT(D170:D178)*2</f>
        <v>150</v>
      </c>
      <c r="D137" s="244"/>
      <c r="E137" s="244">
        <f>SUM(F158:F168)*12+SUM(F170:F178)*2</f>
        <v>48599.46</v>
      </c>
      <c r="F137" s="244"/>
      <c r="G137" s="244">
        <f>SUM(H158:H168)*12+SUM(H170:H178)*2</f>
        <v>72899.19</v>
      </c>
      <c r="H137" s="244"/>
      <c r="T137"/>
    </row>
    <row r="138" spans="1:22" s="35" customFormat="1" ht="31.5" customHeight="1" x14ac:dyDescent="0.25">
      <c r="A138" s="180"/>
      <c r="B138" s="92" t="s">
        <v>388</v>
      </c>
      <c r="C138" s="244">
        <f>COUNT(D184:D192)*12+COUNT(D194:D202)*2</f>
        <v>126</v>
      </c>
      <c r="D138" s="244"/>
      <c r="E138" s="244">
        <f>SUM(D184:D192)*12+SUM(D194:D202)*2</f>
        <v>40823.546399999999</v>
      </c>
      <c r="F138" s="244"/>
      <c r="G138" s="244">
        <f>SUM(F184:F192)*12+SUM(F194:F202)*2</f>
        <v>40823.546399999999</v>
      </c>
      <c r="H138" s="244"/>
      <c r="T138"/>
    </row>
    <row r="139" spans="1:22" s="35" customFormat="1" x14ac:dyDescent="0.25">
      <c r="A139" s="197" t="s">
        <v>150</v>
      </c>
      <c r="B139" s="197"/>
      <c r="C139" s="172">
        <f>C137+C138</f>
        <v>276</v>
      </c>
      <c r="D139" s="156"/>
      <c r="E139" s="172">
        <f t="shared" ref="E139" si="0">E137+E138</f>
        <v>89423.006399999998</v>
      </c>
      <c r="F139" s="156"/>
      <c r="G139" s="172">
        <f>G137+G138</f>
        <v>113722.73639999999</v>
      </c>
      <c r="H139" s="156"/>
      <c r="T139"/>
    </row>
    <row r="140" spans="1:22" s="35" customFormat="1" ht="16.5" hidden="1" thickBot="1" x14ac:dyDescent="0.3">
      <c r="A140" s="173" t="s">
        <v>165</v>
      </c>
      <c r="B140" s="174"/>
      <c r="C140" s="201">
        <f>C134+C139</f>
        <v>276</v>
      </c>
      <c r="D140" s="201"/>
      <c r="E140" s="181">
        <f>E134+E139</f>
        <v>89423.006399999998</v>
      </c>
      <c r="F140" s="181"/>
      <c r="G140" s="242">
        <f>G134+G139</f>
        <v>113722.73639999999</v>
      </c>
      <c r="H140" s="243"/>
      <c r="T140"/>
    </row>
    <row r="141" spans="1:22" s="34" customFormat="1" x14ac:dyDescent="0.25">
      <c r="A141" s="184" t="s">
        <v>54</v>
      </c>
      <c r="B141" s="184"/>
      <c r="C141" s="184"/>
      <c r="D141" s="184"/>
      <c r="E141" s="184"/>
      <c r="F141" s="184"/>
      <c r="G141" s="184"/>
      <c r="H141" s="184"/>
      <c r="T141" s="35"/>
    </row>
    <row r="142" spans="1:22" x14ac:dyDescent="0.25">
      <c r="A142" s="149" t="s">
        <v>414</v>
      </c>
      <c r="B142" s="149"/>
      <c r="C142" s="149"/>
      <c r="D142" s="149"/>
      <c r="E142" s="149"/>
      <c r="F142" s="149"/>
      <c r="G142" s="149"/>
      <c r="H142" s="149"/>
      <c r="T142" s="35"/>
    </row>
    <row r="143" spans="1:22" ht="47.25" hidden="1" customHeight="1" x14ac:dyDescent="0.25">
      <c r="A143" s="187" t="s">
        <v>117</v>
      </c>
      <c r="B143" s="255" t="s">
        <v>174</v>
      </c>
      <c r="C143" s="187" t="s">
        <v>55</v>
      </c>
      <c r="D143" s="255" t="s">
        <v>230</v>
      </c>
      <c r="E143" s="250" t="s">
        <v>156</v>
      </c>
      <c r="F143" s="187" t="s">
        <v>56</v>
      </c>
      <c r="G143" s="189" t="s">
        <v>57</v>
      </c>
      <c r="H143" s="69" t="s">
        <v>148</v>
      </c>
      <c r="T143" s="35"/>
    </row>
    <row r="144" spans="1:22" s="37" customFormat="1" hidden="1" x14ac:dyDescent="0.25">
      <c r="A144" s="188"/>
      <c r="B144" s="256"/>
      <c r="C144" s="188"/>
      <c r="D144" s="256"/>
      <c r="E144" s="251"/>
      <c r="F144" s="188"/>
      <c r="G144" s="190"/>
      <c r="H144" s="55">
        <v>0.45</v>
      </c>
      <c r="T144" s="35"/>
    </row>
    <row r="145" spans="1:20" s="37" customFormat="1" hidden="1" x14ac:dyDescent="0.25">
      <c r="A145" s="129" t="s">
        <v>115</v>
      </c>
      <c r="B145" s="130"/>
      <c r="C145" s="130"/>
      <c r="D145" s="130"/>
      <c r="E145" s="130"/>
      <c r="F145" s="130"/>
      <c r="G145" s="130"/>
      <c r="H145" s="131"/>
      <c r="J145" s="36"/>
      <c r="T145" s="35"/>
    </row>
    <row r="146" spans="1:20" s="37" customFormat="1" ht="15.75" hidden="1" customHeight="1" x14ac:dyDescent="0.25">
      <c r="A146" s="132">
        <v>1</v>
      </c>
      <c r="B146" s="133"/>
      <c r="C146" s="42"/>
      <c r="D146" s="42">
        <v>0</v>
      </c>
      <c r="E146" s="42">
        <v>0</v>
      </c>
      <c r="F146" s="62">
        <f>D146+(IF(E146&lt;201,E146,IF(E146&lt;301,E146/2,E146/3)))</f>
        <v>0</v>
      </c>
      <c r="G146" s="63">
        <v>0</v>
      </c>
      <c r="H146" s="62">
        <f>(F146+(IF(G146&lt;101,G146,IF(G146&lt;201,G146/2,IF(G146&lt;=301,G146/3,G146/4)))))*(($H$144)+1)</f>
        <v>0</v>
      </c>
      <c r="I146" s="36"/>
      <c r="L146" s="127"/>
      <c r="M146" s="127"/>
      <c r="N146" s="36"/>
      <c r="T146" s="35"/>
    </row>
    <row r="147" spans="1:20" s="37" customFormat="1" ht="15.75" hidden="1" customHeight="1" x14ac:dyDescent="0.25">
      <c r="A147" s="132">
        <f>A146+1</f>
        <v>2</v>
      </c>
      <c r="B147" s="133"/>
      <c r="C147" s="42"/>
      <c r="D147" s="42"/>
      <c r="E147" s="42">
        <v>0</v>
      </c>
      <c r="F147" s="62">
        <f>D147+(IF(E147&lt;201,E147,IF(E147&lt;301,E147/2,E147/3)))</f>
        <v>0</v>
      </c>
      <c r="G147" s="54">
        <v>0</v>
      </c>
      <c r="H147" s="62">
        <f>(F147+(IF(G147&lt;101,G147,IF(G147&lt;201,G147/2,IF(G147&lt;=301,G147/3,G147/4)))))*(($H$144)+1)</f>
        <v>0</v>
      </c>
      <c r="I147" s="36"/>
      <c r="L147" s="127"/>
      <c r="M147" s="127"/>
      <c r="N147" s="36"/>
      <c r="T147" s="34"/>
    </row>
    <row r="148" spans="1:20" s="37" customFormat="1" ht="15.75" hidden="1" customHeight="1" x14ac:dyDescent="0.25">
      <c r="A148" s="132">
        <f>A147+1</f>
        <v>3</v>
      </c>
      <c r="B148" s="133"/>
      <c r="C148" s="42"/>
      <c r="D148" s="42"/>
      <c r="E148" s="42">
        <v>0</v>
      </c>
      <c r="F148" s="62">
        <f>D148+(IF(E148&lt;201,E148,IF(E148&lt;301,E148/2,E148/3)))</f>
        <v>0</v>
      </c>
      <c r="G148" s="54">
        <v>0</v>
      </c>
      <c r="H148" s="62">
        <f>(F148+(IF(G148&lt;101,G148,IF(G148&lt;201,G148/2,IF(G148&lt;=301,G148/3,G148/4)))))*(($H$144)+1)</f>
        <v>0</v>
      </c>
      <c r="I148" s="36"/>
      <c r="L148" s="127"/>
      <c r="M148" s="127"/>
      <c r="N148" s="36"/>
      <c r="T148" s="21"/>
    </row>
    <row r="149" spans="1:20" s="37" customFormat="1" ht="15.75" hidden="1" customHeight="1" x14ac:dyDescent="0.25">
      <c r="A149" s="132">
        <f>A148+1</f>
        <v>4</v>
      </c>
      <c r="B149" s="133"/>
      <c r="C149" s="42"/>
      <c r="D149" s="42"/>
      <c r="E149" s="42">
        <v>0</v>
      </c>
      <c r="F149" s="62">
        <f>D149+(IF(E149&lt;201,E149,IF(E149&lt;301,E149/2,E149/3)))</f>
        <v>0</v>
      </c>
      <c r="G149" s="54">
        <v>0</v>
      </c>
      <c r="H149" s="62">
        <f>(F149+(IF(G149&lt;101,G149,IF(G149&lt;201,G149/2,IF(G149&lt;=301,G149/3,G149/4)))))*(($H$144)+1)</f>
        <v>0</v>
      </c>
      <c r="I149" s="36"/>
      <c r="L149" s="127"/>
      <c r="M149" s="127"/>
      <c r="N149" s="36"/>
      <c r="T149" s="21"/>
    </row>
    <row r="150" spans="1:20" s="37" customFormat="1" hidden="1" x14ac:dyDescent="0.25">
      <c r="A150" s="132"/>
      <c r="B150" s="183"/>
      <c r="C150" s="183"/>
      <c r="D150" s="183"/>
      <c r="E150" s="183"/>
      <c r="F150" s="183"/>
      <c r="G150" s="183"/>
      <c r="H150" s="133"/>
      <c r="I150" s="36"/>
      <c r="N150" s="36"/>
    </row>
    <row r="151" spans="1:20" ht="47.25" customHeight="1" x14ac:dyDescent="0.25">
      <c r="A151" s="185" t="s">
        <v>118</v>
      </c>
      <c r="B151" s="166" t="s">
        <v>175</v>
      </c>
      <c r="C151" s="187" t="s">
        <v>55</v>
      </c>
      <c r="D151" s="166" t="s">
        <v>230</v>
      </c>
      <c r="E151" s="166" t="s">
        <v>385</v>
      </c>
      <c r="F151" s="187" t="s">
        <v>56</v>
      </c>
      <c r="G151" s="189" t="s">
        <v>57</v>
      </c>
      <c r="H151" s="68" t="s">
        <v>148</v>
      </c>
      <c r="I151" s="36"/>
      <c r="K151" s="93">
        <v>10.763999999999999</v>
      </c>
      <c r="T151" s="37"/>
    </row>
    <row r="152" spans="1:20" s="37" customFormat="1" x14ac:dyDescent="0.25">
      <c r="A152" s="186"/>
      <c r="B152" s="167"/>
      <c r="C152" s="188"/>
      <c r="D152" s="167"/>
      <c r="E152" s="167"/>
      <c r="F152" s="188"/>
      <c r="G152" s="190"/>
      <c r="H152" s="103">
        <v>0.5</v>
      </c>
      <c r="I152" s="36"/>
    </row>
    <row r="153" spans="1:20" s="94" customFormat="1" x14ac:dyDescent="0.25">
      <c r="A153" s="129" t="s">
        <v>376</v>
      </c>
      <c r="B153" s="130"/>
      <c r="C153" s="130"/>
      <c r="D153" s="130"/>
      <c r="E153" s="130"/>
      <c r="F153" s="130"/>
      <c r="G153" s="130"/>
      <c r="H153" s="131"/>
      <c r="J153" s="36"/>
    </row>
    <row r="154" spans="1:20" s="94" customFormat="1" x14ac:dyDescent="0.25">
      <c r="A154" s="129" t="s">
        <v>402</v>
      </c>
      <c r="B154" s="130"/>
      <c r="C154" s="130"/>
      <c r="D154" s="130"/>
      <c r="E154" s="130"/>
      <c r="F154" s="130"/>
      <c r="G154" s="130"/>
      <c r="H154" s="131"/>
      <c r="I154" s="115"/>
      <c r="J154" s="116"/>
    </row>
    <row r="155" spans="1:20" s="94" customFormat="1" ht="15.75" customHeight="1" x14ac:dyDescent="0.25">
      <c r="A155" s="175" t="s">
        <v>375</v>
      </c>
      <c r="B155" s="176"/>
      <c r="C155" s="176"/>
      <c r="D155" s="176"/>
      <c r="E155" s="176"/>
      <c r="F155" s="176"/>
      <c r="G155" s="176"/>
      <c r="H155" s="177"/>
    </row>
    <row r="156" spans="1:20" s="94" customFormat="1" x14ac:dyDescent="0.25">
      <c r="A156" s="129" t="s">
        <v>377</v>
      </c>
      <c r="B156" s="130"/>
      <c r="C156" s="130"/>
      <c r="D156" s="130"/>
      <c r="E156" s="130"/>
      <c r="F156" s="130"/>
      <c r="G156" s="130"/>
      <c r="H156" s="131"/>
      <c r="J156" s="36"/>
    </row>
    <row r="157" spans="1:20" s="37" customFormat="1" ht="31.5" customHeight="1" x14ac:dyDescent="0.25">
      <c r="A157" s="129" t="s">
        <v>393</v>
      </c>
      <c r="B157" s="130"/>
      <c r="C157" s="130"/>
      <c r="D157" s="130"/>
      <c r="E157" s="130"/>
      <c r="F157" s="130"/>
      <c r="G157" s="130"/>
      <c r="H157" s="131"/>
      <c r="I157" s="37">
        <f>7+4+1</f>
        <v>12</v>
      </c>
      <c r="J157" s="36"/>
    </row>
    <row r="158" spans="1:20" s="37" customFormat="1" ht="15.75" customHeight="1" x14ac:dyDescent="0.25">
      <c r="A158" s="132">
        <v>1</v>
      </c>
      <c r="B158" s="133"/>
      <c r="C158" s="42" t="s">
        <v>384</v>
      </c>
      <c r="D158" s="93">
        <f>(30.1)*10.764</f>
        <v>323.99639999999999</v>
      </c>
      <c r="E158" s="42">
        <v>0</v>
      </c>
      <c r="F158" s="42">
        <f>D158+E158</f>
        <v>323.99639999999999</v>
      </c>
      <c r="G158" s="54">
        <v>0</v>
      </c>
      <c r="H158" s="54">
        <f>F158*(($H$152)+1)+(IF(G158&lt;101,G158,IF(G158&lt;201,G158/2,IF(G158&lt;=301,G158/3,G158/4))))</f>
        <v>485.99459999999999</v>
      </c>
      <c r="I158" s="36">
        <f>3.44*3.05+1.39*1.98+2.82*2.75+0.6*1.25+1.05*1.28+1.97*1.2+2.07*1.05+0.6*1.35</f>
        <v>28.4407</v>
      </c>
      <c r="L158" s="127"/>
      <c r="M158" s="127"/>
      <c r="N158" s="36"/>
    </row>
    <row r="159" spans="1:20" s="37" customFormat="1" ht="15.75" customHeight="1" x14ac:dyDescent="0.25">
      <c r="A159" s="132">
        <f>A158+1</f>
        <v>2</v>
      </c>
      <c r="B159" s="133"/>
      <c r="C159" s="93" t="s">
        <v>384</v>
      </c>
      <c r="D159" s="109">
        <f t="shared" ref="D159:D168" si="1">(30.1)*10.764</f>
        <v>323.99639999999999</v>
      </c>
      <c r="E159" s="42">
        <v>0</v>
      </c>
      <c r="F159" s="54">
        <f>D159+E159</f>
        <v>323.99639999999999</v>
      </c>
      <c r="G159" s="54">
        <v>0</v>
      </c>
      <c r="H159" s="54">
        <f>F159*(($H$152)+1)+(IF(G159&lt;101,G159,IF(G159&lt;201,G159/2,IF(G159&lt;=301,G159/3,G159/4))))</f>
        <v>485.99459999999999</v>
      </c>
      <c r="I159" s="36"/>
      <c r="L159" s="127"/>
      <c r="M159" s="127"/>
      <c r="N159" s="36"/>
    </row>
    <row r="160" spans="1:20" s="37" customFormat="1" ht="15.75" customHeight="1" x14ac:dyDescent="0.25">
      <c r="A160" s="132">
        <f>A159+1</f>
        <v>3</v>
      </c>
      <c r="B160" s="133"/>
      <c r="C160" s="93" t="s">
        <v>384</v>
      </c>
      <c r="D160" s="109">
        <f t="shared" si="1"/>
        <v>323.99639999999999</v>
      </c>
      <c r="E160" s="42">
        <v>0</v>
      </c>
      <c r="F160" s="54">
        <f>D160+E160</f>
        <v>323.99639999999999</v>
      </c>
      <c r="G160" s="54">
        <v>0</v>
      </c>
      <c r="H160" s="54">
        <f>F160*(($H$152)+1)+(IF(G160&lt;101,G160,IF(G160&lt;201,G160/2,IF(G160&lt;=301,G160/3,G160/4))))</f>
        <v>485.99459999999999</v>
      </c>
      <c r="I160" s="36"/>
      <c r="L160" s="127"/>
      <c r="M160" s="127"/>
      <c r="N160" s="36"/>
    </row>
    <row r="161" spans="1:20" s="37" customFormat="1" ht="15.75" customHeight="1" x14ac:dyDescent="0.25">
      <c r="A161" s="132">
        <f>A160+1</f>
        <v>4</v>
      </c>
      <c r="B161" s="133"/>
      <c r="C161" s="93" t="s">
        <v>384</v>
      </c>
      <c r="D161" s="109">
        <f t="shared" si="1"/>
        <v>323.99639999999999</v>
      </c>
      <c r="E161" s="42">
        <v>0</v>
      </c>
      <c r="F161" s="54">
        <f>D161+E161</f>
        <v>323.99639999999999</v>
      </c>
      <c r="G161" s="54">
        <v>0</v>
      </c>
      <c r="H161" s="54">
        <f>F161*(($H$152)+1)+(IF(G161&lt;101,G161,IF(G161&lt;201,G161/2,IF(G161&lt;=301,G161/3,G161/4))))</f>
        <v>485.99459999999999</v>
      </c>
      <c r="I161" s="36"/>
      <c r="L161" s="127"/>
      <c r="M161" s="127"/>
      <c r="N161" s="36"/>
      <c r="T161" s="21"/>
    </row>
    <row r="162" spans="1:20" s="94" customFormat="1" ht="15.75" customHeight="1" x14ac:dyDescent="0.25">
      <c r="A162" s="132">
        <f t="shared" ref="A162:A168" si="2">A161+1</f>
        <v>5</v>
      </c>
      <c r="B162" s="133"/>
      <c r="C162" s="93" t="s">
        <v>384</v>
      </c>
      <c r="D162" s="109">
        <f t="shared" si="1"/>
        <v>323.99639999999999</v>
      </c>
      <c r="E162" s="93">
        <v>0</v>
      </c>
      <c r="F162" s="93">
        <f t="shared" ref="F162:F166" si="3">D162+E162</f>
        <v>323.99639999999999</v>
      </c>
      <c r="G162" s="93">
        <v>0</v>
      </c>
      <c r="H162" s="93">
        <f t="shared" ref="H162:H166" si="4">F162*(($H$152)+1)+(IF(G162&lt;101,G162,IF(G162&lt;201,G162/2,IF(G162&lt;=301,G162/3,G162/4))))</f>
        <v>485.99459999999999</v>
      </c>
      <c r="I162" s="36"/>
      <c r="L162" s="127"/>
      <c r="M162" s="127"/>
      <c r="N162" s="36"/>
      <c r="T162" s="21"/>
    </row>
    <row r="163" spans="1:20" s="94" customFormat="1" ht="15.75" customHeight="1" x14ac:dyDescent="0.25">
      <c r="A163" s="132">
        <f t="shared" si="2"/>
        <v>6</v>
      </c>
      <c r="B163" s="133"/>
      <c r="C163" s="93" t="s">
        <v>384</v>
      </c>
      <c r="D163" s="109">
        <f t="shared" si="1"/>
        <v>323.99639999999999</v>
      </c>
      <c r="E163" s="93">
        <v>0</v>
      </c>
      <c r="F163" s="93">
        <f t="shared" si="3"/>
        <v>323.99639999999999</v>
      </c>
      <c r="G163" s="93">
        <v>0</v>
      </c>
      <c r="H163" s="93">
        <f t="shared" si="4"/>
        <v>485.99459999999999</v>
      </c>
      <c r="I163" s="36"/>
      <c r="L163" s="127"/>
      <c r="M163" s="127"/>
      <c r="N163" s="36"/>
      <c r="T163" s="21"/>
    </row>
    <row r="164" spans="1:20" s="94" customFormat="1" ht="15.75" customHeight="1" x14ac:dyDescent="0.25">
      <c r="A164" s="132">
        <f t="shared" si="2"/>
        <v>7</v>
      </c>
      <c r="B164" s="133"/>
      <c r="C164" s="93" t="s">
        <v>384</v>
      </c>
      <c r="D164" s="109">
        <f t="shared" si="1"/>
        <v>323.99639999999999</v>
      </c>
      <c r="E164" s="93">
        <v>0</v>
      </c>
      <c r="F164" s="93">
        <f t="shared" si="3"/>
        <v>323.99639999999999</v>
      </c>
      <c r="G164" s="93">
        <v>0</v>
      </c>
      <c r="H164" s="93">
        <f t="shared" si="4"/>
        <v>485.99459999999999</v>
      </c>
      <c r="I164" s="36"/>
      <c r="L164" s="127"/>
      <c r="M164" s="127"/>
      <c r="N164" s="36"/>
      <c r="T164" s="21"/>
    </row>
    <row r="165" spans="1:20" s="94" customFormat="1" ht="15.75" customHeight="1" x14ac:dyDescent="0.25">
      <c r="A165" s="132">
        <f t="shared" si="2"/>
        <v>8</v>
      </c>
      <c r="B165" s="133"/>
      <c r="C165" s="93" t="s">
        <v>384</v>
      </c>
      <c r="D165" s="109">
        <f t="shared" si="1"/>
        <v>323.99639999999999</v>
      </c>
      <c r="E165" s="93">
        <v>0</v>
      </c>
      <c r="F165" s="93">
        <f t="shared" si="3"/>
        <v>323.99639999999999</v>
      </c>
      <c r="G165" s="93">
        <v>0</v>
      </c>
      <c r="H165" s="93">
        <f t="shared" si="4"/>
        <v>485.99459999999999</v>
      </c>
      <c r="I165" s="36"/>
      <c r="L165" s="127"/>
      <c r="M165" s="127"/>
      <c r="N165" s="36"/>
      <c r="T165" s="21"/>
    </row>
    <row r="166" spans="1:20" s="94" customFormat="1" ht="15.75" customHeight="1" x14ac:dyDescent="0.25">
      <c r="A166" s="132">
        <f t="shared" si="2"/>
        <v>9</v>
      </c>
      <c r="B166" s="133"/>
      <c r="C166" s="93" t="s">
        <v>384</v>
      </c>
      <c r="D166" s="109">
        <f t="shared" si="1"/>
        <v>323.99639999999999</v>
      </c>
      <c r="E166" s="93">
        <v>0</v>
      </c>
      <c r="F166" s="93">
        <f t="shared" si="3"/>
        <v>323.99639999999999</v>
      </c>
      <c r="G166" s="93">
        <v>0</v>
      </c>
      <c r="H166" s="93">
        <f t="shared" si="4"/>
        <v>485.99459999999999</v>
      </c>
      <c r="I166" s="36"/>
      <c r="L166" s="127"/>
      <c r="M166" s="127"/>
      <c r="N166" s="36"/>
      <c r="T166" s="21"/>
    </row>
    <row r="167" spans="1:20" s="108" customFormat="1" ht="15.75" customHeight="1" x14ac:dyDescent="0.25">
      <c r="A167" s="132">
        <f t="shared" si="2"/>
        <v>10</v>
      </c>
      <c r="B167" s="133"/>
      <c r="C167" s="109" t="s">
        <v>384</v>
      </c>
      <c r="D167" s="109">
        <f t="shared" si="1"/>
        <v>323.99639999999999</v>
      </c>
      <c r="E167" s="109">
        <v>0</v>
      </c>
      <c r="F167" s="109">
        <f t="shared" ref="F167:F168" si="5">D167+E167</f>
        <v>323.99639999999999</v>
      </c>
      <c r="G167" s="109">
        <v>0</v>
      </c>
      <c r="H167" s="109">
        <f t="shared" ref="H167:H168" si="6">F167*(($H$152)+1)+(IF(G167&lt;101,G167,IF(G167&lt;201,G167/2,IF(G167&lt;=301,G167/3,G167/4))))</f>
        <v>485.99459999999999</v>
      </c>
      <c r="I167" s="36"/>
      <c r="L167" s="127"/>
      <c r="M167" s="127"/>
      <c r="N167" s="36"/>
      <c r="T167" s="21"/>
    </row>
    <row r="168" spans="1:20" s="108" customFormat="1" ht="15.75" customHeight="1" x14ac:dyDescent="0.25">
      <c r="A168" s="132">
        <f t="shared" si="2"/>
        <v>11</v>
      </c>
      <c r="B168" s="133"/>
      <c r="C168" s="109" t="s">
        <v>384</v>
      </c>
      <c r="D168" s="109">
        <f t="shared" si="1"/>
        <v>323.99639999999999</v>
      </c>
      <c r="E168" s="109">
        <v>0</v>
      </c>
      <c r="F168" s="109">
        <f t="shared" si="5"/>
        <v>323.99639999999999</v>
      </c>
      <c r="G168" s="109">
        <v>0</v>
      </c>
      <c r="H168" s="109">
        <f t="shared" si="6"/>
        <v>485.99459999999999</v>
      </c>
      <c r="I168" s="36"/>
      <c r="L168" s="127"/>
      <c r="M168" s="127"/>
      <c r="N168" s="36"/>
      <c r="T168" s="21"/>
    </row>
    <row r="169" spans="1:20" s="37" customFormat="1" ht="34.5" customHeight="1" x14ac:dyDescent="0.25">
      <c r="A169" s="128" t="s">
        <v>411</v>
      </c>
      <c r="B169" s="128"/>
      <c r="C169" s="128"/>
      <c r="D169" s="128"/>
      <c r="E169" s="128"/>
      <c r="F169" s="128"/>
      <c r="G169" s="128"/>
      <c r="H169" s="128"/>
      <c r="I169" s="36">
        <v>2</v>
      </c>
      <c r="L169" s="127"/>
      <c r="M169" s="127"/>
    </row>
    <row r="170" spans="1:20" s="37" customFormat="1" x14ac:dyDescent="0.25">
      <c r="A170" s="123">
        <v>1</v>
      </c>
      <c r="B170" s="123"/>
      <c r="C170" s="93" t="s">
        <v>384</v>
      </c>
      <c r="D170" s="109">
        <f t="shared" ref="D170:D177" si="7">(30.1)*10.764</f>
        <v>323.99639999999999</v>
      </c>
      <c r="E170" s="54">
        <v>0</v>
      </c>
      <c r="F170" s="54">
        <f t="shared" ref="F170:F175" si="8">D170+E170</f>
        <v>323.99639999999999</v>
      </c>
      <c r="G170" s="54">
        <v>0</v>
      </c>
      <c r="H170" s="54">
        <f t="shared" ref="H170:H175" si="9">F170*(($H$152)+1)+(IF(G170&lt;101,G170,IF(G170&lt;201,G170/2,IF(G170&lt;=301,G170/3,G170/4))))</f>
        <v>485.99459999999999</v>
      </c>
      <c r="I170" s="36"/>
      <c r="N170" s="36"/>
    </row>
    <row r="171" spans="1:20" s="37" customFormat="1" x14ac:dyDescent="0.25">
      <c r="A171" s="123">
        <f>A170+1</f>
        <v>2</v>
      </c>
      <c r="B171" s="123"/>
      <c r="C171" s="93" t="s">
        <v>384</v>
      </c>
      <c r="D171" s="109">
        <f t="shared" si="7"/>
        <v>323.99639999999999</v>
      </c>
      <c r="E171" s="54">
        <v>0</v>
      </c>
      <c r="F171" s="54">
        <f t="shared" si="8"/>
        <v>323.99639999999999</v>
      </c>
      <c r="G171" s="54">
        <v>0</v>
      </c>
      <c r="H171" s="54">
        <f t="shared" si="9"/>
        <v>485.99459999999999</v>
      </c>
      <c r="I171" s="36"/>
      <c r="N171" s="36"/>
    </row>
    <row r="172" spans="1:20" s="37" customFormat="1" x14ac:dyDescent="0.25">
      <c r="A172" s="123">
        <f t="shared" ref="A172:A174" si="10">A171+1</f>
        <v>3</v>
      </c>
      <c r="B172" s="123"/>
      <c r="C172" s="93" t="s">
        <v>384</v>
      </c>
      <c r="D172" s="109">
        <f t="shared" si="7"/>
        <v>323.99639999999999</v>
      </c>
      <c r="E172" s="54">
        <v>0</v>
      </c>
      <c r="F172" s="54">
        <f t="shared" si="8"/>
        <v>323.99639999999999</v>
      </c>
      <c r="G172" s="54">
        <v>0</v>
      </c>
      <c r="H172" s="54">
        <f t="shared" si="9"/>
        <v>485.99459999999999</v>
      </c>
      <c r="I172" s="36"/>
      <c r="N172" s="36"/>
    </row>
    <row r="173" spans="1:20" s="37" customFormat="1" x14ac:dyDescent="0.25">
      <c r="A173" s="123">
        <f t="shared" si="10"/>
        <v>4</v>
      </c>
      <c r="B173" s="123"/>
      <c r="C173" s="93" t="s">
        <v>384</v>
      </c>
      <c r="D173" s="109">
        <f t="shared" si="7"/>
        <v>323.99639999999999</v>
      </c>
      <c r="E173" s="54">
        <v>0</v>
      </c>
      <c r="F173" s="54">
        <f t="shared" si="8"/>
        <v>323.99639999999999</v>
      </c>
      <c r="G173" s="54">
        <v>0</v>
      </c>
      <c r="H173" s="54">
        <f t="shared" si="9"/>
        <v>485.99459999999999</v>
      </c>
      <c r="I173" s="36"/>
      <c r="N173" s="36"/>
    </row>
    <row r="174" spans="1:20" s="37" customFormat="1" x14ac:dyDescent="0.25">
      <c r="A174" s="123">
        <f t="shared" si="10"/>
        <v>5</v>
      </c>
      <c r="B174" s="123"/>
      <c r="C174" s="93" t="s">
        <v>384</v>
      </c>
      <c r="D174" s="109">
        <f t="shared" si="7"/>
        <v>323.99639999999999</v>
      </c>
      <c r="E174" s="54">
        <v>0</v>
      </c>
      <c r="F174" s="54">
        <f t="shared" si="8"/>
        <v>323.99639999999999</v>
      </c>
      <c r="G174" s="54">
        <v>0</v>
      </c>
      <c r="H174" s="54">
        <f t="shared" si="9"/>
        <v>485.99459999999999</v>
      </c>
      <c r="I174" s="36"/>
      <c r="N174" s="36"/>
    </row>
    <row r="175" spans="1:20" s="94" customFormat="1" x14ac:dyDescent="0.25">
      <c r="A175" s="123">
        <f t="shared" ref="A175:A180" si="11">A174+1</f>
        <v>6</v>
      </c>
      <c r="B175" s="123"/>
      <c r="C175" s="93" t="s">
        <v>384</v>
      </c>
      <c r="D175" s="109">
        <f t="shared" si="7"/>
        <v>323.99639999999999</v>
      </c>
      <c r="E175" s="93">
        <v>0</v>
      </c>
      <c r="F175" s="93">
        <f t="shared" si="8"/>
        <v>323.99639999999999</v>
      </c>
      <c r="G175" s="93">
        <v>0</v>
      </c>
      <c r="H175" s="93">
        <f t="shared" si="9"/>
        <v>485.99459999999999</v>
      </c>
      <c r="I175" s="36"/>
      <c r="N175" s="36"/>
    </row>
    <row r="176" spans="1:20" s="94" customFormat="1" x14ac:dyDescent="0.25">
      <c r="A176" s="123">
        <f t="shared" si="11"/>
        <v>7</v>
      </c>
      <c r="B176" s="123"/>
      <c r="C176" s="93" t="s">
        <v>384</v>
      </c>
      <c r="D176" s="109">
        <f t="shared" si="7"/>
        <v>323.99639999999999</v>
      </c>
      <c r="E176" s="93">
        <v>0</v>
      </c>
      <c r="F176" s="93">
        <f t="shared" ref="F176:F178" si="12">D176+E176</f>
        <v>323.99639999999999</v>
      </c>
      <c r="G176" s="93">
        <v>0</v>
      </c>
      <c r="H176" s="93">
        <f t="shared" ref="H176:H178" si="13">F176*(($H$152)+1)+(IF(G176&lt;101,G176,IF(G176&lt;201,G176/2,IF(G176&lt;=301,G176/3,G176/4))))</f>
        <v>485.99459999999999</v>
      </c>
      <c r="I176" s="36"/>
      <c r="N176" s="36"/>
    </row>
    <row r="177" spans="1:20" s="94" customFormat="1" x14ac:dyDescent="0.25">
      <c r="A177" s="123">
        <f t="shared" si="11"/>
        <v>8</v>
      </c>
      <c r="B177" s="123"/>
      <c r="C177" s="93" t="s">
        <v>384</v>
      </c>
      <c r="D177" s="109">
        <f t="shared" si="7"/>
        <v>323.99639999999999</v>
      </c>
      <c r="E177" s="93">
        <v>0</v>
      </c>
      <c r="F177" s="93">
        <f t="shared" si="12"/>
        <v>323.99639999999999</v>
      </c>
      <c r="G177" s="93">
        <v>0</v>
      </c>
      <c r="H177" s="93">
        <f t="shared" si="13"/>
        <v>485.99459999999999</v>
      </c>
      <c r="I177" s="36"/>
      <c r="N177" s="36"/>
    </row>
    <row r="178" spans="1:20" s="108" customFormat="1" ht="15.75" customHeight="1" x14ac:dyDescent="0.25">
      <c r="A178" s="132">
        <f t="shared" si="11"/>
        <v>9</v>
      </c>
      <c r="B178" s="133"/>
      <c r="C178" s="109" t="s">
        <v>384</v>
      </c>
      <c r="D178" s="109">
        <f t="shared" ref="D178" si="14">(30.1)*10.764</f>
        <v>323.99639999999999</v>
      </c>
      <c r="E178" s="109">
        <v>0</v>
      </c>
      <c r="F178" s="109">
        <f t="shared" si="12"/>
        <v>323.99639999999999</v>
      </c>
      <c r="G178" s="109">
        <v>0</v>
      </c>
      <c r="H178" s="109">
        <f t="shared" si="13"/>
        <v>485.99459999999999</v>
      </c>
      <c r="I178" s="36"/>
      <c r="L178" s="127"/>
      <c r="M178" s="127"/>
      <c r="N178" s="36"/>
      <c r="T178" s="21"/>
    </row>
    <row r="179" spans="1:20" s="108" customFormat="1" ht="15.75" customHeight="1" x14ac:dyDescent="0.25">
      <c r="A179" s="132">
        <f t="shared" si="11"/>
        <v>10</v>
      </c>
      <c r="B179" s="133"/>
      <c r="C179" s="109" t="s">
        <v>386</v>
      </c>
      <c r="D179" s="276" t="s">
        <v>387</v>
      </c>
      <c r="E179" s="277"/>
      <c r="F179" s="277"/>
      <c r="G179" s="277"/>
      <c r="H179" s="278"/>
      <c r="I179" s="36"/>
      <c r="L179" s="127"/>
      <c r="M179" s="127"/>
      <c r="N179" s="36"/>
      <c r="T179" s="21"/>
    </row>
    <row r="180" spans="1:20" s="108" customFormat="1" ht="15.75" customHeight="1" x14ac:dyDescent="0.25">
      <c r="A180" s="132">
        <f t="shared" si="11"/>
        <v>11</v>
      </c>
      <c r="B180" s="133"/>
      <c r="C180" s="109" t="s">
        <v>386</v>
      </c>
      <c r="D180" s="279"/>
      <c r="E180" s="280"/>
      <c r="F180" s="280"/>
      <c r="G180" s="280"/>
      <c r="H180" s="281"/>
      <c r="I180" s="36"/>
      <c r="L180" s="127"/>
      <c r="M180" s="127"/>
      <c r="N180" s="36"/>
      <c r="T180" s="21"/>
    </row>
    <row r="181" spans="1:20" s="94" customFormat="1" ht="15.75" customHeight="1" x14ac:dyDescent="0.25">
      <c r="A181" s="175" t="s">
        <v>388</v>
      </c>
      <c r="B181" s="176"/>
      <c r="C181" s="176"/>
      <c r="D181" s="176"/>
      <c r="E181" s="176"/>
      <c r="F181" s="176"/>
      <c r="G181" s="176"/>
      <c r="H181" s="177"/>
      <c r="J181" s="36"/>
    </row>
    <row r="182" spans="1:20" s="94" customFormat="1" x14ac:dyDescent="0.25">
      <c r="A182" s="129" t="s">
        <v>413</v>
      </c>
      <c r="B182" s="130"/>
      <c r="C182" s="130"/>
      <c r="D182" s="130"/>
      <c r="E182" s="130"/>
      <c r="F182" s="130"/>
      <c r="G182" s="130"/>
      <c r="H182" s="131"/>
      <c r="J182" s="36"/>
    </row>
    <row r="183" spans="1:20" s="94" customFormat="1" ht="36" customHeight="1" x14ac:dyDescent="0.25">
      <c r="A183" s="129" t="s">
        <v>393</v>
      </c>
      <c r="B183" s="130"/>
      <c r="C183" s="130"/>
      <c r="D183" s="130"/>
      <c r="E183" s="130"/>
      <c r="F183" s="130"/>
      <c r="G183" s="130"/>
      <c r="H183" s="131"/>
      <c r="I183" s="94">
        <f>7+4+1</f>
        <v>12</v>
      </c>
      <c r="J183" s="36"/>
    </row>
    <row r="184" spans="1:20" s="94" customFormat="1" ht="15.75" customHeight="1" x14ac:dyDescent="0.25">
      <c r="A184" s="132">
        <v>1</v>
      </c>
      <c r="B184" s="133"/>
      <c r="C184" s="93" t="s">
        <v>384</v>
      </c>
      <c r="D184" s="110">
        <f t="shared" ref="D184:D202" si="15">(30.1)*10.764</f>
        <v>323.99639999999999</v>
      </c>
      <c r="E184" s="93">
        <v>0</v>
      </c>
      <c r="F184" s="93">
        <f>D184+E184</f>
        <v>323.99639999999999</v>
      </c>
      <c r="G184" s="93">
        <v>0</v>
      </c>
      <c r="H184" s="93">
        <f>F184*(($H$152)+1)+(IF(G184&lt;101,G184,IF(G184&lt;201,G184/2,IF(G184&lt;=301,G184/3,G184/4))))</f>
        <v>485.99459999999999</v>
      </c>
      <c r="I184" s="36">
        <f>3.05*3.44+1.98*1.37+2.75*2.82+1.2*1.97+1.27*1.05+0.6*(1.35+1.25)+1.05*2.07</f>
        <v>28.390599999999999</v>
      </c>
      <c r="L184" s="127"/>
      <c r="M184" s="127"/>
      <c r="N184" s="36"/>
    </row>
    <row r="185" spans="1:20" s="94" customFormat="1" ht="15.75" customHeight="1" x14ac:dyDescent="0.25">
      <c r="A185" s="132">
        <f>A184+1</f>
        <v>2</v>
      </c>
      <c r="B185" s="133"/>
      <c r="C185" s="93" t="s">
        <v>384</v>
      </c>
      <c r="D185" s="110">
        <f t="shared" si="15"/>
        <v>323.99639999999999</v>
      </c>
      <c r="E185" s="93">
        <v>0</v>
      </c>
      <c r="F185" s="93">
        <f>D185+E185</f>
        <v>323.99639999999999</v>
      </c>
      <c r="G185" s="93">
        <v>0</v>
      </c>
      <c r="H185" s="93">
        <f>F185*(($H$152)+1)+(IF(G185&lt;101,G185,IF(G185&lt;201,G185/2,IF(G185&lt;=301,G185/3,G185/4))))</f>
        <v>485.99459999999999</v>
      </c>
      <c r="I185" s="36"/>
      <c r="L185" s="127"/>
      <c r="M185" s="127"/>
      <c r="N185" s="36"/>
    </row>
    <row r="186" spans="1:20" s="94" customFormat="1" ht="15.75" customHeight="1" x14ac:dyDescent="0.25">
      <c r="A186" s="132">
        <f>A185+1</f>
        <v>3</v>
      </c>
      <c r="B186" s="133"/>
      <c r="C186" s="93" t="s">
        <v>384</v>
      </c>
      <c r="D186" s="110">
        <f t="shared" si="15"/>
        <v>323.99639999999999</v>
      </c>
      <c r="E186" s="93">
        <v>0</v>
      </c>
      <c r="F186" s="93">
        <f>D186+E186</f>
        <v>323.99639999999999</v>
      </c>
      <c r="G186" s="93">
        <v>0</v>
      </c>
      <c r="H186" s="93">
        <f>F186*(($H$152)+1)+(IF(G186&lt;101,G186,IF(G186&lt;201,G186/2,IF(G186&lt;=301,G186/3,G186/4))))</f>
        <v>485.99459999999999</v>
      </c>
      <c r="I186" s="36"/>
      <c r="L186" s="127"/>
      <c r="M186" s="127"/>
      <c r="N186" s="36"/>
    </row>
    <row r="187" spans="1:20" s="94" customFormat="1" ht="15.75" customHeight="1" x14ac:dyDescent="0.25">
      <c r="A187" s="132">
        <f>A186+1</f>
        <v>4</v>
      </c>
      <c r="B187" s="133"/>
      <c r="C187" s="93" t="s">
        <v>384</v>
      </c>
      <c r="D187" s="110">
        <f t="shared" si="15"/>
        <v>323.99639999999999</v>
      </c>
      <c r="E187" s="93">
        <v>0</v>
      </c>
      <c r="F187" s="93">
        <f>D187+E187</f>
        <v>323.99639999999999</v>
      </c>
      <c r="G187" s="93">
        <v>0</v>
      </c>
      <c r="H187" s="93">
        <f>F187*(($H$152)+1)+(IF(G187&lt;101,G187,IF(G187&lt;201,G187/2,IF(G187&lt;=301,G187/3,G187/4))))</f>
        <v>485.99459999999999</v>
      </c>
      <c r="I187" s="36"/>
      <c r="L187" s="127"/>
      <c r="M187" s="127"/>
      <c r="N187" s="36"/>
      <c r="T187" s="21"/>
    </row>
    <row r="188" spans="1:20" s="94" customFormat="1" ht="15.75" customHeight="1" x14ac:dyDescent="0.25">
      <c r="A188" s="132">
        <f t="shared" ref="A188:A192" si="16">A187+1</f>
        <v>5</v>
      </c>
      <c r="B188" s="133"/>
      <c r="C188" s="93" t="s">
        <v>384</v>
      </c>
      <c r="D188" s="110">
        <f t="shared" si="15"/>
        <v>323.99639999999999</v>
      </c>
      <c r="E188" s="93">
        <v>0</v>
      </c>
      <c r="F188" s="93">
        <f t="shared" ref="F188:F192" si="17">D188+E188</f>
        <v>323.99639999999999</v>
      </c>
      <c r="G188" s="93">
        <v>0</v>
      </c>
      <c r="H188" s="93">
        <f t="shared" ref="H188:H192" si="18">F188*(($H$152)+1)+(IF(G188&lt;101,G188,IF(G188&lt;201,G188/2,IF(G188&lt;=301,G188/3,G188/4))))</f>
        <v>485.99459999999999</v>
      </c>
      <c r="I188" s="36"/>
      <c r="L188" s="127"/>
      <c r="M188" s="127"/>
      <c r="N188" s="36"/>
      <c r="T188" s="21"/>
    </row>
    <row r="189" spans="1:20" s="94" customFormat="1" ht="15.75" customHeight="1" x14ac:dyDescent="0.25">
      <c r="A189" s="132">
        <f t="shared" si="16"/>
        <v>6</v>
      </c>
      <c r="B189" s="133"/>
      <c r="C189" s="93" t="s">
        <v>384</v>
      </c>
      <c r="D189" s="110">
        <f t="shared" si="15"/>
        <v>323.99639999999999</v>
      </c>
      <c r="E189" s="93">
        <v>0</v>
      </c>
      <c r="F189" s="93">
        <f t="shared" si="17"/>
        <v>323.99639999999999</v>
      </c>
      <c r="G189" s="93">
        <v>0</v>
      </c>
      <c r="H189" s="93">
        <f t="shared" si="18"/>
        <v>485.99459999999999</v>
      </c>
      <c r="I189" s="36"/>
      <c r="L189" s="127"/>
      <c r="M189" s="127"/>
      <c r="N189" s="36"/>
      <c r="T189" s="21"/>
    </row>
    <row r="190" spans="1:20" s="94" customFormat="1" ht="15.75" customHeight="1" x14ac:dyDescent="0.25">
      <c r="A190" s="132">
        <f t="shared" si="16"/>
        <v>7</v>
      </c>
      <c r="B190" s="133"/>
      <c r="C190" s="93" t="s">
        <v>384</v>
      </c>
      <c r="D190" s="110">
        <f t="shared" si="15"/>
        <v>323.99639999999999</v>
      </c>
      <c r="E190" s="93">
        <v>0</v>
      </c>
      <c r="F190" s="93">
        <f t="shared" si="17"/>
        <v>323.99639999999999</v>
      </c>
      <c r="G190" s="93">
        <v>0</v>
      </c>
      <c r="H190" s="93">
        <f t="shared" si="18"/>
        <v>485.99459999999999</v>
      </c>
      <c r="I190" s="36"/>
      <c r="L190" s="127"/>
      <c r="M190" s="127"/>
      <c r="N190" s="36"/>
      <c r="T190" s="21"/>
    </row>
    <row r="191" spans="1:20" s="94" customFormat="1" ht="15.75" customHeight="1" x14ac:dyDescent="0.25">
      <c r="A191" s="132">
        <f t="shared" si="16"/>
        <v>8</v>
      </c>
      <c r="B191" s="133"/>
      <c r="C191" s="93" t="s">
        <v>384</v>
      </c>
      <c r="D191" s="110">
        <f t="shared" si="15"/>
        <v>323.99639999999999</v>
      </c>
      <c r="E191" s="93">
        <v>0</v>
      </c>
      <c r="F191" s="93">
        <f t="shared" si="17"/>
        <v>323.99639999999999</v>
      </c>
      <c r="G191" s="93">
        <v>0</v>
      </c>
      <c r="H191" s="93">
        <f t="shared" si="18"/>
        <v>485.99459999999999</v>
      </c>
      <c r="I191" s="36"/>
      <c r="L191" s="127"/>
      <c r="M191" s="127"/>
      <c r="N191" s="36"/>
      <c r="T191" s="21"/>
    </row>
    <row r="192" spans="1:20" s="94" customFormat="1" ht="15.75" customHeight="1" x14ac:dyDescent="0.25">
      <c r="A192" s="132">
        <f t="shared" si="16"/>
        <v>9</v>
      </c>
      <c r="B192" s="133"/>
      <c r="C192" s="93" t="s">
        <v>384</v>
      </c>
      <c r="D192" s="110">
        <f t="shared" si="15"/>
        <v>323.99639999999999</v>
      </c>
      <c r="E192" s="93">
        <v>0</v>
      </c>
      <c r="F192" s="93">
        <f t="shared" si="17"/>
        <v>323.99639999999999</v>
      </c>
      <c r="G192" s="93">
        <v>0</v>
      </c>
      <c r="H192" s="93">
        <f t="shared" si="18"/>
        <v>485.99459999999999</v>
      </c>
      <c r="I192" s="36"/>
      <c r="L192" s="127"/>
      <c r="M192" s="127"/>
      <c r="N192" s="36"/>
      <c r="T192" s="21"/>
    </row>
    <row r="193" spans="1:14" s="94" customFormat="1" ht="32.25" customHeight="1" x14ac:dyDescent="0.25">
      <c r="A193" s="128" t="s">
        <v>410</v>
      </c>
      <c r="B193" s="128"/>
      <c r="C193" s="128"/>
      <c r="D193" s="128"/>
      <c r="E193" s="128"/>
      <c r="F193" s="128"/>
      <c r="G193" s="128"/>
      <c r="H193" s="128"/>
      <c r="I193" s="36">
        <v>2</v>
      </c>
      <c r="L193" s="127"/>
      <c r="M193" s="127"/>
    </row>
    <row r="194" spans="1:14" s="94" customFormat="1" x14ac:dyDescent="0.25">
      <c r="A194" s="123">
        <v>1</v>
      </c>
      <c r="B194" s="123"/>
      <c r="C194" s="93" t="s">
        <v>384</v>
      </c>
      <c r="D194" s="110">
        <f t="shared" si="15"/>
        <v>323.99639999999999</v>
      </c>
      <c r="E194" s="93">
        <v>0</v>
      </c>
      <c r="F194" s="93">
        <f t="shared" ref="F194:F198" si="19">D194+E194</f>
        <v>323.99639999999999</v>
      </c>
      <c r="G194" s="93">
        <v>0</v>
      </c>
      <c r="H194" s="93">
        <f>F194*(($H$152)+1)+(IF(G194&lt;101,G194,IF(G194&lt;201,G194/2,IF(G194&lt;=301,G194/3,G194/4))))</f>
        <v>485.99459999999999</v>
      </c>
      <c r="I194" s="36"/>
      <c r="N194" s="36"/>
    </row>
    <row r="195" spans="1:14" s="94" customFormat="1" x14ac:dyDescent="0.25">
      <c r="A195" s="123">
        <f t="shared" ref="A195:A200" si="20">A194+1</f>
        <v>2</v>
      </c>
      <c r="B195" s="123"/>
      <c r="C195" s="93" t="s">
        <v>384</v>
      </c>
      <c r="D195" s="110">
        <f t="shared" si="15"/>
        <v>323.99639999999999</v>
      </c>
      <c r="E195" s="93">
        <v>0</v>
      </c>
      <c r="F195" s="93">
        <f t="shared" si="19"/>
        <v>323.99639999999999</v>
      </c>
      <c r="G195" s="93">
        <v>0</v>
      </c>
      <c r="H195" s="93">
        <f>F195*(($H$152)+1)+(IF(G195&lt;101,G195,IF(G195&lt;201,G195/2,IF(G195&lt;=301,G195/3,G195/4))))</f>
        <v>485.99459999999999</v>
      </c>
      <c r="I195" s="36"/>
      <c r="N195" s="36"/>
    </row>
    <row r="196" spans="1:14" s="94" customFormat="1" x14ac:dyDescent="0.25">
      <c r="A196" s="123">
        <f t="shared" si="20"/>
        <v>3</v>
      </c>
      <c r="B196" s="123"/>
      <c r="C196" s="93" t="s">
        <v>384</v>
      </c>
      <c r="D196" s="110">
        <f t="shared" si="15"/>
        <v>323.99639999999999</v>
      </c>
      <c r="E196" s="93">
        <v>0</v>
      </c>
      <c r="F196" s="93">
        <f t="shared" si="19"/>
        <v>323.99639999999999</v>
      </c>
      <c r="G196" s="93">
        <v>0</v>
      </c>
      <c r="H196" s="93">
        <f>F196*(($H$152)+1)+(IF(G196&lt;101,G196,IF(G196&lt;201,G196/2,IF(G196&lt;=301,G196/3,G196/4))))</f>
        <v>485.99459999999999</v>
      </c>
      <c r="I196" s="36"/>
      <c r="N196" s="36"/>
    </row>
    <row r="197" spans="1:14" s="94" customFormat="1" x14ac:dyDescent="0.25">
      <c r="A197" s="123">
        <f t="shared" si="20"/>
        <v>4</v>
      </c>
      <c r="B197" s="123"/>
      <c r="C197" s="93" t="s">
        <v>384</v>
      </c>
      <c r="D197" s="110">
        <f t="shared" si="15"/>
        <v>323.99639999999999</v>
      </c>
      <c r="E197" s="93">
        <v>0</v>
      </c>
      <c r="F197" s="93">
        <f t="shared" si="19"/>
        <v>323.99639999999999</v>
      </c>
      <c r="G197" s="93">
        <v>0</v>
      </c>
      <c r="H197" s="93">
        <f>F197*(($H$152)+1)+(IF(G197&lt;101,G197,IF(G197&lt;201,G197/2,IF(G197&lt;=301,G197/3,G197/4))))</f>
        <v>485.99459999999999</v>
      </c>
      <c r="I197" s="36"/>
      <c r="N197" s="36"/>
    </row>
    <row r="198" spans="1:14" s="94" customFormat="1" x14ac:dyDescent="0.25">
      <c r="A198" s="123">
        <f t="shared" si="20"/>
        <v>5</v>
      </c>
      <c r="B198" s="123"/>
      <c r="C198" s="93" t="s">
        <v>384</v>
      </c>
      <c r="D198" s="110">
        <f t="shared" si="15"/>
        <v>323.99639999999999</v>
      </c>
      <c r="E198" s="93">
        <v>0</v>
      </c>
      <c r="F198" s="93">
        <f t="shared" si="19"/>
        <v>323.99639999999999</v>
      </c>
      <c r="G198" s="93">
        <v>0</v>
      </c>
      <c r="H198" s="93">
        <f>F198*(($H$152)+1)+(IF(G198&lt;101,G198,IF(G198&lt;201,G198/2,IF(G198&lt;=301,G198/3,G198/4))))</f>
        <v>485.99459999999999</v>
      </c>
      <c r="I198" s="36"/>
      <c r="N198" s="36"/>
    </row>
    <row r="199" spans="1:14" s="94" customFormat="1" x14ac:dyDescent="0.25">
      <c r="A199" s="123">
        <f>A198+1</f>
        <v>6</v>
      </c>
      <c r="B199" s="123"/>
      <c r="C199" s="93" t="s">
        <v>384</v>
      </c>
      <c r="D199" s="110">
        <f t="shared" si="15"/>
        <v>323.99639999999999</v>
      </c>
      <c r="E199" s="93">
        <v>0</v>
      </c>
      <c r="F199" s="93">
        <f t="shared" ref="F199:F201" si="21">D199+E199</f>
        <v>323.99639999999999</v>
      </c>
      <c r="G199" s="93">
        <v>0</v>
      </c>
      <c r="H199" s="93">
        <f t="shared" ref="H199:H201" si="22">F199*(($H$152)+1)+(IF(G199&lt;101,G199,IF(G199&lt;201,G199/2,IF(G199&lt;=301,G199/3,G199/4))))</f>
        <v>485.99459999999999</v>
      </c>
      <c r="I199" s="36"/>
      <c r="N199" s="36"/>
    </row>
    <row r="200" spans="1:14" s="94" customFormat="1" x14ac:dyDescent="0.25">
      <c r="A200" s="123">
        <f t="shared" si="20"/>
        <v>7</v>
      </c>
      <c r="B200" s="123"/>
      <c r="C200" s="93" t="s">
        <v>384</v>
      </c>
      <c r="D200" s="110">
        <f t="shared" si="15"/>
        <v>323.99639999999999</v>
      </c>
      <c r="E200" s="93">
        <v>0</v>
      </c>
      <c r="F200" s="93">
        <f t="shared" si="21"/>
        <v>323.99639999999999</v>
      </c>
      <c r="G200" s="93">
        <v>0</v>
      </c>
      <c r="H200" s="93">
        <f t="shared" si="22"/>
        <v>485.99459999999999</v>
      </c>
      <c r="I200" s="36"/>
      <c r="N200" s="36"/>
    </row>
    <row r="201" spans="1:14" s="94" customFormat="1" x14ac:dyDescent="0.25">
      <c r="A201" s="123">
        <f t="shared" ref="A201:A202" si="23">A200+1</f>
        <v>8</v>
      </c>
      <c r="B201" s="123"/>
      <c r="C201" s="101" t="s">
        <v>384</v>
      </c>
      <c r="D201" s="110">
        <f t="shared" si="15"/>
        <v>323.99639999999999</v>
      </c>
      <c r="E201" s="101">
        <v>0</v>
      </c>
      <c r="F201" s="101">
        <f t="shared" si="21"/>
        <v>323.99639999999999</v>
      </c>
      <c r="G201" s="101">
        <v>0</v>
      </c>
      <c r="H201" s="101">
        <f t="shared" si="22"/>
        <v>485.99459999999999</v>
      </c>
      <c r="I201" s="36"/>
      <c r="N201" s="36"/>
    </row>
    <row r="202" spans="1:14" s="111" customFormat="1" x14ac:dyDescent="0.25">
      <c r="A202" s="123">
        <f t="shared" si="23"/>
        <v>9</v>
      </c>
      <c r="B202" s="123"/>
      <c r="C202" s="110" t="s">
        <v>384</v>
      </c>
      <c r="D202" s="110">
        <f t="shared" si="15"/>
        <v>323.99639999999999</v>
      </c>
      <c r="E202" s="110">
        <v>0</v>
      </c>
      <c r="F202" s="110">
        <f t="shared" ref="F202" si="24">D202+E202</f>
        <v>323.99639999999999</v>
      </c>
      <c r="G202" s="110">
        <v>0</v>
      </c>
      <c r="H202" s="110">
        <f t="shared" ref="H202" si="25">F202*(($H$152)+1)+(IF(G202&lt;101,G202,IF(G202&lt;201,G202/2,IF(G202&lt;=301,G202/3,G202/4))))</f>
        <v>485.99459999999999</v>
      </c>
      <c r="I202" s="36"/>
      <c r="N202" s="36"/>
    </row>
    <row r="203" spans="1:14" s="94" customFormat="1" hidden="1" x14ac:dyDescent="0.25">
      <c r="A203" s="128" t="s">
        <v>116</v>
      </c>
      <c r="B203" s="128"/>
      <c r="C203" s="128"/>
      <c r="D203" s="128"/>
      <c r="E203" s="128"/>
      <c r="F203" s="128"/>
      <c r="G203" s="128"/>
      <c r="H203" s="128"/>
      <c r="I203" s="36"/>
      <c r="L203" s="127"/>
      <c r="M203" s="127"/>
    </row>
    <row r="204" spans="1:14" s="94" customFormat="1" hidden="1" x14ac:dyDescent="0.25">
      <c r="A204" s="123">
        <v>1</v>
      </c>
      <c r="B204" s="123"/>
      <c r="C204" s="93"/>
      <c r="D204" s="93"/>
      <c r="E204" s="93">
        <v>0</v>
      </c>
      <c r="F204" s="93">
        <f t="shared" ref="F204:F209" si="26">D204+E204</f>
        <v>0</v>
      </c>
      <c r="G204" s="93">
        <v>0</v>
      </c>
      <c r="H204" s="93">
        <f t="shared" ref="H204:H209" si="27">F204*(($H$152)+1)+(IF(G204&lt;101,G204,IF(G204&lt;201,G204/2,IF(G204&lt;=301,G204/3,G204/4))))</f>
        <v>0</v>
      </c>
      <c r="I204" s="36"/>
      <c r="N204" s="36"/>
    </row>
    <row r="205" spans="1:14" s="94" customFormat="1" hidden="1" x14ac:dyDescent="0.25">
      <c r="A205" s="123">
        <f>A204+1</f>
        <v>2</v>
      </c>
      <c r="B205" s="123"/>
      <c r="C205" s="93"/>
      <c r="D205" s="93"/>
      <c r="E205" s="93">
        <v>0</v>
      </c>
      <c r="F205" s="93">
        <f t="shared" si="26"/>
        <v>0</v>
      </c>
      <c r="G205" s="93">
        <v>0</v>
      </c>
      <c r="H205" s="93">
        <f t="shared" si="27"/>
        <v>0</v>
      </c>
      <c r="I205" s="36"/>
      <c r="N205" s="36"/>
    </row>
    <row r="206" spans="1:14" s="94" customFormat="1" hidden="1" x14ac:dyDescent="0.25">
      <c r="A206" s="123">
        <f t="shared" ref="A206:A212" si="28">A205+1</f>
        <v>3</v>
      </c>
      <c r="B206" s="123"/>
      <c r="C206" s="93"/>
      <c r="D206" s="93"/>
      <c r="E206" s="93">
        <v>0</v>
      </c>
      <c r="F206" s="93">
        <f t="shared" si="26"/>
        <v>0</v>
      </c>
      <c r="G206" s="93">
        <v>0</v>
      </c>
      <c r="H206" s="93">
        <f t="shared" si="27"/>
        <v>0</v>
      </c>
      <c r="I206" s="36"/>
      <c r="N206" s="36"/>
    </row>
    <row r="207" spans="1:14" s="94" customFormat="1" hidden="1" x14ac:dyDescent="0.25">
      <c r="A207" s="123">
        <f t="shared" si="28"/>
        <v>4</v>
      </c>
      <c r="B207" s="123"/>
      <c r="C207" s="93"/>
      <c r="D207" s="93"/>
      <c r="E207" s="93">
        <v>0</v>
      </c>
      <c r="F207" s="93">
        <f t="shared" si="26"/>
        <v>0</v>
      </c>
      <c r="G207" s="93">
        <v>0</v>
      </c>
      <c r="H207" s="93">
        <f t="shared" si="27"/>
        <v>0</v>
      </c>
      <c r="I207" s="36"/>
      <c r="N207" s="36"/>
    </row>
    <row r="208" spans="1:14" s="94" customFormat="1" hidden="1" x14ac:dyDescent="0.25">
      <c r="A208" s="123">
        <f t="shared" si="28"/>
        <v>5</v>
      </c>
      <c r="B208" s="123"/>
      <c r="C208" s="93"/>
      <c r="D208" s="93"/>
      <c r="E208" s="93">
        <v>0</v>
      </c>
      <c r="F208" s="93">
        <f t="shared" si="26"/>
        <v>0</v>
      </c>
      <c r="G208" s="93">
        <v>0</v>
      </c>
      <c r="H208" s="93">
        <f t="shared" si="27"/>
        <v>0</v>
      </c>
      <c r="I208" s="36"/>
      <c r="N208" s="36"/>
    </row>
    <row r="209" spans="1:14" s="94" customFormat="1" hidden="1" x14ac:dyDescent="0.25">
      <c r="A209" s="123">
        <f t="shared" si="28"/>
        <v>6</v>
      </c>
      <c r="B209" s="123"/>
      <c r="C209" s="93"/>
      <c r="D209" s="93"/>
      <c r="E209" s="93">
        <v>0</v>
      </c>
      <c r="F209" s="93">
        <f t="shared" si="26"/>
        <v>0</v>
      </c>
      <c r="G209" s="93">
        <v>0</v>
      </c>
      <c r="H209" s="93">
        <f t="shared" si="27"/>
        <v>0</v>
      </c>
      <c r="I209" s="36"/>
      <c r="N209" s="36"/>
    </row>
    <row r="210" spans="1:14" s="94" customFormat="1" hidden="1" x14ac:dyDescent="0.25">
      <c r="A210" s="123">
        <f t="shared" si="28"/>
        <v>7</v>
      </c>
      <c r="B210" s="123"/>
      <c r="C210" s="93"/>
      <c r="D210" s="93"/>
      <c r="E210" s="93">
        <v>0</v>
      </c>
      <c r="F210" s="93">
        <f t="shared" ref="F210:F212" si="29">D210+E210</f>
        <v>0</v>
      </c>
      <c r="G210" s="93">
        <v>0</v>
      </c>
      <c r="H210" s="93">
        <f t="shared" ref="H210:H212" si="30">F210*(($H$152)+1)+(IF(G210&lt;101,G210,IF(G210&lt;201,G210/2,IF(G210&lt;=301,G210/3,G210/4))))</f>
        <v>0</v>
      </c>
      <c r="I210" s="36"/>
      <c r="N210" s="36"/>
    </row>
    <row r="211" spans="1:14" s="94" customFormat="1" hidden="1" x14ac:dyDescent="0.25">
      <c r="A211" s="123">
        <f t="shared" si="28"/>
        <v>8</v>
      </c>
      <c r="B211" s="123"/>
      <c r="C211" s="93"/>
      <c r="D211" s="93"/>
      <c r="E211" s="93">
        <v>0</v>
      </c>
      <c r="F211" s="93">
        <f t="shared" si="29"/>
        <v>0</v>
      </c>
      <c r="G211" s="93">
        <v>0</v>
      </c>
      <c r="H211" s="93">
        <f t="shared" si="30"/>
        <v>0</v>
      </c>
      <c r="I211" s="36"/>
      <c r="N211" s="36"/>
    </row>
    <row r="212" spans="1:14" s="94" customFormat="1" hidden="1" x14ac:dyDescent="0.25">
      <c r="A212" s="123">
        <f t="shared" si="28"/>
        <v>9</v>
      </c>
      <c r="B212" s="123"/>
      <c r="C212" s="93"/>
      <c r="D212" s="93"/>
      <c r="E212" s="93">
        <v>0</v>
      </c>
      <c r="F212" s="93">
        <f t="shared" si="29"/>
        <v>0</v>
      </c>
      <c r="G212" s="93">
        <v>0</v>
      </c>
      <c r="H212" s="93">
        <f t="shared" si="30"/>
        <v>0</v>
      </c>
      <c r="I212" s="36"/>
      <c r="N212" s="36"/>
    </row>
    <row r="213" spans="1:14" s="37" customFormat="1" ht="15.75" hidden="1" customHeight="1" x14ac:dyDescent="0.25">
      <c r="A213" s="129" t="s">
        <v>149</v>
      </c>
      <c r="B213" s="130"/>
      <c r="C213" s="130"/>
      <c r="D213" s="130"/>
      <c r="E213" s="130"/>
      <c r="F213" s="130"/>
      <c r="G213" s="130"/>
      <c r="H213" s="131"/>
      <c r="I213" s="36"/>
    </row>
    <row r="214" spans="1:14" s="37" customFormat="1" ht="15.75" hidden="1" customHeight="1" x14ac:dyDescent="0.25">
      <c r="A214" s="132" t="str">
        <f ca="1">(SUMPRODUCT(MID(0&amp;(LEFT(A213,SUM(LEN(A213)-LEN(SUBSTITUTE(A213,{"0","1","2"},""))))), LARGE(INDEX(ISNUMBER(--MID((LEFT(A213,SUM(LEN(A213)-LEN(SUBSTITUTE(A213,{"0","1","2"},""))))), ROW(INDIRECT("1:"&amp;LEN((LEFT(A213,SUM(LEN(A213)-LEN(SUBSTITUTE(A213,{"0","1","2"},"")))))))), 1)) * ROW(INDIRECT("1:"&amp;LEN((LEFT(A213,SUM(LEN(A213)-LEN(SUBSTITUTE(A213,{"0","1","2"},"")))))))), 0), ROW(INDIRECT("1:"&amp;LEN((LEFT(A213,SUM(LEN(A213)-LEN(SUBSTITUTE(A213,{"0","1","2"},"")))))))))+1, 1) * 10^ROW(INDIRECT("1:"&amp;LEN((LEFT(A213,SUM(LEN(A213)-LEN(SUBSTITUTE(A213,{"0","1","2"},""))))))))/10))*100+1&amp;""&amp;" ,.., "&amp;""&amp;(SUMPRODUCT(MID(0&amp;(--TRIM(RIGHT(SUBSTITUTE(LEFT(A213,_xlfn.AGGREGATE(16,6,FIND({0,1,2,3,4,5,6,7,8,9},A213,ROW(INDIRECT("1:"&amp;LEN(A213)))),1))," ",REPT(" ",LEN(A213))),LEN(A213)))), LARGE(INDEX(ISNUMBER(--MID((--TRIM(RIGHT(SUBSTITUTE(LEFT(A213,_xlfn.AGGREGATE(16,6,FIND({0,1,2,3,4,5,6,7,8,9},A213,ROW(INDIRECT("1:"&amp;LEN(A213)))),1))," ",REPT(" ",LEN(A213))),LEN(A213)))), ROW(INDIRECT("1:"&amp;LEN((--TRIM(RIGHT(SUBSTITUTE(LEFT(A213,_xlfn.AGGREGATE(16,6,FIND({0,1,2,3,4,5,6,7,8,9},A213,ROW(INDIRECT("1:"&amp;LEN(A213)))),1))," ",REPT(" ",LEN(A213))),LEN(A213))))))), 1)) * ROW(INDIRECT("1:"&amp;LEN((--TRIM(RIGHT(SUBSTITUTE(LEFT(A213,_xlfn.AGGREGATE(16,6,FIND({0,1,2,3,4,5,6,7,8,9},A213,ROW(INDIRECT("1:"&amp;LEN(A213)))),1))," ",REPT(" ",LEN(A213))),LEN(A213))))))), 0), ROW(INDIRECT("1:"&amp;LEN((--TRIM(RIGHT(SUBSTITUTE(LEFT(A213,_xlfn.AGGREGATE(16,6,FIND({0,1,2,3,4,5,6,7,8,9},A213,ROW(INDIRECT("1:"&amp;LEN(A213)))),1))," ",REPT(" ",LEN(A213))),LEN(A213))))))))+1, 1) * 10^ROW(INDIRECT("1:"&amp;LEN((--TRIM(RIGHT(SUBSTITUTE(LEFT(A213,_xlfn.AGGREGATE(16,6,FIND({0,1,2,3,4,5,6,7,8,9},A213,ROW(INDIRECT("1:"&amp;LEN(A213)))),1))," ",REPT(" ",LEN(A213))),LEN(A213)))))))/10))*100+1</f>
        <v>301 ,.., 1501</v>
      </c>
      <c r="B214" s="133"/>
      <c r="C214" s="42"/>
      <c r="D214" s="42"/>
      <c r="E214" s="54">
        <v>0</v>
      </c>
      <c r="F214" s="54">
        <f>D214+E214</f>
        <v>0</v>
      </c>
      <c r="G214" s="54">
        <v>0</v>
      </c>
      <c r="H214" s="54">
        <f>F214*(($H$152)+1)+(IF(G214&lt;101,G214,IF(G214&lt;201,G214/2,IF(G214&lt;=301,G214/3,G214/4))))</f>
        <v>0</v>
      </c>
      <c r="I214" s="36"/>
    </row>
    <row r="215" spans="1:14" s="37" customFormat="1" ht="15.75" hidden="1" customHeight="1" x14ac:dyDescent="0.25">
      <c r="A215" s="132" t="str">
        <f ca="1">(SUMPRODUCT(MID(0&amp;(LEFT(A214,SUM(LEN(A214)-LEN(SUBSTITUTE(A214,{"0","1","2"},""))))), LARGE(INDEX(ISNUMBER(--MID((LEFT(A214,SUM(LEN(A214)-LEN(SUBSTITUTE(A214,{"0","1","2"},""))))), ROW(INDIRECT("1:"&amp;LEN((LEFT(A214,SUM(LEN(A214)-LEN(SUBSTITUTE(A214,{"0","1","2"},"")))))))), 1)) * ROW(INDIRECT("1:"&amp;LEN((LEFT(A214,SUM(LEN(A214)-LEN(SUBSTITUTE(A214,{"0","1","2"},"")))))))), 0), ROW(INDIRECT("1:"&amp;LEN((LEFT(A214,SUM(LEN(A214)-LEN(SUBSTITUTE(A214,{"0","1","2"},"")))))))))+1, 1) * 10^ROW(INDIRECT("1:"&amp;LEN((LEFT(A214,SUM(LEN(A214)-LEN(SUBSTITUTE(A214,{"0","1","2"},""))))))))/10))*1+1&amp;""&amp;" ,.., "&amp;""&amp;(SUMPRODUCT(MID(0&amp;(--TRIM(RIGHT(SUBSTITUTE(LEFT(A214,_xlfn.AGGREGATE(16,6,FIND({0,1,2,3,4,5,6,7,8,9},A214,ROW(INDIRECT("1:"&amp;LEN(A214)))),1))," ",REPT(" ",LEN(A214))),LEN(A214)))), LARGE(INDEX(ISNUMBER(--MID((--TRIM(RIGHT(SUBSTITUTE(LEFT(A214,_xlfn.AGGREGATE(16,6,FIND({0,1,2,3,4,5,6,7,8,9},A214,ROW(INDIRECT("1:"&amp;LEN(A214)))),1))," ",REPT(" ",LEN(A214))),LEN(A214)))), ROW(INDIRECT("1:"&amp;LEN((--TRIM(RIGHT(SUBSTITUTE(LEFT(A214,_xlfn.AGGREGATE(16,6,FIND({0,1,2,3,4,5,6,7,8,9},A214,ROW(INDIRECT("1:"&amp;LEN(A214)))),1))," ",REPT(" ",LEN(A214))),LEN(A214))))))), 1)) * ROW(INDIRECT("1:"&amp;LEN((--TRIM(RIGHT(SUBSTITUTE(LEFT(A214,_xlfn.AGGREGATE(16,6,FIND({0,1,2,3,4,5,6,7,8,9},A214,ROW(INDIRECT("1:"&amp;LEN(A214)))),1))," ",REPT(" ",LEN(A214))),LEN(A214))))))), 0), ROW(INDIRECT("1:"&amp;LEN((--TRIM(RIGHT(SUBSTITUTE(LEFT(A214,_xlfn.AGGREGATE(16,6,FIND({0,1,2,3,4,5,6,7,8,9},A214,ROW(INDIRECT("1:"&amp;LEN(A214)))),1))," ",REPT(" ",LEN(A214))),LEN(A214))))))))+1, 1) * 10^ROW(INDIRECT("1:"&amp;LEN((--TRIM(RIGHT(SUBSTITUTE(LEFT(A214,_xlfn.AGGREGATE(16,6,FIND({0,1,2,3,4,5,6,7,8,9},A214,ROW(INDIRECT("1:"&amp;LEN(A214)))),1))," ",REPT(" ",LEN(A214))),LEN(A214)))))))/10))*1+1</f>
        <v>302 ,.., 1502</v>
      </c>
      <c r="B215" s="133"/>
      <c r="C215" s="42"/>
      <c r="D215" s="42"/>
      <c r="E215" s="54">
        <v>0</v>
      </c>
      <c r="F215" s="54">
        <f>D215+E215</f>
        <v>0</v>
      </c>
      <c r="G215" s="54">
        <v>0</v>
      </c>
      <c r="H215" s="54">
        <f>F215*(($H$152)+1)+(IF(G215&lt;101,G215,IF(G215&lt;201,G215/2,IF(G215&lt;=301,G215/3,G215/4))))</f>
        <v>0</v>
      </c>
      <c r="I215" s="36"/>
    </row>
    <row r="216" spans="1:14" s="37" customFormat="1" ht="15.75" hidden="1" customHeight="1" x14ac:dyDescent="0.25">
      <c r="A216" s="132" t="str">
        <f ca="1">(SUMPRODUCT(MID(0&amp;(LEFT(A215,SUM(LEN(A215)-LEN(SUBSTITUTE(A215,{"0","1","2"},""))))), LARGE(INDEX(ISNUMBER(--MID((LEFT(A215,SUM(LEN(A215)-LEN(SUBSTITUTE(A215,{"0","1","2"},""))))), ROW(INDIRECT("1:"&amp;LEN((LEFT(A215,SUM(LEN(A215)-LEN(SUBSTITUTE(A215,{"0","1","2"},"")))))))), 1)) * ROW(INDIRECT("1:"&amp;LEN((LEFT(A215,SUM(LEN(A215)-LEN(SUBSTITUTE(A215,{"0","1","2"},"")))))))), 0), ROW(INDIRECT("1:"&amp;LEN((LEFT(A215,SUM(LEN(A215)-LEN(SUBSTITUTE(A215,{"0","1","2"},"")))))))))+1, 1) * 10^ROW(INDIRECT("1:"&amp;LEN((LEFT(A215,SUM(LEN(A215)-LEN(SUBSTITUTE(A215,{"0","1","2"},""))))))))/10))*1+1&amp;""&amp;" ,.., "&amp;""&amp;(SUMPRODUCT(MID(0&amp;(--TRIM(RIGHT(SUBSTITUTE(LEFT(A215,_xlfn.AGGREGATE(16,6,FIND({0,1,2,3,4,5,6,7,8,9},A215,ROW(INDIRECT("1:"&amp;LEN(A215)))),1))," ",REPT(" ",LEN(A215))),LEN(A215)))), LARGE(INDEX(ISNUMBER(--MID((--TRIM(RIGHT(SUBSTITUTE(LEFT(A215,_xlfn.AGGREGATE(16,6,FIND({0,1,2,3,4,5,6,7,8,9},A215,ROW(INDIRECT("1:"&amp;LEN(A215)))),1))," ",REPT(" ",LEN(A215))),LEN(A215)))), ROW(INDIRECT("1:"&amp;LEN((--TRIM(RIGHT(SUBSTITUTE(LEFT(A215,_xlfn.AGGREGATE(16,6,FIND({0,1,2,3,4,5,6,7,8,9},A215,ROW(INDIRECT("1:"&amp;LEN(A215)))),1))," ",REPT(" ",LEN(A215))),LEN(A215))))))), 1)) * ROW(INDIRECT("1:"&amp;LEN((--TRIM(RIGHT(SUBSTITUTE(LEFT(A215,_xlfn.AGGREGATE(16,6,FIND({0,1,2,3,4,5,6,7,8,9},A215,ROW(INDIRECT("1:"&amp;LEN(A215)))),1))," ",REPT(" ",LEN(A215))),LEN(A215))))))), 0), ROW(INDIRECT("1:"&amp;LEN((--TRIM(RIGHT(SUBSTITUTE(LEFT(A215,_xlfn.AGGREGATE(16,6,FIND({0,1,2,3,4,5,6,7,8,9},A215,ROW(INDIRECT("1:"&amp;LEN(A215)))),1))," ",REPT(" ",LEN(A215))),LEN(A215))))))))+1, 1) * 10^ROW(INDIRECT("1:"&amp;LEN((--TRIM(RIGHT(SUBSTITUTE(LEFT(A215,_xlfn.AGGREGATE(16,6,FIND({0,1,2,3,4,5,6,7,8,9},A215,ROW(INDIRECT("1:"&amp;LEN(A215)))),1))," ",REPT(" ",LEN(A215))),LEN(A215)))))))/10))*1+1</f>
        <v>303 ,.., 1503</v>
      </c>
      <c r="B216" s="133"/>
      <c r="C216" s="42"/>
      <c r="D216" s="42"/>
      <c r="E216" s="54">
        <v>0</v>
      </c>
      <c r="F216" s="54">
        <f>D216+E216</f>
        <v>0</v>
      </c>
      <c r="G216" s="54">
        <v>0</v>
      </c>
      <c r="H216" s="54">
        <f>F216*(($H$152)+1)+(IF(G216&lt;101,G216,IF(G216&lt;201,G216/2,IF(G216&lt;=301,G216/3,G216/4))))</f>
        <v>0</v>
      </c>
      <c r="I216" s="36"/>
    </row>
    <row r="217" spans="1:14" s="37" customFormat="1" ht="15.75" hidden="1" customHeight="1" x14ac:dyDescent="0.25">
      <c r="A217" s="132" t="str">
        <f ca="1">(SUMPRODUCT(MID(0&amp;(LEFT(A216,SUM(LEN(A216)-LEN(SUBSTITUTE(A216,{"0","1","2"},""))))), LARGE(INDEX(ISNUMBER(--MID((LEFT(A216,SUM(LEN(A216)-LEN(SUBSTITUTE(A216,{"0","1","2"},""))))), ROW(INDIRECT("1:"&amp;LEN((LEFT(A216,SUM(LEN(A216)-LEN(SUBSTITUTE(A216,{"0","1","2"},"")))))))), 1)) * ROW(INDIRECT("1:"&amp;LEN((LEFT(A216,SUM(LEN(A216)-LEN(SUBSTITUTE(A216,{"0","1","2"},"")))))))), 0), ROW(INDIRECT("1:"&amp;LEN((LEFT(A216,SUM(LEN(A216)-LEN(SUBSTITUTE(A216,{"0","1","2"},"")))))))))+1, 1) * 10^ROW(INDIRECT("1:"&amp;LEN((LEFT(A216,SUM(LEN(A216)-LEN(SUBSTITUTE(A216,{"0","1","2"},""))))))))/10))*1+1&amp;""&amp;" ,.., "&amp;""&amp;(SUMPRODUCT(MID(0&amp;(--TRIM(RIGHT(SUBSTITUTE(LEFT(A216,_xlfn.AGGREGATE(16,6,FIND({0,1,2,3,4,5,6,7,8,9},A216,ROW(INDIRECT("1:"&amp;LEN(A216)))),1))," ",REPT(" ",LEN(A216))),LEN(A216)))), LARGE(INDEX(ISNUMBER(--MID((--TRIM(RIGHT(SUBSTITUTE(LEFT(A216,_xlfn.AGGREGATE(16,6,FIND({0,1,2,3,4,5,6,7,8,9},A216,ROW(INDIRECT("1:"&amp;LEN(A216)))),1))," ",REPT(" ",LEN(A216))),LEN(A216)))), ROW(INDIRECT("1:"&amp;LEN((--TRIM(RIGHT(SUBSTITUTE(LEFT(A216,_xlfn.AGGREGATE(16,6,FIND({0,1,2,3,4,5,6,7,8,9},A216,ROW(INDIRECT("1:"&amp;LEN(A216)))),1))," ",REPT(" ",LEN(A216))),LEN(A216))))))), 1)) * ROW(INDIRECT("1:"&amp;LEN((--TRIM(RIGHT(SUBSTITUTE(LEFT(A216,_xlfn.AGGREGATE(16,6,FIND({0,1,2,3,4,5,6,7,8,9},A216,ROW(INDIRECT("1:"&amp;LEN(A216)))),1))," ",REPT(" ",LEN(A216))),LEN(A216))))))), 0), ROW(INDIRECT("1:"&amp;LEN((--TRIM(RIGHT(SUBSTITUTE(LEFT(A216,_xlfn.AGGREGATE(16,6,FIND({0,1,2,3,4,5,6,7,8,9},A216,ROW(INDIRECT("1:"&amp;LEN(A216)))),1))," ",REPT(" ",LEN(A216))),LEN(A216))))))))+1, 1) * 10^ROW(INDIRECT("1:"&amp;LEN((--TRIM(RIGHT(SUBSTITUTE(LEFT(A216,_xlfn.AGGREGATE(16,6,FIND({0,1,2,3,4,5,6,7,8,9},A216,ROW(INDIRECT("1:"&amp;LEN(A216)))),1))," ",REPT(" ",LEN(A216))),LEN(A216)))))))/10))*1+1</f>
        <v>304 ,.., 1504</v>
      </c>
      <c r="B217" s="133"/>
      <c r="C217" s="42"/>
      <c r="D217" s="42"/>
      <c r="E217" s="54">
        <v>0</v>
      </c>
      <c r="F217" s="54">
        <f>D217+E217</f>
        <v>0</v>
      </c>
      <c r="G217" s="54">
        <v>0</v>
      </c>
      <c r="H217" s="54">
        <f>F217*(($H$152)+1)+(IF(G217&lt;101,G217,IF(G217&lt;201,G217/2,IF(G217&lt;=301,G217/3,G217/4))))</f>
        <v>0</v>
      </c>
      <c r="I217" s="36"/>
    </row>
    <row r="218" spans="1:14" s="37" customFormat="1" ht="15.75" hidden="1" customHeight="1" x14ac:dyDescent="0.25">
      <c r="A218" s="132" t="str">
        <f ca="1">(SUMPRODUCT(MID(0&amp;(LEFT(A217,SUM(LEN(A217)-LEN(SUBSTITUTE(A217,{"0","1","2"},""))))), LARGE(INDEX(ISNUMBER(--MID((LEFT(A217,SUM(LEN(A217)-LEN(SUBSTITUTE(A217,{"0","1","2"},""))))), ROW(INDIRECT("1:"&amp;LEN((LEFT(A217,SUM(LEN(A217)-LEN(SUBSTITUTE(A217,{"0","1","2"},"")))))))), 1)) * ROW(INDIRECT("1:"&amp;LEN((LEFT(A217,SUM(LEN(A217)-LEN(SUBSTITUTE(A217,{"0","1","2"},"")))))))), 0), ROW(INDIRECT("1:"&amp;LEN((LEFT(A217,SUM(LEN(A217)-LEN(SUBSTITUTE(A217,{"0","1","2"},"")))))))))+1, 1) * 10^ROW(INDIRECT("1:"&amp;LEN((LEFT(A217,SUM(LEN(A217)-LEN(SUBSTITUTE(A217,{"0","1","2"},""))))))))/10))*1+1&amp;""&amp;" ,.., "&amp;""&amp;(SUMPRODUCT(MID(0&amp;(--TRIM(RIGHT(SUBSTITUTE(LEFT(A217,_xlfn.AGGREGATE(16,6,FIND({0,1,2,3,4,5,6,7,8,9},A217,ROW(INDIRECT("1:"&amp;LEN(A217)))),1))," ",REPT(" ",LEN(A217))),LEN(A217)))), LARGE(INDEX(ISNUMBER(--MID((--TRIM(RIGHT(SUBSTITUTE(LEFT(A217,_xlfn.AGGREGATE(16,6,FIND({0,1,2,3,4,5,6,7,8,9},A217,ROW(INDIRECT("1:"&amp;LEN(A217)))),1))," ",REPT(" ",LEN(A217))),LEN(A217)))), ROW(INDIRECT("1:"&amp;LEN((--TRIM(RIGHT(SUBSTITUTE(LEFT(A217,_xlfn.AGGREGATE(16,6,FIND({0,1,2,3,4,5,6,7,8,9},A217,ROW(INDIRECT("1:"&amp;LEN(A217)))),1))," ",REPT(" ",LEN(A217))),LEN(A217))))))), 1)) * ROW(INDIRECT("1:"&amp;LEN((--TRIM(RIGHT(SUBSTITUTE(LEFT(A217,_xlfn.AGGREGATE(16,6,FIND({0,1,2,3,4,5,6,7,8,9},A217,ROW(INDIRECT("1:"&amp;LEN(A217)))),1))," ",REPT(" ",LEN(A217))),LEN(A217))))))), 0), ROW(INDIRECT("1:"&amp;LEN((--TRIM(RIGHT(SUBSTITUTE(LEFT(A217,_xlfn.AGGREGATE(16,6,FIND({0,1,2,3,4,5,6,7,8,9},A217,ROW(INDIRECT("1:"&amp;LEN(A217)))),1))," ",REPT(" ",LEN(A217))),LEN(A217))))))))+1, 1) * 10^ROW(INDIRECT("1:"&amp;LEN((--TRIM(RIGHT(SUBSTITUTE(LEFT(A217,_xlfn.AGGREGATE(16,6,FIND({0,1,2,3,4,5,6,7,8,9},A217,ROW(INDIRECT("1:"&amp;LEN(A217)))),1))," ",REPT(" ",LEN(A217))),LEN(A217)))))))/10))*1+1</f>
        <v>305 ,.., 1505</v>
      </c>
      <c r="B218" s="133"/>
      <c r="C218" s="42"/>
      <c r="D218" s="42"/>
      <c r="E218" s="54">
        <v>0</v>
      </c>
      <c r="F218" s="54">
        <f>D218+E218</f>
        <v>0</v>
      </c>
      <c r="G218" s="54">
        <v>0</v>
      </c>
      <c r="H218" s="54">
        <f>F218*(($H$152)+1)+(IF(G218&lt;101,G218,IF(G218&lt;201,G218/2,IF(G218&lt;=301,G218/3,G218/4))))</f>
        <v>0</v>
      </c>
      <c r="I218" s="36"/>
    </row>
    <row r="219" spans="1:14" s="37" customFormat="1" hidden="1" x14ac:dyDescent="0.25">
      <c r="A219" s="129" t="s">
        <v>143</v>
      </c>
      <c r="B219" s="130"/>
      <c r="C219" s="130"/>
      <c r="D219" s="130"/>
      <c r="E219" s="130"/>
      <c r="F219" s="130"/>
      <c r="G219" s="130"/>
      <c r="H219" s="131"/>
      <c r="I219" s="36"/>
    </row>
    <row r="220" spans="1:14" s="37" customFormat="1" ht="15.75" hidden="1" customHeight="1" x14ac:dyDescent="0.25">
      <c r="A220" s="132" t="str">
        <f ca="1">(SUMPRODUCT(MID(0&amp;(LEFT(A219,SUM(LEN(A219)-LEN(SUBSTITUTE(A219,{"0","1","2"},""))))), LARGE(INDEX(ISNUMBER(--MID((LEFT(A219,SUM(LEN(A219)-LEN(SUBSTITUTE(A219,{"0","1","2"},""))))), ROW(INDIRECT("1:"&amp;LEN((LEFT(A219,SUM(LEN(A219)-LEN(SUBSTITUTE(A219,{"0","1","2"},"")))))))), 1)) * ROW(INDIRECT("1:"&amp;LEN((LEFT(A219,SUM(LEN(A219)-LEN(SUBSTITUTE(A219,{"0","1","2"},"")))))))), 0), ROW(INDIRECT("1:"&amp;LEN((LEFT(A219,SUM(LEN(A219)-LEN(SUBSTITUTE(A219,{"0","1","2"},"")))))))))+1, 1) * 10^ROW(INDIRECT("1:"&amp;LEN((LEFT(A219,SUM(LEN(A219)-LEN(SUBSTITUTE(A219,{"0","1","2"},""))))))))/10))*100+1&amp;""&amp;" to "&amp;""&amp;(SUMPRODUCT(MID(0&amp;(--TRIM(RIGHT(SUBSTITUTE(LEFT(A219,_xlfn.AGGREGATE(16,6,FIND({0,1,2,3,4,5,6,7,8,9},A219,ROW(INDIRECT("1:"&amp;LEN(A219)))),1))," ",REPT(" ",LEN(A219))),LEN(A219)))), LARGE(INDEX(ISNUMBER(--MID((--TRIM(RIGHT(SUBSTITUTE(LEFT(A219,_xlfn.AGGREGATE(16,6,FIND({0,1,2,3,4,5,6,7,8,9},A219,ROW(INDIRECT("1:"&amp;LEN(A219)))),1))," ",REPT(" ",LEN(A219))),LEN(A219)))), ROW(INDIRECT("1:"&amp;LEN((--TRIM(RIGHT(SUBSTITUTE(LEFT(A219,_xlfn.AGGREGATE(16,6,FIND({0,1,2,3,4,5,6,7,8,9},A219,ROW(INDIRECT("1:"&amp;LEN(A219)))),1))," ",REPT(" ",LEN(A219))),LEN(A219))))))), 1)) * ROW(INDIRECT("1:"&amp;LEN((--TRIM(RIGHT(SUBSTITUTE(LEFT(A219,_xlfn.AGGREGATE(16,6,FIND({0,1,2,3,4,5,6,7,8,9},A219,ROW(INDIRECT("1:"&amp;LEN(A219)))),1))," ",REPT(" ",LEN(A219))),LEN(A219))))))), 0), ROW(INDIRECT("1:"&amp;LEN((--TRIM(RIGHT(SUBSTITUTE(LEFT(A219,_xlfn.AGGREGATE(16,6,FIND({0,1,2,3,4,5,6,7,8,9},A219,ROW(INDIRECT("1:"&amp;LEN(A219)))),1))," ",REPT(" ",LEN(A219))),LEN(A219))))))))+1, 1) * 10^ROW(INDIRECT("1:"&amp;LEN((--TRIM(RIGHT(SUBSTITUTE(LEFT(A219,_xlfn.AGGREGATE(16,6,FIND({0,1,2,3,4,5,6,7,8,9},A219,ROW(INDIRECT("1:"&amp;LEN(A219)))),1))," ",REPT(" ",LEN(A219))),LEN(A219)))))))/10))*100+1</f>
        <v>201 to 501</v>
      </c>
      <c r="B220" s="133"/>
      <c r="C220" s="42"/>
      <c r="D220" s="42"/>
      <c r="E220" s="54">
        <v>0</v>
      </c>
      <c r="F220" s="54">
        <f>D220+E220</f>
        <v>0</v>
      </c>
      <c r="G220" s="54">
        <v>0</v>
      </c>
      <c r="H220" s="54">
        <f>F220*(($H$152)+1)+(IF(G220&lt;101,G220,IF(G220&lt;201,G220/2,IF(G220&lt;=301,G220/3,G220/4))))</f>
        <v>0</v>
      </c>
      <c r="I220" s="36"/>
    </row>
    <row r="221" spans="1:14" s="37" customFormat="1" ht="15.75" hidden="1" customHeight="1" x14ac:dyDescent="0.25">
      <c r="A221" s="132" t="str">
        <f ca="1">(SUMPRODUCT(MID(0&amp;(LEFT(A220,SUM(LEN(A220)-LEN(SUBSTITUTE(A220,{"0","1","2"},""))))), LARGE(INDEX(ISNUMBER(--MID((LEFT(A220,SUM(LEN(A220)-LEN(SUBSTITUTE(A220,{"0","1","2"},""))))), ROW(INDIRECT("1:"&amp;LEN((LEFT(A220,SUM(LEN(A220)-LEN(SUBSTITUTE(A220,{"0","1","2"},"")))))))), 1)) * ROW(INDIRECT("1:"&amp;LEN((LEFT(A220,SUM(LEN(A220)-LEN(SUBSTITUTE(A220,{"0","1","2"},"")))))))), 0), ROW(INDIRECT("1:"&amp;LEN((LEFT(A220,SUM(LEN(A220)-LEN(SUBSTITUTE(A220,{"0","1","2"},"")))))))))+1, 1) * 10^ROW(INDIRECT("1:"&amp;LEN((LEFT(A220,SUM(LEN(A220)-LEN(SUBSTITUTE(A220,{"0","1","2"},""))))))))/10))*1+1&amp;""&amp;" to "&amp;""&amp;(SUMPRODUCT(MID(0&amp;(--TRIM(RIGHT(SUBSTITUTE(LEFT(A220,_xlfn.AGGREGATE(16,6,FIND({0,1,2,3,4,5,6,7,8,9},A220,ROW(INDIRECT("1:"&amp;LEN(A220)))),1))," ",REPT(" ",LEN(A220))),LEN(A220)))), LARGE(INDEX(ISNUMBER(--MID((--TRIM(RIGHT(SUBSTITUTE(LEFT(A220,_xlfn.AGGREGATE(16,6,FIND({0,1,2,3,4,5,6,7,8,9},A220,ROW(INDIRECT("1:"&amp;LEN(A220)))),1))," ",REPT(" ",LEN(A220))),LEN(A220)))), ROW(INDIRECT("1:"&amp;LEN((--TRIM(RIGHT(SUBSTITUTE(LEFT(A220,_xlfn.AGGREGATE(16,6,FIND({0,1,2,3,4,5,6,7,8,9},A220,ROW(INDIRECT("1:"&amp;LEN(A220)))),1))," ",REPT(" ",LEN(A220))),LEN(A220))))))), 1)) * ROW(INDIRECT("1:"&amp;LEN((--TRIM(RIGHT(SUBSTITUTE(LEFT(A220,_xlfn.AGGREGATE(16,6,FIND({0,1,2,3,4,5,6,7,8,9},A220,ROW(INDIRECT("1:"&amp;LEN(A220)))),1))," ",REPT(" ",LEN(A220))),LEN(A220))))))), 0), ROW(INDIRECT("1:"&amp;LEN((--TRIM(RIGHT(SUBSTITUTE(LEFT(A220,_xlfn.AGGREGATE(16,6,FIND({0,1,2,3,4,5,6,7,8,9},A220,ROW(INDIRECT("1:"&amp;LEN(A220)))),1))," ",REPT(" ",LEN(A220))),LEN(A220))))))))+1, 1) * 10^ROW(INDIRECT("1:"&amp;LEN((--TRIM(RIGHT(SUBSTITUTE(LEFT(A220,_xlfn.AGGREGATE(16,6,FIND({0,1,2,3,4,5,6,7,8,9},A220,ROW(INDIRECT("1:"&amp;LEN(A220)))),1))," ",REPT(" ",LEN(A220))),LEN(A220)))))))/10))*1+1</f>
        <v>202 to 502</v>
      </c>
      <c r="B221" s="133"/>
      <c r="C221" s="42"/>
      <c r="D221" s="42"/>
      <c r="E221" s="54">
        <v>0</v>
      </c>
      <c r="F221" s="54">
        <f>D221+E221</f>
        <v>0</v>
      </c>
      <c r="G221" s="54">
        <v>0</v>
      </c>
      <c r="H221" s="54">
        <f>F221*(($H$152)+1)+(IF(G221&lt;101,G221,IF(G221&lt;201,G221/2,IF(G221&lt;=301,G221/3,G221/4))))</f>
        <v>0</v>
      </c>
      <c r="I221" s="36"/>
    </row>
    <row r="222" spans="1:14" s="37" customFormat="1" ht="15.75" hidden="1" customHeight="1" x14ac:dyDescent="0.25">
      <c r="A222" s="132" t="str">
        <f ca="1">(SUMPRODUCT(MID(0&amp;(LEFT(A221,SUM(LEN(A221)-LEN(SUBSTITUTE(A221,{"0","1","2"},""))))), LARGE(INDEX(ISNUMBER(--MID((LEFT(A221,SUM(LEN(A221)-LEN(SUBSTITUTE(A221,{"0","1","2"},""))))), ROW(INDIRECT("1:"&amp;LEN((LEFT(A221,SUM(LEN(A221)-LEN(SUBSTITUTE(A221,{"0","1","2"},"")))))))), 1)) * ROW(INDIRECT("1:"&amp;LEN((LEFT(A221,SUM(LEN(A221)-LEN(SUBSTITUTE(A221,{"0","1","2"},"")))))))), 0), ROW(INDIRECT("1:"&amp;LEN((LEFT(A221,SUM(LEN(A221)-LEN(SUBSTITUTE(A221,{"0","1","2"},"")))))))))+1, 1) * 10^ROW(INDIRECT("1:"&amp;LEN((LEFT(A221,SUM(LEN(A221)-LEN(SUBSTITUTE(A221,{"0","1","2"},""))))))))/10))*1+1&amp;""&amp;" to "&amp;""&amp;(SUMPRODUCT(MID(0&amp;(--TRIM(RIGHT(SUBSTITUTE(LEFT(A221,_xlfn.AGGREGATE(16,6,FIND({0,1,2,3,4,5,6,7,8,9},A221,ROW(INDIRECT("1:"&amp;LEN(A221)))),1))," ",REPT(" ",LEN(A221))),LEN(A221)))), LARGE(INDEX(ISNUMBER(--MID((--TRIM(RIGHT(SUBSTITUTE(LEFT(A221,_xlfn.AGGREGATE(16,6,FIND({0,1,2,3,4,5,6,7,8,9},A221,ROW(INDIRECT("1:"&amp;LEN(A221)))),1))," ",REPT(" ",LEN(A221))),LEN(A221)))), ROW(INDIRECT("1:"&amp;LEN((--TRIM(RIGHT(SUBSTITUTE(LEFT(A221,_xlfn.AGGREGATE(16,6,FIND({0,1,2,3,4,5,6,7,8,9},A221,ROW(INDIRECT("1:"&amp;LEN(A221)))),1))," ",REPT(" ",LEN(A221))),LEN(A221))))))), 1)) * ROW(INDIRECT("1:"&amp;LEN((--TRIM(RIGHT(SUBSTITUTE(LEFT(A221,_xlfn.AGGREGATE(16,6,FIND({0,1,2,3,4,5,6,7,8,9},A221,ROW(INDIRECT("1:"&amp;LEN(A221)))),1))," ",REPT(" ",LEN(A221))),LEN(A221))))))), 0), ROW(INDIRECT("1:"&amp;LEN((--TRIM(RIGHT(SUBSTITUTE(LEFT(A221,_xlfn.AGGREGATE(16,6,FIND({0,1,2,3,4,5,6,7,8,9},A221,ROW(INDIRECT("1:"&amp;LEN(A221)))),1))," ",REPT(" ",LEN(A221))),LEN(A221))))))))+1, 1) * 10^ROW(INDIRECT("1:"&amp;LEN((--TRIM(RIGHT(SUBSTITUTE(LEFT(A221,_xlfn.AGGREGATE(16,6,FIND({0,1,2,3,4,5,6,7,8,9},A221,ROW(INDIRECT("1:"&amp;LEN(A221)))),1))," ",REPT(" ",LEN(A221))),LEN(A221)))))))/10))*1+1</f>
        <v>203 to 503</v>
      </c>
      <c r="B222" s="133"/>
      <c r="C222" s="42"/>
      <c r="D222" s="42"/>
      <c r="E222" s="54">
        <v>0</v>
      </c>
      <c r="F222" s="54">
        <f>D222+E222</f>
        <v>0</v>
      </c>
      <c r="G222" s="54">
        <v>0</v>
      </c>
      <c r="H222" s="54">
        <f>F222*(($H$152)+1)+(IF(G222&lt;101,G222,IF(G222&lt;201,G222/2,IF(G222&lt;=301,G222/3,G222/4))))</f>
        <v>0</v>
      </c>
      <c r="I222" s="36"/>
    </row>
    <row r="223" spans="1:14" s="37" customFormat="1" ht="15.75" hidden="1" customHeight="1" x14ac:dyDescent="0.25">
      <c r="A223" s="132" t="str">
        <f ca="1">(SUMPRODUCT(MID(0&amp;(LEFT(A222,SUM(LEN(A222)-LEN(SUBSTITUTE(A222,{"0","1","2"},""))))), LARGE(INDEX(ISNUMBER(--MID((LEFT(A222,SUM(LEN(A222)-LEN(SUBSTITUTE(A222,{"0","1","2"},""))))), ROW(INDIRECT("1:"&amp;LEN((LEFT(A222,SUM(LEN(A222)-LEN(SUBSTITUTE(A222,{"0","1","2"},"")))))))), 1)) * ROW(INDIRECT("1:"&amp;LEN((LEFT(A222,SUM(LEN(A222)-LEN(SUBSTITUTE(A222,{"0","1","2"},"")))))))), 0), ROW(INDIRECT("1:"&amp;LEN((LEFT(A222,SUM(LEN(A222)-LEN(SUBSTITUTE(A222,{"0","1","2"},"")))))))))+1, 1) * 10^ROW(INDIRECT("1:"&amp;LEN((LEFT(A222,SUM(LEN(A222)-LEN(SUBSTITUTE(A222,{"0","1","2"},""))))))))/10))*1+1&amp;""&amp;" to "&amp;""&amp;(SUMPRODUCT(MID(0&amp;(--TRIM(RIGHT(SUBSTITUTE(LEFT(A222,_xlfn.AGGREGATE(16,6,FIND({0,1,2,3,4,5,6,7,8,9},A222,ROW(INDIRECT("1:"&amp;LEN(A222)))),1))," ",REPT(" ",LEN(A222))),LEN(A222)))), LARGE(INDEX(ISNUMBER(--MID((--TRIM(RIGHT(SUBSTITUTE(LEFT(A222,_xlfn.AGGREGATE(16,6,FIND({0,1,2,3,4,5,6,7,8,9},A222,ROW(INDIRECT("1:"&amp;LEN(A222)))),1))," ",REPT(" ",LEN(A222))),LEN(A222)))), ROW(INDIRECT("1:"&amp;LEN((--TRIM(RIGHT(SUBSTITUTE(LEFT(A222,_xlfn.AGGREGATE(16,6,FIND({0,1,2,3,4,5,6,7,8,9},A222,ROW(INDIRECT("1:"&amp;LEN(A222)))),1))," ",REPT(" ",LEN(A222))),LEN(A222))))))), 1)) * ROW(INDIRECT("1:"&amp;LEN((--TRIM(RIGHT(SUBSTITUTE(LEFT(A222,_xlfn.AGGREGATE(16,6,FIND({0,1,2,3,4,5,6,7,8,9},A222,ROW(INDIRECT("1:"&amp;LEN(A222)))),1))," ",REPT(" ",LEN(A222))),LEN(A222))))))), 0), ROW(INDIRECT("1:"&amp;LEN((--TRIM(RIGHT(SUBSTITUTE(LEFT(A222,_xlfn.AGGREGATE(16,6,FIND({0,1,2,3,4,5,6,7,8,9},A222,ROW(INDIRECT("1:"&amp;LEN(A222)))),1))," ",REPT(" ",LEN(A222))),LEN(A222))))))))+1, 1) * 10^ROW(INDIRECT("1:"&amp;LEN((--TRIM(RIGHT(SUBSTITUTE(LEFT(A222,_xlfn.AGGREGATE(16,6,FIND({0,1,2,3,4,5,6,7,8,9},A222,ROW(INDIRECT("1:"&amp;LEN(A222)))),1))," ",REPT(" ",LEN(A222))),LEN(A222)))))))/10))*1+1</f>
        <v>204 to 504</v>
      </c>
      <c r="B223" s="133"/>
      <c r="C223" s="42"/>
      <c r="D223" s="42"/>
      <c r="E223" s="54">
        <v>0</v>
      </c>
      <c r="F223" s="54">
        <f>D223+E223</f>
        <v>0</v>
      </c>
      <c r="G223" s="54">
        <v>0</v>
      </c>
      <c r="H223" s="54">
        <f>F223*(($H$152)+1)+(IF(G223&lt;101,G223,IF(G223&lt;201,G223/2,IF(G223&lt;=301,G223/3,G223/4))))</f>
        <v>0</v>
      </c>
      <c r="I223" s="36"/>
    </row>
    <row r="224" spans="1:14" s="37" customFormat="1" ht="15.75" hidden="1" customHeight="1" x14ac:dyDescent="0.25">
      <c r="A224" s="132" t="str">
        <f ca="1">(SUMPRODUCT(MID(0&amp;(LEFT(A223,SUM(LEN(A223)-LEN(SUBSTITUTE(A223,{"0","1","2"},""))))), LARGE(INDEX(ISNUMBER(--MID((LEFT(A223,SUM(LEN(A223)-LEN(SUBSTITUTE(A223,{"0","1","2"},""))))), ROW(INDIRECT("1:"&amp;LEN((LEFT(A223,SUM(LEN(A223)-LEN(SUBSTITUTE(A223,{"0","1","2"},"")))))))), 1)) * ROW(INDIRECT("1:"&amp;LEN((LEFT(A223,SUM(LEN(A223)-LEN(SUBSTITUTE(A223,{"0","1","2"},"")))))))), 0), ROW(INDIRECT("1:"&amp;LEN((LEFT(A223,SUM(LEN(A223)-LEN(SUBSTITUTE(A223,{"0","1","2"},"")))))))))+1, 1) * 10^ROW(INDIRECT("1:"&amp;LEN((LEFT(A223,SUM(LEN(A223)-LEN(SUBSTITUTE(A223,{"0","1","2"},""))))))))/10))*1+1&amp;""&amp;" to "&amp;""&amp;(SUMPRODUCT(MID(0&amp;(--TRIM(RIGHT(SUBSTITUTE(LEFT(A223,_xlfn.AGGREGATE(16,6,FIND({0,1,2,3,4,5,6,7,8,9},A223,ROW(INDIRECT("1:"&amp;LEN(A223)))),1))," ",REPT(" ",LEN(A223))),LEN(A223)))), LARGE(INDEX(ISNUMBER(--MID((--TRIM(RIGHT(SUBSTITUTE(LEFT(A223,_xlfn.AGGREGATE(16,6,FIND({0,1,2,3,4,5,6,7,8,9},A223,ROW(INDIRECT("1:"&amp;LEN(A223)))),1))," ",REPT(" ",LEN(A223))),LEN(A223)))), ROW(INDIRECT("1:"&amp;LEN((--TRIM(RIGHT(SUBSTITUTE(LEFT(A223,_xlfn.AGGREGATE(16,6,FIND({0,1,2,3,4,5,6,7,8,9},A223,ROW(INDIRECT("1:"&amp;LEN(A223)))),1))," ",REPT(" ",LEN(A223))),LEN(A223))))))), 1)) * ROW(INDIRECT("1:"&amp;LEN((--TRIM(RIGHT(SUBSTITUTE(LEFT(A223,_xlfn.AGGREGATE(16,6,FIND({0,1,2,3,4,5,6,7,8,9},A223,ROW(INDIRECT("1:"&amp;LEN(A223)))),1))," ",REPT(" ",LEN(A223))),LEN(A223))))))), 0), ROW(INDIRECT("1:"&amp;LEN((--TRIM(RIGHT(SUBSTITUTE(LEFT(A223,_xlfn.AGGREGATE(16,6,FIND({0,1,2,3,4,5,6,7,8,9},A223,ROW(INDIRECT("1:"&amp;LEN(A223)))),1))," ",REPT(" ",LEN(A223))),LEN(A223))))))))+1, 1) * 10^ROW(INDIRECT("1:"&amp;LEN((--TRIM(RIGHT(SUBSTITUTE(LEFT(A223,_xlfn.AGGREGATE(16,6,FIND({0,1,2,3,4,5,6,7,8,9},A223,ROW(INDIRECT("1:"&amp;LEN(A223)))),1))," ",REPT(" ",LEN(A223))),LEN(A223)))))))/10))*1+1</f>
        <v>205 to 505</v>
      </c>
      <c r="B224" s="133"/>
      <c r="C224" s="42"/>
      <c r="D224" s="42"/>
      <c r="E224" s="54">
        <v>0</v>
      </c>
      <c r="F224" s="54">
        <f>D224+E224</f>
        <v>0</v>
      </c>
      <c r="G224" s="54">
        <v>0</v>
      </c>
      <c r="H224" s="54">
        <f>F224*(($H$152)+1)+(IF(G224&lt;101,G224,IF(G224&lt;201,G224/2,IF(G224&lt;=301,G224/3,G224/4))))</f>
        <v>0</v>
      </c>
      <c r="I224" s="36"/>
    </row>
    <row r="225" spans="1:20" s="37" customFormat="1" hidden="1" x14ac:dyDescent="0.25">
      <c r="A225" s="129" t="s">
        <v>144</v>
      </c>
      <c r="B225" s="130"/>
      <c r="C225" s="130"/>
      <c r="D225" s="130"/>
      <c r="E225" s="130"/>
      <c r="F225" s="130"/>
      <c r="G225" s="130"/>
      <c r="H225" s="131"/>
      <c r="I225" s="36"/>
    </row>
    <row r="226" spans="1:20" s="37" customFormat="1" ht="15.75" hidden="1" customHeight="1" x14ac:dyDescent="0.25">
      <c r="A226" s="132" t="str">
        <f ca="1">(SUMPRODUCT(MID(0&amp;(LEFT(A225,SUM(LEN(A225)-LEN(SUBSTITUTE(A225,{"0","1","2"},""))))), LARGE(INDEX(ISNUMBER(--MID((LEFT(A225,SUM(LEN(A225)-LEN(SUBSTITUTE(A225,{"0","1","2"},""))))), ROW(INDIRECT("1:"&amp;LEN((LEFT(A225,SUM(LEN(A225)-LEN(SUBSTITUTE(A225,{"0","1","2"},"")))))))), 1)) * ROW(INDIRECT("1:"&amp;LEN((LEFT(A225,SUM(LEN(A225)-LEN(SUBSTITUTE(A225,{"0","1","2"},"")))))))), 0), ROW(INDIRECT("1:"&amp;LEN((LEFT(A225,SUM(LEN(A225)-LEN(SUBSTITUTE(A225,{"0","1","2"},"")))))))))+1, 1) * 10^ROW(INDIRECT("1:"&amp;LEN((LEFT(A225,SUM(LEN(A225)-LEN(SUBSTITUTE(A225,{"0","1","2"},""))))))))/10))*100+1&amp;""&amp;" &amp; "&amp;""&amp;(SUMPRODUCT(MID(0&amp;(--TRIM(RIGHT(SUBSTITUTE(LEFT(A225,_xlfn.AGGREGATE(16,6,FIND({0,1,2,3,4,5,6,7,8,9},A225,ROW(INDIRECT("1:"&amp;LEN(A225)))),1))," ",REPT(" ",LEN(A225))),LEN(A225)))), LARGE(INDEX(ISNUMBER(--MID((--TRIM(RIGHT(SUBSTITUTE(LEFT(A225,_xlfn.AGGREGATE(16,6,FIND({0,1,2,3,4,5,6,7,8,9},A225,ROW(INDIRECT("1:"&amp;LEN(A225)))),1))," ",REPT(" ",LEN(A225))),LEN(A225)))), ROW(INDIRECT("1:"&amp;LEN((--TRIM(RIGHT(SUBSTITUTE(LEFT(A225,_xlfn.AGGREGATE(16,6,FIND({0,1,2,3,4,5,6,7,8,9},A225,ROW(INDIRECT("1:"&amp;LEN(A225)))),1))," ",REPT(" ",LEN(A225))),LEN(A225))))))), 1)) * ROW(INDIRECT("1:"&amp;LEN((--TRIM(RIGHT(SUBSTITUTE(LEFT(A225,_xlfn.AGGREGATE(16,6,FIND({0,1,2,3,4,5,6,7,8,9},A225,ROW(INDIRECT("1:"&amp;LEN(A225)))),1))," ",REPT(" ",LEN(A225))),LEN(A225))))))), 0), ROW(INDIRECT("1:"&amp;LEN((--TRIM(RIGHT(SUBSTITUTE(LEFT(A225,_xlfn.AGGREGATE(16,6,FIND({0,1,2,3,4,5,6,7,8,9},A225,ROW(INDIRECT("1:"&amp;LEN(A225)))),1))," ",REPT(" ",LEN(A225))),LEN(A225))))))))+1, 1) * 10^ROW(INDIRECT("1:"&amp;LEN((--TRIM(RIGHT(SUBSTITUTE(LEFT(A225,_xlfn.AGGREGATE(16,6,FIND({0,1,2,3,4,5,6,7,8,9},A225,ROW(INDIRECT("1:"&amp;LEN(A225)))),1))," ",REPT(" ",LEN(A225))),LEN(A225)))))))/10))*100+1</f>
        <v>201 &amp; 501</v>
      </c>
      <c r="B226" s="133"/>
      <c r="C226" s="42"/>
      <c r="D226" s="42"/>
      <c r="E226" s="54">
        <v>0</v>
      </c>
      <c r="F226" s="54">
        <f>D226+E226</f>
        <v>0</v>
      </c>
      <c r="G226" s="54">
        <v>0</v>
      </c>
      <c r="H226" s="54">
        <f>F226*(($H$152)+1)+(IF(G226&lt;101,G226,IF(G226&lt;201,G226/2,IF(G226&lt;=301,G226/3,G226/4))))</f>
        <v>0</v>
      </c>
      <c r="I226" s="36"/>
    </row>
    <row r="227" spans="1:20" s="37" customFormat="1" ht="15.75" hidden="1" customHeight="1" x14ac:dyDescent="0.25">
      <c r="A227" s="132" t="str">
        <f ca="1">(SUMPRODUCT(MID(0&amp;(LEFT(A226,SUM(LEN(A226)-LEN(SUBSTITUTE(A226,{"0","1","2"},""))))), LARGE(INDEX(ISNUMBER(--MID((LEFT(A226,SUM(LEN(A226)-LEN(SUBSTITUTE(A226,{"0","1","2"},""))))), ROW(INDIRECT("1:"&amp;LEN((LEFT(A226,SUM(LEN(A226)-LEN(SUBSTITUTE(A226,{"0","1","2"},"")))))))), 1)) * ROW(INDIRECT("1:"&amp;LEN((LEFT(A226,SUM(LEN(A226)-LEN(SUBSTITUTE(A226,{"0","1","2"},"")))))))), 0), ROW(INDIRECT("1:"&amp;LEN((LEFT(A226,SUM(LEN(A226)-LEN(SUBSTITUTE(A226,{"0","1","2"},"")))))))))+1, 1) * 10^ROW(INDIRECT("1:"&amp;LEN((LEFT(A226,SUM(LEN(A226)-LEN(SUBSTITUTE(A226,{"0","1","2"},""))))))))/10))*1+1&amp;""&amp;" &amp; "&amp;""&amp;(SUMPRODUCT(MID(0&amp;(--TRIM(RIGHT(SUBSTITUTE(LEFT(A226,_xlfn.AGGREGATE(16,6,FIND({0,1,2,3,4,5,6,7,8,9},A226,ROW(INDIRECT("1:"&amp;LEN(A226)))),1))," ",REPT(" ",LEN(A226))),LEN(A226)))), LARGE(INDEX(ISNUMBER(--MID((--TRIM(RIGHT(SUBSTITUTE(LEFT(A226,_xlfn.AGGREGATE(16,6,FIND({0,1,2,3,4,5,6,7,8,9},A226,ROW(INDIRECT("1:"&amp;LEN(A226)))),1))," ",REPT(" ",LEN(A226))),LEN(A226)))), ROW(INDIRECT("1:"&amp;LEN((--TRIM(RIGHT(SUBSTITUTE(LEFT(A226,_xlfn.AGGREGATE(16,6,FIND({0,1,2,3,4,5,6,7,8,9},A226,ROW(INDIRECT("1:"&amp;LEN(A226)))),1))," ",REPT(" ",LEN(A226))),LEN(A226))))))), 1)) * ROW(INDIRECT("1:"&amp;LEN((--TRIM(RIGHT(SUBSTITUTE(LEFT(A226,_xlfn.AGGREGATE(16,6,FIND({0,1,2,3,4,5,6,7,8,9},A226,ROW(INDIRECT("1:"&amp;LEN(A226)))),1))," ",REPT(" ",LEN(A226))),LEN(A226))))))), 0), ROW(INDIRECT("1:"&amp;LEN((--TRIM(RIGHT(SUBSTITUTE(LEFT(A226,_xlfn.AGGREGATE(16,6,FIND({0,1,2,3,4,5,6,7,8,9},A226,ROW(INDIRECT("1:"&amp;LEN(A226)))),1))," ",REPT(" ",LEN(A226))),LEN(A226))))))))+1, 1) * 10^ROW(INDIRECT("1:"&amp;LEN((--TRIM(RIGHT(SUBSTITUTE(LEFT(A226,_xlfn.AGGREGATE(16,6,FIND({0,1,2,3,4,5,6,7,8,9},A226,ROW(INDIRECT("1:"&amp;LEN(A226)))),1))," ",REPT(" ",LEN(A226))),LEN(A226)))))))/10))*1+1</f>
        <v>202 &amp; 502</v>
      </c>
      <c r="B227" s="133"/>
      <c r="C227" s="42"/>
      <c r="D227" s="42"/>
      <c r="E227" s="54">
        <v>0</v>
      </c>
      <c r="F227" s="54">
        <f>D227+E227</f>
        <v>0</v>
      </c>
      <c r="G227" s="54">
        <v>0</v>
      </c>
      <c r="H227" s="54">
        <f>F227*(($H$152)+1)+(IF(G227&lt;101,G227,IF(G227&lt;201,G227/2,IF(G227&lt;=301,G227/3,G227/4))))</f>
        <v>0</v>
      </c>
      <c r="I227" s="36"/>
    </row>
    <row r="228" spans="1:20" s="37" customFormat="1" ht="15.75" hidden="1" customHeight="1" x14ac:dyDescent="0.25">
      <c r="A228" s="132" t="str">
        <f ca="1">(SUMPRODUCT(MID(0&amp;(LEFT(A227,SUM(LEN(A227)-LEN(SUBSTITUTE(A227,{"0","1","2"},""))))), LARGE(INDEX(ISNUMBER(--MID((LEFT(A227,SUM(LEN(A227)-LEN(SUBSTITUTE(A227,{"0","1","2"},""))))), ROW(INDIRECT("1:"&amp;LEN((LEFT(A227,SUM(LEN(A227)-LEN(SUBSTITUTE(A227,{"0","1","2"},"")))))))), 1)) * ROW(INDIRECT("1:"&amp;LEN((LEFT(A227,SUM(LEN(A227)-LEN(SUBSTITUTE(A227,{"0","1","2"},"")))))))), 0), ROW(INDIRECT("1:"&amp;LEN((LEFT(A227,SUM(LEN(A227)-LEN(SUBSTITUTE(A227,{"0","1","2"},"")))))))))+1, 1) * 10^ROW(INDIRECT("1:"&amp;LEN((LEFT(A227,SUM(LEN(A227)-LEN(SUBSTITUTE(A227,{"0","1","2"},""))))))))/10))*1+1&amp;""&amp;" &amp; "&amp;""&amp;(SUMPRODUCT(MID(0&amp;(--TRIM(RIGHT(SUBSTITUTE(LEFT(A227,_xlfn.AGGREGATE(16,6,FIND({0,1,2,3,4,5,6,7,8,9},A227,ROW(INDIRECT("1:"&amp;LEN(A227)))),1))," ",REPT(" ",LEN(A227))),LEN(A227)))), LARGE(INDEX(ISNUMBER(--MID((--TRIM(RIGHT(SUBSTITUTE(LEFT(A227,_xlfn.AGGREGATE(16,6,FIND({0,1,2,3,4,5,6,7,8,9},A227,ROW(INDIRECT("1:"&amp;LEN(A227)))),1))," ",REPT(" ",LEN(A227))),LEN(A227)))), ROW(INDIRECT("1:"&amp;LEN((--TRIM(RIGHT(SUBSTITUTE(LEFT(A227,_xlfn.AGGREGATE(16,6,FIND({0,1,2,3,4,5,6,7,8,9},A227,ROW(INDIRECT("1:"&amp;LEN(A227)))),1))," ",REPT(" ",LEN(A227))),LEN(A227))))))), 1)) * ROW(INDIRECT("1:"&amp;LEN((--TRIM(RIGHT(SUBSTITUTE(LEFT(A227,_xlfn.AGGREGATE(16,6,FIND({0,1,2,3,4,5,6,7,8,9},A227,ROW(INDIRECT("1:"&amp;LEN(A227)))),1))," ",REPT(" ",LEN(A227))),LEN(A227))))))), 0), ROW(INDIRECT("1:"&amp;LEN((--TRIM(RIGHT(SUBSTITUTE(LEFT(A227,_xlfn.AGGREGATE(16,6,FIND({0,1,2,3,4,5,6,7,8,9},A227,ROW(INDIRECT("1:"&amp;LEN(A227)))),1))," ",REPT(" ",LEN(A227))),LEN(A227))))))))+1, 1) * 10^ROW(INDIRECT("1:"&amp;LEN((--TRIM(RIGHT(SUBSTITUTE(LEFT(A227,_xlfn.AGGREGATE(16,6,FIND({0,1,2,3,4,5,6,7,8,9},A227,ROW(INDIRECT("1:"&amp;LEN(A227)))),1))," ",REPT(" ",LEN(A227))),LEN(A227)))))))/10))*1+1</f>
        <v>203 &amp; 503</v>
      </c>
      <c r="B228" s="133"/>
      <c r="C228" s="42"/>
      <c r="D228" s="42"/>
      <c r="E228" s="54">
        <v>0</v>
      </c>
      <c r="F228" s="54">
        <f>D228+E228</f>
        <v>0</v>
      </c>
      <c r="G228" s="54">
        <v>0</v>
      </c>
      <c r="H228" s="54">
        <f>F228*(($H$152)+1)+(IF(G228&lt;101,G228,IF(G228&lt;201,G228/2,IF(G228&lt;=301,G228/3,G228/4))))</f>
        <v>0</v>
      </c>
      <c r="I228" s="36"/>
    </row>
    <row r="229" spans="1:20" s="37" customFormat="1" ht="15.75" hidden="1" customHeight="1" x14ac:dyDescent="0.25">
      <c r="A229" s="132" t="str">
        <f ca="1">(SUMPRODUCT(MID(0&amp;(LEFT(A228,SUM(LEN(A228)-LEN(SUBSTITUTE(A228,{"0","1","2"},""))))), LARGE(INDEX(ISNUMBER(--MID((LEFT(A228,SUM(LEN(A228)-LEN(SUBSTITUTE(A228,{"0","1","2"},""))))), ROW(INDIRECT("1:"&amp;LEN((LEFT(A228,SUM(LEN(A228)-LEN(SUBSTITUTE(A228,{"0","1","2"},"")))))))), 1)) * ROW(INDIRECT("1:"&amp;LEN((LEFT(A228,SUM(LEN(A228)-LEN(SUBSTITUTE(A228,{"0","1","2"},"")))))))), 0), ROW(INDIRECT("1:"&amp;LEN((LEFT(A228,SUM(LEN(A228)-LEN(SUBSTITUTE(A228,{"0","1","2"},"")))))))))+1, 1) * 10^ROW(INDIRECT("1:"&amp;LEN((LEFT(A228,SUM(LEN(A228)-LEN(SUBSTITUTE(A228,{"0","1","2"},""))))))))/10))*1+1&amp;""&amp;" &amp; "&amp;""&amp;(SUMPRODUCT(MID(0&amp;(--TRIM(RIGHT(SUBSTITUTE(LEFT(A228,_xlfn.AGGREGATE(16,6,FIND({0,1,2,3,4,5,6,7,8,9},A228,ROW(INDIRECT("1:"&amp;LEN(A228)))),1))," ",REPT(" ",LEN(A228))),LEN(A228)))), LARGE(INDEX(ISNUMBER(--MID((--TRIM(RIGHT(SUBSTITUTE(LEFT(A228,_xlfn.AGGREGATE(16,6,FIND({0,1,2,3,4,5,6,7,8,9},A228,ROW(INDIRECT("1:"&amp;LEN(A228)))),1))," ",REPT(" ",LEN(A228))),LEN(A228)))), ROW(INDIRECT("1:"&amp;LEN((--TRIM(RIGHT(SUBSTITUTE(LEFT(A228,_xlfn.AGGREGATE(16,6,FIND({0,1,2,3,4,5,6,7,8,9},A228,ROW(INDIRECT("1:"&amp;LEN(A228)))),1))," ",REPT(" ",LEN(A228))),LEN(A228))))))), 1)) * ROW(INDIRECT("1:"&amp;LEN((--TRIM(RIGHT(SUBSTITUTE(LEFT(A228,_xlfn.AGGREGATE(16,6,FIND({0,1,2,3,4,5,6,7,8,9},A228,ROW(INDIRECT("1:"&amp;LEN(A228)))),1))," ",REPT(" ",LEN(A228))),LEN(A228))))))), 0), ROW(INDIRECT("1:"&amp;LEN((--TRIM(RIGHT(SUBSTITUTE(LEFT(A228,_xlfn.AGGREGATE(16,6,FIND({0,1,2,3,4,5,6,7,8,9},A228,ROW(INDIRECT("1:"&amp;LEN(A228)))),1))," ",REPT(" ",LEN(A228))),LEN(A228))))))))+1, 1) * 10^ROW(INDIRECT("1:"&amp;LEN((--TRIM(RIGHT(SUBSTITUTE(LEFT(A228,_xlfn.AGGREGATE(16,6,FIND({0,1,2,3,4,5,6,7,8,9},A228,ROW(INDIRECT("1:"&amp;LEN(A228)))),1))," ",REPT(" ",LEN(A228))),LEN(A228)))))))/10))*1+1</f>
        <v>204 &amp; 504</v>
      </c>
      <c r="B229" s="133"/>
      <c r="C229" s="42"/>
      <c r="D229" s="42"/>
      <c r="E229" s="54">
        <v>0</v>
      </c>
      <c r="F229" s="54">
        <f>D229+E229</f>
        <v>0</v>
      </c>
      <c r="G229" s="54">
        <v>0</v>
      </c>
      <c r="H229" s="54">
        <f>F229*(($H$152)+1)+(IF(G229&lt;101,G229,IF(G229&lt;201,G229/2,IF(G229&lt;=301,G229/3,G229/4))))</f>
        <v>0</v>
      </c>
      <c r="I229" s="36"/>
    </row>
    <row r="230" spans="1:20" s="37" customFormat="1" ht="15.75" hidden="1" customHeight="1" x14ac:dyDescent="0.25">
      <c r="A230" s="132" t="str">
        <f ca="1">(SUMPRODUCT(MID(0&amp;(LEFT(A229,SUM(LEN(A229)-LEN(SUBSTITUTE(A229,{"0","1","2"},""))))), LARGE(INDEX(ISNUMBER(--MID((LEFT(A229,SUM(LEN(A229)-LEN(SUBSTITUTE(A229,{"0","1","2"},""))))), ROW(INDIRECT("1:"&amp;LEN((LEFT(A229,SUM(LEN(A229)-LEN(SUBSTITUTE(A229,{"0","1","2"},"")))))))), 1)) * ROW(INDIRECT("1:"&amp;LEN((LEFT(A229,SUM(LEN(A229)-LEN(SUBSTITUTE(A229,{"0","1","2"},"")))))))), 0), ROW(INDIRECT("1:"&amp;LEN((LEFT(A229,SUM(LEN(A229)-LEN(SUBSTITUTE(A229,{"0","1","2"},"")))))))))+1, 1) * 10^ROW(INDIRECT("1:"&amp;LEN((LEFT(A229,SUM(LEN(A229)-LEN(SUBSTITUTE(A229,{"0","1","2"},""))))))))/10))*1+1&amp;""&amp;" &amp; "&amp;""&amp;(SUMPRODUCT(MID(0&amp;(--TRIM(RIGHT(SUBSTITUTE(LEFT(A229,_xlfn.AGGREGATE(16,6,FIND({0,1,2,3,4,5,6,7,8,9},A229,ROW(INDIRECT("1:"&amp;LEN(A229)))),1))," ",REPT(" ",LEN(A229))),LEN(A229)))), LARGE(INDEX(ISNUMBER(--MID((--TRIM(RIGHT(SUBSTITUTE(LEFT(A229,_xlfn.AGGREGATE(16,6,FIND({0,1,2,3,4,5,6,7,8,9},A229,ROW(INDIRECT("1:"&amp;LEN(A229)))),1))," ",REPT(" ",LEN(A229))),LEN(A229)))), ROW(INDIRECT("1:"&amp;LEN((--TRIM(RIGHT(SUBSTITUTE(LEFT(A229,_xlfn.AGGREGATE(16,6,FIND({0,1,2,3,4,5,6,7,8,9},A229,ROW(INDIRECT("1:"&amp;LEN(A229)))),1))," ",REPT(" ",LEN(A229))),LEN(A229))))))), 1)) * ROW(INDIRECT("1:"&amp;LEN((--TRIM(RIGHT(SUBSTITUTE(LEFT(A229,_xlfn.AGGREGATE(16,6,FIND({0,1,2,3,4,5,6,7,8,9},A229,ROW(INDIRECT("1:"&amp;LEN(A229)))),1))," ",REPT(" ",LEN(A229))),LEN(A229))))))), 0), ROW(INDIRECT("1:"&amp;LEN((--TRIM(RIGHT(SUBSTITUTE(LEFT(A229,_xlfn.AGGREGATE(16,6,FIND({0,1,2,3,4,5,6,7,8,9},A229,ROW(INDIRECT("1:"&amp;LEN(A229)))),1))," ",REPT(" ",LEN(A229))),LEN(A229))))))))+1, 1) * 10^ROW(INDIRECT("1:"&amp;LEN((--TRIM(RIGHT(SUBSTITUTE(LEFT(A229,_xlfn.AGGREGATE(16,6,FIND({0,1,2,3,4,5,6,7,8,9},A229,ROW(INDIRECT("1:"&amp;LEN(A229)))),1))," ",REPT(" ",LEN(A229))),LEN(A229)))))))/10))*1+1</f>
        <v>205 &amp; 505</v>
      </c>
      <c r="B230" s="133"/>
      <c r="C230" s="42"/>
      <c r="D230" s="42"/>
      <c r="E230" s="54">
        <v>0</v>
      </c>
      <c r="F230" s="54">
        <f>D230+E230</f>
        <v>0</v>
      </c>
      <c r="G230" s="54">
        <v>0</v>
      </c>
      <c r="H230" s="54">
        <f>F230*(($H$152)+1)+(IF(G230&lt;101,G230,IF(G230&lt;201,G230/2,IF(G230&lt;=301,G230/3,G230/4))))</f>
        <v>0</v>
      </c>
      <c r="I230" s="36"/>
    </row>
    <row r="231" spans="1:20" s="35" customFormat="1" x14ac:dyDescent="0.25">
      <c r="A231" s="143" t="s">
        <v>65</v>
      </c>
      <c r="B231" s="143"/>
      <c r="C231" s="143"/>
      <c r="D231" s="143"/>
      <c r="E231" s="143"/>
      <c r="F231" s="143"/>
      <c r="G231" s="143"/>
      <c r="H231" s="143"/>
      <c r="T231" s="37"/>
    </row>
    <row r="232" spans="1:20" s="35" customFormat="1" ht="33.75" customHeight="1" x14ac:dyDescent="0.25">
      <c r="A232" s="44" t="s">
        <v>153</v>
      </c>
      <c r="B232" s="117" t="s">
        <v>404</v>
      </c>
      <c r="C232" s="118"/>
      <c r="D232" s="118"/>
      <c r="E232" s="118"/>
      <c r="F232" s="118"/>
      <c r="G232" s="118"/>
      <c r="H232" s="119"/>
      <c r="T232" s="37"/>
    </row>
    <row r="233" spans="1:20" s="35" customFormat="1" x14ac:dyDescent="0.25">
      <c r="A233" s="44" t="s">
        <v>153</v>
      </c>
      <c r="B233" s="191" t="str">
        <f>(IF(H151="Saleable area Loading :","We have considered Saleable area of Flats as per our Calculation.","We considered Saleable area of Flat as per Builder area Sheet."))</f>
        <v>We have considered Saleable area of Flats as per our Calculation.</v>
      </c>
      <c r="C233" s="192"/>
      <c r="D233" s="192"/>
      <c r="E233" s="192"/>
      <c r="F233" s="192"/>
      <c r="G233" s="192"/>
      <c r="H233" s="193"/>
      <c r="T233" s="37"/>
    </row>
    <row r="234" spans="1:20" s="35" customFormat="1" x14ac:dyDescent="0.25">
      <c r="A234" s="44" t="s">
        <v>153</v>
      </c>
      <c r="B234" s="117" t="str">
        <f>(IF(H143="Saleable area Loading :","We have considered Saleable area of Commercial as per our Calculation.","We considered Saleable area of Commercial as per Builder area Sheet."))</f>
        <v>We have considered Saleable area of Commercial as per our Calculation.</v>
      </c>
      <c r="C234" s="118"/>
      <c r="D234" s="118"/>
      <c r="E234" s="118"/>
      <c r="F234" s="118"/>
      <c r="G234" s="118"/>
      <c r="H234" s="119"/>
      <c r="T234" s="37"/>
    </row>
    <row r="235" spans="1:20" s="35" customFormat="1" x14ac:dyDescent="0.25">
      <c r="A235" s="44" t="s">
        <v>153</v>
      </c>
      <c r="B235" s="124" t="s">
        <v>120</v>
      </c>
      <c r="C235" s="125"/>
      <c r="D235" s="125"/>
      <c r="E235" s="125"/>
      <c r="F235" s="125"/>
      <c r="G235" s="125"/>
      <c r="H235" s="126"/>
      <c r="T235" s="37"/>
    </row>
    <row r="236" spans="1:20" s="35" customFormat="1" x14ac:dyDescent="0.25">
      <c r="A236" s="44" t="s">
        <v>153</v>
      </c>
      <c r="B236" s="117" t="s">
        <v>389</v>
      </c>
      <c r="C236" s="118"/>
      <c r="D236" s="118"/>
      <c r="E236" s="118"/>
      <c r="F236" s="118"/>
      <c r="G236" s="118"/>
      <c r="H236" s="119"/>
      <c r="T236" s="37"/>
    </row>
    <row r="237" spans="1:20" s="35" customFormat="1" x14ac:dyDescent="0.25">
      <c r="A237" s="44" t="s">
        <v>153</v>
      </c>
      <c r="B237" s="124" t="s">
        <v>152</v>
      </c>
      <c r="C237" s="125"/>
      <c r="D237" s="125"/>
      <c r="E237" s="125"/>
      <c r="F237" s="125"/>
      <c r="G237" s="125"/>
      <c r="H237" s="126"/>
    </row>
    <row r="238" spans="1:20" s="35" customFormat="1" x14ac:dyDescent="0.25">
      <c r="A238" s="44" t="s">
        <v>153</v>
      </c>
      <c r="B238" s="124" t="s">
        <v>121</v>
      </c>
      <c r="C238" s="125"/>
      <c r="D238" s="125"/>
      <c r="E238" s="125"/>
      <c r="F238" s="125"/>
      <c r="G238" s="125"/>
      <c r="H238" s="126"/>
    </row>
    <row r="239" spans="1:20" s="35" customFormat="1" ht="34.5" customHeight="1" x14ac:dyDescent="0.25">
      <c r="A239" s="44" t="s">
        <v>153</v>
      </c>
      <c r="B239" s="117" t="s">
        <v>154</v>
      </c>
      <c r="C239" s="118"/>
      <c r="D239" s="118"/>
      <c r="E239" s="118"/>
      <c r="F239" s="118"/>
      <c r="G239" s="118"/>
      <c r="H239" s="119"/>
    </row>
    <row r="240" spans="1:20" s="35" customFormat="1" x14ac:dyDescent="0.25">
      <c r="A240" s="44" t="s">
        <v>153</v>
      </c>
      <c r="B240" s="124" t="s">
        <v>122</v>
      </c>
      <c r="C240" s="125"/>
      <c r="D240" s="125"/>
      <c r="E240" s="125"/>
      <c r="F240" s="125"/>
      <c r="G240" s="125"/>
      <c r="H240" s="126"/>
    </row>
    <row r="241" spans="1:20" s="35" customFormat="1" ht="32.25" hidden="1" customHeight="1" x14ac:dyDescent="0.25">
      <c r="A241" s="51" t="s">
        <v>153</v>
      </c>
      <c r="B241" s="120" t="s">
        <v>176</v>
      </c>
      <c r="C241" s="121"/>
      <c r="D241" s="121"/>
      <c r="E241" s="121"/>
      <c r="F241" s="121"/>
      <c r="G241" s="121"/>
      <c r="H241" s="122"/>
    </row>
    <row r="242" spans="1:20" s="35" customFormat="1" x14ac:dyDescent="0.25">
      <c r="A242" s="102" t="s">
        <v>153</v>
      </c>
      <c r="B242" s="117" t="s">
        <v>403</v>
      </c>
      <c r="C242" s="118"/>
      <c r="D242" s="118"/>
      <c r="E242" s="118"/>
      <c r="F242" s="118"/>
      <c r="G242" s="118"/>
      <c r="H242" s="119"/>
    </row>
    <row r="243" spans="1:20" s="35" customFormat="1" ht="35.25" customHeight="1" x14ac:dyDescent="0.25">
      <c r="A243" s="100" t="s">
        <v>153</v>
      </c>
      <c r="B243" s="117" t="s">
        <v>394</v>
      </c>
      <c r="C243" s="118"/>
      <c r="D243" s="118"/>
      <c r="E243" s="118"/>
      <c r="F243" s="118"/>
      <c r="G243" s="118"/>
      <c r="H243" s="119"/>
    </row>
    <row r="244" spans="1:20" s="35" customFormat="1" ht="49.5" hidden="1" customHeight="1" x14ac:dyDescent="0.25">
      <c r="A244" s="112" t="s">
        <v>153</v>
      </c>
      <c r="B244" s="117" t="s">
        <v>395</v>
      </c>
      <c r="C244" s="118"/>
      <c r="D244" s="118"/>
      <c r="E244" s="118"/>
      <c r="F244" s="118"/>
      <c r="G244" s="118"/>
      <c r="H244" s="119"/>
    </row>
    <row r="245" spans="1:20" s="35" customFormat="1" x14ac:dyDescent="0.25">
      <c r="A245" s="113" t="s">
        <v>153</v>
      </c>
      <c r="B245" s="117" t="s">
        <v>416</v>
      </c>
      <c r="C245" s="118"/>
      <c r="D245" s="118"/>
      <c r="E245" s="118"/>
      <c r="F245" s="118"/>
      <c r="G245" s="118"/>
      <c r="H245" s="119"/>
    </row>
    <row r="246" spans="1:20" s="35" customFormat="1" x14ac:dyDescent="0.25">
      <c r="A246" s="102" t="s">
        <v>153</v>
      </c>
      <c r="B246" s="117" t="s">
        <v>419</v>
      </c>
      <c r="C246" s="118"/>
      <c r="D246" s="118"/>
      <c r="E246" s="118"/>
      <c r="F246" s="118"/>
      <c r="G246" s="118"/>
      <c r="H246" s="119"/>
    </row>
    <row r="247" spans="1:20" s="35" customFormat="1" x14ac:dyDescent="0.25">
      <c r="A247" s="114" t="s">
        <v>153</v>
      </c>
      <c r="B247" s="117" t="s">
        <v>424</v>
      </c>
      <c r="C247" s="118"/>
      <c r="D247" s="118"/>
      <c r="E247" s="118"/>
      <c r="F247" s="118"/>
      <c r="G247" s="118"/>
      <c r="H247" s="119"/>
    </row>
    <row r="248" spans="1:20" s="35" customFormat="1" ht="32.25" customHeight="1" x14ac:dyDescent="0.25">
      <c r="A248" s="99" t="s">
        <v>153</v>
      </c>
      <c r="B248" s="117" t="s">
        <v>423</v>
      </c>
      <c r="C248" s="118"/>
      <c r="D248" s="118"/>
      <c r="E248" s="118"/>
      <c r="F248" s="118"/>
      <c r="G248" s="118"/>
      <c r="H248" s="119"/>
    </row>
    <row r="249" spans="1:20" s="35" customFormat="1" hidden="1" x14ac:dyDescent="0.25">
      <c r="A249" s="87" t="s">
        <v>153</v>
      </c>
      <c r="B249" s="120" t="s">
        <v>350</v>
      </c>
      <c r="C249" s="121"/>
      <c r="D249" s="121"/>
      <c r="E249" s="121"/>
      <c r="F249" s="121"/>
      <c r="G249" s="121"/>
      <c r="H249" s="122"/>
    </row>
    <row r="250" spans="1:20" s="35" customFormat="1" hidden="1" x14ac:dyDescent="0.25">
      <c r="A250" s="87" t="s">
        <v>153</v>
      </c>
      <c r="B250" s="120" t="str">
        <f ca="1">IF(G52&gt;EDATE(E3,-48),"NO REMARK FOR CC","REMARK FOR CC")</f>
        <v>NO REMARK FOR CC</v>
      </c>
      <c r="C250" s="121"/>
      <c r="D250" s="121"/>
      <c r="E250" s="121"/>
      <c r="F250" s="121"/>
      <c r="G250" s="121"/>
      <c r="H250" s="122"/>
    </row>
    <row r="251" spans="1:20" s="35" customFormat="1" ht="81.75" hidden="1" customHeight="1" x14ac:dyDescent="0.25">
      <c r="A251" s="88" t="s">
        <v>153</v>
      </c>
      <c r="B251" s="120" t="s">
        <v>351</v>
      </c>
      <c r="C251" s="121"/>
      <c r="D251" s="121"/>
      <c r="E251" s="121"/>
      <c r="F251" s="121"/>
      <c r="G251" s="121"/>
      <c r="H251" s="122"/>
    </row>
    <row r="252" spans="1:20" s="35" customFormat="1" hidden="1" x14ac:dyDescent="0.25">
      <c r="A252" s="92" t="s">
        <v>153</v>
      </c>
      <c r="B252" s="120"/>
      <c r="C252" s="121"/>
      <c r="D252" s="121"/>
      <c r="E252" s="121"/>
      <c r="F252" s="121"/>
      <c r="G252" s="121"/>
      <c r="H252" s="122"/>
    </row>
    <row r="253" spans="1:20" x14ac:dyDescent="0.25">
      <c r="A253" s="200" t="s">
        <v>58</v>
      </c>
      <c r="B253" s="200"/>
      <c r="C253" s="200"/>
      <c r="D253" s="200"/>
      <c r="E253" s="200"/>
      <c r="F253" s="200"/>
      <c r="G253" s="200"/>
      <c r="H253" s="200"/>
      <c r="T253" s="35"/>
    </row>
    <row r="254" spans="1:20" x14ac:dyDescent="0.25">
      <c r="A254" s="135" t="s">
        <v>59</v>
      </c>
      <c r="B254" s="135"/>
      <c r="C254" s="135"/>
      <c r="D254" s="135"/>
      <c r="E254" s="135"/>
      <c r="F254" s="135"/>
      <c r="G254" s="135"/>
      <c r="H254" s="135"/>
      <c r="T254" s="35"/>
    </row>
    <row r="255" spans="1:20" ht="15.75" customHeight="1" x14ac:dyDescent="0.25">
      <c r="A255" s="178" t="s">
        <v>60</v>
      </c>
      <c r="B255" s="178"/>
      <c r="C255" s="178"/>
      <c r="D255" s="178"/>
      <c r="E255" s="178"/>
      <c r="F255" s="178"/>
      <c r="G255" s="178"/>
      <c r="H255" s="178"/>
      <c r="T255" s="35"/>
    </row>
    <row r="256" spans="1:20" x14ac:dyDescent="0.25">
      <c r="A256" s="135" t="s">
        <v>61</v>
      </c>
      <c r="B256" s="135"/>
      <c r="C256" s="135"/>
      <c r="D256" s="135"/>
      <c r="E256" s="135"/>
      <c r="F256" s="135"/>
      <c r="G256" s="135"/>
      <c r="H256" s="135"/>
      <c r="T256" s="35"/>
    </row>
    <row r="257" spans="1:20" x14ac:dyDescent="0.25">
      <c r="A257" s="135" t="s">
        <v>62</v>
      </c>
      <c r="B257" s="135"/>
      <c r="C257" s="135"/>
      <c r="D257" s="135"/>
      <c r="E257" s="135"/>
      <c r="F257" s="135"/>
      <c r="G257" s="135"/>
      <c r="H257" s="135"/>
      <c r="T257" s="35"/>
    </row>
    <row r="258" spans="1:20" x14ac:dyDescent="0.25">
      <c r="A258" s="135" t="s">
        <v>123</v>
      </c>
      <c r="B258" s="135"/>
      <c r="C258" s="135"/>
      <c r="D258" s="135"/>
      <c r="E258" s="135"/>
      <c r="F258" s="135"/>
      <c r="G258" s="135"/>
      <c r="H258" s="135"/>
      <c r="T258" s="35"/>
    </row>
    <row r="259" spans="1:20" ht="33.950000000000003" customHeight="1" x14ac:dyDescent="0.25">
      <c r="A259" s="144" t="s">
        <v>124</v>
      </c>
      <c r="B259" s="144"/>
      <c r="C259" s="144"/>
      <c r="D259" s="144"/>
      <c r="E259" s="144"/>
      <c r="F259" s="144"/>
      <c r="G259" s="144"/>
      <c r="H259" s="144"/>
    </row>
    <row r="260" spans="1:20" x14ac:dyDescent="0.25">
      <c r="A260" s="195" t="s">
        <v>74</v>
      </c>
      <c r="B260" s="195"/>
      <c r="C260" s="195" t="s">
        <v>405</v>
      </c>
      <c r="D260" s="195"/>
      <c r="E260" s="195" t="s">
        <v>102</v>
      </c>
      <c r="F260" s="195"/>
      <c r="G260" s="196" t="s">
        <v>415</v>
      </c>
      <c r="H260" s="196"/>
    </row>
    <row r="261" spans="1:20" x14ac:dyDescent="0.25">
      <c r="A261" s="194" t="s">
        <v>76</v>
      </c>
      <c r="B261" s="194"/>
      <c r="C261" s="194"/>
      <c r="D261" s="194"/>
      <c r="E261" s="194"/>
      <c r="F261" s="194"/>
      <c r="G261" s="194"/>
      <c r="H261" s="194"/>
    </row>
    <row r="262" spans="1:20" x14ac:dyDescent="0.25">
      <c r="A262" s="194"/>
      <c r="B262" s="194"/>
      <c r="C262" s="194"/>
      <c r="D262" s="194"/>
      <c r="E262" s="194"/>
      <c r="F262" s="194"/>
      <c r="G262" s="194"/>
      <c r="H262" s="194"/>
    </row>
    <row r="263" spans="1:20" x14ac:dyDescent="0.25">
      <c r="A263" s="194"/>
      <c r="B263" s="194"/>
      <c r="C263" s="194"/>
      <c r="D263" s="194"/>
      <c r="E263" s="194"/>
      <c r="F263" s="194"/>
      <c r="G263" s="194"/>
      <c r="H263" s="194"/>
    </row>
    <row r="264" spans="1:20" ht="3" customHeight="1" x14ac:dyDescent="0.25">
      <c r="A264" s="194"/>
      <c r="B264" s="194"/>
      <c r="C264" s="194"/>
      <c r="D264" s="194"/>
      <c r="E264" s="194"/>
      <c r="F264" s="194"/>
      <c r="G264" s="194"/>
      <c r="H264" s="194"/>
    </row>
    <row r="265" spans="1:20" x14ac:dyDescent="0.25">
      <c r="A265" s="38" t="s">
        <v>63</v>
      </c>
      <c r="B265" s="39"/>
      <c r="C265" s="39"/>
      <c r="D265" s="38" t="str">
        <f>E9</f>
        <v>Crown Dombivli 4</v>
      </c>
      <c r="F265" s="39"/>
      <c r="G265" s="39"/>
      <c r="H265" s="39"/>
    </row>
    <row r="266" spans="1:20" x14ac:dyDescent="0.25">
      <c r="A266" s="39"/>
      <c r="B266" s="39"/>
      <c r="C266" s="39"/>
      <c r="D266" s="39"/>
      <c r="E266" s="39"/>
      <c r="F266" s="39"/>
      <c r="G266" s="39"/>
      <c r="H266" s="39"/>
    </row>
    <row r="267" spans="1:20" x14ac:dyDescent="0.25">
      <c r="A267" s="39"/>
      <c r="B267" s="39"/>
      <c r="C267" s="39"/>
      <c r="D267" s="39"/>
      <c r="E267" s="39"/>
      <c r="F267" s="39"/>
      <c r="G267" s="39"/>
      <c r="H267" s="39"/>
    </row>
    <row r="268" spans="1:20" ht="15" customHeight="1" x14ac:dyDescent="0.25"/>
    <row r="308" spans="1:1" x14ac:dyDescent="0.25">
      <c r="A308" s="41" t="s">
        <v>162</v>
      </c>
    </row>
    <row r="351" spans="1:1" x14ac:dyDescent="0.25">
      <c r="A351" s="41" t="s">
        <v>64</v>
      </c>
    </row>
  </sheetData>
  <mergeCells count="442">
    <mergeCell ref="L167:M167"/>
    <mergeCell ref="A168:B168"/>
    <mergeCell ref="L168:M168"/>
    <mergeCell ref="A178:B178"/>
    <mergeCell ref="L178:M178"/>
    <mergeCell ref="A179:B179"/>
    <mergeCell ref="L179:M179"/>
    <mergeCell ref="A180:B180"/>
    <mergeCell ref="L180:M180"/>
    <mergeCell ref="D179:H180"/>
    <mergeCell ref="L169:M169"/>
    <mergeCell ref="A174:B174"/>
    <mergeCell ref="A171:B171"/>
    <mergeCell ref="A172:B172"/>
    <mergeCell ref="A107:B107"/>
    <mergeCell ref="E107:F116"/>
    <mergeCell ref="G107:H116"/>
    <mergeCell ref="A108:B108"/>
    <mergeCell ref="A109:B109"/>
    <mergeCell ref="A110:B110"/>
    <mergeCell ref="A111:B111"/>
    <mergeCell ref="A167:B167"/>
    <mergeCell ref="F121:H121"/>
    <mergeCell ref="A121:E121"/>
    <mergeCell ref="A92:B92"/>
    <mergeCell ref="E92:F92"/>
    <mergeCell ref="E93:F102"/>
    <mergeCell ref="A103:B103"/>
    <mergeCell ref="C103:H103"/>
    <mergeCell ref="A105:B105"/>
    <mergeCell ref="C105:H105"/>
    <mergeCell ref="A106:B106"/>
    <mergeCell ref="E106:F106"/>
    <mergeCell ref="G106:H106"/>
    <mergeCell ref="E79:F88"/>
    <mergeCell ref="G79:H88"/>
    <mergeCell ref="A122:E122"/>
    <mergeCell ref="A139:B139"/>
    <mergeCell ref="E139:F139"/>
    <mergeCell ref="A127:E127"/>
    <mergeCell ref="G139:H139"/>
    <mergeCell ref="C133:D133"/>
    <mergeCell ref="E133:F133"/>
    <mergeCell ref="G133:H133"/>
    <mergeCell ref="A134:B134"/>
    <mergeCell ref="C134:D134"/>
    <mergeCell ref="E134:F134"/>
    <mergeCell ref="G134:H134"/>
    <mergeCell ref="C138:D138"/>
    <mergeCell ref="E138:F138"/>
    <mergeCell ref="A98:B98"/>
    <mergeCell ref="G92:H92"/>
    <mergeCell ref="A112:B112"/>
    <mergeCell ref="A113:B113"/>
    <mergeCell ref="A100:B100"/>
    <mergeCell ref="A101:B101"/>
    <mergeCell ref="A120:E120"/>
    <mergeCell ref="A116:B116"/>
    <mergeCell ref="A40:B40"/>
    <mergeCell ref="C40:H40"/>
    <mergeCell ref="F143:F144"/>
    <mergeCell ref="C132:D132"/>
    <mergeCell ref="E132:F132"/>
    <mergeCell ref="B143:B144"/>
    <mergeCell ref="A143:A144"/>
    <mergeCell ref="C151:C152"/>
    <mergeCell ref="G151:G152"/>
    <mergeCell ref="C91:H91"/>
    <mergeCell ref="A94:B94"/>
    <mergeCell ref="A95:B95"/>
    <mergeCell ref="G93:H102"/>
    <mergeCell ref="A96:B96"/>
    <mergeCell ref="F119:H119"/>
    <mergeCell ref="A119:E119"/>
    <mergeCell ref="D143:D144"/>
    <mergeCell ref="G138:H138"/>
    <mergeCell ref="A91:B91"/>
    <mergeCell ref="A78:B78"/>
    <mergeCell ref="A46:D46"/>
    <mergeCell ref="A47:D47"/>
    <mergeCell ref="D69:H69"/>
    <mergeCell ref="A81:B81"/>
    <mergeCell ref="L161:M161"/>
    <mergeCell ref="L158:M158"/>
    <mergeCell ref="A159:B159"/>
    <mergeCell ref="G140:H140"/>
    <mergeCell ref="L159:M159"/>
    <mergeCell ref="A160:B160"/>
    <mergeCell ref="L160:M160"/>
    <mergeCell ref="C55:H55"/>
    <mergeCell ref="A114:B114"/>
    <mergeCell ref="A115:B115"/>
    <mergeCell ref="L149:M149"/>
    <mergeCell ref="L148:M148"/>
    <mergeCell ref="L147:M147"/>
    <mergeCell ref="L146:M146"/>
    <mergeCell ref="A86:B86"/>
    <mergeCell ref="C137:D137"/>
    <mergeCell ref="E137:F137"/>
    <mergeCell ref="G137:H137"/>
    <mergeCell ref="A118:E118"/>
    <mergeCell ref="A89:B89"/>
    <mergeCell ref="C89:H89"/>
    <mergeCell ref="A145:H145"/>
    <mergeCell ref="E143:E144"/>
    <mergeCell ref="A93:B93"/>
    <mergeCell ref="A38:H38"/>
    <mergeCell ref="A37:B37"/>
    <mergeCell ref="C37:E37"/>
    <mergeCell ref="A42:D42"/>
    <mergeCell ref="E42:H42"/>
    <mergeCell ref="A41:H41"/>
    <mergeCell ref="A68:C68"/>
    <mergeCell ref="A69:C69"/>
    <mergeCell ref="D68:H68"/>
    <mergeCell ref="F37:H37"/>
    <mergeCell ref="C51:E51"/>
    <mergeCell ref="C50:E50"/>
    <mergeCell ref="G50:H50"/>
    <mergeCell ref="A51:B51"/>
    <mergeCell ref="G56:H56"/>
    <mergeCell ref="A58:B59"/>
    <mergeCell ref="C58:E58"/>
    <mergeCell ref="G58:H58"/>
    <mergeCell ref="G51:H51"/>
    <mergeCell ref="A52:B53"/>
    <mergeCell ref="A39:B39"/>
    <mergeCell ref="C39:H39"/>
    <mergeCell ref="A63:C63"/>
    <mergeCell ref="C54:E54"/>
    <mergeCell ref="A44:D44"/>
    <mergeCell ref="E44:H44"/>
    <mergeCell ref="E45:H45"/>
    <mergeCell ref="E46:H46"/>
    <mergeCell ref="E47:H47"/>
    <mergeCell ref="C57:H57"/>
    <mergeCell ref="A48:H48"/>
    <mergeCell ref="D64:H64"/>
    <mergeCell ref="A64:C64"/>
    <mergeCell ref="A45:D45"/>
    <mergeCell ref="A49:B49"/>
    <mergeCell ref="C49:H49"/>
    <mergeCell ref="A65:C67"/>
    <mergeCell ref="D65:H65"/>
    <mergeCell ref="D66:H66"/>
    <mergeCell ref="G52:H52"/>
    <mergeCell ref="A61:H61"/>
    <mergeCell ref="A62:C62"/>
    <mergeCell ref="A77:B77"/>
    <mergeCell ref="A75:B75"/>
    <mergeCell ref="C75:H75"/>
    <mergeCell ref="A70:C70"/>
    <mergeCell ref="D70:H70"/>
    <mergeCell ref="C77:H77"/>
    <mergeCell ref="A71:C71"/>
    <mergeCell ref="D71:H71"/>
    <mergeCell ref="A74:C74"/>
    <mergeCell ref="D74:H74"/>
    <mergeCell ref="A73:C73"/>
    <mergeCell ref="G54:H54"/>
    <mergeCell ref="A56:B57"/>
    <mergeCell ref="C56:E56"/>
    <mergeCell ref="C59:E59"/>
    <mergeCell ref="G59:H59"/>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261:H264"/>
    <mergeCell ref="A260:B260"/>
    <mergeCell ref="E260:F260"/>
    <mergeCell ref="C260:D260"/>
    <mergeCell ref="G260:H260"/>
    <mergeCell ref="A130:H130"/>
    <mergeCell ref="A128:E128"/>
    <mergeCell ref="F128:H128"/>
    <mergeCell ref="A129:E129"/>
    <mergeCell ref="F129:H129"/>
    <mergeCell ref="A169:H169"/>
    <mergeCell ref="A216:B216"/>
    <mergeCell ref="A132:B132"/>
    <mergeCell ref="A256:H256"/>
    <mergeCell ref="A135:H135"/>
    <mergeCell ref="A259:H259"/>
    <mergeCell ref="A257:H257"/>
    <mergeCell ref="A253:H253"/>
    <mergeCell ref="G136:H136"/>
    <mergeCell ref="B237:H237"/>
    <mergeCell ref="A222:B222"/>
    <mergeCell ref="A173:B173"/>
    <mergeCell ref="C140:D140"/>
    <mergeCell ref="B251:H251"/>
    <mergeCell ref="E136:F136"/>
    <mergeCell ref="A141:H141"/>
    <mergeCell ref="A151:A152"/>
    <mergeCell ref="F151:F152"/>
    <mergeCell ref="A214:B214"/>
    <mergeCell ref="A161:B161"/>
    <mergeCell ref="B239:H239"/>
    <mergeCell ref="G143:G144"/>
    <mergeCell ref="A221:B221"/>
    <mergeCell ref="A229:B229"/>
    <mergeCell ref="B232:H232"/>
    <mergeCell ref="B233:H233"/>
    <mergeCell ref="B235:H235"/>
    <mergeCell ref="A162:B162"/>
    <mergeCell ref="A175:B175"/>
    <mergeCell ref="A176:B176"/>
    <mergeCell ref="A177:B177"/>
    <mergeCell ref="A203:H203"/>
    <mergeCell ref="A212:B212"/>
    <mergeCell ref="A146:B146"/>
    <mergeCell ref="C143:C144"/>
    <mergeCell ref="B151:B152"/>
    <mergeCell ref="B234:H234"/>
    <mergeCell ref="A218:B218"/>
    <mergeCell ref="A153:H153"/>
    <mergeCell ref="A258:H258"/>
    <mergeCell ref="A255:H255"/>
    <mergeCell ref="A170:B170"/>
    <mergeCell ref="A157:H157"/>
    <mergeCell ref="A217:B217"/>
    <mergeCell ref="B236:H236"/>
    <mergeCell ref="A226:B226"/>
    <mergeCell ref="A227:B227"/>
    <mergeCell ref="A230:B230"/>
    <mergeCell ref="B250:H250"/>
    <mergeCell ref="B249:H249"/>
    <mergeCell ref="A192:B192"/>
    <mergeCell ref="B242:H242"/>
    <mergeCell ref="B246:H246"/>
    <mergeCell ref="B243:H243"/>
    <mergeCell ref="A181:H181"/>
    <mergeCell ref="A182:H182"/>
    <mergeCell ref="A196:B196"/>
    <mergeCell ref="A220:B220"/>
    <mergeCell ref="B238:H238"/>
    <mergeCell ref="A254:H254"/>
    <mergeCell ref="A158:B158"/>
    <mergeCell ref="B247:H247"/>
    <mergeCell ref="A136:B136"/>
    <mergeCell ref="D151:D152"/>
    <mergeCell ref="E151:E152"/>
    <mergeCell ref="A97:B97"/>
    <mergeCell ref="A99:B99"/>
    <mergeCell ref="F118:H118"/>
    <mergeCell ref="G132:H132"/>
    <mergeCell ref="A102:B102"/>
    <mergeCell ref="F124:H124"/>
    <mergeCell ref="C131:D131"/>
    <mergeCell ref="C139:D139"/>
    <mergeCell ref="A140:B140"/>
    <mergeCell ref="A137:A138"/>
    <mergeCell ref="E140:F140"/>
    <mergeCell ref="F117:H117"/>
    <mergeCell ref="F122:H122"/>
    <mergeCell ref="A149:B149"/>
    <mergeCell ref="A148:B148"/>
    <mergeCell ref="A123:E123"/>
    <mergeCell ref="F123:H123"/>
    <mergeCell ref="A125:E125"/>
    <mergeCell ref="F120:H120"/>
    <mergeCell ref="A124:E124"/>
    <mergeCell ref="A150:H150"/>
    <mergeCell ref="A82:B82"/>
    <mergeCell ref="E78:F78"/>
    <mergeCell ref="A85:B85"/>
    <mergeCell ref="I15:P15"/>
    <mergeCell ref="F127:H127"/>
    <mergeCell ref="F125:H125"/>
    <mergeCell ref="A215:B215"/>
    <mergeCell ref="A142:H142"/>
    <mergeCell ref="G131:H131"/>
    <mergeCell ref="A126:E126"/>
    <mergeCell ref="A147:B147"/>
    <mergeCell ref="A60:B60"/>
    <mergeCell ref="C60:E60"/>
    <mergeCell ref="D62:H62"/>
    <mergeCell ref="F126:H126"/>
    <mergeCell ref="E131:F131"/>
    <mergeCell ref="A131:B131"/>
    <mergeCell ref="A133:B133"/>
    <mergeCell ref="C136:D136"/>
    <mergeCell ref="D72:H72"/>
    <mergeCell ref="D63:H63"/>
    <mergeCell ref="G60:H60"/>
    <mergeCell ref="A54:B55"/>
    <mergeCell ref="A117:E117"/>
    <mergeCell ref="E43:H43"/>
    <mergeCell ref="A43:D43"/>
    <mergeCell ref="A84:B84"/>
    <mergeCell ref="A50:B50"/>
    <mergeCell ref="D67:H67"/>
    <mergeCell ref="C52:E52"/>
    <mergeCell ref="A231:H231"/>
    <mergeCell ref="A223:B223"/>
    <mergeCell ref="A224:B224"/>
    <mergeCell ref="A219:H219"/>
    <mergeCell ref="A213:H213"/>
    <mergeCell ref="A228:B228"/>
    <mergeCell ref="A225:H225"/>
    <mergeCell ref="A72:C72"/>
    <mergeCell ref="D73:H73"/>
    <mergeCell ref="A79:B79"/>
    <mergeCell ref="G78:H78"/>
    <mergeCell ref="A87:B87"/>
    <mergeCell ref="A88:B88"/>
    <mergeCell ref="A83:B83"/>
    <mergeCell ref="C53:H53"/>
    <mergeCell ref="A197:B197"/>
    <mergeCell ref="A187:B187"/>
    <mergeCell ref="A80:B80"/>
    <mergeCell ref="L162:M162"/>
    <mergeCell ref="A163:B163"/>
    <mergeCell ref="L163:M163"/>
    <mergeCell ref="A164:B164"/>
    <mergeCell ref="L164:M164"/>
    <mergeCell ref="A165:B165"/>
    <mergeCell ref="L165:M165"/>
    <mergeCell ref="A166:B166"/>
    <mergeCell ref="L166:M166"/>
    <mergeCell ref="L203:M203"/>
    <mergeCell ref="L192:M192"/>
    <mergeCell ref="A193:H193"/>
    <mergeCell ref="L193:M193"/>
    <mergeCell ref="A194:B194"/>
    <mergeCell ref="A195:B195"/>
    <mergeCell ref="A183:H183"/>
    <mergeCell ref="A184:B184"/>
    <mergeCell ref="L184:M184"/>
    <mergeCell ref="A185:B185"/>
    <mergeCell ref="L185:M185"/>
    <mergeCell ref="A186:B186"/>
    <mergeCell ref="L186:M186"/>
    <mergeCell ref="L187:M187"/>
    <mergeCell ref="A188:B188"/>
    <mergeCell ref="L188:M188"/>
    <mergeCell ref="A189:B189"/>
    <mergeCell ref="L189:M189"/>
    <mergeCell ref="A190:B190"/>
    <mergeCell ref="L190:M190"/>
    <mergeCell ref="A191:B191"/>
    <mergeCell ref="L191:M191"/>
    <mergeCell ref="I154:J154"/>
    <mergeCell ref="B248:H248"/>
    <mergeCell ref="B252:H252"/>
    <mergeCell ref="A204:B204"/>
    <mergeCell ref="A205:B205"/>
    <mergeCell ref="A206:B206"/>
    <mergeCell ref="A207:B207"/>
    <mergeCell ref="A208:B208"/>
    <mergeCell ref="A209:B209"/>
    <mergeCell ref="A210:B210"/>
    <mergeCell ref="A211:B211"/>
    <mergeCell ref="A198:B198"/>
    <mergeCell ref="A199:B199"/>
    <mergeCell ref="A200:B200"/>
    <mergeCell ref="A201:B201"/>
    <mergeCell ref="A202:B202"/>
    <mergeCell ref="B244:H244"/>
    <mergeCell ref="B240:H240"/>
    <mergeCell ref="B245:H245"/>
    <mergeCell ref="B241:H241"/>
    <mergeCell ref="A156:H156"/>
    <mergeCell ref="A155:H155"/>
    <mergeCell ref="A154:H154"/>
  </mergeCells>
  <dataValidations disablePrompts="1"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3:E144">
      <formula1>"Attached Loft area,Attached Otla area,Attached Mezzanine area"</formula1>
    </dataValidation>
    <dataValidation type="list" allowBlank="1" showInputMessage="1" showErrorMessage="1" sqref="G260:H260">
      <formula1>"Kunal Kadam,Pranita Mhatre,Shruti Fule,Pooja Kawale,Gaurav Panchal,Shruti Tathare, Hitakshi Mhatre, Sachin Sawant"</formula1>
    </dataValidation>
    <dataValidation type="list" allowBlank="1" showInputMessage="1" showErrorMessage="1" sqref="F117:H117">
      <formula1>"On Saleable Area,On Builtup Area,On Carpet Area,On Plot Area"</formula1>
    </dataValidation>
    <dataValidation type="list" allowBlank="1" showInputMessage="1" showErrorMessage="1" sqref="F128:H128">
      <formula1>OFFSET($S$117,1,MATCH($G20,$S$117:$W$117,0)-1,15,1)</formula1>
    </dataValidation>
    <dataValidation type="list" allowBlank="1" showInputMessage="1" showErrorMessage="1" sqref="B143:B144">
      <formula1>"Shop No. (Sale Plan),Sale / Rehab,Sale / Mhada"</formula1>
    </dataValidation>
    <dataValidation type="list" allowBlank="1" showInputMessage="1" showErrorMessage="1" sqref="B151:B152">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1:E152">
      <formula1>"Fungible area,Balcony Area,Chajja Area,Cornice Area,AP Area,WS Area"</formula1>
    </dataValidation>
    <dataValidation type="list" allowBlank="1" showInputMessage="1" showErrorMessage="1" sqref="H144 H152">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43 H151">
      <formula1>"Saleable area Loading :,Builder Saleable Area"</formula1>
    </dataValidation>
    <dataValidation type="list" allowBlank="1" showInputMessage="1" showErrorMessage="1" sqref="D143:D144 D151:D152">
      <formula1>"Carpet area,RERA Carpet area"</formula1>
    </dataValidation>
  </dataValidations>
  <hyperlinks>
    <hyperlink ref="C40" r:id="rId1"/>
    <hyperlink ref="I71" r:id="rId2"/>
  </hyperlinks>
  <printOptions horizontalCentered="1"/>
  <pageMargins left="0.39370078740157483" right="0.39370078740157483" top="0.82677165354330717" bottom="0.78740157480314965" header="0.15748031496062992" footer="0.19685039370078741"/>
  <pageSetup paperSize="2" fitToHeight="0" orientation="portrait" r:id="rId3"/>
  <headerFooter>
    <oddHeader>&amp;C&amp;G</oddHeader>
    <oddFooter>&amp;L&amp;"Times New Roman,Bold"&amp;12Ref No: &amp;F&amp;C&amp;G&amp;R&amp;"Times New Roman,Bold"&amp;12&amp;P</oddFooter>
  </headerFooter>
  <rowBreaks count="4" manualBreakCount="4">
    <brk id="139" max="7" man="1"/>
    <brk id="264" max="16383" man="1"/>
    <brk id="307" max="16383" man="1"/>
    <brk id="350" max="16383"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82" t="s">
        <v>103</v>
      </c>
      <c r="C3" s="282"/>
      <c r="D3" s="282"/>
      <c r="E3" s="282"/>
      <c r="F3" s="282"/>
      <c r="G3" s="282"/>
      <c r="H3" s="282"/>
    </row>
    <row r="4" spans="1:9" x14ac:dyDescent="0.25">
      <c r="A4" s="2"/>
      <c r="B4" s="3" t="s">
        <v>104</v>
      </c>
      <c r="C4" s="3" t="s">
        <v>105</v>
      </c>
      <c r="D4" s="3" t="s">
        <v>66</v>
      </c>
      <c r="E4" s="3" t="s">
        <v>106</v>
      </c>
      <c r="F4" s="3" t="s">
        <v>112</v>
      </c>
      <c r="G4" s="3" t="s">
        <v>113</v>
      </c>
      <c r="H4" s="3" t="s">
        <v>107</v>
      </c>
    </row>
    <row r="5" spans="1:9" ht="15" customHeight="1" x14ac:dyDescent="0.25">
      <c r="A5" s="2"/>
      <c r="B5" s="5" t="s">
        <v>108</v>
      </c>
      <c r="C5" s="6"/>
      <c r="D5" s="5"/>
      <c r="E5" s="5"/>
      <c r="F5" s="7">
        <f>E5*1.6</f>
        <v>0</v>
      </c>
      <c r="G5" s="7" t="e">
        <f>H5/F5</f>
        <v>#DIV/0!</v>
      </c>
      <c r="H5" s="8"/>
    </row>
    <row r="6" spans="1:9" x14ac:dyDescent="0.25">
      <c r="A6" s="2"/>
      <c r="B6" s="5" t="s">
        <v>108</v>
      </c>
      <c r="C6" s="9"/>
      <c r="D6" s="5"/>
      <c r="E6" s="5"/>
      <c r="F6" s="7">
        <f t="shared" ref="F6:F11" si="0">E6*1.6</f>
        <v>0</v>
      </c>
      <c r="G6" s="7" t="e">
        <f t="shared" ref="G6:G11" si="1">H6/F6</f>
        <v>#DIV/0!</v>
      </c>
      <c r="H6" s="8"/>
    </row>
    <row r="7" spans="1:9" ht="15" customHeight="1" x14ac:dyDescent="0.25">
      <c r="A7" s="2"/>
      <c r="B7" s="5" t="s">
        <v>108</v>
      </c>
      <c r="C7" s="6"/>
      <c r="D7" s="5"/>
      <c r="E7" s="5"/>
      <c r="F7" s="7">
        <f t="shared" si="0"/>
        <v>0</v>
      </c>
      <c r="G7" s="7" t="e">
        <f t="shared" si="1"/>
        <v>#DIV/0!</v>
      </c>
      <c r="H7" s="8"/>
    </row>
    <row r="8" spans="1:9" x14ac:dyDescent="0.25">
      <c r="A8" s="2"/>
      <c r="B8" s="5" t="s">
        <v>108</v>
      </c>
      <c r="C8" s="9"/>
      <c r="D8" s="5"/>
      <c r="E8" s="5"/>
      <c r="F8" s="7">
        <f t="shared" si="0"/>
        <v>0</v>
      </c>
      <c r="G8" s="7" t="e">
        <f t="shared" si="1"/>
        <v>#DIV/0!</v>
      </c>
      <c r="H8" s="8"/>
    </row>
    <row r="9" spans="1:9" ht="15" customHeight="1" x14ac:dyDescent="0.25">
      <c r="A9" s="2"/>
      <c r="B9" s="5" t="s">
        <v>108</v>
      </c>
      <c r="C9" s="9"/>
      <c r="D9" s="5"/>
      <c r="E9" s="5"/>
      <c r="F9" s="7">
        <f t="shared" si="0"/>
        <v>0</v>
      </c>
      <c r="G9" s="7" t="e">
        <f t="shared" si="1"/>
        <v>#DIV/0!</v>
      </c>
      <c r="H9" s="8"/>
    </row>
    <row r="10" spans="1:9" ht="15" customHeight="1" x14ac:dyDescent="0.25">
      <c r="A10" s="2"/>
      <c r="B10" s="5" t="s">
        <v>109</v>
      </c>
      <c r="C10" s="6"/>
      <c r="D10" s="5"/>
      <c r="E10" s="5"/>
      <c r="F10" s="7">
        <f t="shared" si="0"/>
        <v>0</v>
      </c>
      <c r="G10" s="7" t="e">
        <f t="shared" si="1"/>
        <v>#DIV/0!</v>
      </c>
      <c r="H10" s="8"/>
    </row>
    <row r="11" spans="1:9" ht="15" customHeight="1" x14ac:dyDescent="0.25">
      <c r="A11" s="2"/>
      <c r="B11" s="5" t="s">
        <v>109</v>
      </c>
      <c r="C11" s="6"/>
      <c r="D11" s="5"/>
      <c r="E11" s="5"/>
      <c r="F11" s="7">
        <f t="shared" si="0"/>
        <v>0</v>
      </c>
      <c r="G11" s="7" t="e">
        <f t="shared" si="1"/>
        <v>#DIV/0!</v>
      </c>
      <c r="H11" s="8"/>
    </row>
    <row r="12" spans="1:9" ht="15" customHeight="1" x14ac:dyDescent="0.25">
      <c r="A12" s="2"/>
      <c r="B12" s="10" t="s">
        <v>110</v>
      </c>
      <c r="C12" s="5"/>
      <c r="D12" s="5"/>
      <c r="E12" s="5"/>
      <c r="F12" s="5"/>
      <c r="G12" s="11" t="e">
        <f>AVERAGE(G5:G11)</f>
        <v>#DIV/0!</v>
      </c>
      <c r="H12" s="5"/>
    </row>
    <row r="13" spans="1:9" ht="15" customHeight="1" x14ac:dyDescent="0.25">
      <c r="B13" s="10" t="s">
        <v>111</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2"/>
      <c r="C4" s="52" t="s">
        <v>11</v>
      </c>
      <c r="D4" s="53" t="s">
        <v>177</v>
      </c>
      <c r="E4" s="53" t="s">
        <v>187</v>
      </c>
      <c r="F4" s="53" t="s">
        <v>172</v>
      </c>
      <c r="G4" s="53" t="s">
        <v>192</v>
      </c>
      <c r="H4" s="53" t="s">
        <v>210</v>
      </c>
      <c r="J4" t="s">
        <v>192</v>
      </c>
      <c r="K4" t="s">
        <v>208</v>
      </c>
    </row>
    <row r="5" spans="2:11" x14ac:dyDescent="0.25">
      <c r="B5" s="52"/>
      <c r="C5" s="52"/>
      <c r="D5" s="53" t="s">
        <v>178</v>
      </c>
      <c r="E5" s="53" t="s">
        <v>185</v>
      </c>
      <c r="F5" s="53" t="s">
        <v>207</v>
      </c>
      <c r="G5" s="53" t="s">
        <v>193</v>
      </c>
      <c r="H5" s="53" t="s">
        <v>211</v>
      </c>
    </row>
    <row r="6" spans="2:11" x14ac:dyDescent="0.25">
      <c r="B6" s="52"/>
      <c r="C6" s="52"/>
      <c r="D6" s="53" t="s">
        <v>179</v>
      </c>
      <c r="E6" s="53" t="s">
        <v>186</v>
      </c>
      <c r="F6" s="53" t="s">
        <v>208</v>
      </c>
      <c r="G6" s="53" t="s">
        <v>194</v>
      </c>
      <c r="H6" s="53" t="s">
        <v>224</v>
      </c>
    </row>
    <row r="7" spans="2:11" x14ac:dyDescent="0.25">
      <c r="B7" s="52"/>
      <c r="C7" s="52"/>
      <c r="D7" s="53" t="s">
        <v>180</v>
      </c>
      <c r="E7" s="53" t="s">
        <v>188</v>
      </c>
      <c r="F7" s="53" t="s">
        <v>209</v>
      </c>
      <c r="G7" s="53" t="s">
        <v>195</v>
      </c>
      <c r="H7" s="53" t="s">
        <v>212</v>
      </c>
    </row>
    <row r="8" spans="2:11" x14ac:dyDescent="0.25">
      <c r="B8" s="52"/>
      <c r="C8" s="52"/>
      <c r="D8" s="53" t="s">
        <v>181</v>
      </c>
      <c r="E8" s="53" t="s">
        <v>189</v>
      </c>
      <c r="F8" s="53"/>
      <c r="G8" s="53" t="s">
        <v>196</v>
      </c>
      <c r="H8" s="53" t="s">
        <v>213</v>
      </c>
    </row>
    <row r="9" spans="2:11" x14ac:dyDescent="0.25">
      <c r="B9" s="52"/>
      <c r="C9" s="52"/>
      <c r="D9" s="53" t="s">
        <v>182</v>
      </c>
      <c r="E9" s="53" t="s">
        <v>187</v>
      </c>
      <c r="F9" s="53"/>
      <c r="G9" s="53" t="s">
        <v>197</v>
      </c>
      <c r="H9" s="53" t="s">
        <v>214</v>
      </c>
    </row>
    <row r="10" spans="2:11" x14ac:dyDescent="0.25">
      <c r="B10" s="52"/>
      <c r="C10" s="52"/>
      <c r="D10" s="53" t="s">
        <v>183</v>
      </c>
      <c r="E10" s="53" t="s">
        <v>190</v>
      </c>
      <c r="F10" s="53"/>
      <c r="G10" s="53" t="s">
        <v>198</v>
      </c>
      <c r="H10" s="53" t="s">
        <v>215</v>
      </c>
    </row>
    <row r="11" spans="2:11" x14ac:dyDescent="0.25">
      <c r="B11" s="52"/>
      <c r="C11" s="52"/>
      <c r="D11" s="53" t="s">
        <v>184</v>
      </c>
      <c r="E11" s="53" t="s">
        <v>191</v>
      </c>
      <c r="F11" s="53"/>
      <c r="G11" s="53" t="s">
        <v>199</v>
      </c>
      <c r="H11" s="53" t="s">
        <v>216</v>
      </c>
    </row>
    <row r="12" spans="2:11" x14ac:dyDescent="0.25">
      <c r="B12" s="52"/>
      <c r="C12" s="52"/>
      <c r="D12" s="53"/>
      <c r="E12" s="53"/>
      <c r="F12" s="53"/>
      <c r="G12" s="53" t="s">
        <v>200</v>
      </c>
      <c r="H12" s="53" t="s">
        <v>217</v>
      </c>
    </row>
    <row r="13" spans="2:11" x14ac:dyDescent="0.25">
      <c r="B13" s="52"/>
      <c r="C13" s="52"/>
      <c r="D13" s="53"/>
      <c r="E13" s="53"/>
      <c r="F13" s="53"/>
      <c r="G13" s="53" t="s">
        <v>201</v>
      </c>
      <c r="H13" s="53" t="s">
        <v>218</v>
      </c>
    </row>
    <row r="14" spans="2:11" x14ac:dyDescent="0.25">
      <c r="B14" s="52"/>
      <c r="C14" s="52"/>
      <c r="D14" s="53"/>
      <c r="E14" s="53"/>
      <c r="F14" s="53"/>
      <c r="G14" s="53" t="s">
        <v>202</v>
      </c>
      <c r="H14" s="53" t="s">
        <v>219</v>
      </c>
    </row>
    <row r="15" spans="2:11" x14ac:dyDescent="0.25">
      <c r="B15" s="52"/>
      <c r="C15" s="52"/>
      <c r="D15" s="53"/>
      <c r="E15" s="53"/>
      <c r="F15" s="53"/>
      <c r="G15" s="53" t="s">
        <v>203</v>
      </c>
      <c r="H15" s="53" t="s">
        <v>220</v>
      </c>
    </row>
    <row r="16" spans="2:11" x14ac:dyDescent="0.25">
      <c r="B16" s="52"/>
      <c r="C16" s="52"/>
      <c r="D16" s="53"/>
      <c r="E16" s="53"/>
      <c r="F16" s="53"/>
      <c r="G16" s="53" t="s">
        <v>204</v>
      </c>
      <c r="H16" s="53" t="s">
        <v>221</v>
      </c>
    </row>
    <row r="17" spans="2:8" x14ac:dyDescent="0.25">
      <c r="B17" s="52"/>
      <c r="C17" s="52"/>
      <c r="D17" s="53"/>
      <c r="E17" s="53"/>
      <c r="F17" s="53"/>
      <c r="G17" s="53" t="s">
        <v>205</v>
      </c>
      <c r="H17" s="53" t="s">
        <v>222</v>
      </c>
    </row>
    <row r="18" spans="2:8" x14ac:dyDescent="0.25">
      <c r="B18" s="52"/>
      <c r="C18" s="52"/>
      <c r="D18" s="53"/>
      <c r="E18" s="53"/>
      <c r="F18" s="53"/>
      <c r="G18" s="53" t="s">
        <v>206</v>
      </c>
      <c r="H18" s="53" t="s">
        <v>223</v>
      </c>
    </row>
    <row r="24" spans="2:8" x14ac:dyDescent="0.25">
      <c r="C24" t="s">
        <v>169</v>
      </c>
    </row>
    <row r="25" spans="2:8" x14ac:dyDescent="0.25">
      <c r="C25" t="s">
        <v>225</v>
      </c>
    </row>
    <row r="26" spans="2:8" x14ac:dyDescent="0.25">
      <c r="C26" t="s">
        <v>226</v>
      </c>
    </row>
    <row r="27" spans="2:8" x14ac:dyDescent="0.25">
      <c r="C27" t="s">
        <v>227</v>
      </c>
    </row>
    <row r="28" spans="2:8" x14ac:dyDescent="0.25">
      <c r="C28" t="s">
        <v>228</v>
      </c>
    </row>
    <row r="29" spans="2:8" x14ac:dyDescent="0.25">
      <c r="C29" t="s">
        <v>229</v>
      </c>
    </row>
    <row r="30" spans="2:8" x14ac:dyDescent="0.25">
      <c r="C30" t="s">
        <v>169</v>
      </c>
    </row>
    <row r="33" spans="3:11" x14ac:dyDescent="0.25">
      <c r="J33">
        <v>1</v>
      </c>
      <c r="K33">
        <v>2</v>
      </c>
    </row>
    <row r="34" spans="3:11" x14ac:dyDescent="0.25">
      <c r="C34" s="56" t="s">
        <v>234</v>
      </c>
      <c r="D34" s="53" t="s">
        <v>232</v>
      </c>
      <c r="E34" s="53" t="s">
        <v>237</v>
      </c>
      <c r="F34" s="53" t="s">
        <v>235</v>
      </c>
      <c r="G34" s="53" t="s">
        <v>236</v>
      </c>
      <c r="H34" s="53" t="s">
        <v>238</v>
      </c>
      <c r="J34" t="s">
        <v>192</v>
      </c>
      <c r="K34" t="s">
        <v>208</v>
      </c>
    </row>
    <row r="35" spans="3:11" x14ac:dyDescent="0.25">
      <c r="C35" s="52" t="s">
        <v>233</v>
      </c>
      <c r="D35" s="53" t="s">
        <v>170</v>
      </c>
      <c r="E35" s="53" t="s">
        <v>242</v>
      </c>
      <c r="F35" s="53" t="s">
        <v>244</v>
      </c>
      <c r="G35" s="53" t="s">
        <v>246</v>
      </c>
      <c r="H35" s="53"/>
    </row>
    <row r="36" spans="3:11" x14ac:dyDescent="0.25">
      <c r="C36" s="52"/>
      <c r="D36" s="53" t="s">
        <v>239</v>
      </c>
      <c r="E36" s="53" t="s">
        <v>243</v>
      </c>
      <c r="F36" s="53" t="s">
        <v>245</v>
      </c>
      <c r="G36" s="53" t="s">
        <v>247</v>
      </c>
      <c r="H36" s="53"/>
    </row>
    <row r="37" spans="3:11" x14ac:dyDescent="0.25">
      <c r="C37" s="52"/>
      <c r="D37" s="53" t="s">
        <v>240</v>
      </c>
      <c r="E37" s="53"/>
      <c r="F37" s="53"/>
      <c r="G37" s="53" t="s">
        <v>248</v>
      </c>
      <c r="H37" s="53"/>
    </row>
    <row r="38" spans="3:11" x14ac:dyDescent="0.25">
      <c r="C38" s="52"/>
      <c r="D38" s="53" t="s">
        <v>241</v>
      </c>
      <c r="E38" s="53"/>
      <c r="F38" s="53"/>
      <c r="G38" s="53" t="s">
        <v>248</v>
      </c>
      <c r="H38" s="53"/>
    </row>
    <row r="39" spans="3:11" x14ac:dyDescent="0.25">
      <c r="C39" s="52"/>
      <c r="D39" s="53"/>
      <c r="E39" s="53"/>
      <c r="F39" s="53"/>
      <c r="G39" s="53" t="s">
        <v>249</v>
      </c>
      <c r="H39" s="53"/>
    </row>
    <row r="40" spans="3:11" x14ac:dyDescent="0.25">
      <c r="C40" s="52"/>
      <c r="D40" s="53"/>
      <c r="E40" s="53"/>
      <c r="F40" s="53"/>
      <c r="G40" s="53" t="s">
        <v>250</v>
      </c>
      <c r="H40" s="53"/>
    </row>
    <row r="41" spans="3:11" x14ac:dyDescent="0.25">
      <c r="C41" s="52"/>
      <c r="D41" s="53"/>
      <c r="E41" s="53"/>
      <c r="F41" s="53"/>
      <c r="G41" s="53"/>
      <c r="H41" s="53"/>
    </row>
    <row r="43" spans="3:11" x14ac:dyDescent="0.25">
      <c r="C43" t="s">
        <v>251</v>
      </c>
    </row>
    <row r="44" spans="3:11" x14ac:dyDescent="0.25">
      <c r="C44" t="s">
        <v>172</v>
      </c>
      <c r="D44" t="s">
        <v>252</v>
      </c>
    </row>
    <row r="45" spans="3:11" x14ac:dyDescent="0.25">
      <c r="D45" t="s">
        <v>253</v>
      </c>
    </row>
    <row r="46" spans="3:11" x14ac:dyDescent="0.25">
      <c r="D46" t="s">
        <v>254</v>
      </c>
    </row>
    <row r="47" spans="3:11" x14ac:dyDescent="0.25">
      <c r="D47" t="s">
        <v>255</v>
      </c>
    </row>
    <row r="48" spans="3:11" x14ac:dyDescent="0.25">
      <c r="D48" t="s">
        <v>256</v>
      </c>
    </row>
    <row r="49" spans="3:4" x14ac:dyDescent="0.25">
      <c r="C49" t="s">
        <v>177</v>
      </c>
      <c r="D49" t="s">
        <v>257</v>
      </c>
    </row>
    <row r="50" spans="3:4" x14ac:dyDescent="0.25">
      <c r="D50" t="s">
        <v>258</v>
      </c>
    </row>
    <row r="51" spans="3:4" x14ac:dyDescent="0.25">
      <c r="D51" t="s">
        <v>259</v>
      </c>
    </row>
    <row r="52" spans="3:4" x14ac:dyDescent="0.25">
      <c r="D52" t="s">
        <v>262</v>
      </c>
    </row>
    <row r="53" spans="3:4" x14ac:dyDescent="0.25">
      <c r="D53" t="s">
        <v>260</v>
      </c>
    </row>
    <row r="54" spans="3:4" x14ac:dyDescent="0.25">
      <c r="D54" t="s">
        <v>261</v>
      </c>
    </row>
    <row r="55" spans="3:4" x14ac:dyDescent="0.25">
      <c r="D55" t="s">
        <v>263</v>
      </c>
    </row>
    <row r="56" spans="3:4" x14ac:dyDescent="0.25">
      <c r="D56" t="s">
        <v>264</v>
      </c>
    </row>
    <row r="57" spans="3:4" x14ac:dyDescent="0.25">
      <c r="D57" t="s">
        <v>265</v>
      </c>
    </row>
    <row r="58" spans="3:4" x14ac:dyDescent="0.25">
      <c r="D58" t="s">
        <v>267</v>
      </c>
    </row>
    <row r="59" spans="3:4" x14ac:dyDescent="0.25">
      <c r="D59" t="s">
        <v>276</v>
      </c>
    </row>
    <row r="60" spans="3:4" x14ac:dyDescent="0.25">
      <c r="C60" t="s">
        <v>192</v>
      </c>
      <c r="D60" t="s">
        <v>268</v>
      </c>
    </row>
    <row r="61" spans="3:4" x14ac:dyDescent="0.25">
      <c r="D61" t="s">
        <v>266</v>
      </c>
    </row>
    <row r="62" spans="3:4" x14ac:dyDescent="0.25">
      <c r="D62" t="s">
        <v>256</v>
      </c>
    </row>
    <row r="63" spans="3:4" x14ac:dyDescent="0.25">
      <c r="D63" t="s">
        <v>269</v>
      </c>
    </row>
    <row r="64" spans="3:4" x14ac:dyDescent="0.25">
      <c r="D64" t="s">
        <v>270</v>
      </c>
    </row>
    <row r="65" spans="3:4" x14ac:dyDescent="0.25">
      <c r="D65" t="s">
        <v>271</v>
      </c>
    </row>
    <row r="66" spans="3:4" x14ac:dyDescent="0.25">
      <c r="D66" t="s">
        <v>272</v>
      </c>
    </row>
    <row r="67" spans="3:4" x14ac:dyDescent="0.25">
      <c r="C67" t="s">
        <v>187</v>
      </c>
      <c r="D67" t="s">
        <v>273</v>
      </c>
    </row>
    <row r="68" spans="3:4" x14ac:dyDescent="0.25">
      <c r="D68" t="s">
        <v>274</v>
      </c>
    </row>
    <row r="69" spans="3:4" x14ac:dyDescent="0.25">
      <c r="D69" t="s">
        <v>275</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44"/>
  <sheetViews>
    <sheetView workbookViewId="0">
      <selection sqref="A1:XFD1048576"/>
    </sheetView>
  </sheetViews>
  <sheetFormatPr defaultRowHeight="15" x14ac:dyDescent="0.25"/>
  <cols>
    <col min="2" max="2" width="3" bestFit="1" customWidth="1"/>
    <col min="3" max="3" width="155.28515625" customWidth="1"/>
  </cols>
  <sheetData>
    <row r="2" spans="2:3" ht="15" customHeight="1" x14ac:dyDescent="0.25">
      <c r="B2" s="57">
        <v>1</v>
      </c>
      <c r="C2" s="60" t="s">
        <v>281</v>
      </c>
    </row>
    <row r="3" spans="2:3" x14ac:dyDescent="0.25">
      <c r="B3" s="57">
        <v>2</v>
      </c>
      <c r="C3" s="58" t="s">
        <v>282</v>
      </c>
    </row>
    <row r="4" spans="2:3" x14ac:dyDescent="0.25">
      <c r="B4" s="57">
        <v>3</v>
      </c>
      <c r="C4" s="59" t="s">
        <v>283</v>
      </c>
    </row>
    <row r="5" spans="2:3" x14ac:dyDescent="0.25">
      <c r="B5" s="57">
        <v>4</v>
      </c>
      <c r="C5" s="58" t="s">
        <v>284</v>
      </c>
    </row>
    <row r="6" spans="2:3" x14ac:dyDescent="0.25">
      <c r="B6" s="57">
        <v>5</v>
      </c>
      <c r="C6" s="59" t="s">
        <v>285</v>
      </c>
    </row>
    <row r="7" spans="2:3" ht="30" x14ac:dyDescent="0.25">
      <c r="B7" s="57">
        <v>6</v>
      </c>
      <c r="C7" s="58" t="s">
        <v>286</v>
      </c>
    </row>
    <row r="8" spans="2:3" ht="75" x14ac:dyDescent="0.25">
      <c r="B8" s="57">
        <v>7</v>
      </c>
      <c r="C8" s="58" t="s">
        <v>287</v>
      </c>
    </row>
    <row r="9" spans="2:3" x14ac:dyDescent="0.25">
      <c r="B9" s="57">
        <v>8</v>
      </c>
      <c r="C9" s="59" t="s">
        <v>288</v>
      </c>
    </row>
    <row r="10" spans="2:3" x14ac:dyDescent="0.25">
      <c r="B10" s="57">
        <v>9</v>
      </c>
      <c r="C10" s="59" t="s">
        <v>289</v>
      </c>
    </row>
    <row r="11" spans="2:3" x14ac:dyDescent="0.25">
      <c r="B11" s="57">
        <v>10</v>
      </c>
      <c r="C11" s="59" t="s">
        <v>290</v>
      </c>
    </row>
    <row r="12" spans="2:3" x14ac:dyDescent="0.25">
      <c r="B12" s="57">
        <v>11</v>
      </c>
      <c r="C12" s="59" t="s">
        <v>291</v>
      </c>
    </row>
    <row r="13" spans="2:3" x14ac:dyDescent="0.25">
      <c r="B13" s="57">
        <v>12</v>
      </c>
      <c r="C13" s="59" t="s">
        <v>292</v>
      </c>
    </row>
    <row r="14" spans="2:3" x14ac:dyDescent="0.25">
      <c r="B14" s="57">
        <v>13</v>
      </c>
      <c r="C14" s="59" t="s">
        <v>293</v>
      </c>
    </row>
    <row r="15" spans="2:3" x14ac:dyDescent="0.25">
      <c r="B15" s="57">
        <v>14</v>
      </c>
      <c r="C15" s="59" t="s">
        <v>283</v>
      </c>
    </row>
    <row r="16" spans="2:3" x14ac:dyDescent="0.25">
      <c r="B16" s="57">
        <v>15</v>
      </c>
      <c r="C16" s="59" t="s">
        <v>296</v>
      </c>
    </row>
    <row r="17" spans="2:3" x14ac:dyDescent="0.25">
      <c r="B17" s="85">
        <v>16</v>
      </c>
      <c r="C17" s="66" t="s">
        <v>297</v>
      </c>
    </row>
    <row r="18" spans="2:3" x14ac:dyDescent="0.25">
      <c r="B18" s="65">
        <v>17</v>
      </c>
      <c r="C18" s="66" t="s">
        <v>298</v>
      </c>
    </row>
    <row r="19" spans="2:3" x14ac:dyDescent="0.25">
      <c r="B19" s="64">
        <v>18</v>
      </c>
      <c r="C19" s="57" t="s">
        <v>299</v>
      </c>
    </row>
    <row r="20" spans="2:3" x14ac:dyDescent="0.25">
      <c r="B20" s="65">
        <v>19</v>
      </c>
      <c r="C20" s="57" t="s">
        <v>335</v>
      </c>
    </row>
    <row r="21" spans="2:3" x14ac:dyDescent="0.25">
      <c r="B21" s="67">
        <v>20</v>
      </c>
      <c r="C21" s="57" t="s">
        <v>300</v>
      </c>
    </row>
    <row r="22" spans="2:3" x14ac:dyDescent="0.25">
      <c r="B22" s="65">
        <v>21</v>
      </c>
      <c r="C22" s="57" t="s">
        <v>299</v>
      </c>
    </row>
    <row r="23" spans="2:3" s="77" customFormat="1" ht="29.25" customHeight="1" x14ac:dyDescent="0.25">
      <c r="B23" s="76">
        <v>22</v>
      </c>
      <c r="C23" s="60" t="s">
        <v>327</v>
      </c>
    </row>
    <row r="24" spans="2:3" s="77" customFormat="1" ht="30.75" customHeight="1" x14ac:dyDescent="0.25">
      <c r="B24" s="78">
        <v>23</v>
      </c>
      <c r="C24" s="60" t="s">
        <v>328</v>
      </c>
    </row>
    <row r="25" spans="2:3" x14ac:dyDescent="0.25">
      <c r="B25" s="67">
        <v>24</v>
      </c>
      <c r="C25" s="57" t="s">
        <v>331</v>
      </c>
    </row>
    <row r="26" spans="2:3" x14ac:dyDescent="0.25">
      <c r="B26" s="65">
        <v>25</v>
      </c>
      <c r="C26" s="57" t="s">
        <v>329</v>
      </c>
    </row>
    <row r="27" spans="2:3" x14ac:dyDescent="0.25">
      <c r="B27" s="78">
        <v>26</v>
      </c>
      <c r="C27" s="67" t="s">
        <v>330</v>
      </c>
    </row>
    <row r="28" spans="2:3" x14ac:dyDescent="0.25">
      <c r="B28" s="79">
        <v>27</v>
      </c>
      <c r="C28" s="57" t="s">
        <v>332</v>
      </c>
    </row>
    <row r="29" spans="2:3" ht="60" x14ac:dyDescent="0.25">
      <c r="B29" s="84">
        <v>28</v>
      </c>
      <c r="C29" s="58" t="s">
        <v>333</v>
      </c>
    </row>
    <row r="30" spans="2:3" x14ac:dyDescent="0.25">
      <c r="B30" s="78">
        <v>29</v>
      </c>
      <c r="C30" s="57" t="s">
        <v>334</v>
      </c>
    </row>
    <row r="31" spans="2:3" ht="30" x14ac:dyDescent="0.25">
      <c r="B31" s="86">
        <v>30</v>
      </c>
      <c r="C31" s="58" t="s">
        <v>336</v>
      </c>
    </row>
    <row r="32" spans="2:3" x14ac:dyDescent="0.25">
      <c r="B32" s="78">
        <v>31</v>
      </c>
      <c r="C32" s="57" t="s">
        <v>337</v>
      </c>
    </row>
    <row r="33" spans="2:3" x14ac:dyDescent="0.25">
      <c r="B33" s="78">
        <v>32</v>
      </c>
      <c r="C33" s="57" t="s">
        <v>338</v>
      </c>
    </row>
    <row r="34" spans="2:3" ht="36.75" customHeight="1" x14ac:dyDescent="0.25">
      <c r="B34" s="86">
        <v>33</v>
      </c>
      <c r="C34" s="66" t="s">
        <v>339</v>
      </c>
    </row>
    <row r="35" spans="2:3" x14ac:dyDescent="0.25">
      <c r="B35" s="91">
        <v>34</v>
      </c>
      <c r="C35" s="57" t="s">
        <v>348</v>
      </c>
    </row>
    <row r="36" spans="2:3" ht="60" x14ac:dyDescent="0.25">
      <c r="B36" s="76">
        <v>35</v>
      </c>
      <c r="C36" s="58" t="s">
        <v>351</v>
      </c>
    </row>
    <row r="37" spans="2:3" x14ac:dyDescent="0.25">
      <c r="B37" s="57"/>
      <c r="C37" s="57"/>
    </row>
    <row r="38" spans="2:3" x14ac:dyDescent="0.25">
      <c r="B38" s="57"/>
      <c r="C38" s="57"/>
    </row>
    <row r="39" spans="2:3" x14ac:dyDescent="0.25">
      <c r="B39" s="57"/>
      <c r="C39" s="57"/>
    </row>
    <row r="40" spans="2:3" x14ac:dyDescent="0.25">
      <c r="B40" s="57"/>
      <c r="C40" s="57"/>
    </row>
    <row r="41" spans="2:3" x14ac:dyDescent="0.25">
      <c r="B41" s="57"/>
      <c r="C41" s="57"/>
    </row>
    <row r="42" spans="2:3" x14ac:dyDescent="0.25">
      <c r="B42" s="57"/>
      <c r="C42" s="57"/>
    </row>
    <row r="43" spans="2:3" x14ac:dyDescent="0.25">
      <c r="B43" s="57"/>
      <c r="C43" s="57"/>
    </row>
    <row r="44" spans="2:3" x14ac:dyDescent="0.25">
      <c r="B44" s="57"/>
      <c r="C44" s="57"/>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40625" defaultRowHeight="15" x14ac:dyDescent="0.25"/>
  <cols>
    <col min="1" max="1" width="9.140625" style="52"/>
    <col min="2" max="2" width="12.28515625" style="52" customWidth="1"/>
    <col min="3" max="16384" width="9.140625" style="52"/>
  </cols>
  <sheetData>
    <row r="2" spans="1:12" x14ac:dyDescent="0.25">
      <c r="B2" s="70" t="s">
        <v>301</v>
      </c>
      <c r="C2" s="283"/>
      <c r="D2" s="283"/>
    </row>
    <row r="3" spans="1:12" x14ac:dyDescent="0.25">
      <c r="D3" s="71"/>
      <c r="E3" s="71"/>
      <c r="F3" s="71"/>
      <c r="G3" s="71"/>
      <c r="H3" s="71"/>
      <c r="I3" s="71"/>
    </row>
    <row r="4" spans="1:12" x14ac:dyDescent="0.25">
      <c r="A4" s="70" t="s">
        <v>66</v>
      </c>
      <c r="B4" s="72" t="s">
        <v>302</v>
      </c>
      <c r="C4" s="284" t="s">
        <v>303</v>
      </c>
      <c r="D4" s="284"/>
      <c r="E4" s="284"/>
      <c r="F4" s="72"/>
      <c r="G4" s="285" t="s">
        <v>304</v>
      </c>
      <c r="H4" s="285"/>
      <c r="I4" s="285"/>
      <c r="J4" s="286" t="s">
        <v>305</v>
      </c>
      <c r="K4" s="286"/>
      <c r="L4" s="286"/>
    </row>
    <row r="5" spans="1:12" x14ac:dyDescent="0.25">
      <c r="A5" s="70"/>
      <c r="B5" s="72"/>
      <c r="C5" s="72" t="s">
        <v>306</v>
      </c>
      <c r="D5" s="72" t="s">
        <v>307</v>
      </c>
      <c r="E5" s="72" t="s">
        <v>308</v>
      </c>
      <c r="F5" s="72"/>
      <c r="G5" s="72" t="s">
        <v>306</v>
      </c>
      <c r="H5" s="72" t="s">
        <v>307</v>
      </c>
      <c r="I5" s="72" t="s">
        <v>308</v>
      </c>
      <c r="J5" s="72" t="s">
        <v>306</v>
      </c>
      <c r="K5" s="72" t="s">
        <v>307</v>
      </c>
      <c r="L5" s="72" t="s">
        <v>308</v>
      </c>
    </row>
    <row r="6" spans="1:12" x14ac:dyDescent="0.25">
      <c r="B6" s="53" t="s">
        <v>309</v>
      </c>
      <c r="C6" s="53"/>
      <c r="D6" s="53"/>
      <c r="E6" s="53">
        <f>C6*D6</f>
        <v>0</v>
      </c>
      <c r="F6" s="53" t="s">
        <v>326</v>
      </c>
      <c r="G6" s="53"/>
      <c r="H6" s="53"/>
      <c r="I6" s="53">
        <f>G6*H6</f>
        <v>0</v>
      </c>
      <c r="J6" s="53"/>
      <c r="K6" s="53"/>
      <c r="L6" s="53">
        <f>J6*K6</f>
        <v>0</v>
      </c>
    </row>
    <row r="7" spans="1:12" x14ac:dyDescent="0.25">
      <c r="B7" s="53"/>
      <c r="C7" s="53"/>
      <c r="D7" s="53"/>
      <c r="E7" s="53">
        <f t="shared" ref="E7:E41" si="0">C7*D7</f>
        <v>0</v>
      </c>
      <c r="F7" s="53" t="s">
        <v>326</v>
      </c>
      <c r="G7" s="53"/>
      <c r="H7" s="53"/>
      <c r="I7" s="53">
        <f t="shared" ref="I7:I35" si="1">G7*H7</f>
        <v>0</v>
      </c>
      <c r="J7" s="53"/>
      <c r="K7" s="53"/>
      <c r="L7" s="53">
        <f t="shared" ref="L7:L35" si="2">J7*K7</f>
        <v>0</v>
      </c>
    </row>
    <row r="8" spans="1:12" x14ac:dyDescent="0.25">
      <c r="B8" s="53"/>
      <c r="C8" s="53"/>
      <c r="D8" s="53"/>
      <c r="E8" s="53">
        <f t="shared" si="0"/>
        <v>0</v>
      </c>
      <c r="F8" s="53"/>
      <c r="G8" s="53"/>
      <c r="H8" s="53"/>
      <c r="I8" s="53">
        <f t="shared" si="1"/>
        <v>0</v>
      </c>
      <c r="J8" s="53"/>
      <c r="K8" s="53"/>
      <c r="L8" s="53">
        <f t="shared" si="2"/>
        <v>0</v>
      </c>
    </row>
    <row r="9" spans="1:12" x14ac:dyDescent="0.25">
      <c r="B9" s="53"/>
      <c r="C9" s="53"/>
      <c r="D9" s="53"/>
      <c r="E9" s="53">
        <f t="shared" si="0"/>
        <v>0</v>
      </c>
      <c r="F9" s="53" t="s">
        <v>310</v>
      </c>
      <c r="G9" s="53"/>
      <c r="H9" s="53"/>
      <c r="I9" s="53">
        <f t="shared" si="1"/>
        <v>0</v>
      </c>
      <c r="J9" s="53"/>
      <c r="K9" s="53"/>
      <c r="L9" s="53">
        <f t="shared" si="2"/>
        <v>0</v>
      </c>
    </row>
    <row r="10" spans="1:12" x14ac:dyDescent="0.25">
      <c r="B10" s="53" t="s">
        <v>311</v>
      </c>
      <c r="C10" s="53"/>
      <c r="D10" s="53"/>
      <c r="E10" s="53">
        <f t="shared" si="0"/>
        <v>0</v>
      </c>
      <c r="F10" s="53" t="s">
        <v>310</v>
      </c>
      <c r="G10" s="53"/>
      <c r="H10" s="53"/>
      <c r="I10" s="53">
        <f t="shared" si="1"/>
        <v>0</v>
      </c>
      <c r="J10" s="53"/>
      <c r="K10" s="53"/>
      <c r="L10" s="53">
        <f t="shared" si="2"/>
        <v>0</v>
      </c>
    </row>
    <row r="11" spans="1:12" x14ac:dyDescent="0.25">
      <c r="B11" s="53"/>
      <c r="C11" s="53"/>
      <c r="D11" s="53"/>
      <c r="E11" s="53">
        <f t="shared" si="0"/>
        <v>0</v>
      </c>
      <c r="F11" s="53" t="s">
        <v>312</v>
      </c>
      <c r="G11" s="53"/>
      <c r="H11" s="53"/>
      <c r="I11" s="53">
        <f t="shared" si="1"/>
        <v>0</v>
      </c>
      <c r="J11" s="53"/>
      <c r="K11" s="53"/>
      <c r="L11" s="53">
        <f t="shared" si="2"/>
        <v>0</v>
      </c>
    </row>
    <row r="12" spans="1:12" x14ac:dyDescent="0.25">
      <c r="B12" s="53"/>
      <c r="C12" s="53"/>
      <c r="D12" s="53"/>
      <c r="E12" s="53">
        <f t="shared" si="0"/>
        <v>0</v>
      </c>
      <c r="F12" s="53"/>
      <c r="G12" s="53"/>
      <c r="H12" s="53"/>
      <c r="I12" s="53">
        <f t="shared" si="1"/>
        <v>0</v>
      </c>
      <c r="J12" s="53"/>
      <c r="K12" s="53"/>
      <c r="L12" s="53">
        <f t="shared" si="2"/>
        <v>0</v>
      </c>
    </row>
    <row r="13" spans="1:12" x14ac:dyDescent="0.25">
      <c r="B13" s="53"/>
      <c r="C13" s="53"/>
      <c r="D13" s="53"/>
      <c r="E13" s="53">
        <f t="shared" si="0"/>
        <v>0</v>
      </c>
      <c r="F13" s="53"/>
      <c r="G13" s="53"/>
      <c r="H13" s="53"/>
      <c r="I13" s="53">
        <f t="shared" si="1"/>
        <v>0</v>
      </c>
      <c r="J13" s="53"/>
      <c r="K13" s="53"/>
      <c r="L13" s="53">
        <f t="shared" si="2"/>
        <v>0</v>
      </c>
    </row>
    <row r="14" spans="1:12" x14ac:dyDescent="0.25">
      <c r="B14" s="53" t="s">
        <v>313</v>
      </c>
      <c r="C14" s="53"/>
      <c r="D14" s="53"/>
      <c r="E14" s="53">
        <f t="shared" si="0"/>
        <v>0</v>
      </c>
      <c r="F14" s="53" t="s">
        <v>310</v>
      </c>
      <c r="G14" s="53"/>
      <c r="H14" s="53"/>
      <c r="I14" s="53">
        <f t="shared" si="1"/>
        <v>0</v>
      </c>
      <c r="J14" s="53"/>
      <c r="K14" s="53"/>
      <c r="L14" s="53">
        <f t="shared" si="2"/>
        <v>0</v>
      </c>
    </row>
    <row r="15" spans="1:12" x14ac:dyDescent="0.25">
      <c r="B15" s="53"/>
      <c r="C15" s="53"/>
      <c r="D15" s="53"/>
      <c r="E15" s="53">
        <f t="shared" si="0"/>
        <v>0</v>
      </c>
      <c r="F15" s="53" t="s">
        <v>312</v>
      </c>
      <c r="G15" s="53"/>
      <c r="H15" s="53"/>
      <c r="I15" s="53">
        <f t="shared" si="1"/>
        <v>0</v>
      </c>
      <c r="J15" s="53"/>
      <c r="K15" s="53"/>
      <c r="L15" s="53">
        <f t="shared" si="2"/>
        <v>0</v>
      </c>
    </row>
    <row r="16" spans="1:12" x14ac:dyDescent="0.25">
      <c r="B16" s="53"/>
      <c r="C16" s="53"/>
      <c r="D16" s="53"/>
      <c r="E16" s="53">
        <f t="shared" si="0"/>
        <v>0</v>
      </c>
      <c r="F16" s="53"/>
      <c r="G16" s="53"/>
      <c r="H16" s="53"/>
      <c r="I16" s="53">
        <f t="shared" si="1"/>
        <v>0</v>
      </c>
      <c r="J16" s="53"/>
      <c r="K16" s="53"/>
      <c r="L16" s="53">
        <f t="shared" si="2"/>
        <v>0</v>
      </c>
    </row>
    <row r="17" spans="2:12" x14ac:dyDescent="0.25">
      <c r="B17" s="53"/>
      <c r="C17" s="53"/>
      <c r="D17" s="53"/>
      <c r="E17" s="53">
        <f t="shared" si="0"/>
        <v>0</v>
      </c>
      <c r="F17" s="53"/>
      <c r="G17" s="53"/>
      <c r="H17" s="53"/>
      <c r="I17" s="53">
        <f t="shared" si="1"/>
        <v>0</v>
      </c>
      <c r="J17" s="53"/>
      <c r="K17" s="53"/>
      <c r="L17" s="53">
        <f t="shared" si="2"/>
        <v>0</v>
      </c>
    </row>
    <row r="18" spans="2:12" x14ac:dyDescent="0.25">
      <c r="B18" s="53" t="s">
        <v>314</v>
      </c>
      <c r="C18" s="53"/>
      <c r="D18" s="53"/>
      <c r="E18" s="53">
        <f t="shared" si="0"/>
        <v>0</v>
      </c>
      <c r="F18" s="53" t="s">
        <v>310</v>
      </c>
      <c r="G18" s="53"/>
      <c r="H18" s="53"/>
      <c r="I18" s="53">
        <f t="shared" si="1"/>
        <v>0</v>
      </c>
      <c r="J18" s="53"/>
      <c r="K18" s="53"/>
      <c r="L18" s="53">
        <f t="shared" si="2"/>
        <v>0</v>
      </c>
    </row>
    <row r="19" spans="2:12" x14ac:dyDescent="0.25">
      <c r="B19" s="53"/>
      <c r="C19" s="53"/>
      <c r="D19" s="53"/>
      <c r="E19" s="53">
        <f t="shared" si="0"/>
        <v>0</v>
      </c>
      <c r="F19" s="53" t="s">
        <v>312</v>
      </c>
      <c r="G19" s="53"/>
      <c r="H19" s="53"/>
      <c r="I19" s="53">
        <f t="shared" si="1"/>
        <v>0</v>
      </c>
      <c r="J19" s="53"/>
      <c r="K19" s="53"/>
      <c r="L19" s="53">
        <f t="shared" si="2"/>
        <v>0</v>
      </c>
    </row>
    <row r="20" spans="2:12" x14ac:dyDescent="0.25">
      <c r="B20" s="53"/>
      <c r="C20" s="53"/>
      <c r="D20" s="53"/>
      <c r="E20" s="53">
        <f t="shared" si="0"/>
        <v>0</v>
      </c>
      <c r="F20" s="53"/>
      <c r="G20" s="53"/>
      <c r="H20" s="53"/>
      <c r="I20" s="53">
        <f t="shared" si="1"/>
        <v>0</v>
      </c>
      <c r="J20" s="53"/>
      <c r="K20" s="53"/>
      <c r="L20" s="53">
        <f t="shared" si="2"/>
        <v>0</v>
      </c>
    </row>
    <row r="21" spans="2:12" x14ac:dyDescent="0.25">
      <c r="B21" s="53" t="s">
        <v>315</v>
      </c>
      <c r="C21" s="53"/>
      <c r="D21" s="53"/>
      <c r="E21" s="53">
        <f t="shared" si="0"/>
        <v>0</v>
      </c>
      <c r="F21" s="53" t="s">
        <v>310</v>
      </c>
      <c r="G21" s="53"/>
      <c r="H21" s="53"/>
      <c r="I21" s="53">
        <f t="shared" si="1"/>
        <v>0</v>
      </c>
      <c r="J21" s="53"/>
      <c r="K21" s="53"/>
      <c r="L21" s="53">
        <f t="shared" si="2"/>
        <v>0</v>
      </c>
    </row>
    <row r="22" spans="2:12" x14ac:dyDescent="0.25">
      <c r="B22" s="53"/>
      <c r="C22" s="53"/>
      <c r="D22" s="53"/>
      <c r="E22" s="53">
        <f t="shared" si="0"/>
        <v>0</v>
      </c>
      <c r="F22" s="53" t="s">
        <v>312</v>
      </c>
      <c r="G22" s="53"/>
      <c r="H22" s="53"/>
      <c r="I22" s="53">
        <f t="shared" si="1"/>
        <v>0</v>
      </c>
      <c r="J22" s="53"/>
      <c r="K22" s="53"/>
      <c r="L22" s="53">
        <f t="shared" si="2"/>
        <v>0</v>
      </c>
    </row>
    <row r="23" spans="2:12" x14ac:dyDescent="0.25">
      <c r="B23" s="53"/>
      <c r="C23" s="53"/>
      <c r="D23" s="53"/>
      <c r="E23" s="53">
        <f t="shared" si="0"/>
        <v>0</v>
      </c>
      <c r="F23" s="53"/>
      <c r="G23" s="53"/>
      <c r="H23" s="53"/>
      <c r="I23" s="53">
        <f t="shared" si="1"/>
        <v>0</v>
      </c>
      <c r="J23" s="53"/>
      <c r="K23" s="53"/>
      <c r="L23" s="53">
        <f t="shared" si="2"/>
        <v>0</v>
      </c>
    </row>
    <row r="24" spans="2:12" x14ac:dyDescent="0.25">
      <c r="B24" s="53" t="s">
        <v>316</v>
      </c>
      <c r="C24" s="53"/>
      <c r="D24" s="53"/>
      <c r="E24" s="53">
        <f t="shared" si="0"/>
        <v>0</v>
      </c>
      <c r="F24" s="53" t="s">
        <v>317</v>
      </c>
      <c r="G24" s="53"/>
      <c r="H24" s="53"/>
      <c r="I24" s="53">
        <f t="shared" si="1"/>
        <v>0</v>
      </c>
      <c r="J24" s="53"/>
      <c r="K24" s="53"/>
      <c r="L24" s="53">
        <f t="shared" si="2"/>
        <v>0</v>
      </c>
    </row>
    <row r="25" spans="2:12" x14ac:dyDescent="0.25">
      <c r="B25" s="53"/>
      <c r="C25" s="53"/>
      <c r="D25" s="53"/>
      <c r="E25" s="53">
        <f>C25*D25</f>
        <v>0</v>
      </c>
      <c r="F25" s="53" t="s">
        <v>317</v>
      </c>
      <c r="G25" s="53"/>
      <c r="H25" s="53"/>
      <c r="I25" s="53">
        <f>G25*H25</f>
        <v>0</v>
      </c>
      <c r="J25" s="53"/>
      <c r="K25" s="53"/>
      <c r="L25" s="53">
        <f>J25*K25</f>
        <v>0</v>
      </c>
    </row>
    <row r="26" spans="2:12" x14ac:dyDescent="0.25">
      <c r="B26" s="53"/>
      <c r="C26" s="53"/>
      <c r="D26" s="53"/>
      <c r="E26" s="53">
        <f>C26*D26</f>
        <v>0</v>
      </c>
      <c r="F26" s="53" t="s">
        <v>317</v>
      </c>
      <c r="G26" s="53"/>
      <c r="H26" s="53"/>
      <c r="I26" s="53">
        <f>G26*H26</f>
        <v>0</v>
      </c>
      <c r="J26" s="53"/>
      <c r="K26" s="53"/>
      <c r="L26" s="53">
        <f>J26*K26</f>
        <v>0</v>
      </c>
    </row>
    <row r="27" spans="2:12" x14ac:dyDescent="0.25">
      <c r="B27" s="53"/>
      <c r="C27" s="53"/>
      <c r="D27" s="53"/>
      <c r="E27" s="53">
        <f>C27*D27</f>
        <v>0</v>
      </c>
      <c r="F27" s="53" t="s">
        <v>317</v>
      </c>
      <c r="G27" s="53"/>
      <c r="H27" s="53"/>
      <c r="I27" s="53">
        <f>G27*H27</f>
        <v>0</v>
      </c>
      <c r="J27" s="53"/>
      <c r="K27" s="53"/>
      <c r="L27" s="53">
        <f>J27*K27</f>
        <v>0</v>
      </c>
    </row>
    <row r="28" spans="2:12" x14ac:dyDescent="0.25">
      <c r="B28" s="53" t="s">
        <v>318</v>
      </c>
      <c r="C28" s="53"/>
      <c r="D28" s="53"/>
      <c r="E28" s="53">
        <f t="shared" si="0"/>
        <v>0</v>
      </c>
      <c r="F28" s="53" t="s">
        <v>317</v>
      </c>
      <c r="G28" s="53"/>
      <c r="H28" s="53"/>
      <c r="I28" s="53">
        <f t="shared" si="1"/>
        <v>0</v>
      </c>
      <c r="J28" s="53"/>
      <c r="K28" s="53"/>
      <c r="L28" s="53">
        <f t="shared" si="2"/>
        <v>0</v>
      </c>
    </row>
    <row r="29" spans="2:12" x14ac:dyDescent="0.25">
      <c r="B29" s="53" t="s">
        <v>319</v>
      </c>
      <c r="C29" s="53"/>
      <c r="D29" s="53"/>
      <c r="E29" s="53">
        <f t="shared" si="0"/>
        <v>0</v>
      </c>
      <c r="F29" s="53" t="s">
        <v>317</v>
      </c>
      <c r="G29" s="53"/>
      <c r="H29" s="53"/>
      <c r="I29" s="53">
        <f t="shared" si="1"/>
        <v>0</v>
      </c>
      <c r="J29" s="53"/>
      <c r="K29" s="53"/>
      <c r="L29" s="53">
        <f t="shared" si="2"/>
        <v>0</v>
      </c>
    </row>
    <row r="30" spans="2:12" x14ac:dyDescent="0.25">
      <c r="B30" s="53" t="s">
        <v>323</v>
      </c>
      <c r="C30" s="53"/>
      <c r="D30" s="53"/>
      <c r="E30" s="53">
        <f t="shared" si="0"/>
        <v>0</v>
      </c>
      <c r="F30" s="53"/>
      <c r="G30" s="53"/>
      <c r="H30" s="53"/>
      <c r="I30" s="53">
        <f t="shared" si="1"/>
        <v>0</v>
      </c>
      <c r="J30" s="53"/>
      <c r="K30" s="53"/>
      <c r="L30" s="53">
        <f t="shared" si="2"/>
        <v>0</v>
      </c>
    </row>
    <row r="31" spans="2:12" x14ac:dyDescent="0.25">
      <c r="B31" s="53"/>
      <c r="C31" s="53"/>
      <c r="D31" s="53"/>
      <c r="E31" s="53">
        <f>C31*D31</f>
        <v>0</v>
      </c>
      <c r="F31" s="53"/>
      <c r="G31" s="53"/>
      <c r="H31" s="53"/>
      <c r="I31" s="53">
        <f>G31*H31</f>
        <v>0</v>
      </c>
      <c r="J31" s="53"/>
      <c r="K31" s="53"/>
      <c r="L31" s="53">
        <f>J31*K31</f>
        <v>0</v>
      </c>
    </row>
    <row r="32" spans="2:12" x14ac:dyDescent="0.25">
      <c r="B32" s="53"/>
      <c r="C32" s="53"/>
      <c r="D32" s="53"/>
      <c r="E32" s="53">
        <f>C32*D32</f>
        <v>0</v>
      </c>
      <c r="F32" s="53"/>
      <c r="G32" s="53"/>
      <c r="H32" s="53"/>
      <c r="I32" s="53">
        <f>G32*H32</f>
        <v>0</v>
      </c>
      <c r="J32" s="53"/>
      <c r="K32" s="53"/>
      <c r="L32" s="53">
        <f>J32*K32</f>
        <v>0</v>
      </c>
    </row>
    <row r="33" spans="2:12" x14ac:dyDescent="0.25">
      <c r="B33" s="53" t="s">
        <v>320</v>
      </c>
      <c r="C33" s="53"/>
      <c r="D33" s="53"/>
      <c r="E33" s="53">
        <f t="shared" si="0"/>
        <v>0</v>
      </c>
      <c r="F33" s="53"/>
      <c r="G33" s="53"/>
      <c r="H33" s="53"/>
      <c r="I33" s="53">
        <f t="shared" si="1"/>
        <v>0</v>
      </c>
      <c r="J33" s="53"/>
      <c r="K33" s="53"/>
      <c r="L33" s="53">
        <f t="shared" si="2"/>
        <v>0</v>
      </c>
    </row>
    <row r="34" spans="2:12" x14ac:dyDescent="0.25">
      <c r="B34" s="53" t="s">
        <v>324</v>
      </c>
      <c r="C34" s="53"/>
      <c r="D34" s="53"/>
      <c r="E34" s="53">
        <f t="shared" si="0"/>
        <v>0</v>
      </c>
      <c r="F34" s="53"/>
      <c r="G34" s="53"/>
      <c r="H34" s="53"/>
      <c r="I34" s="53">
        <f t="shared" si="1"/>
        <v>0</v>
      </c>
      <c r="J34" s="53"/>
      <c r="K34" s="53"/>
      <c r="L34" s="53">
        <f t="shared" si="2"/>
        <v>0</v>
      </c>
    </row>
    <row r="35" spans="2:12" x14ac:dyDescent="0.25">
      <c r="B35" s="53" t="s">
        <v>321</v>
      </c>
      <c r="C35" s="53"/>
      <c r="D35" s="53"/>
      <c r="E35" s="53">
        <f t="shared" si="0"/>
        <v>0</v>
      </c>
      <c r="F35" s="53"/>
      <c r="G35" s="53"/>
      <c r="H35" s="53"/>
      <c r="I35" s="53">
        <f t="shared" si="1"/>
        <v>0</v>
      </c>
      <c r="J35" s="53"/>
      <c r="K35" s="53"/>
      <c r="L35" s="53">
        <f t="shared" si="2"/>
        <v>0</v>
      </c>
    </row>
    <row r="36" spans="2:12" x14ac:dyDescent="0.25">
      <c r="B36" s="53" t="s">
        <v>322</v>
      </c>
      <c r="C36" s="53"/>
      <c r="D36" s="53"/>
      <c r="E36" s="53">
        <f t="shared" si="0"/>
        <v>0</v>
      </c>
      <c r="F36" s="53"/>
      <c r="G36" s="53"/>
      <c r="H36" s="53"/>
      <c r="I36" s="53">
        <f t="shared" ref="I36:I41" si="3">G36*H36</f>
        <v>0</v>
      </c>
      <c r="J36" s="53"/>
      <c r="K36" s="53"/>
      <c r="L36" s="53">
        <f t="shared" ref="L36:L41" si="4">J36*K36</f>
        <v>0</v>
      </c>
    </row>
    <row r="37" spans="2:12" x14ac:dyDescent="0.25">
      <c r="B37" s="53"/>
      <c r="C37" s="53"/>
      <c r="D37" s="53"/>
      <c r="E37" s="53">
        <f>C37*D37</f>
        <v>0</v>
      </c>
      <c r="F37" s="53"/>
      <c r="G37" s="53"/>
      <c r="H37" s="53"/>
      <c r="I37" s="53">
        <f t="shared" si="3"/>
        <v>0</v>
      </c>
      <c r="J37" s="53"/>
      <c r="K37" s="53"/>
      <c r="L37" s="53">
        <f t="shared" si="4"/>
        <v>0</v>
      </c>
    </row>
    <row r="38" spans="2:12" x14ac:dyDescent="0.25">
      <c r="B38" s="53" t="s">
        <v>325</v>
      </c>
      <c r="C38" s="53"/>
      <c r="D38" s="53"/>
      <c r="E38" s="53">
        <f>C38*D38</f>
        <v>0</v>
      </c>
      <c r="F38" s="53"/>
      <c r="G38" s="53"/>
      <c r="H38" s="53"/>
      <c r="I38" s="53">
        <f t="shared" si="3"/>
        <v>0</v>
      </c>
      <c r="J38" s="53"/>
      <c r="K38" s="53"/>
      <c r="L38" s="53">
        <f t="shared" si="4"/>
        <v>0</v>
      </c>
    </row>
    <row r="39" spans="2:12" x14ac:dyDescent="0.25">
      <c r="B39" s="53"/>
      <c r="C39" s="53"/>
      <c r="D39" s="53"/>
      <c r="E39" s="53">
        <f t="shared" si="0"/>
        <v>0</v>
      </c>
      <c r="F39" s="53"/>
      <c r="G39" s="53"/>
      <c r="H39" s="53"/>
      <c r="I39" s="53">
        <f t="shared" si="3"/>
        <v>0</v>
      </c>
      <c r="J39" s="53"/>
      <c r="K39" s="53"/>
      <c r="L39" s="53">
        <f t="shared" si="4"/>
        <v>0</v>
      </c>
    </row>
    <row r="40" spans="2:12" x14ac:dyDescent="0.25">
      <c r="B40" s="53"/>
      <c r="C40" s="53"/>
      <c r="D40" s="53"/>
      <c r="E40" s="53">
        <f t="shared" si="0"/>
        <v>0</v>
      </c>
      <c r="F40" s="53"/>
      <c r="G40" s="53"/>
      <c r="H40" s="53"/>
      <c r="I40" s="53">
        <f t="shared" si="3"/>
        <v>0</v>
      </c>
      <c r="J40" s="53"/>
      <c r="K40" s="53"/>
      <c r="L40" s="53">
        <f t="shared" si="4"/>
        <v>0</v>
      </c>
    </row>
    <row r="41" spans="2:12" x14ac:dyDescent="0.25">
      <c r="B41" s="53"/>
      <c r="C41" s="53"/>
      <c r="D41" s="53"/>
      <c r="E41" s="53">
        <f t="shared" si="0"/>
        <v>0</v>
      </c>
      <c r="F41" s="53"/>
      <c r="G41" s="53"/>
      <c r="H41" s="53"/>
      <c r="I41" s="53">
        <f t="shared" si="3"/>
        <v>0</v>
      </c>
      <c r="J41" s="53"/>
      <c r="K41" s="53"/>
      <c r="L41" s="53">
        <f t="shared" si="4"/>
        <v>0</v>
      </c>
    </row>
    <row r="42" spans="2:12" x14ac:dyDescent="0.25">
      <c r="B42" s="53" t="s">
        <v>150</v>
      </c>
      <c r="C42" s="53"/>
      <c r="D42" s="53">
        <f>E42*10.764</f>
        <v>0</v>
      </c>
      <c r="E42" s="75">
        <f>SUM(E6:E41)</f>
        <v>0</v>
      </c>
      <c r="F42" s="53"/>
      <c r="G42" s="53"/>
      <c r="H42" s="53">
        <f>I42*10.764</f>
        <v>0</v>
      </c>
      <c r="I42" s="74">
        <f>SUM(I6:I41)</f>
        <v>0</v>
      </c>
      <c r="J42" s="53"/>
      <c r="K42" s="53">
        <f>L42*10.764</f>
        <v>0</v>
      </c>
      <c r="L42" s="73">
        <f>SUM(L6:L41)</f>
        <v>0</v>
      </c>
    </row>
    <row r="44" spans="2:12" x14ac:dyDescent="0.25">
      <c r="D44" s="52">
        <f>D42+H42</f>
        <v>0</v>
      </c>
      <c r="E44" s="52">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2025-10-03T10:18:48Z</cp:lastPrinted>
  <dcterms:created xsi:type="dcterms:W3CDTF">2019-07-16T09:29:46Z</dcterms:created>
  <dcterms:modified xsi:type="dcterms:W3CDTF">2025-10-03T10:21:46Z</dcterms:modified>
</cp:coreProperties>
</file>