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0" i="1" l="1"/>
  <c r="D290" i="1" l="1"/>
  <c r="D289" i="1"/>
  <c r="D288" i="1"/>
  <c r="D287" i="1"/>
  <c r="D286" i="1"/>
  <c r="D285" i="1"/>
  <c r="D255" i="1"/>
  <c r="D254" i="1"/>
  <c r="D253" i="1"/>
  <c r="D252" i="1"/>
  <c r="D251" i="1"/>
  <c r="D250" i="1"/>
  <c r="I62" i="1"/>
  <c r="I61" i="1"/>
  <c r="F11" i="5" l="1"/>
  <c r="G11" i="5" s="1"/>
  <c r="G10" i="5"/>
  <c r="F10" i="5"/>
  <c r="G9" i="5"/>
  <c r="F9" i="5"/>
  <c r="G8" i="5"/>
  <c r="F8" i="5"/>
  <c r="F7" i="5"/>
  <c r="G7" i="5" s="1"/>
  <c r="G6" i="5"/>
  <c r="F6" i="5"/>
  <c r="G5" i="5"/>
  <c r="G12" i="5" s="1"/>
  <c r="F5" i="5"/>
  <c r="D503" i="1"/>
  <c r="B476" i="1"/>
  <c r="D471" i="1"/>
  <c r="F471" i="1" s="1"/>
  <c r="F470" i="1"/>
  <c r="D470" i="1"/>
  <c r="D468" i="1"/>
  <c r="F468" i="1" s="1"/>
  <c r="D467" i="1"/>
  <c r="F467" i="1" s="1"/>
  <c r="G466" i="1"/>
  <c r="D466" i="1"/>
  <c r="F466" i="1" s="1"/>
  <c r="D464" i="1"/>
  <c r="F464" i="1" s="1"/>
  <c r="D463" i="1"/>
  <c r="F463" i="1" s="1"/>
  <c r="D462" i="1"/>
  <c r="F462" i="1" s="1"/>
  <c r="D461" i="1"/>
  <c r="F461" i="1" s="1"/>
  <c r="D460" i="1"/>
  <c r="F460" i="1" s="1"/>
  <c r="G459" i="1"/>
  <c r="F459" i="1"/>
  <c r="D459" i="1"/>
  <c r="D457" i="1"/>
  <c r="F457" i="1" s="1"/>
  <c r="D456" i="1"/>
  <c r="F456" i="1" s="1"/>
  <c r="D455" i="1"/>
  <c r="F455" i="1" s="1"/>
  <c r="D454" i="1"/>
  <c r="F454" i="1" s="1"/>
  <c r="D453" i="1"/>
  <c r="F453" i="1" s="1"/>
  <c r="G452" i="1"/>
  <c r="D452" i="1"/>
  <c r="F452" i="1" s="1"/>
  <c r="D450" i="1"/>
  <c r="F450" i="1" s="1"/>
  <c r="D449" i="1"/>
  <c r="F449" i="1" s="1"/>
  <c r="D448" i="1"/>
  <c r="F448" i="1" s="1"/>
  <c r="D447" i="1"/>
  <c r="F447" i="1" s="1"/>
  <c r="D446" i="1"/>
  <c r="F446" i="1" s="1"/>
  <c r="G445" i="1"/>
  <c r="D445" i="1"/>
  <c r="D442" i="1"/>
  <c r="F442" i="1" s="1"/>
  <c r="D441" i="1"/>
  <c r="F441" i="1" s="1"/>
  <c r="F439" i="1"/>
  <c r="D439" i="1"/>
  <c r="D438" i="1"/>
  <c r="F438" i="1" s="1"/>
  <c r="G437" i="1"/>
  <c r="D437" i="1"/>
  <c r="F437" i="1" s="1"/>
  <c r="D435" i="1"/>
  <c r="F435" i="1" s="1"/>
  <c r="D434" i="1"/>
  <c r="F434" i="1" s="1"/>
  <c r="D433" i="1"/>
  <c r="F433" i="1" s="1"/>
  <c r="D432" i="1"/>
  <c r="F432" i="1" s="1"/>
  <c r="D431" i="1"/>
  <c r="F431" i="1" s="1"/>
  <c r="G430" i="1"/>
  <c r="D430" i="1"/>
  <c r="F430" i="1" s="1"/>
  <c r="F428" i="1"/>
  <c r="D428" i="1"/>
  <c r="D427" i="1"/>
  <c r="F427" i="1" s="1"/>
  <c r="D426" i="1"/>
  <c r="F426" i="1" s="1"/>
  <c r="D425" i="1"/>
  <c r="F425" i="1" s="1"/>
  <c r="D424" i="1"/>
  <c r="F424" i="1" s="1"/>
  <c r="I423" i="1"/>
  <c r="G423" i="1"/>
  <c r="F423" i="1"/>
  <c r="D423" i="1"/>
  <c r="D421" i="1"/>
  <c r="F421" i="1" s="1"/>
  <c r="D420" i="1"/>
  <c r="F420" i="1" s="1"/>
  <c r="D419" i="1"/>
  <c r="F419" i="1" s="1"/>
  <c r="J418" i="1"/>
  <c r="I418" i="1"/>
  <c r="D418" i="1"/>
  <c r="F418" i="1" s="1"/>
  <c r="D417" i="1"/>
  <c r="F417" i="1" s="1"/>
  <c r="A417" i="1"/>
  <c r="A418" i="1" s="1"/>
  <c r="A419" i="1" s="1"/>
  <c r="A420" i="1" s="1"/>
  <c r="A421" i="1" s="1"/>
  <c r="I416" i="1"/>
  <c r="G416" i="1"/>
  <c r="D416" i="1"/>
  <c r="F416" i="1" s="1"/>
  <c r="I415" i="1"/>
  <c r="F413" i="1"/>
  <c r="D413" i="1"/>
  <c r="D412" i="1"/>
  <c r="F412" i="1" s="1"/>
  <c r="D410" i="1"/>
  <c r="F410" i="1" s="1"/>
  <c r="D409" i="1"/>
  <c r="F409" i="1" s="1"/>
  <c r="D408" i="1"/>
  <c r="F408" i="1" s="1"/>
  <c r="G407" i="1"/>
  <c r="D407" i="1"/>
  <c r="F407" i="1" s="1"/>
  <c r="D405" i="1"/>
  <c r="F405" i="1" s="1"/>
  <c r="D404" i="1"/>
  <c r="F404" i="1" s="1"/>
  <c r="D403" i="1"/>
  <c r="F403" i="1" s="1"/>
  <c r="D402" i="1"/>
  <c r="F402" i="1" s="1"/>
  <c r="D401" i="1"/>
  <c r="F401" i="1" s="1"/>
  <c r="D400" i="1"/>
  <c r="F400" i="1" s="1"/>
  <c r="G399" i="1"/>
  <c r="D399" i="1"/>
  <c r="F399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G391" i="1"/>
  <c r="D391" i="1"/>
  <c r="F391" i="1" s="1"/>
  <c r="F389" i="1"/>
  <c r="D389" i="1"/>
  <c r="D388" i="1"/>
  <c r="F388" i="1" s="1"/>
  <c r="D386" i="1"/>
  <c r="F386" i="1" s="1"/>
  <c r="D385" i="1"/>
  <c r="F385" i="1" s="1"/>
  <c r="D384" i="1"/>
  <c r="G383" i="1"/>
  <c r="D383" i="1"/>
  <c r="F383" i="1" s="1"/>
  <c r="D380" i="1"/>
  <c r="F380" i="1" s="1"/>
  <c r="D379" i="1"/>
  <c r="F379" i="1" s="1"/>
  <c r="D377" i="1"/>
  <c r="F377" i="1" s="1"/>
  <c r="D376" i="1"/>
  <c r="F376" i="1" s="1"/>
  <c r="D375" i="1"/>
  <c r="F375" i="1" s="1"/>
  <c r="G374" i="1"/>
  <c r="D374" i="1"/>
  <c r="F374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G366" i="1"/>
  <c r="D366" i="1"/>
  <c r="F366" i="1" s="1"/>
  <c r="D364" i="1"/>
  <c r="F364" i="1" s="1"/>
  <c r="D363" i="1"/>
  <c r="F363" i="1" s="1"/>
  <c r="D362" i="1"/>
  <c r="F362" i="1" s="1"/>
  <c r="D361" i="1"/>
  <c r="F361" i="1" s="1"/>
  <c r="F360" i="1"/>
  <c r="D360" i="1"/>
  <c r="F359" i="1"/>
  <c r="D359" i="1"/>
  <c r="G358" i="1"/>
  <c r="D358" i="1"/>
  <c r="F358" i="1" s="1"/>
  <c r="D356" i="1"/>
  <c r="F356" i="1" s="1"/>
  <c r="D355" i="1"/>
  <c r="F355" i="1" s="1"/>
  <c r="D353" i="1"/>
  <c r="F353" i="1" s="1"/>
  <c r="D352" i="1"/>
  <c r="F352" i="1" s="1"/>
  <c r="F351" i="1"/>
  <c r="D351" i="1"/>
  <c r="G350" i="1"/>
  <c r="D350" i="1"/>
  <c r="F347" i="1"/>
  <c r="D347" i="1"/>
  <c r="F346" i="1"/>
  <c r="D346" i="1"/>
  <c r="D344" i="1"/>
  <c r="F344" i="1" s="1"/>
  <c r="D343" i="1"/>
  <c r="F343" i="1" s="1"/>
  <c r="A343" i="1"/>
  <c r="A344" i="1" s="1"/>
  <c r="A345" i="1" s="1"/>
  <c r="A346" i="1" s="1"/>
  <c r="A347" i="1" s="1"/>
  <c r="G342" i="1"/>
  <c r="F342" i="1"/>
  <c r="D342" i="1"/>
  <c r="F340" i="1"/>
  <c r="D340" i="1"/>
  <c r="D339" i="1"/>
  <c r="F339" i="1" s="1"/>
  <c r="D338" i="1"/>
  <c r="F338" i="1" s="1"/>
  <c r="D337" i="1"/>
  <c r="F337" i="1" s="1"/>
  <c r="A337" i="1"/>
  <c r="A338" i="1" s="1"/>
  <c r="A339" i="1" s="1"/>
  <c r="A340" i="1" s="1"/>
  <c r="D336" i="1"/>
  <c r="F336" i="1" s="1"/>
  <c r="A336" i="1"/>
  <c r="G335" i="1"/>
  <c r="D335" i="1"/>
  <c r="F335" i="1" s="1"/>
  <c r="D333" i="1"/>
  <c r="F333" i="1" s="1"/>
  <c r="D332" i="1"/>
  <c r="F332" i="1" s="1"/>
  <c r="F331" i="1"/>
  <c r="D331" i="1"/>
  <c r="F330" i="1"/>
  <c r="D330" i="1"/>
  <c r="D329" i="1"/>
  <c r="F329" i="1" s="1"/>
  <c r="A329" i="1"/>
  <c r="A330" i="1" s="1"/>
  <c r="A331" i="1" s="1"/>
  <c r="A332" i="1" s="1"/>
  <c r="A333" i="1" s="1"/>
  <c r="G328" i="1"/>
  <c r="D328" i="1"/>
  <c r="F328" i="1" s="1"/>
  <c r="D326" i="1"/>
  <c r="F326" i="1" s="1"/>
  <c r="D325" i="1"/>
  <c r="F325" i="1" s="1"/>
  <c r="D324" i="1"/>
  <c r="F324" i="1" s="1"/>
  <c r="D323" i="1"/>
  <c r="F323" i="1" s="1"/>
  <c r="D322" i="1"/>
  <c r="F322" i="1" s="1"/>
  <c r="A322" i="1"/>
  <c r="A323" i="1" s="1"/>
  <c r="A324" i="1" s="1"/>
  <c r="A325" i="1" s="1"/>
  <c r="A326" i="1" s="1"/>
  <c r="G321" i="1"/>
  <c r="D321" i="1"/>
  <c r="F321" i="1" s="1"/>
  <c r="D319" i="1"/>
  <c r="F319" i="1" s="1"/>
  <c r="A316" i="1"/>
  <c r="A317" i="1" s="1"/>
  <c r="A318" i="1" s="1"/>
  <c r="A319" i="1" s="1"/>
  <c r="D315" i="1"/>
  <c r="F315" i="1" s="1"/>
  <c r="A315" i="1"/>
  <c r="I314" i="1"/>
  <c r="G314" i="1"/>
  <c r="D314" i="1"/>
  <c r="F314" i="1" s="1"/>
  <c r="D311" i="1"/>
  <c r="F311" i="1" s="1"/>
  <c r="D310" i="1"/>
  <c r="F310" i="1" s="1"/>
  <c r="D308" i="1"/>
  <c r="F308" i="1" s="1"/>
  <c r="D307" i="1"/>
  <c r="F307" i="1" s="1"/>
  <c r="G306" i="1"/>
  <c r="D306" i="1"/>
  <c r="F306" i="1" s="1"/>
  <c r="F304" i="1"/>
  <c r="D304" i="1"/>
  <c r="F303" i="1"/>
  <c r="D303" i="1"/>
  <c r="D302" i="1"/>
  <c r="F302" i="1" s="1"/>
  <c r="D301" i="1"/>
  <c r="F301" i="1" s="1"/>
  <c r="D300" i="1"/>
  <c r="F300" i="1" s="1"/>
  <c r="G299" i="1"/>
  <c r="D299" i="1"/>
  <c r="F299" i="1" s="1"/>
  <c r="F297" i="1"/>
  <c r="D297" i="1"/>
  <c r="D296" i="1"/>
  <c r="F296" i="1" s="1"/>
  <c r="D295" i="1"/>
  <c r="F295" i="1" s="1"/>
  <c r="D294" i="1"/>
  <c r="F294" i="1" s="1"/>
  <c r="D293" i="1"/>
  <c r="F293" i="1" s="1"/>
  <c r="G292" i="1"/>
  <c r="F292" i="1"/>
  <c r="D292" i="1"/>
  <c r="F290" i="1"/>
  <c r="F289" i="1"/>
  <c r="F288" i="1"/>
  <c r="F287" i="1"/>
  <c r="F286" i="1"/>
  <c r="G285" i="1"/>
  <c r="F285" i="1"/>
  <c r="D283" i="1"/>
  <c r="F283" i="1" s="1"/>
  <c r="D280" i="1"/>
  <c r="F280" i="1" s="1"/>
  <c r="I279" i="1"/>
  <c r="G279" i="1"/>
  <c r="F279" i="1"/>
  <c r="D279" i="1"/>
  <c r="D276" i="1"/>
  <c r="F276" i="1" s="1"/>
  <c r="D275" i="1"/>
  <c r="F275" i="1" s="1"/>
  <c r="D273" i="1"/>
  <c r="F273" i="1" s="1"/>
  <c r="D272" i="1"/>
  <c r="F272" i="1" s="1"/>
  <c r="G271" i="1"/>
  <c r="D271" i="1"/>
  <c r="F271" i="1" s="1"/>
  <c r="D269" i="1"/>
  <c r="F269" i="1" s="1"/>
  <c r="D268" i="1"/>
  <c r="F268" i="1" s="1"/>
  <c r="D267" i="1"/>
  <c r="F267" i="1" s="1"/>
  <c r="D266" i="1"/>
  <c r="F266" i="1" s="1"/>
  <c r="D265" i="1"/>
  <c r="F265" i="1" s="1"/>
  <c r="G264" i="1"/>
  <c r="D264" i="1"/>
  <c r="F264" i="1" s="1"/>
  <c r="D262" i="1"/>
  <c r="F262" i="1" s="1"/>
  <c r="D261" i="1"/>
  <c r="F261" i="1" s="1"/>
  <c r="D260" i="1"/>
  <c r="F260" i="1" s="1"/>
  <c r="D259" i="1"/>
  <c r="F259" i="1" s="1"/>
  <c r="D258" i="1"/>
  <c r="F258" i="1" s="1"/>
  <c r="G257" i="1"/>
  <c r="D257" i="1"/>
  <c r="F257" i="1" s="1"/>
  <c r="F255" i="1"/>
  <c r="F254" i="1"/>
  <c r="F253" i="1"/>
  <c r="F252" i="1"/>
  <c r="F251" i="1"/>
  <c r="G250" i="1"/>
  <c r="F250" i="1"/>
  <c r="D248" i="1"/>
  <c r="D247" i="1"/>
  <c r="F247" i="1" s="1"/>
  <c r="F246" i="1"/>
  <c r="D246" i="1"/>
  <c r="D245" i="1"/>
  <c r="F245" i="1" s="1"/>
  <c r="I244" i="1"/>
  <c r="G244" i="1"/>
  <c r="D244" i="1"/>
  <c r="F244" i="1" s="1"/>
  <c r="D241" i="1"/>
  <c r="F241" i="1" s="1"/>
  <c r="D240" i="1"/>
  <c r="F240" i="1" s="1"/>
  <c r="D238" i="1"/>
  <c r="F238" i="1" s="1"/>
  <c r="D237" i="1"/>
  <c r="F237" i="1" s="1"/>
  <c r="A237" i="1"/>
  <c r="A238" i="1" s="1"/>
  <c r="A239" i="1" s="1"/>
  <c r="A240" i="1" s="1"/>
  <c r="A241" i="1" s="1"/>
  <c r="G236" i="1"/>
  <c r="D236" i="1"/>
  <c r="F236" i="1" s="1"/>
  <c r="F234" i="1"/>
  <c r="D234" i="1"/>
  <c r="F233" i="1"/>
  <c r="D233" i="1"/>
  <c r="D232" i="1"/>
  <c r="F232" i="1" s="1"/>
  <c r="D231" i="1"/>
  <c r="F231" i="1" s="1"/>
  <c r="D230" i="1"/>
  <c r="F230" i="1" s="1"/>
  <c r="A230" i="1"/>
  <c r="A231" i="1" s="1"/>
  <c r="A232" i="1" s="1"/>
  <c r="A233" i="1" s="1"/>
  <c r="A234" i="1" s="1"/>
  <c r="G229" i="1"/>
  <c r="D229" i="1"/>
  <c r="F229" i="1" s="1"/>
  <c r="D227" i="1"/>
  <c r="F227" i="1" s="1"/>
  <c r="D226" i="1"/>
  <c r="F226" i="1" s="1"/>
  <c r="D225" i="1"/>
  <c r="F225" i="1" s="1"/>
  <c r="D224" i="1"/>
  <c r="F224" i="1" s="1"/>
  <c r="D223" i="1"/>
  <c r="F223" i="1" s="1"/>
  <c r="A223" i="1"/>
  <c r="A224" i="1" s="1"/>
  <c r="A225" i="1" s="1"/>
  <c r="A226" i="1" s="1"/>
  <c r="A227" i="1" s="1"/>
  <c r="G222" i="1"/>
  <c r="D222" i="1"/>
  <c r="F222" i="1" s="1"/>
  <c r="D220" i="1"/>
  <c r="F220" i="1" s="1"/>
  <c r="D219" i="1"/>
  <c r="F219" i="1" s="1"/>
  <c r="D218" i="1"/>
  <c r="F218" i="1" s="1"/>
  <c r="D217" i="1"/>
  <c r="F217" i="1" s="1"/>
  <c r="D216" i="1"/>
  <c r="F216" i="1" s="1"/>
  <c r="G215" i="1"/>
  <c r="D215" i="1"/>
  <c r="F215" i="1" s="1"/>
  <c r="D213" i="1"/>
  <c r="F213" i="1" s="1"/>
  <c r="D210" i="1"/>
  <c r="F210" i="1" s="1"/>
  <c r="I209" i="1"/>
  <c r="G209" i="1"/>
  <c r="D209" i="1"/>
  <c r="F209" i="1" s="1"/>
  <c r="F189" i="1"/>
  <c r="J174" i="1"/>
  <c r="J173" i="1"/>
  <c r="J172" i="1"/>
  <c r="J171" i="1"/>
  <c r="C163" i="1"/>
  <c r="J160" i="1"/>
  <c r="J159" i="1"/>
  <c r="J158" i="1"/>
  <c r="J157" i="1"/>
  <c r="C156" i="1"/>
  <c r="J146" i="1"/>
  <c r="J145" i="1"/>
  <c r="J144" i="1"/>
  <c r="J143" i="1"/>
  <c r="J132" i="1"/>
  <c r="J131" i="1"/>
  <c r="J130" i="1"/>
  <c r="J129" i="1"/>
  <c r="J118" i="1"/>
  <c r="J117" i="1"/>
  <c r="J116" i="1"/>
  <c r="J115" i="1"/>
  <c r="C114" i="1"/>
  <c r="J104" i="1"/>
  <c r="J103" i="1"/>
  <c r="J102" i="1"/>
  <c r="J101" i="1"/>
  <c r="C100" i="1"/>
  <c r="J90" i="1"/>
  <c r="J89" i="1"/>
  <c r="J88" i="1"/>
  <c r="J87" i="1"/>
  <c r="C79" i="1"/>
  <c r="D73" i="1"/>
  <c r="D64" i="1"/>
  <c r="G58" i="1"/>
  <c r="E46" i="1"/>
  <c r="E45" i="1"/>
  <c r="E29" i="1"/>
  <c r="E27" i="1"/>
  <c r="C18" i="1"/>
  <c r="E7" i="1"/>
  <c r="E3" i="1"/>
  <c r="H122" i="1"/>
  <c r="H136" i="1"/>
  <c r="H94" i="1"/>
  <c r="H108" i="1"/>
  <c r="H150" i="1"/>
  <c r="H164" i="1"/>
  <c r="H80" i="1"/>
  <c r="C101" i="1" l="1"/>
  <c r="D101" i="1" s="1"/>
  <c r="C196" i="1"/>
  <c r="C197" i="1"/>
  <c r="C198" i="1"/>
  <c r="E199" i="1"/>
  <c r="C115" i="1"/>
  <c r="D115" i="1" s="1"/>
  <c r="C116" i="1"/>
  <c r="D116" i="1" s="1"/>
  <c r="C193" i="1"/>
  <c r="E193" i="1"/>
  <c r="C195" i="1"/>
  <c r="F350" i="1"/>
  <c r="G196" i="1" s="1"/>
  <c r="F384" i="1"/>
  <c r="G197" i="1" s="1"/>
  <c r="C194" i="1"/>
  <c r="E195" i="1"/>
  <c r="E196" i="1"/>
  <c r="C199" i="1"/>
  <c r="G195" i="1"/>
  <c r="E198" i="1"/>
  <c r="G192" i="1"/>
  <c r="G194" i="1"/>
  <c r="G198" i="1"/>
  <c r="E194" i="1"/>
  <c r="F248" i="1"/>
  <c r="G193" i="1" s="1"/>
  <c r="C192" i="1"/>
  <c r="E197" i="1"/>
  <c r="E192" i="1"/>
  <c r="F445" i="1"/>
  <c r="G199" i="1" s="1"/>
  <c r="D104" i="1"/>
  <c r="J97" i="1"/>
  <c r="D98" i="1"/>
  <c r="D103" i="1"/>
  <c r="D100" i="1"/>
  <c r="D106" i="1"/>
  <c r="J99" i="1"/>
  <c r="J100" i="1" s="1"/>
  <c r="J105" i="1" s="1"/>
  <c r="J106" i="1" s="1"/>
  <c r="D99" i="1"/>
  <c r="J96" i="1"/>
  <c r="D105" i="1"/>
  <c r="J98" i="1"/>
  <c r="C97" i="1" s="1"/>
  <c r="D89" i="1"/>
  <c r="D85" i="1"/>
  <c r="J84" i="1"/>
  <c r="C83" i="1" s="1"/>
  <c r="D83" i="1" s="1"/>
  <c r="J85" i="1"/>
  <c r="J86" i="1" s="1"/>
  <c r="J91" i="1" s="1"/>
  <c r="J92" i="1" s="1"/>
  <c r="C84" i="1" s="1"/>
  <c r="J82" i="1"/>
  <c r="D91" i="1"/>
  <c r="D92" i="1"/>
  <c r="D88" i="1"/>
  <c r="D87" i="1"/>
  <c r="J83" i="1"/>
  <c r="D90" i="1"/>
  <c r="D86" i="1"/>
  <c r="J141" i="1"/>
  <c r="J142" i="1" s="1"/>
  <c r="J147" i="1" s="1"/>
  <c r="J148" i="1" s="1"/>
  <c r="J138" i="1"/>
  <c r="D145" i="1"/>
  <c r="D141" i="1"/>
  <c r="J140" i="1"/>
  <c r="D148" i="1"/>
  <c r="D144" i="1"/>
  <c r="D140" i="1"/>
  <c r="J139" i="1"/>
  <c r="D139" i="1"/>
  <c r="D147" i="1"/>
  <c r="D143" i="1"/>
  <c r="G139" i="1"/>
  <c r="E139" i="1"/>
  <c r="D146" i="1"/>
  <c r="D142" i="1"/>
  <c r="E125" i="1"/>
  <c r="D129" i="1"/>
  <c r="D132" i="1"/>
  <c r="D128" i="1"/>
  <c r="D125" i="1"/>
  <c r="J126" i="1"/>
  <c r="J127" i="1"/>
  <c r="J128" i="1" s="1"/>
  <c r="J133" i="1" s="1"/>
  <c r="J134" i="1" s="1"/>
  <c r="J124" i="1"/>
  <c r="D131" i="1"/>
  <c r="D127" i="1"/>
  <c r="D134" i="1"/>
  <c r="D130" i="1"/>
  <c r="D126" i="1"/>
  <c r="J125" i="1"/>
  <c r="D133" i="1"/>
  <c r="G125" i="1"/>
  <c r="J112" i="1"/>
  <c r="C111" i="1" s="1"/>
  <c r="D111" i="1" s="1"/>
  <c r="D119" i="1"/>
  <c r="J111" i="1"/>
  <c r="D118" i="1"/>
  <c r="D114" i="1"/>
  <c r="D120" i="1"/>
  <c r="D117" i="1"/>
  <c r="J113" i="1"/>
  <c r="J114" i="1" s="1"/>
  <c r="J119" i="1" s="1"/>
  <c r="J120" i="1" s="1"/>
  <c r="C112" i="1" s="1"/>
  <c r="D113" i="1"/>
  <c r="J110" i="1"/>
  <c r="D176" i="1"/>
  <c r="D172" i="1"/>
  <c r="D175" i="1"/>
  <c r="D171" i="1"/>
  <c r="J167" i="1"/>
  <c r="D174" i="1"/>
  <c r="D170" i="1"/>
  <c r="J168" i="1"/>
  <c r="C167" i="1" s="1"/>
  <c r="J166" i="1"/>
  <c r="J169" i="1"/>
  <c r="D173" i="1"/>
  <c r="D169" i="1"/>
  <c r="D157" i="1"/>
  <c r="D154" i="1"/>
  <c r="J154" i="1"/>
  <c r="C153" i="1" s="1"/>
  <c r="G153" i="1" s="1"/>
  <c r="D160" i="1"/>
  <c r="J153" i="1"/>
  <c r="D159" i="1"/>
  <c r="D156" i="1"/>
  <c r="E153" i="1"/>
  <c r="D162" i="1"/>
  <c r="D158" i="1"/>
  <c r="J155" i="1"/>
  <c r="J156" i="1" s="1"/>
  <c r="J161" i="1" s="1"/>
  <c r="J162" i="1" s="1"/>
  <c r="D155" i="1"/>
  <c r="J152" i="1"/>
  <c r="D161" i="1"/>
  <c r="C102" i="1" l="1"/>
  <c r="G97" i="1" s="1"/>
  <c r="C200" i="1"/>
  <c r="E200" i="1"/>
  <c r="G200" i="1"/>
  <c r="J170" i="1"/>
  <c r="J175" i="1" s="1"/>
  <c r="J176" i="1" s="1"/>
  <c r="C168" i="1" s="1"/>
  <c r="G167" i="1" s="1"/>
  <c r="D153" i="1"/>
  <c r="I149" i="1" s="1"/>
  <c r="C151" i="1" s="1"/>
  <c r="E83" i="1"/>
  <c r="I79" i="1" s="1"/>
  <c r="C81" i="1" s="1"/>
  <c r="D84" i="1"/>
  <c r="E111" i="1"/>
  <c r="I107" i="1" s="1"/>
  <c r="C109" i="1" s="1"/>
  <c r="D112" i="1"/>
  <c r="G83" i="1"/>
  <c r="D77" i="1" s="1"/>
  <c r="G111" i="1"/>
  <c r="I135" i="1"/>
  <c r="C137" i="1" s="1"/>
  <c r="I121" i="1"/>
  <c r="C123" i="1" s="1"/>
  <c r="D97" i="1"/>
  <c r="D167" i="1"/>
  <c r="D102" i="1" l="1"/>
  <c r="E97" i="1"/>
  <c r="I93" i="1" s="1"/>
  <c r="C95" i="1" s="1"/>
  <c r="D78" i="1"/>
  <c r="F78" i="1"/>
  <c r="E167" i="1"/>
  <c r="I163" i="1" s="1"/>
  <c r="C165" i="1" s="1"/>
  <c r="D168" i="1"/>
</calcChain>
</file>

<file path=xl/comments1.xml><?xml version="1.0" encoding="utf-8"?>
<comments xmlns="http://schemas.openxmlformats.org/spreadsheetml/2006/main">
  <authors>
    <author>VSJ</author>
  </authors>
  <commentList>
    <comment ref="D72" authorId="0" shapeId="0">
      <text>
        <r>
          <rPr>
            <b/>
            <sz val="9"/>
            <rFont val="Tahoma"/>
            <family val="2"/>
          </rPr>
          <t>VSJ:</t>
        </r>
        <r>
          <rPr>
            <sz val="9"/>
            <rFont val="Tahoma"/>
            <family val="2"/>
          </rPr>
          <t xml:space="preserve">
As per Wing D rera
</t>
        </r>
      </text>
    </comment>
  </commentList>
</comments>
</file>

<file path=xl/sharedStrings.xml><?xml version="1.0" encoding="utf-8"?>
<sst xmlns="http://schemas.openxmlformats.org/spreadsheetml/2006/main" count="806" uniqueCount="286">
  <si>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    E mail : vsjcapf@gmail.com. Web site : www.vsjadon.com</t>
  </si>
  <si>
    <t xml:space="preserve">Valuation Report </t>
  </si>
  <si>
    <t>H wing update</t>
  </si>
  <si>
    <t>Date:</t>
  </si>
  <si>
    <t>CPC Name:</t>
  </si>
  <si>
    <t>Axis Sanpada</t>
  </si>
  <si>
    <t>Date Of Property Visit</t>
  </si>
  <si>
    <t>Name of the builder group</t>
  </si>
  <si>
    <t>M/s. Macrotech Developers Limited</t>
  </si>
  <si>
    <t>Name of the builder company</t>
  </si>
  <si>
    <t>Name of the Project</t>
  </si>
  <si>
    <t>Casa Belvedere</t>
  </si>
  <si>
    <t>Belvedere H</t>
  </si>
  <si>
    <t>Contact Details ( Name &amp; Contact No.)</t>
  </si>
  <si>
    <t>Name / No of the Building</t>
  </si>
  <si>
    <t>Docouments Provided</t>
  </si>
  <si>
    <t>Approved Plans, CC.</t>
  </si>
  <si>
    <t xml:space="preserve">Project location details       </t>
  </si>
  <si>
    <t>Survey No</t>
  </si>
  <si>
    <t>19/2A, 19/2B, 19/3 &amp; Others</t>
  </si>
  <si>
    <t>Road</t>
  </si>
  <si>
    <t>Kalyan - Shilphata road</t>
  </si>
  <si>
    <t>Locality/Village</t>
  </si>
  <si>
    <t>Mangaon</t>
  </si>
  <si>
    <t>City</t>
  </si>
  <si>
    <t>Dombivli East</t>
  </si>
  <si>
    <t>District</t>
  </si>
  <si>
    <t>Thane</t>
  </si>
  <si>
    <t>Taluka</t>
  </si>
  <si>
    <t>Kalyan</t>
  </si>
  <si>
    <t>Pin Code</t>
  </si>
  <si>
    <t>Nearby Landmark</t>
  </si>
  <si>
    <t>Runwal My City</t>
  </si>
  <si>
    <t xml:space="preserve">Distance from city centre: </t>
  </si>
  <si>
    <t>8.50KM from Dombivli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</si>
  <si>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</si>
  <si>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</si>
  <si>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</si>
  <si>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</si>
  <si>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</si>
  <si>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</si>
  <si>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</si>
  <si>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</si>
  <si>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</si>
  <si>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</si>
  <si>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</si>
  <si>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</si>
  <si>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</si>
  <si>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Residential</t>
  </si>
  <si>
    <t>Restrictive Covenants in regard to Land Use</t>
  </si>
  <si>
    <t>No</t>
  </si>
  <si>
    <t>Boundries</t>
  </si>
  <si>
    <t>At site</t>
  </si>
  <si>
    <t>East</t>
  </si>
  <si>
    <t>NA</t>
  </si>
  <si>
    <t>West</t>
  </si>
  <si>
    <t>Open Plot</t>
  </si>
  <si>
    <t>North</t>
  </si>
  <si>
    <t>South</t>
  </si>
  <si>
    <t>Central Eve Road</t>
  </si>
  <si>
    <t>Does the boundaries at site match, as mentioned in the Docoumentation: NA</t>
  </si>
  <si>
    <t>Latitude,Longitude</t>
  </si>
  <si>
    <t>19.178763,73.098453</t>
  </si>
  <si>
    <t>Location Link :</t>
  </si>
  <si>
    <t>https://maps.app.goo.gl/MH6ms61L33NZXyWr5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</si>
  <si>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</si>
  <si>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</si>
  <si>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</si>
  <si>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</si>
  <si>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</si>
  <si>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</si>
  <si>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</si>
  <si>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8 Wings</t>
  </si>
  <si>
    <t xml:space="preserve">Approval Detail : Plan approval </t>
  </si>
  <si>
    <t>Name of Municipal Corporation/Authority</t>
  </si>
  <si>
    <t>Town Planning, Thane</t>
  </si>
  <si>
    <t xml:space="preserve">Layout Approval No     </t>
  </si>
  <si>
    <t xml:space="preserve">Ekatmik Nagar Vasahat/ At Antarli, Khoni, Hedutane, Kole, Ghariwali, Katai &amp; Mangaav Taluka Kalyan, M.Umbroli, Taluka Ambernath/SSTHANE/1188
</t>
  </si>
  <si>
    <t>Dated</t>
  </si>
  <si>
    <t>Antarli, Khoni, Hedutane, Kole, Taluka
Kalyan, M.Umbroli, Taluka
Ambernath/SSTHANE/2959</t>
  </si>
  <si>
    <t xml:space="preserve">15/12/2022
</t>
  </si>
  <si>
    <t>Approved Floor plan No.  
For Wing H</t>
  </si>
  <si>
    <t>Antarli, Khoni, Hedutane, Kole, Taluka
Kalyan, M.Umbroli, Taluka Ambernath/SSTHANE/5059</t>
  </si>
  <si>
    <t xml:space="preserve">Commencement Certificate No.
Valid Up to: </t>
  </si>
  <si>
    <t>Ekatmik Nagar Vasahat/M. Antarli, Khoni
&amp; Other/Sec-O/SSTHANE/2959</t>
  </si>
  <si>
    <t>(Cluster 15.01) Casa Belvedere (A, B, C, F, G &amp; L Wing) = Gr/St + 1st to 23rd Floor</t>
  </si>
  <si>
    <t>Sector B, D, I1, I2, O, P &amp; R/SSTHANE/5059</t>
  </si>
  <si>
    <t xml:space="preserve">(Cluster 15.01)  Casa Belvedere (H Wing) = Gr/St + 1st to 23rd Floor
</t>
  </si>
  <si>
    <t>Ekatmik Nagar Vasahat/M. Antarli, Khoni
&amp; Other/Sector B, D, I1, I2, O, P &amp; R/SSTHANE/1188</t>
  </si>
  <si>
    <t xml:space="preserve">(Cluster 15.01)  Casa Belvedere (A, B, C, D, F, G, L &amp; H Wing) = Gr/St + 1st to 23rd Floor
</t>
  </si>
  <si>
    <t xml:space="preserve">O. Certificate No.: </t>
  </si>
  <si>
    <t>NA
Approved upto : NA</t>
  </si>
  <si>
    <t xml:space="preserve">Date of approval: </t>
  </si>
  <si>
    <t>Building wise Construction details</t>
  </si>
  <si>
    <t>Approved area of building (Sq.Mt)</t>
  </si>
  <si>
    <t>Approved no of units</t>
  </si>
  <si>
    <t>Flats - 1164</t>
  </si>
  <si>
    <t>Approved no of Floors</t>
  </si>
  <si>
    <t>(Cluster 15.01)  Casa Belvedere (A, B, C, D, F, G, L &amp; H Wing) = Gr/St + 1st to 23rd Floor</t>
  </si>
  <si>
    <t>Proposed no of Floors</t>
  </si>
  <si>
    <t>(Cluster 15.01)  Casa Belvedere (A &amp; L Wing) = Gr/St + 1st to 23rd Floor</t>
  </si>
  <si>
    <t>(Cluster 15.01)  Casa Belvedere (B &amp; C Wing) = Gr/St + 1st to 23rd Floor</t>
  </si>
  <si>
    <t>(Cluster 15.01)  Casa Belvedere (F &amp; G Wing) = Gr/St + 1st to 23rd Floor</t>
  </si>
  <si>
    <t>(Cluster 15.01)  Casa Belvedere (H Wing) = Gr/St + 1st to 23rd Floor</t>
  </si>
  <si>
    <t>(Cluster 15.01)  Casa Belvedere (D Wing) = Gr/St + 1st to 23rd Floor</t>
  </si>
  <si>
    <t>Expected Completion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</si>
  <si>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</si>
  <si>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</si>
  <si>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</si>
  <si>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Swimming Pool, Sun Deck, Multipurpose Hall, Indoor Games, Jogging Track, Landscape Garden, Decorative Entrance Lobby,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</si>
  <si>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</si>
  <si>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</si>
  <si>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</si>
  <si>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</si>
  <si>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</si>
  <si>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</si>
  <si>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</si>
  <si>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</si>
  <si>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</si>
  <si>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</si>
  <si>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</si>
  <si>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</si>
  <si>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</si>
  <si>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</si>
  <si>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</si>
  <si>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</si>
  <si>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</si>
  <si>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</si>
  <si>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</si>
  <si>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</si>
  <si>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</si>
  <si>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</si>
  <si>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</si>
  <si>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</si>
  <si>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</si>
  <si>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</si>
  <si>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</si>
  <si>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</si>
  <si>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</si>
  <si>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</si>
  <si>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</si>
  <si>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</si>
  <si>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</si>
  <si>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</si>
  <si>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</si>
  <si>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</si>
  <si>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</si>
  <si>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</si>
  <si>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(Cluster 15.01)  Casa Belvedere (B Wing) = Gr/St + 1st to 23rd Floor</t>
  </si>
  <si>
    <t>(Cluster 15.01)  Casa Belvedere (C Wing) = Gr/St + 1st to 23rd Floor</t>
  </si>
  <si>
    <t>(Cluster 15.01)  Casa Belvedere (F Wing) = Gr/St + 1st to 23rd Floor</t>
  </si>
  <si>
    <t>(Cluster 15.01)  Casa Belvedere (G Wing) = Gr/St + 1st to 23rd Floor</t>
  </si>
  <si>
    <t>Recommended Rates of the Property :</t>
  </si>
  <si>
    <t>Recommended rate of the flat Per Sq. Ft. (on Saleable area)</t>
  </si>
  <si>
    <t>7000 to 7200 by sanket 25/11/2023</t>
  </si>
  <si>
    <t>Recommended rate of the shop Per Sq. Ft. (on Saleable area)</t>
  </si>
  <si>
    <t>Changes done on 17/02/2022 by akash &amp; market inquiry</t>
  </si>
  <si>
    <t>Provisional Building Common Area Maintenance (CAM) Charges
for 18 months*</t>
  </si>
  <si>
    <t xml:space="preserve">City management charges for 60 months
</t>
  </si>
  <si>
    <t>7200 to 7500 by sanket 25/11/2023</t>
  </si>
  <si>
    <t>Utility Connection &amp;amp; Related Expenses*</t>
  </si>
  <si>
    <t>Electricity Deposit Reimbursement*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</si>
  <si>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</si>
  <si>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</si>
  <si>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</si>
  <si>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</si>
  <si>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</si>
  <si>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</si>
  <si>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Residential Area Details : Casa Belvedere</t>
  </si>
  <si>
    <t>Building &amp; Wing</t>
  </si>
  <si>
    <t>No. of Units</t>
  </si>
  <si>
    <t>Total Carpet Area</t>
  </si>
  <si>
    <t>Total Saleable Area</t>
  </si>
  <si>
    <t>A Wing</t>
  </si>
  <si>
    <t>B Wing</t>
  </si>
  <si>
    <t>D Wing</t>
  </si>
  <si>
    <t>C Wing</t>
  </si>
  <si>
    <t>F Wing</t>
  </si>
  <si>
    <t>G Wing</t>
  </si>
  <si>
    <t>H Wing</t>
  </si>
  <si>
    <t>L Wing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</si>
  <si>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</si>
  <si>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</si>
  <si>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</si>
  <si>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</si>
  <si>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</si>
  <si>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Description</t>
  </si>
  <si>
    <t>Gross Carpet area</t>
  </si>
  <si>
    <t>Attached Terrace area</t>
  </si>
  <si>
    <t>Saleable area Loading :</t>
  </si>
  <si>
    <t>Floor</t>
  </si>
  <si>
    <t>Sector O</t>
  </si>
  <si>
    <t>Casa Belvedere (Cluster 15.01)</t>
  </si>
  <si>
    <t>Ground Floor for Residential</t>
  </si>
  <si>
    <t>2BHK</t>
  </si>
  <si>
    <t>Society office</t>
  </si>
  <si>
    <t>Enterance lobby &amp; Meter room</t>
  </si>
  <si>
    <t>1BHK</t>
  </si>
  <si>
    <t>1st &amp; 2nd Floor</t>
  </si>
  <si>
    <t>3rd to 7th, 9th to 12th Floor</t>
  </si>
  <si>
    <t>14th to 17th Floor (15th to 18th Floor as per Builder)
19th to 23rd Floor (20th to 24th Floor as per Builder)</t>
  </si>
  <si>
    <t>8th Floor
13th Floor (14th Floor as per Builder)
18th Floor (19th Floor as per Builder)
 (Part Refuge Area)</t>
  </si>
  <si>
    <t>Refuge Area</t>
  </si>
  <si>
    <t>Ground Floor for Entrance Lobby, Meter Room &amp; Residential</t>
  </si>
  <si>
    <t>Ground Floor for Residential, Society Office, Meter Room &amp; Entrance Lobby</t>
  </si>
  <si>
    <t xml:space="preserve">Ground Floor for Residential </t>
  </si>
  <si>
    <t>1.5BHK</t>
  </si>
  <si>
    <t>1st to 7th, 9th to 12th Floor</t>
  </si>
  <si>
    <t>2.5BHK</t>
  </si>
  <si>
    <t>Ground Floor for Meter Room, Lobby &amp; Residential</t>
  </si>
  <si>
    <t xml:space="preserve"> </t>
  </si>
  <si>
    <t>Ground Floor for Residential &amp; Meter Room</t>
  </si>
  <si>
    <t xml:space="preserve">Remarks:  </t>
  </si>
  <si>
    <t>*</t>
  </si>
  <si>
    <t>The H Wing details are given as per the architect letter provided by the bank.</t>
  </si>
  <si>
    <t>Construction Details are collected from Mr. Rajendra Giri.</t>
  </si>
  <si>
    <t>We considered Carpet area as per Approved Plan.</t>
  </si>
  <si>
    <t>We considered Gross carpet area = Net carpet + Balcony  + Dry Area.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</si>
  <si>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</si>
  <si>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</si>
  <si>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</si>
  <si>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</si>
  <si>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have updated CC and Plan For Wing H. (On 06/10/2023)</t>
  </si>
  <si>
    <t>We have updated CC and Plan For Wing B &amp; C. (On 20/11/2023)</t>
  </si>
  <si>
    <t xml:space="preserve">We have updated CC and Plan For Wing D. (On 05/04/2024)
</t>
  </si>
  <si>
    <t xml:space="preserve">We have updated CC and Plan For Wing A, B, C = 3rd to 23rd Floor. (On 18/06/2024)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</si>
  <si>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</si>
  <si>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</si>
  <si>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</si>
  <si>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</si>
  <si>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</si>
  <si>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</si>
  <si>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</si>
  <si>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</si>
  <si>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</si>
  <si>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</si>
  <si>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</si>
  <si>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 xml:space="preserve">Layout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</si>
  <si>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</si>
  <si>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</si>
  <si>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</si>
  <si>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</si>
  <si>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</si>
  <si>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</si>
  <si>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</si>
  <si>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</si>
  <si>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</si>
  <si>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</si>
  <si>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</si>
  <si>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</si>
  <si>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</si>
  <si>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RERA Name &amp; No.</t>
  </si>
  <si>
    <t>Belvedere Wing B &amp; C</t>
  </si>
  <si>
    <t>P51700052950</t>
  </si>
  <si>
    <t>Belvedere H (Wing H)</t>
  </si>
  <si>
    <t>P51700052333</t>
  </si>
  <si>
    <t>Belvedere D</t>
  </si>
  <si>
    <t xml:space="preserve"> P51700052237</t>
  </si>
  <si>
    <t xml:space="preserve"> P51700046311</t>
  </si>
  <si>
    <t xml:space="preserve">Casa Belvedere 
(Wing A, F, G &amp; L)
</t>
  </si>
  <si>
    <t xml:space="preserve">Sector O 
(Cluster 15.01) </t>
  </si>
  <si>
    <t>Building Type P.B</t>
  </si>
  <si>
    <t>Wing A, B, C &amp; D</t>
  </si>
  <si>
    <t>Wing F, G &amp; H.</t>
  </si>
  <si>
    <t xml:space="preserve">Wing  L </t>
  </si>
  <si>
    <t>Building Type P.E2</t>
  </si>
  <si>
    <t>Building Type P.E1</t>
  </si>
  <si>
    <t xml:space="preserve">Casa Foresta </t>
  </si>
  <si>
    <t>As per Layout</t>
  </si>
  <si>
    <t>Casa Foresta (Cluster 15.02)</t>
  </si>
  <si>
    <t>18.00 M Wide Internal Road</t>
  </si>
  <si>
    <t>School</t>
  </si>
  <si>
    <t>Other Plot</t>
  </si>
  <si>
    <t xml:space="preserve">Construction work was in process at the time of visit. (Internal photo was not allowed.)
</t>
  </si>
  <si>
    <t>As per RERA - Wing A, F, G &amp; L = 31/10/2026 
                         Wing B &amp; C = 30/11/2027
                         Wing H = 31/05/2027
                         Wing D = 29/02/2028</t>
  </si>
  <si>
    <t xml:space="preserve">Approved Floor plan No.  
For Wing D </t>
  </si>
  <si>
    <t>Approved Floor plan No.  
For Wing A, B, C (Gr Floor) &amp; Wing F, G &amp; L</t>
  </si>
  <si>
    <t xml:space="preserve">Ekatmik Nagar Vasahat/ At Antarli, Khoni, Hedutane, Kole, Ghariwali, Katai &amp; Mangaav Taluka Kalyan, M.Umbroli, Taluka Ambernath/SSTHANE/4770
</t>
  </si>
  <si>
    <t>Approved Floor plan No.  
For Wing A, B, C (1st to 23rd Floor)</t>
  </si>
  <si>
    <t>Provide latest approved Layout plan &amp; Ground Floor plan for Wing A, B &amp; C</t>
  </si>
  <si>
    <t>We have updated latest approved 1st to 23rd floor plan for Wing A, B &amp; C</t>
  </si>
  <si>
    <t>7001 to 7200 by sanket 25/11/2023</t>
  </si>
  <si>
    <t>Rate 7900 &amp; park 5L  by Sanjay verbal    higher side    on 13/02/2025</t>
  </si>
  <si>
    <t xml:space="preserve">Recommended Rates/Other Charges of the Property have been revised on 25/11/2023 &amp; 21/05/2024 &amp; 13/02/2025.
</t>
  </si>
  <si>
    <t>Pooja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</si>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</sst>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  <numFmt numFmtId="168" formatCode="_ * #,##0_ ;_ * \-#,##0_ ;_ * &quot;-&quot;??_ ;_ @_ 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</cellStyleXfs>
  <cellXfs count="249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vertical="top"/>
      <protection locked="0"/>
    </xf>
    <xf numFmtId="0" fontId="15" fillId="0" borderId="0" xfId="8" applyFont="1"/>
    <xf numFmtId="1" fontId="10" fillId="0" borderId="0" xfId="8" applyNumberFormat="1" applyFont="1"/>
    <xf numFmtId="0" fontId="7" fillId="0" borderId="17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8" applyNumberFormat="1" applyFont="1" applyBorder="1" applyAlignment="1" applyProtection="1">
      <alignment horizontal="center" wrapText="1"/>
      <protection locked="0"/>
    </xf>
    <xf numFmtId="0" fontId="7" fillId="0" borderId="20" xfId="8" applyFont="1" applyBorder="1" applyAlignment="1" applyProtection="1">
      <alignment horizontal="center" wrapText="1"/>
      <protection locked="0"/>
    </xf>
    <xf numFmtId="9" fontId="7" fillId="2" borderId="20" xfId="8" applyNumberFormat="1" applyFont="1" applyFill="1" applyBorder="1" applyAlignment="1" applyProtection="1">
      <alignment horizontal="center" vertical="center" wrapText="1"/>
      <protection hidden="1"/>
    </xf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7" fillId="0" borderId="27" xfId="8" applyFont="1" applyBorder="1" applyProtection="1">
      <protection hidden="1"/>
    </xf>
    <xf numFmtId="0" fontId="7" fillId="0" borderId="28" xfId="8" applyFont="1" applyBorder="1" applyProtection="1">
      <protection hidden="1"/>
    </xf>
    <xf numFmtId="0" fontId="7" fillId="0" borderId="0" xfId="8" applyFont="1" applyProtection="1">
      <protection hidden="1"/>
    </xf>
    <xf numFmtId="0" fontId="7" fillId="0" borderId="29" xfId="8" applyFont="1" applyBorder="1" applyProtection="1">
      <protection hidden="1"/>
    </xf>
    <xf numFmtId="0" fontId="17" fillId="0" borderId="0" xfId="0" applyFont="1" applyProtection="1">
      <protection hidden="1"/>
    </xf>
    <xf numFmtId="0" fontId="7" fillId="0" borderId="29" xfId="8" applyFont="1" applyBorder="1"/>
    <xf numFmtId="0" fontId="17" fillId="0" borderId="29" xfId="0" applyFont="1" applyBorder="1" applyProtection="1">
      <protection hidden="1"/>
    </xf>
    <xf numFmtId="1" fontId="18" fillId="0" borderId="29" xfId="0" applyNumberFormat="1" applyFont="1" applyBorder="1"/>
    <xf numFmtId="1" fontId="18" fillId="0" borderId="29" xfId="0" applyNumberFormat="1" applyFont="1" applyBorder="1" applyAlignment="1">
      <alignment horizontal="right"/>
    </xf>
    <xf numFmtId="0" fontId="17" fillId="0" borderId="30" xfId="0" applyFont="1" applyBorder="1" applyProtection="1">
      <protection hidden="1"/>
    </xf>
    <xf numFmtId="1" fontId="18" fillId="0" borderId="31" xfId="0" applyNumberFormat="1" applyFont="1" applyBorder="1"/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9" fontId="12" fillId="0" borderId="32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8" applyNumberFormat="1" applyFont="1" applyBorder="1" applyAlignment="1">
      <alignment horizontal="center"/>
    </xf>
    <xf numFmtId="1" fontId="10" fillId="0" borderId="0" xfId="8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5" fillId="0" borderId="0" xfId="8" applyFont="1" applyProtection="1">
      <protection locked="0"/>
    </xf>
    <xf numFmtId="0" fontId="7" fillId="2" borderId="1" xfId="8" applyFont="1" applyFill="1" applyBorder="1" applyAlignment="1" applyProtection="1">
      <alignment horizontal="left" vertical="top"/>
      <protection locked="0"/>
    </xf>
    <xf numFmtId="0" fontId="7" fillId="0" borderId="8" xfId="8" applyFont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8" xfId="8" applyFont="1" applyBorder="1" applyAlignment="1" applyProtection="1">
      <alignment horizontal="center" wrapText="1"/>
      <protection locked="0"/>
    </xf>
    <xf numFmtId="9" fontId="7" fillId="2" borderId="8" xfId="8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8" applyFont="1" applyFill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center" wrapText="1"/>
      <protection locked="0"/>
    </xf>
    <xf numFmtId="166" fontId="7" fillId="0" borderId="1" xfId="8" applyNumberFormat="1" applyFont="1" applyFill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/>
      <protection locked="0"/>
    </xf>
    <xf numFmtId="0" fontId="7" fillId="0" borderId="7" xfId="8" applyFont="1" applyBorder="1" applyAlignment="1" applyProtection="1">
      <alignment horizontal="left" vertical="top"/>
      <protection locked="0"/>
    </xf>
    <xf numFmtId="0" fontId="7" fillId="0" borderId="9" xfId="8" applyFont="1" applyBorder="1" applyAlignment="1" applyProtection="1">
      <alignment horizontal="left" vertical="top"/>
      <protection locked="0"/>
    </xf>
    <xf numFmtId="0" fontId="7" fillId="0" borderId="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center" vertical="top" wrapText="1"/>
      <protection locked="0"/>
    </xf>
    <xf numFmtId="0" fontId="7" fillId="0" borderId="3" xfId="8" applyFont="1" applyBorder="1" applyAlignment="1" applyProtection="1">
      <alignment horizontal="center" vertical="top" wrapText="1"/>
      <protection locked="0"/>
    </xf>
    <xf numFmtId="0" fontId="7" fillId="0" borderId="2" xfId="8" applyFont="1" applyBorder="1" applyAlignment="1" applyProtection="1">
      <alignment horizontal="center" vertical="top"/>
      <protection locked="0"/>
    </xf>
    <xf numFmtId="0" fontId="7" fillId="0" borderId="3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9" fillId="2" borderId="1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2" xfId="8" applyFont="1" applyBorder="1" applyAlignment="1" applyProtection="1">
      <protection locked="0"/>
    </xf>
    <xf numFmtId="0" fontId="10" fillId="0" borderId="4" xfId="8" applyFont="1" applyBorder="1" applyAlignment="1" applyProtection="1">
      <protection locked="0"/>
    </xf>
    <xf numFmtId="0" fontId="10" fillId="0" borderId="3" xfId="8" applyFont="1" applyBorder="1" applyAlignment="1" applyProtection="1">
      <protection locked="0"/>
    </xf>
    <xf numFmtId="0" fontId="14" fillId="0" borderId="2" xfId="3" applyFill="1" applyBorder="1" applyAlignment="1" applyProtection="1">
      <alignment vertical="top"/>
      <protection locked="0"/>
    </xf>
    <xf numFmtId="0" fontId="12" fillId="0" borderId="4" xfId="8" applyFont="1" applyBorder="1" applyAlignment="1" applyProtection="1">
      <alignment vertical="top"/>
      <protection locked="0"/>
    </xf>
    <xf numFmtId="0" fontId="12" fillId="0" borderId="3" xfId="8" applyFont="1" applyBorder="1" applyAlignment="1" applyProtection="1">
      <alignment vertical="top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7" fontId="7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Fill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horizontal="left" vertical="top" wrapText="1"/>
      <protection locked="0"/>
    </xf>
    <xf numFmtId="166" fontId="7" fillId="0" borderId="2" xfId="8" applyNumberFormat="1" applyFont="1" applyBorder="1" applyAlignment="1" applyProtection="1">
      <alignment horizontal="left" vertical="top" wrapText="1"/>
      <protection locked="0"/>
    </xf>
    <xf numFmtId="166" fontId="7" fillId="0" borderId="3" xfId="8" applyNumberFormat="1" applyFont="1" applyBorder="1" applyAlignment="1" applyProtection="1">
      <alignment horizontal="left"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 wrapText="1"/>
      <protection locked="0"/>
    </xf>
    <xf numFmtId="0" fontId="7" fillId="2" borderId="1" xfId="8" applyFont="1" applyFill="1" applyBorder="1" applyAlignment="1" applyProtection="1">
      <alignment horizontal="left" vertical="top"/>
      <protection locked="0"/>
    </xf>
    <xf numFmtId="0" fontId="7" fillId="2" borderId="2" xfId="8" applyFont="1" applyFill="1" applyBorder="1" applyAlignment="1" applyProtection="1">
      <alignment horizontal="left" vertical="top" wrapText="1"/>
      <protection locked="0"/>
    </xf>
    <xf numFmtId="0" fontId="7" fillId="2" borderId="4" xfId="8" applyFont="1" applyFill="1" applyBorder="1" applyAlignment="1" applyProtection="1">
      <alignment horizontal="left" vertical="top" wrapText="1"/>
      <protection locked="0"/>
    </xf>
    <xf numFmtId="0" fontId="7" fillId="2" borderId="3" xfId="8" applyFont="1" applyFill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/>
      <protection locked="0"/>
    </xf>
    <xf numFmtId="166" fontId="13" fillId="0" borderId="1" xfId="8" applyNumberFormat="1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Fill="1" applyBorder="1" applyAlignment="1" applyProtection="1">
      <alignment horizontal="left" vertical="top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7" fillId="0" borderId="8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1" fontId="7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0" fontId="7" fillId="0" borderId="17" xfId="8" applyFont="1" applyBorder="1" applyAlignment="1" applyProtection="1">
      <alignment horizontal="center" vertical="top" wrapText="1"/>
      <protection locked="0"/>
    </xf>
    <xf numFmtId="0" fontId="7" fillId="0" borderId="18" xfId="8" applyFont="1" applyBorder="1" applyAlignment="1" applyProtection="1">
      <alignment horizontal="center" vertical="top" wrapText="1"/>
      <protection locked="0"/>
    </xf>
    <xf numFmtId="0" fontId="7" fillId="0" borderId="17" xfId="8" applyFont="1" applyBorder="1" applyAlignment="1" applyProtection="1">
      <alignment horizontal="center" vertical="top"/>
      <protection locked="0"/>
    </xf>
    <xf numFmtId="0" fontId="7" fillId="0" borderId="19" xfId="8" applyFont="1" applyBorder="1" applyAlignment="1" applyProtection="1">
      <alignment horizontal="center" vertical="top" wrapText="1"/>
      <protection locked="0"/>
    </xf>
    <xf numFmtId="0" fontId="7" fillId="0" borderId="20" xfId="8" applyFont="1" applyBorder="1" applyAlignment="1" applyProtection="1">
      <alignment horizontal="center" vertical="top" wrapText="1"/>
      <protection locked="0"/>
    </xf>
    <xf numFmtId="0" fontId="13" fillId="0" borderId="22" xfId="8" applyFont="1" applyBorder="1" applyAlignment="1" applyProtection="1">
      <alignment horizontal="left" vertical="top" wrapText="1"/>
      <protection locked="0"/>
    </xf>
    <xf numFmtId="0" fontId="13" fillId="0" borderId="23" xfId="8" applyFont="1" applyBorder="1" applyAlignment="1" applyProtection="1">
      <alignment horizontal="left" vertical="top" wrapText="1"/>
      <protection locked="0"/>
    </xf>
    <xf numFmtId="0" fontId="13" fillId="0" borderId="24" xfId="8" applyFont="1" applyBorder="1" applyAlignment="1" applyProtection="1">
      <alignment horizontal="left" vertical="top" wrapText="1"/>
      <protection locked="0"/>
    </xf>
    <xf numFmtId="0" fontId="13" fillId="0" borderId="25" xfId="8" applyFont="1" applyBorder="1" applyAlignment="1" applyProtection="1">
      <alignment horizontal="left" vertical="top" wrapText="1"/>
      <protection locked="0"/>
    </xf>
    <xf numFmtId="0" fontId="13" fillId="0" borderId="2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9" fontId="7" fillId="2" borderId="20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18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21" xfId="8" applyNumberFormat="1" applyFont="1" applyFill="1" applyBorder="1" applyAlignment="1" applyProtection="1">
      <alignment horizontal="center" vertical="center" wrapText="1"/>
      <protection hidden="1"/>
    </xf>
    <xf numFmtId="0" fontId="7" fillId="0" borderId="34" xfId="8" applyFont="1" applyBorder="1" applyAlignment="1" applyProtection="1">
      <alignment horizontal="center" vertical="top" wrapText="1"/>
      <protection locked="0"/>
    </xf>
    <xf numFmtId="0" fontId="7" fillId="0" borderId="8" xfId="8" applyFont="1" applyBorder="1" applyAlignment="1" applyProtection="1">
      <alignment horizontal="center" vertical="top" wrapText="1"/>
      <protection locked="0"/>
    </xf>
    <xf numFmtId="168" fontId="13" fillId="2" borderId="1" xfId="1" applyNumberFormat="1" applyFont="1" applyFill="1" applyBorder="1" applyAlignment="1" applyProtection="1">
      <alignment horizontal="left" vertical="top"/>
      <protection locked="0"/>
    </xf>
    <xf numFmtId="9" fontId="7" fillId="2" borderId="8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35" xfId="8" applyNumberFormat="1" applyFont="1" applyFill="1" applyBorder="1" applyAlignment="1" applyProtection="1">
      <alignment horizontal="center" vertical="center" wrapText="1"/>
      <protection hidden="1"/>
    </xf>
    <xf numFmtId="0" fontId="10" fillId="3" borderId="9" xfId="8" applyFont="1" applyFill="1" applyBorder="1" applyAlignment="1">
      <alignment horizontal="center"/>
    </xf>
    <xf numFmtId="0" fontId="10" fillId="3" borderId="0" xfId="8" applyFont="1" applyFill="1" applyAlignment="1">
      <alignment horizontal="center"/>
    </xf>
    <xf numFmtId="168" fontId="7" fillId="2" borderId="1" xfId="1" applyNumberFormat="1" applyFont="1" applyFill="1" applyBorder="1" applyAlignment="1" applyProtection="1">
      <alignment horizontal="left" vertical="top"/>
      <protection locked="0"/>
    </xf>
    <xf numFmtId="0" fontId="7" fillId="4" borderId="9" xfId="8" applyFont="1" applyFill="1" applyBorder="1" applyAlignment="1">
      <alignment horizontal="center"/>
    </xf>
    <xf numFmtId="0" fontId="7" fillId="4" borderId="0" xfId="8" applyFont="1" applyFill="1" applyAlignment="1">
      <alignment horizont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12" fillId="0" borderId="13" xfId="8" applyNumberFormat="1" applyFont="1" applyBorder="1" applyAlignment="1" applyProtection="1">
      <alignment horizontal="center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10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13" xfId="8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 applyProtection="1">
      <alignment horizontal="center" vertical="top"/>
      <protection locked="0"/>
    </xf>
    <xf numFmtId="1" fontId="13" fillId="0" borderId="1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0" fontId="17" fillId="0" borderId="1" xfId="8" applyFont="1" applyBorder="1" applyAlignment="1" applyProtection="1">
      <alignment horizontal="center" vertical="top" wrapText="1"/>
      <protection locked="0"/>
    </xf>
    <xf numFmtId="0" fontId="17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12" fillId="0" borderId="32" xfId="8" applyNumberFormat="1" applyFont="1" applyBorder="1" applyAlignment="1" applyProtection="1">
      <alignment horizontal="center" vertical="top" wrapText="1"/>
      <protection locked="0"/>
    </xf>
    <xf numFmtId="1" fontId="19" fillId="0" borderId="8" xfId="8" applyNumberFormat="1" applyFont="1" applyBorder="1" applyAlignment="1" applyProtection="1">
      <alignment horizontal="center" vertical="top" wrapText="1"/>
      <protection locked="0"/>
    </xf>
    <xf numFmtId="1" fontId="19" fillId="0" borderId="32" xfId="8" applyNumberFormat="1" applyFont="1" applyBorder="1" applyAlignment="1" applyProtection="1">
      <alignment horizontal="center" vertical="top" wrapText="1"/>
      <protection locked="0"/>
    </xf>
    <xf numFmtId="1" fontId="13" fillId="5" borderId="2" xfId="0" applyNumberFormat="1" applyFont="1" applyFill="1" applyBorder="1" applyAlignment="1" applyProtection="1">
      <alignment vertical="top" wrapText="1"/>
      <protection locked="0"/>
    </xf>
    <xf numFmtId="1" fontId="13" fillId="5" borderId="4" xfId="0" applyNumberFormat="1" applyFont="1" applyFill="1" applyBorder="1" applyAlignment="1" applyProtection="1">
      <alignment vertical="top" wrapText="1"/>
      <protection locked="0"/>
    </xf>
    <xf numFmtId="1" fontId="13" fillId="5" borderId="3" xfId="0" applyNumberFormat="1" applyFont="1" applyFill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0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/>
      <protection locked="0"/>
    </xf>
    <xf numFmtId="0" fontId="7" fillId="0" borderId="13" xfId="8" applyFont="1" applyBorder="1" applyAlignment="1" applyProtection="1">
      <alignment horizontal="left" vertical="top" wrapText="1"/>
      <protection locked="0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7" fillId="0" borderId="2" xfId="8" applyFont="1" applyBorder="1" applyAlignment="1" applyProtection="1">
      <alignment horizontal="center" vertical="center"/>
      <protection locked="0"/>
    </xf>
    <xf numFmtId="0" fontId="7" fillId="0" borderId="3" xfId="8" applyFont="1" applyBorder="1" applyAlignment="1" applyProtection="1">
      <alignment horizontal="center" vertical="center"/>
      <protection locked="0"/>
    </xf>
    <xf numFmtId="0" fontId="7" fillId="0" borderId="2" xfId="8" applyFont="1" applyBorder="1" applyAlignment="1" applyProtection="1">
      <alignment horizontal="center" vertical="center" wrapText="1"/>
      <protection locked="0"/>
    </xf>
    <xf numFmtId="0" fontId="7" fillId="0" borderId="11" xfId="8" applyFont="1" applyBorder="1" applyAlignment="1" applyProtection="1">
      <alignment horizontal="left" vertical="top"/>
      <protection locked="0"/>
    </xf>
    <xf numFmtId="0" fontId="7" fillId="0" borderId="12" xfId="8" applyFont="1" applyBorder="1" applyAlignment="1" applyProtection="1">
      <alignment horizontal="left" vertical="top"/>
      <protection locked="0"/>
    </xf>
    <xf numFmtId="0" fontId="7" fillId="0" borderId="13" xfId="8" applyFont="1" applyBorder="1" applyAlignment="1" applyProtection="1">
      <alignment horizontal="left" vertical="top"/>
      <protection locked="0"/>
    </xf>
    <xf numFmtId="0" fontId="7" fillId="0" borderId="8" xfId="8" applyFont="1" applyBorder="1" applyAlignment="1" applyProtection="1">
      <alignment horizontal="center" vertical="center" wrapText="1"/>
      <protection locked="0"/>
    </xf>
    <xf numFmtId="0" fontId="7" fillId="0" borderId="33" xfId="8" applyFont="1" applyBorder="1" applyAlignment="1" applyProtection="1">
      <alignment horizontal="center" vertical="center" wrapText="1"/>
      <protection locked="0"/>
    </xf>
    <xf numFmtId="0" fontId="7" fillId="0" borderId="32" xfId="8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392210</xdr:colOff>
      <xdr:row>547</xdr:row>
      <xdr:rowOff>0</xdr:rowOff>
    </xdr:from>
    <xdr:to>
      <xdr:col>6</xdr:col>
      <xdr:colOff>544814</xdr:colOff>
      <xdr:row>582</xdr:row>
      <xdr:rowOff>151499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153795" y="123209050"/>
          <a:ext cx="4305300" cy="71424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150776</xdr:colOff>
      <xdr:row>568</xdr:row>
      <xdr:rowOff>46725</xdr:rowOff>
    </xdr:from>
    <xdr:to>
      <xdr:col>4</xdr:col>
      <xdr:colOff>697949</xdr:colOff>
      <xdr:row>571</xdr:row>
      <xdr:rowOff>18546</xdr:rowOff>
    </xdr:to>
    <xdr:sp macro="" textlink="">
      <xdr:nvSpPr>
        <xdr:cNvPr id="4" name="Rectangle 3"/>
        <xdr:cNvSpPr/>
      </xdr:nvSpPr>
      <xdr:spPr>
        <a:xfrm rot="1147210">
          <a:off x="3503295" y="127446405"/>
          <a:ext cx="547370" cy="572135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678655</xdr:colOff>
      <xdr:row>565</xdr:row>
      <xdr:rowOff>11907</xdr:rowOff>
    </xdr:from>
    <xdr:to>
      <xdr:col>4</xdr:col>
      <xdr:colOff>375046</xdr:colOff>
      <xdr:row>567</xdr:row>
      <xdr:rowOff>47626</xdr:rowOff>
    </xdr:to>
    <xdr:sp macro="" textlink="">
      <xdr:nvSpPr>
        <xdr:cNvPr id="5" name="Rectangle 4"/>
        <xdr:cNvSpPr/>
      </xdr:nvSpPr>
      <xdr:spPr>
        <a:xfrm>
          <a:off x="3088005" y="126811405"/>
          <a:ext cx="639445" cy="436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A</a:t>
          </a:r>
        </a:p>
      </xdr:txBody>
    </xdr:sp>
    <xdr:clientData/>
  </xdr:twoCellAnchor>
  <xdr:twoCellAnchor>
    <xdr:from>
      <xdr:col>3</xdr:col>
      <xdr:colOff>676275</xdr:colOff>
      <xdr:row>566</xdr:row>
      <xdr:rowOff>9525</xdr:rowOff>
    </xdr:from>
    <xdr:to>
      <xdr:col>4</xdr:col>
      <xdr:colOff>372666</xdr:colOff>
      <xdr:row>568</xdr:row>
      <xdr:rowOff>45243</xdr:rowOff>
    </xdr:to>
    <xdr:sp macro="" textlink="">
      <xdr:nvSpPr>
        <xdr:cNvPr id="12" name="Rectangle 11"/>
        <xdr:cNvSpPr/>
      </xdr:nvSpPr>
      <xdr:spPr>
        <a:xfrm>
          <a:off x="3086100" y="127009525"/>
          <a:ext cx="638810" cy="4356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B</a:t>
          </a:r>
        </a:p>
      </xdr:txBody>
    </xdr:sp>
    <xdr:clientData/>
  </xdr:twoCellAnchor>
  <xdr:twoCellAnchor>
    <xdr:from>
      <xdr:col>3</xdr:col>
      <xdr:colOff>673894</xdr:colOff>
      <xdr:row>567</xdr:row>
      <xdr:rowOff>25004</xdr:rowOff>
    </xdr:from>
    <xdr:to>
      <xdr:col>4</xdr:col>
      <xdr:colOff>370285</xdr:colOff>
      <xdr:row>569</xdr:row>
      <xdr:rowOff>60722</xdr:rowOff>
    </xdr:to>
    <xdr:sp macro="" textlink="">
      <xdr:nvSpPr>
        <xdr:cNvPr id="17" name="Rectangle 16"/>
        <xdr:cNvSpPr/>
      </xdr:nvSpPr>
      <xdr:spPr>
        <a:xfrm>
          <a:off x="3083560" y="127224790"/>
          <a:ext cx="639445" cy="4356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C</a:t>
          </a:r>
        </a:p>
      </xdr:txBody>
    </xdr:sp>
    <xdr:clientData/>
  </xdr:twoCellAnchor>
  <xdr:twoCellAnchor>
    <xdr:from>
      <xdr:col>3</xdr:col>
      <xdr:colOff>671512</xdr:colOff>
      <xdr:row>568</xdr:row>
      <xdr:rowOff>40481</xdr:rowOff>
    </xdr:from>
    <xdr:to>
      <xdr:col>4</xdr:col>
      <xdr:colOff>367903</xdr:colOff>
      <xdr:row>570</xdr:row>
      <xdr:rowOff>76200</xdr:rowOff>
    </xdr:to>
    <xdr:sp macro="" textlink="">
      <xdr:nvSpPr>
        <xdr:cNvPr id="18" name="Rectangle 17"/>
        <xdr:cNvSpPr/>
      </xdr:nvSpPr>
      <xdr:spPr>
        <a:xfrm>
          <a:off x="3081020" y="127440055"/>
          <a:ext cx="639445" cy="436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D</a:t>
          </a:r>
        </a:p>
      </xdr:txBody>
    </xdr:sp>
    <xdr:clientData/>
  </xdr:twoCellAnchor>
  <xdr:twoCellAnchor>
    <xdr:from>
      <xdr:col>7</xdr:col>
      <xdr:colOff>740569</xdr:colOff>
      <xdr:row>567</xdr:row>
      <xdr:rowOff>192882</xdr:rowOff>
    </xdr:from>
    <xdr:to>
      <xdr:col>8</xdr:col>
      <xdr:colOff>550068</xdr:colOff>
      <xdr:row>570</xdr:row>
      <xdr:rowOff>26194</xdr:rowOff>
    </xdr:to>
    <xdr:sp macro="" textlink="">
      <xdr:nvSpPr>
        <xdr:cNvPr id="19" name="Rectangle 18"/>
        <xdr:cNvSpPr/>
      </xdr:nvSpPr>
      <xdr:spPr>
        <a:xfrm>
          <a:off x="6436360" y="127392430"/>
          <a:ext cx="638175" cy="4337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E</a:t>
          </a:r>
        </a:p>
        <a:p>
          <a:pPr algn="l"/>
          <a:endParaRPr lang="en-IN" sz="1100" b="1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4</xdr:col>
      <xdr:colOff>142875</xdr:colOff>
      <xdr:row>569</xdr:row>
      <xdr:rowOff>142875</xdr:rowOff>
    </xdr:from>
    <xdr:to>
      <xdr:col>4</xdr:col>
      <xdr:colOff>779859</xdr:colOff>
      <xdr:row>571</xdr:row>
      <xdr:rowOff>178594</xdr:rowOff>
    </xdr:to>
    <xdr:sp macro="" textlink="">
      <xdr:nvSpPr>
        <xdr:cNvPr id="20" name="Rectangle 19"/>
        <xdr:cNvSpPr/>
      </xdr:nvSpPr>
      <xdr:spPr>
        <a:xfrm>
          <a:off x="3495675" y="127742950"/>
          <a:ext cx="636905" cy="4356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F</a:t>
          </a:r>
        </a:p>
      </xdr:txBody>
    </xdr:sp>
    <xdr:clientData/>
  </xdr:twoCellAnchor>
  <xdr:twoCellAnchor>
    <xdr:from>
      <xdr:col>4</xdr:col>
      <xdr:colOff>342900</xdr:colOff>
      <xdr:row>569</xdr:row>
      <xdr:rowOff>200026</xdr:rowOff>
    </xdr:from>
    <xdr:to>
      <xdr:col>5</xdr:col>
      <xdr:colOff>200024</xdr:colOff>
      <xdr:row>572</xdr:row>
      <xdr:rowOff>33338</xdr:rowOff>
    </xdr:to>
    <xdr:sp macro="" textlink="">
      <xdr:nvSpPr>
        <xdr:cNvPr id="21" name="Rectangle 20"/>
        <xdr:cNvSpPr/>
      </xdr:nvSpPr>
      <xdr:spPr>
        <a:xfrm>
          <a:off x="3695700" y="127800100"/>
          <a:ext cx="637540" cy="433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G</a:t>
          </a:r>
        </a:p>
      </xdr:txBody>
    </xdr:sp>
    <xdr:clientData/>
  </xdr:twoCellAnchor>
  <xdr:twoCellAnchor>
    <xdr:from>
      <xdr:col>4</xdr:col>
      <xdr:colOff>447675</xdr:colOff>
      <xdr:row>568</xdr:row>
      <xdr:rowOff>96441</xdr:rowOff>
    </xdr:from>
    <xdr:to>
      <xdr:col>5</xdr:col>
      <xdr:colOff>304799</xdr:colOff>
      <xdr:row>570</xdr:row>
      <xdr:rowOff>132160</xdr:rowOff>
    </xdr:to>
    <xdr:sp macro="" textlink="">
      <xdr:nvSpPr>
        <xdr:cNvPr id="22" name="Rectangle 21"/>
        <xdr:cNvSpPr/>
      </xdr:nvSpPr>
      <xdr:spPr>
        <a:xfrm>
          <a:off x="3800475" y="127495935"/>
          <a:ext cx="637540" cy="436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H</a:t>
          </a:r>
        </a:p>
      </xdr:txBody>
    </xdr:sp>
    <xdr:clientData/>
  </xdr:twoCellAnchor>
  <xdr:twoCellAnchor>
    <xdr:from>
      <xdr:col>4</xdr:col>
      <xdr:colOff>47625</xdr:colOff>
      <xdr:row>564</xdr:row>
      <xdr:rowOff>125015</xdr:rowOff>
    </xdr:from>
    <xdr:to>
      <xdr:col>4</xdr:col>
      <xdr:colOff>684609</xdr:colOff>
      <xdr:row>566</xdr:row>
      <xdr:rowOff>160734</xdr:rowOff>
    </xdr:to>
    <xdr:sp macro="" textlink="">
      <xdr:nvSpPr>
        <xdr:cNvPr id="23" name="Rectangle 22"/>
        <xdr:cNvSpPr/>
      </xdr:nvSpPr>
      <xdr:spPr>
        <a:xfrm>
          <a:off x="3400425" y="126724410"/>
          <a:ext cx="636905" cy="436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L</a:t>
          </a:r>
        </a:p>
      </xdr:txBody>
    </xdr:sp>
    <xdr:clientData/>
  </xdr:twoCellAnchor>
  <xdr:twoCellAnchor>
    <xdr:from>
      <xdr:col>4</xdr:col>
      <xdr:colOff>241697</xdr:colOff>
      <xdr:row>568</xdr:row>
      <xdr:rowOff>63102</xdr:rowOff>
    </xdr:from>
    <xdr:to>
      <xdr:col>5</xdr:col>
      <xdr:colOff>98821</xdr:colOff>
      <xdr:row>570</xdr:row>
      <xdr:rowOff>98821</xdr:rowOff>
    </xdr:to>
    <xdr:sp macro="" textlink="">
      <xdr:nvSpPr>
        <xdr:cNvPr id="24" name="Rectangle 23"/>
        <xdr:cNvSpPr/>
      </xdr:nvSpPr>
      <xdr:spPr>
        <a:xfrm>
          <a:off x="3594100" y="127462915"/>
          <a:ext cx="638175" cy="4356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ln>
                <a:noFill/>
              </a:ln>
              <a:solidFill>
                <a:srgbClr val="FFFF00"/>
              </a:solidFill>
            </a:rPr>
            <a:t>I</a:t>
          </a:r>
        </a:p>
      </xdr:txBody>
    </xdr:sp>
    <xdr:clientData/>
  </xdr:twoCellAnchor>
  <xdr:twoCellAnchor>
    <xdr:from>
      <xdr:col>3</xdr:col>
      <xdr:colOff>702468</xdr:colOff>
      <xdr:row>564</xdr:row>
      <xdr:rowOff>119058</xdr:rowOff>
    </xdr:from>
    <xdr:to>
      <xdr:col>4</xdr:col>
      <xdr:colOff>273845</xdr:colOff>
      <xdr:row>569</xdr:row>
      <xdr:rowOff>130964</xdr:rowOff>
    </xdr:to>
    <xdr:sp macro="" textlink="">
      <xdr:nvSpPr>
        <xdr:cNvPr id="6" name="L-Shape 5"/>
        <xdr:cNvSpPr/>
      </xdr:nvSpPr>
      <xdr:spPr>
        <a:xfrm rot="10800000" flipH="1">
          <a:off x="3112135" y="126718695"/>
          <a:ext cx="514350" cy="1012190"/>
        </a:xfrm>
        <a:prstGeom prst="corner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9</xdr:col>
      <xdr:colOff>430696</xdr:colOff>
      <xdr:row>509</xdr:row>
      <xdr:rowOff>107675</xdr:rowOff>
    </xdr:from>
    <xdr:ext cx="791370" cy="327141"/>
    <xdr:sp macro="" textlink="">
      <xdr:nvSpPr>
        <xdr:cNvPr id="8" name="TextBox 7"/>
        <xdr:cNvSpPr txBox="1"/>
      </xdr:nvSpPr>
      <xdr:spPr>
        <a:xfrm>
          <a:off x="8117205" y="115477290"/>
          <a:ext cx="791210" cy="327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500" b="1">
              <a:solidFill>
                <a:srgbClr val="FF0000"/>
              </a:solidFill>
            </a:rPr>
            <a:t>WING F</a:t>
          </a:r>
        </a:p>
      </xdr:txBody>
    </xdr:sp>
    <xdr:clientData/>
  </xdr:oneCellAnchor>
  <xdr:twoCellAnchor editAs="oneCell">
    <xdr:from>
      <xdr:col>9</xdr:col>
      <xdr:colOff>480391</xdr:colOff>
      <xdr:row>399</xdr:row>
      <xdr:rowOff>107674</xdr:rowOff>
    </xdr:from>
    <xdr:to>
      <xdr:col>13</xdr:col>
      <xdr:colOff>39557</xdr:colOff>
      <xdr:row>414</xdr:row>
      <xdr:rowOff>113021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6735" y="91502865"/>
          <a:ext cx="2521585" cy="3615055"/>
        </a:xfrm>
        <a:prstGeom prst="rect">
          <a:avLst/>
        </a:prstGeom>
      </xdr:spPr>
    </xdr:pic>
    <xdr:clientData/>
  </xdr:twoCellAnchor>
  <xdr:twoCellAnchor editAs="oneCell">
    <xdr:from>
      <xdr:col>1</xdr:col>
      <xdr:colOff>354770</xdr:colOff>
      <xdr:row>588</xdr:row>
      <xdr:rowOff>54381</xdr:rowOff>
    </xdr:from>
    <xdr:to>
      <xdr:col>6</xdr:col>
      <xdr:colOff>77871</xdr:colOff>
      <xdr:row>604</xdr:row>
      <xdr:rowOff>85726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1116770" y="132375681"/>
          <a:ext cx="3876001" cy="3231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479714</xdr:colOff>
      <xdr:row>617</xdr:row>
      <xdr:rowOff>56237</xdr:rowOff>
    </xdr:from>
    <xdr:to>
      <xdr:col>9</xdr:col>
      <xdr:colOff>218357</xdr:colOff>
      <xdr:row>621</xdr:row>
      <xdr:rowOff>12630</xdr:rowOff>
    </xdr:to>
    <xdr:sp macro="" textlink="">
      <xdr:nvSpPr>
        <xdr:cNvPr id="43" name="Rectangle 42"/>
        <xdr:cNvSpPr/>
      </xdr:nvSpPr>
      <xdr:spPr>
        <a:xfrm rot="1309260">
          <a:off x="7004339" y="138178262"/>
          <a:ext cx="900693" cy="756493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241300</xdr:colOff>
      <xdr:row>501</xdr:row>
      <xdr:rowOff>184150</xdr:rowOff>
    </xdr:from>
    <xdr:to>
      <xdr:col>15</xdr:col>
      <xdr:colOff>667641</xdr:colOff>
      <xdr:row>542</xdr:row>
      <xdr:rowOff>107623</xdr:rowOff>
    </xdr:to>
    <xdr:grpSp>
      <xdr:nvGrpSpPr>
        <xdr:cNvPr id="25" name="Group 24"/>
        <xdr:cNvGrpSpPr/>
      </xdr:nvGrpSpPr>
      <xdr:grpSpPr>
        <a:xfrm>
          <a:off x="7086600" y="114312700"/>
          <a:ext cx="6306441" cy="7987973"/>
          <a:chOff x="222250" y="116036725"/>
          <a:chExt cx="6046091" cy="8114973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2648" y="116036725"/>
            <a:ext cx="2849432" cy="40203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5" name="Group 14"/>
          <xdr:cNvGrpSpPr/>
        </xdr:nvGrpSpPr>
        <xdr:grpSpPr>
          <a:xfrm>
            <a:off x="222250" y="116036725"/>
            <a:ext cx="6046091" cy="8114973"/>
            <a:chOff x="222250" y="116790321"/>
            <a:chExt cx="6053935" cy="8180527"/>
          </a:xfrm>
        </xdr:grpSpPr>
        <xdr:pic>
          <xdr:nvPicPr>
            <xdr:cNvPr id="37" name="Picture 36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2567" y="123866569"/>
              <a:ext cx="1373671" cy="110427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/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2566" y="116790321"/>
              <a:ext cx="2832436" cy="405226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250" y="120973012"/>
              <a:ext cx="1942209" cy="276312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/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92868" y="120973012"/>
              <a:ext cx="1901494" cy="276312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2771" y="120973012"/>
              <a:ext cx="1953414" cy="276312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60176" y="123866569"/>
              <a:ext cx="1401312" cy="110427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" name="TextBox 1"/>
            <xdr:cNvSpPr txBox="1"/>
          </xdr:nvSpPr>
          <xdr:spPr>
            <a:xfrm>
              <a:off x="1238250" y="116828421"/>
              <a:ext cx="59657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100"/>
                <a:t>A Wing</a:t>
              </a:r>
            </a:p>
          </xdr:txBody>
        </xdr:sp>
        <xdr:cxnSp macro="">
          <xdr:nvCxnSpPr>
            <xdr:cNvPr id="10" name="Straight Arrow Connector 9"/>
            <xdr:cNvCxnSpPr>
              <a:stCxn id="2" idx="2"/>
            </xdr:cNvCxnSpPr>
          </xdr:nvCxnSpPr>
          <xdr:spPr>
            <a:xfrm flipH="1">
              <a:off x="1460500" y="117097836"/>
              <a:ext cx="76037" cy="375296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8" name="TextBox 47"/>
            <xdr:cNvSpPr txBox="1"/>
          </xdr:nvSpPr>
          <xdr:spPr>
            <a:xfrm>
              <a:off x="1557618" y="117269932"/>
              <a:ext cx="59657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100"/>
                <a:t>B Wing</a:t>
              </a:r>
            </a:p>
          </xdr:txBody>
        </xdr:sp>
        <xdr:cxnSp macro="">
          <xdr:nvCxnSpPr>
            <xdr:cNvPr id="49" name="Straight Arrow Connector 48"/>
            <xdr:cNvCxnSpPr>
              <a:stCxn id="48" idx="2"/>
            </xdr:cNvCxnSpPr>
          </xdr:nvCxnSpPr>
          <xdr:spPr>
            <a:xfrm flipH="1">
              <a:off x="1570319" y="117539348"/>
              <a:ext cx="285586" cy="821664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0" name="TextBox 49"/>
            <xdr:cNvSpPr txBox="1"/>
          </xdr:nvSpPr>
          <xdr:spPr>
            <a:xfrm>
              <a:off x="2536265" y="118078250"/>
              <a:ext cx="59657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100"/>
                <a:t>C Wing</a:t>
              </a:r>
            </a:p>
          </xdr:txBody>
        </xdr:sp>
        <xdr:cxnSp macro="">
          <xdr:nvCxnSpPr>
            <xdr:cNvPr id="51" name="Straight Arrow Connector 50"/>
            <xdr:cNvCxnSpPr/>
          </xdr:nvCxnSpPr>
          <xdr:spPr>
            <a:xfrm flipH="1">
              <a:off x="2606116" y="118380062"/>
              <a:ext cx="228599" cy="195356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2" name="TextBox 51"/>
            <xdr:cNvSpPr txBox="1"/>
          </xdr:nvSpPr>
          <xdr:spPr>
            <a:xfrm>
              <a:off x="2402168" y="117225482"/>
              <a:ext cx="59657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100"/>
                <a:t>L Wing</a:t>
              </a:r>
            </a:p>
          </xdr:txBody>
        </xdr:sp>
        <xdr:cxnSp macro="">
          <xdr:nvCxnSpPr>
            <xdr:cNvPr id="53" name="Straight Arrow Connector 52"/>
            <xdr:cNvCxnSpPr>
              <a:stCxn id="52" idx="2"/>
            </xdr:cNvCxnSpPr>
          </xdr:nvCxnSpPr>
          <xdr:spPr>
            <a:xfrm flipH="1">
              <a:off x="2421966" y="117490042"/>
              <a:ext cx="260186" cy="329352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4" name="TextBox 53"/>
            <xdr:cNvSpPr txBox="1"/>
          </xdr:nvSpPr>
          <xdr:spPr>
            <a:xfrm>
              <a:off x="4475021" y="117768594"/>
              <a:ext cx="1107749" cy="3741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800"/>
                <a:t>D Wing</a:t>
              </a:r>
            </a:p>
          </xdr:txBody>
        </xdr:sp>
        <xdr:cxnSp macro="">
          <xdr:nvCxnSpPr>
            <xdr:cNvPr id="55" name="Straight Arrow Connector 54"/>
            <xdr:cNvCxnSpPr>
              <a:stCxn id="54" idx="2"/>
            </xdr:cNvCxnSpPr>
          </xdr:nvCxnSpPr>
          <xdr:spPr>
            <a:xfrm flipH="1">
              <a:off x="4528671" y="118152447"/>
              <a:ext cx="465486" cy="1091588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9" name="TextBox 58"/>
            <xdr:cNvSpPr txBox="1"/>
          </xdr:nvSpPr>
          <xdr:spPr>
            <a:xfrm>
              <a:off x="222250" y="120973012"/>
              <a:ext cx="596574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100"/>
                <a:t>F Wing</a:t>
              </a:r>
            </a:p>
          </xdr:txBody>
        </xdr:sp>
        <xdr:cxnSp macro="">
          <xdr:nvCxnSpPr>
            <xdr:cNvPr id="60" name="Straight Arrow Connector 59"/>
            <xdr:cNvCxnSpPr>
              <a:stCxn id="59" idx="2"/>
            </xdr:cNvCxnSpPr>
          </xdr:nvCxnSpPr>
          <xdr:spPr>
            <a:xfrm>
              <a:off x="520537" y="121242428"/>
              <a:ext cx="311313" cy="598384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2" name="TextBox 61"/>
            <xdr:cNvSpPr txBox="1"/>
          </xdr:nvSpPr>
          <xdr:spPr>
            <a:xfrm>
              <a:off x="3495259" y="121042862"/>
              <a:ext cx="6490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100"/>
                <a:t>G Wing</a:t>
              </a:r>
            </a:p>
          </xdr:txBody>
        </xdr:sp>
        <xdr:cxnSp macro="">
          <xdr:nvCxnSpPr>
            <xdr:cNvPr id="63" name="Straight Arrow Connector 62"/>
            <xdr:cNvCxnSpPr>
              <a:stCxn id="62" idx="2"/>
            </xdr:cNvCxnSpPr>
          </xdr:nvCxnSpPr>
          <xdr:spPr>
            <a:xfrm flipH="1">
              <a:off x="3585510" y="121312278"/>
              <a:ext cx="234274" cy="409378"/>
            </a:xfrm>
            <a:prstGeom prst="straightConnector1">
              <a:avLst/>
            </a:prstGeom>
            <a:ln>
              <a:solidFill>
                <a:srgbClr val="FF0000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6" name="TextBox 65"/>
            <xdr:cNvSpPr txBox="1"/>
          </xdr:nvSpPr>
          <xdr:spPr>
            <a:xfrm>
              <a:off x="4322771" y="120973012"/>
              <a:ext cx="879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N" sz="1100"/>
                <a:t>H Wing</a:t>
              </a:r>
            </a:p>
          </xdr:txBody>
        </xdr:sp>
      </xdr:grpSp>
    </xdr:grpSp>
    <xdr:clientData/>
  </xdr:twoCellAnchor>
  <xdr:twoCellAnchor editAs="oneCell">
    <xdr:from>
      <xdr:col>8</xdr:col>
      <xdr:colOff>904875</xdr:colOff>
      <xdr:row>3</xdr:row>
      <xdr:rowOff>0</xdr:rowOff>
    </xdr:from>
    <xdr:to>
      <xdr:col>14</xdr:col>
      <xdr:colOff>238725</xdr:colOff>
      <xdr:row>15</xdr:row>
      <xdr:rowOff>29028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9500" y="1000125"/>
          <a:ext cx="4296375" cy="3248478"/>
        </a:xfrm>
        <a:prstGeom prst="rect">
          <a:avLst/>
        </a:prstGeom>
      </xdr:spPr>
    </xdr:pic>
    <xdr:clientData/>
  </xdr:twoCellAnchor>
  <xdr:twoCellAnchor>
    <xdr:from>
      <xdr:col>0</xdr:col>
      <xdr:colOff>552450</xdr:colOff>
      <xdr:row>605</xdr:row>
      <xdr:rowOff>19051</xdr:rowOff>
    </xdr:from>
    <xdr:to>
      <xdr:col>6</xdr:col>
      <xdr:colOff>714375</xdr:colOff>
      <xdr:row>627</xdr:row>
      <xdr:rowOff>97149</xdr:rowOff>
    </xdr:to>
    <xdr:grpSp>
      <xdr:nvGrpSpPr>
        <xdr:cNvPr id="14" name="Group 13"/>
        <xdr:cNvGrpSpPr/>
      </xdr:nvGrpSpPr>
      <xdr:grpSpPr>
        <a:xfrm>
          <a:off x="552450" y="134645401"/>
          <a:ext cx="5318125" cy="4408798"/>
          <a:chOff x="676275" y="135759826"/>
          <a:chExt cx="5076825" cy="4478648"/>
        </a:xfrm>
      </xdr:grpSpPr>
      <xdr:grpSp>
        <xdr:nvGrpSpPr>
          <xdr:cNvPr id="13" name="Group 12"/>
          <xdr:cNvGrpSpPr/>
        </xdr:nvGrpSpPr>
        <xdr:grpSpPr>
          <a:xfrm>
            <a:off x="676275" y="135759826"/>
            <a:ext cx="5076825" cy="4478648"/>
            <a:chOff x="676275" y="135759826"/>
            <a:chExt cx="5076825" cy="4478648"/>
          </a:xfrm>
        </xdr:grpSpPr>
        <xdr:pic>
          <xdr:nvPicPr>
            <xdr:cNvPr id="9" name="Picture 8"/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676275" y="135759826"/>
              <a:ext cx="5076825" cy="4478648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11" name="Freeform 10"/>
            <xdr:cNvSpPr/>
          </xdr:nvSpPr>
          <xdr:spPr>
            <a:xfrm>
              <a:off x="1962150" y="136950450"/>
              <a:ext cx="1828800" cy="2486025"/>
            </a:xfrm>
            <a:custGeom>
              <a:avLst/>
              <a:gdLst>
                <a:gd name="connsiteX0" fmla="*/ 142875 w 1828800"/>
                <a:gd name="connsiteY0" fmla="*/ 266700 h 2486025"/>
                <a:gd name="connsiteX1" fmla="*/ 1009650 w 1828800"/>
                <a:gd name="connsiteY1" fmla="*/ 0 h 2486025"/>
                <a:gd name="connsiteX2" fmla="*/ 838200 w 1828800"/>
                <a:gd name="connsiteY2" fmla="*/ 419100 h 2486025"/>
                <a:gd name="connsiteX3" fmla="*/ 419100 w 1828800"/>
                <a:gd name="connsiteY3" fmla="*/ 1666875 h 2486025"/>
                <a:gd name="connsiteX4" fmla="*/ 923925 w 1828800"/>
                <a:gd name="connsiteY4" fmla="*/ 1762125 h 2486025"/>
                <a:gd name="connsiteX5" fmla="*/ 981075 w 1828800"/>
                <a:gd name="connsiteY5" fmla="*/ 1295400 h 2486025"/>
                <a:gd name="connsiteX6" fmla="*/ 1828800 w 1828800"/>
                <a:gd name="connsiteY6" fmla="*/ 1524000 h 2486025"/>
                <a:gd name="connsiteX7" fmla="*/ 1581150 w 1828800"/>
                <a:gd name="connsiteY7" fmla="*/ 2486025 h 2486025"/>
                <a:gd name="connsiteX8" fmla="*/ 352425 w 1828800"/>
                <a:gd name="connsiteY8" fmla="*/ 2143125 h 2486025"/>
                <a:gd name="connsiteX9" fmla="*/ 0 w 1828800"/>
                <a:gd name="connsiteY9" fmla="*/ 1733550 h 2486025"/>
                <a:gd name="connsiteX10" fmla="*/ 142875 w 1828800"/>
                <a:gd name="connsiteY10" fmla="*/ 266700 h 2486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1828800" h="2486025">
                  <a:moveTo>
                    <a:pt x="142875" y="266700"/>
                  </a:moveTo>
                  <a:lnTo>
                    <a:pt x="1009650" y="0"/>
                  </a:lnTo>
                  <a:lnTo>
                    <a:pt x="838200" y="419100"/>
                  </a:lnTo>
                  <a:lnTo>
                    <a:pt x="419100" y="1666875"/>
                  </a:lnTo>
                  <a:lnTo>
                    <a:pt x="923925" y="1762125"/>
                  </a:lnTo>
                  <a:lnTo>
                    <a:pt x="981075" y="1295400"/>
                  </a:lnTo>
                  <a:lnTo>
                    <a:pt x="1828800" y="1524000"/>
                  </a:lnTo>
                  <a:lnTo>
                    <a:pt x="1581150" y="2486025"/>
                  </a:lnTo>
                  <a:lnTo>
                    <a:pt x="352425" y="2143125"/>
                  </a:lnTo>
                  <a:lnTo>
                    <a:pt x="0" y="1733550"/>
                  </a:lnTo>
                  <a:lnTo>
                    <a:pt x="142875" y="266700"/>
                  </a:lnTo>
                  <a:close/>
                </a:path>
              </a:pathLst>
            </a:cu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sp macro="" textlink="">
        <xdr:nvSpPr>
          <xdr:cNvPr id="56" name="TextBox 9"/>
          <xdr:cNvSpPr txBox="1"/>
        </xdr:nvSpPr>
        <xdr:spPr>
          <a:xfrm rot="630259">
            <a:off x="2637784" y="137978471"/>
            <a:ext cx="2113198" cy="35849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20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Casa Belvedere</a:t>
            </a:r>
            <a:endParaRPr lang="en-IN" sz="20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139700</xdr:colOff>
      <xdr:row>503</xdr:row>
      <xdr:rowOff>57150</xdr:rowOff>
    </xdr:from>
    <xdr:to>
      <xdr:col>7</xdr:col>
      <xdr:colOff>721191</xdr:colOff>
      <xdr:row>543</xdr:row>
      <xdr:rowOff>116934</xdr:rowOff>
    </xdr:to>
    <xdr:grpSp>
      <xdr:nvGrpSpPr>
        <xdr:cNvPr id="27" name="Group 26"/>
        <xdr:cNvGrpSpPr/>
      </xdr:nvGrpSpPr>
      <xdr:grpSpPr>
        <a:xfrm>
          <a:off x="139700" y="114579400"/>
          <a:ext cx="6556841" cy="7927434"/>
          <a:chOff x="139700" y="114579400"/>
          <a:chExt cx="6556841" cy="7927434"/>
        </a:xfrm>
      </xdr:grpSpPr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3263" y="121066834"/>
            <a:ext cx="191822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2848" y="1145794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996" y="1145794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9144" y="1145794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12848" y="11674187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995" y="11674187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9142" y="11674187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116741878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11457940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14813" y="11890435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87960" y="118904356"/>
            <a:ext cx="2733465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9" name="TextBox 78"/>
          <xdr:cNvSpPr txBox="1"/>
        </xdr:nvSpPr>
        <xdr:spPr>
          <a:xfrm>
            <a:off x="819150" y="114630200"/>
            <a:ext cx="621457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80" name="TextBox 79"/>
          <xdr:cNvSpPr txBox="1"/>
        </xdr:nvSpPr>
        <xdr:spPr>
          <a:xfrm>
            <a:off x="2200198" y="114782600"/>
            <a:ext cx="621457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A Wing</a:t>
            </a:r>
          </a:p>
        </xdr:txBody>
      </xdr:sp>
      <xdr:sp macro="" textlink="">
        <xdr:nvSpPr>
          <xdr:cNvPr id="81" name="TextBox 80"/>
          <xdr:cNvSpPr txBox="1"/>
        </xdr:nvSpPr>
        <xdr:spPr>
          <a:xfrm>
            <a:off x="3968596" y="114782600"/>
            <a:ext cx="621457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/>
              <a:t>B Wing</a:t>
            </a:r>
          </a:p>
        </xdr:txBody>
      </xdr:sp>
      <xdr:sp macro="" textlink="">
        <xdr:nvSpPr>
          <xdr:cNvPr id="82" name="TextBox 81"/>
          <xdr:cNvSpPr txBox="1"/>
        </xdr:nvSpPr>
        <xdr:spPr>
          <a:xfrm>
            <a:off x="5800494" y="114706400"/>
            <a:ext cx="621457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/>
              <a:t>C Wing</a:t>
            </a:r>
          </a:p>
        </xdr:txBody>
      </xdr:sp>
      <xdr:sp macro="" textlink="">
        <xdr:nvSpPr>
          <xdr:cNvPr id="83" name="TextBox 82"/>
          <xdr:cNvSpPr txBox="1"/>
        </xdr:nvSpPr>
        <xdr:spPr>
          <a:xfrm>
            <a:off x="139701" y="116741878"/>
            <a:ext cx="869950" cy="3711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800"/>
              <a:t>D Wing</a:t>
            </a:r>
          </a:p>
        </xdr:txBody>
      </xdr:sp>
      <xdr:cxnSp macro="">
        <xdr:nvCxnSpPr>
          <xdr:cNvPr id="84" name="Straight Arrow Connector 83"/>
          <xdr:cNvCxnSpPr>
            <a:stCxn id="83" idx="2"/>
          </xdr:cNvCxnSpPr>
        </xdr:nvCxnSpPr>
        <xdr:spPr>
          <a:xfrm>
            <a:off x="574676" y="117113050"/>
            <a:ext cx="79374" cy="44450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5" name="TextBox 84"/>
          <xdr:cNvSpPr txBox="1"/>
        </xdr:nvSpPr>
        <xdr:spPr>
          <a:xfrm>
            <a:off x="2492298" y="116919678"/>
            <a:ext cx="621457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/>
              <a:t>F Wing</a:t>
            </a:r>
          </a:p>
        </xdr:txBody>
      </xdr:sp>
      <xdr:sp macro="" textlink="">
        <xdr:nvSpPr>
          <xdr:cNvPr id="86" name="TextBox 85"/>
          <xdr:cNvSpPr txBox="1"/>
        </xdr:nvSpPr>
        <xdr:spPr>
          <a:xfrm>
            <a:off x="3879695" y="116811728"/>
            <a:ext cx="676121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/>
              <a:t>G Wing</a:t>
            </a:r>
          </a:p>
        </xdr:txBody>
      </xdr:sp>
      <xdr:sp macro="" textlink="">
        <xdr:nvSpPr>
          <xdr:cNvPr id="87" name="TextBox 86"/>
          <xdr:cNvSpPr txBox="1"/>
        </xdr:nvSpPr>
        <xdr:spPr>
          <a:xfrm>
            <a:off x="5775092" y="116868878"/>
            <a:ext cx="915663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/>
              <a:t>H Wing</a:t>
            </a:r>
          </a:p>
        </xdr:txBody>
      </xdr:sp>
      <xdr:sp macro="" textlink="">
        <xdr:nvSpPr>
          <xdr:cNvPr id="88" name="TextBox 87"/>
          <xdr:cNvSpPr txBox="1"/>
        </xdr:nvSpPr>
        <xdr:spPr>
          <a:xfrm>
            <a:off x="1348163" y="118910706"/>
            <a:ext cx="621457" cy="2583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100"/>
              <a:t>L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676525"/>
          <a:ext cx="129984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H6ms61L33NZXyWr5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588"/>
  <sheetViews>
    <sheetView tabSelected="1" showWhiteSpace="0" view="pageBreakPreview" topLeftCell="A7" zoomScaleNormal="100" zoomScaleSheetLayoutView="100" zoomScalePageLayoutView="85" workbookViewId="0">
      <selection activeCell="G14" sqref="G14:H14"/>
    </sheetView>
  </sheetViews>
  <sheetFormatPr defaultColWidth="9.1796875" defaultRowHeight="15.5"/>
  <cols>
    <col min="1" max="1" width="11.453125" style="19" customWidth="1"/>
    <col min="2" max="2" width="12" style="19" customWidth="1"/>
    <col min="3" max="3" width="12.7265625" style="19" customWidth="1"/>
    <col min="4" max="4" width="14.1796875" style="19" customWidth="1"/>
    <col min="5" max="7" width="11.7265625" style="19" customWidth="1"/>
    <col min="8" max="8" width="12.453125" style="19" customWidth="1"/>
    <col min="9" max="9" width="17.453125" style="20" customWidth="1"/>
    <col min="10" max="10" width="11.453125" style="20" customWidth="1"/>
    <col min="11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12" ht="46.5" customHeight="1">
      <c r="A1" s="78" t="s">
        <v>0</v>
      </c>
      <c r="B1" s="78"/>
      <c r="C1" s="78"/>
      <c r="D1" s="78"/>
      <c r="E1" s="78"/>
      <c r="F1" s="78"/>
      <c r="G1" s="78"/>
      <c r="H1" s="78"/>
    </row>
    <row r="2" spans="1:12" ht="16.5" customHeight="1">
      <c r="A2" s="79" t="s">
        <v>1</v>
      </c>
      <c r="B2" s="79"/>
      <c r="C2" s="79"/>
      <c r="D2" s="79"/>
      <c r="E2" s="79"/>
      <c r="F2" s="79"/>
      <c r="G2" s="79"/>
      <c r="H2" s="79"/>
      <c r="J2" s="24" t="s">
        <v>2</v>
      </c>
    </row>
    <row r="3" spans="1:12">
      <c r="A3" s="73" t="s">
        <v>3</v>
      </c>
      <c r="B3" s="73"/>
      <c r="C3" s="73"/>
      <c r="D3" s="73"/>
      <c r="E3" s="80" t="str">
        <f ca="1">TEXT(TODAY(),"DD/MM/YYYY")</f>
        <v>10/07/2025</v>
      </c>
      <c r="F3" s="80"/>
      <c r="G3" s="80"/>
      <c r="H3" s="80"/>
    </row>
    <row r="4" spans="1:12" ht="15" customHeight="1">
      <c r="A4" s="73" t="s">
        <v>4</v>
      </c>
      <c r="B4" s="73"/>
      <c r="C4" s="73"/>
      <c r="D4" s="73"/>
      <c r="E4" s="81" t="s">
        <v>5</v>
      </c>
      <c r="F4" s="81"/>
      <c r="G4" s="81"/>
      <c r="H4" s="81"/>
    </row>
    <row r="5" spans="1:12">
      <c r="A5" s="73" t="s">
        <v>6</v>
      </c>
      <c r="B5" s="73"/>
      <c r="C5" s="73"/>
      <c r="D5" s="73"/>
      <c r="E5" s="82">
        <v>45846</v>
      </c>
      <c r="F5" s="82"/>
      <c r="G5" s="82"/>
      <c r="H5" s="82"/>
    </row>
    <row r="6" spans="1:12" ht="16.5" customHeight="1">
      <c r="A6" s="73" t="s">
        <v>7</v>
      </c>
      <c r="B6" s="73"/>
      <c r="C6" s="73"/>
      <c r="D6" s="73"/>
      <c r="E6" s="74" t="s">
        <v>8</v>
      </c>
      <c r="F6" s="74"/>
      <c r="G6" s="74"/>
      <c r="H6" s="74"/>
    </row>
    <row r="7" spans="1:12" ht="15" customHeight="1">
      <c r="A7" s="73" t="s">
        <v>9</v>
      </c>
      <c r="B7" s="73"/>
      <c r="C7" s="73"/>
      <c r="D7" s="73"/>
      <c r="E7" s="74" t="str">
        <f>E6</f>
        <v>M/s. Macrotech Developers Limited</v>
      </c>
      <c r="F7" s="74"/>
      <c r="G7" s="74"/>
      <c r="H7" s="74"/>
    </row>
    <row r="8" spans="1:12">
      <c r="A8" s="73" t="s">
        <v>10</v>
      </c>
      <c r="B8" s="73"/>
      <c r="C8" s="73"/>
      <c r="D8" s="73"/>
      <c r="E8" s="75" t="s">
        <v>11</v>
      </c>
      <c r="F8" s="75"/>
      <c r="G8" s="75"/>
      <c r="H8" s="75"/>
      <c r="J8" s="20" t="s">
        <v>11</v>
      </c>
      <c r="L8" s="20" t="s">
        <v>12</v>
      </c>
    </row>
    <row r="9" spans="1:12">
      <c r="A9" s="73" t="s">
        <v>13</v>
      </c>
      <c r="B9" s="73"/>
      <c r="C9" s="73"/>
      <c r="D9" s="73"/>
      <c r="E9" s="73">
        <v>9820248856</v>
      </c>
      <c r="F9" s="73"/>
      <c r="G9" s="73"/>
      <c r="H9" s="73"/>
    </row>
    <row r="10" spans="1:12" ht="31.5" customHeight="1">
      <c r="A10" s="86" t="s">
        <v>14</v>
      </c>
      <c r="B10" s="87"/>
      <c r="C10" s="87"/>
      <c r="D10" s="88"/>
      <c r="E10" s="244" t="s">
        <v>260</v>
      </c>
      <c r="F10" s="61" t="s">
        <v>261</v>
      </c>
      <c r="G10" s="240" t="s">
        <v>262</v>
      </c>
      <c r="H10" s="239"/>
    </row>
    <row r="11" spans="1:12" ht="31">
      <c r="A11" s="89"/>
      <c r="B11" s="90"/>
      <c r="C11" s="90"/>
      <c r="D11" s="91"/>
      <c r="E11" s="245"/>
      <c r="F11" s="61" t="s">
        <v>265</v>
      </c>
      <c r="G11" s="240" t="s">
        <v>263</v>
      </c>
      <c r="H11" s="239"/>
    </row>
    <row r="12" spans="1:12" ht="31">
      <c r="A12" s="241"/>
      <c r="B12" s="242"/>
      <c r="C12" s="242"/>
      <c r="D12" s="243"/>
      <c r="E12" s="246"/>
      <c r="F12" s="61" t="s">
        <v>266</v>
      </c>
      <c r="G12" s="240" t="s">
        <v>264</v>
      </c>
      <c r="H12" s="239"/>
    </row>
    <row r="13" spans="1:12" ht="18" customHeight="1">
      <c r="A13" s="76" t="s">
        <v>15</v>
      </c>
      <c r="B13" s="76"/>
      <c r="C13" s="76"/>
      <c r="D13" s="76"/>
      <c r="E13" s="77" t="s">
        <v>16</v>
      </c>
      <c r="F13" s="77"/>
      <c r="G13" s="77"/>
      <c r="H13" s="77"/>
    </row>
    <row r="14" spans="1:12" ht="31.5" customHeight="1">
      <c r="A14" s="86" t="s">
        <v>251</v>
      </c>
      <c r="B14" s="87"/>
      <c r="C14" s="87"/>
      <c r="D14" s="88"/>
      <c r="E14" s="92" t="s">
        <v>259</v>
      </c>
      <c r="F14" s="93"/>
      <c r="G14" s="238" t="s">
        <v>258</v>
      </c>
      <c r="H14" s="239"/>
    </row>
    <row r="15" spans="1:12">
      <c r="A15" s="89"/>
      <c r="B15" s="90"/>
      <c r="C15" s="90"/>
      <c r="D15" s="91"/>
      <c r="E15" s="92" t="s">
        <v>252</v>
      </c>
      <c r="F15" s="93"/>
      <c r="G15" s="94" t="s">
        <v>253</v>
      </c>
      <c r="H15" s="95"/>
    </row>
    <row r="16" spans="1:12" ht="15.75" customHeight="1">
      <c r="A16" s="89"/>
      <c r="B16" s="90"/>
      <c r="C16" s="90"/>
      <c r="D16" s="91"/>
      <c r="E16" s="92" t="s">
        <v>254</v>
      </c>
      <c r="F16" s="93"/>
      <c r="G16" s="94" t="s">
        <v>255</v>
      </c>
      <c r="H16" s="95"/>
    </row>
    <row r="17" spans="1:8">
      <c r="A17" s="89"/>
      <c r="B17" s="90"/>
      <c r="C17" s="90"/>
      <c r="D17" s="91"/>
      <c r="E17" s="92" t="s">
        <v>256</v>
      </c>
      <c r="F17" s="93"/>
      <c r="G17" s="94" t="s">
        <v>257</v>
      </c>
      <c r="H17" s="95"/>
    </row>
    <row r="18" spans="1:8" ht="37.5" customHeight="1">
      <c r="A18" s="77" t="s">
        <v>17</v>
      </c>
      <c r="B18" s="77"/>
      <c r="C18" s="77" t="str">
        <f>CONCATENATE((IF(OR(E8="",E8="NA"),"",E8)),", ",(IF(OR(A19="",A19="NA"),"",A19)),".",(IF(OR(C19="",C19="NA"),"",C19)),", near ",(IF(OR(C23="",C23="NA"),"",C23)),", ",(IF(OR(C20="",C20="NA"),"",C20)),", ",(IF(OR(G20="",G20="NA"),"",G20)),", ",(IF(OR(C21="",C21="NA"),"",C21)),", ",(IF(OR(C22="",C22="NA"),"",C22)),", ",(IF(OR(G21="",G21="NA"),"",G21))," - ",(IF(OR(G22="",G22="NA"),"",G22)),".")</f>
        <v>Casa Belvedere, Survey No.19/2A, 19/2B, 19/3 &amp; Others, near Runwal My City, Kalyan - Shilphata road, Mangaon, Dombivli East, Kalyan, Thane - 421203.</v>
      </c>
      <c r="D18" s="77"/>
      <c r="E18" s="77"/>
      <c r="F18" s="77"/>
      <c r="G18" s="77"/>
      <c r="H18" s="77"/>
    </row>
    <row r="19" spans="1:8" ht="15.75" customHeight="1">
      <c r="A19" s="83" t="s">
        <v>18</v>
      </c>
      <c r="B19" s="84"/>
      <c r="C19" s="83" t="s">
        <v>19</v>
      </c>
      <c r="D19" s="85"/>
      <c r="E19" s="85"/>
      <c r="F19" s="85"/>
      <c r="G19" s="85"/>
      <c r="H19" s="84"/>
    </row>
    <row r="20" spans="1:8" ht="15.75" customHeight="1">
      <c r="A20" s="77" t="s">
        <v>20</v>
      </c>
      <c r="B20" s="77"/>
      <c r="C20" s="76" t="s">
        <v>21</v>
      </c>
      <c r="D20" s="76"/>
      <c r="E20" s="74" t="s">
        <v>22</v>
      </c>
      <c r="F20" s="74"/>
      <c r="G20" s="77" t="s">
        <v>23</v>
      </c>
      <c r="H20" s="77"/>
    </row>
    <row r="21" spans="1:8">
      <c r="A21" s="73" t="s">
        <v>24</v>
      </c>
      <c r="B21" s="73"/>
      <c r="C21" s="77" t="s">
        <v>25</v>
      </c>
      <c r="D21" s="77"/>
      <c r="E21" s="74" t="s">
        <v>26</v>
      </c>
      <c r="F21" s="74"/>
      <c r="G21" s="96" t="s">
        <v>27</v>
      </c>
      <c r="H21" s="96"/>
    </row>
    <row r="22" spans="1:8">
      <c r="A22" s="73" t="s">
        <v>28</v>
      </c>
      <c r="B22" s="73"/>
      <c r="C22" s="77" t="s">
        <v>29</v>
      </c>
      <c r="D22" s="77"/>
      <c r="E22" s="74" t="s">
        <v>30</v>
      </c>
      <c r="F22" s="74"/>
      <c r="G22" s="77">
        <v>421203</v>
      </c>
      <c r="H22" s="77"/>
    </row>
    <row r="23" spans="1:8" ht="32.25" customHeight="1">
      <c r="A23" s="73" t="s">
        <v>31</v>
      </c>
      <c r="B23" s="73"/>
      <c r="C23" s="97" t="s">
        <v>32</v>
      </c>
      <c r="D23" s="97"/>
      <c r="E23" s="74" t="s">
        <v>33</v>
      </c>
      <c r="F23" s="74"/>
      <c r="G23" s="77" t="s">
        <v>34</v>
      </c>
      <c r="H23" s="77"/>
    </row>
    <row r="24" spans="1:8" ht="15" customHeight="1">
      <c r="A24" s="74" t="s">
        <v>35</v>
      </c>
      <c r="B24" s="74"/>
      <c r="C24" s="74"/>
      <c r="D24" s="74"/>
      <c r="E24" s="76" t="s">
        <v>36</v>
      </c>
      <c r="F24" s="76"/>
      <c r="G24" s="76"/>
      <c r="H24" s="76"/>
    </row>
    <row r="25" spans="1:8" ht="18.75" customHeight="1">
      <c r="A25" s="74"/>
      <c r="B25" s="74"/>
      <c r="C25" s="74"/>
      <c r="D25" s="74"/>
      <c r="E25" s="76"/>
      <c r="F25" s="76"/>
      <c r="G25" s="76"/>
      <c r="H25" s="76"/>
    </row>
    <row r="26" spans="1:8" ht="15" customHeight="1">
      <c r="A26" s="74" t="s">
        <v>37</v>
      </c>
      <c r="B26" s="74"/>
      <c r="C26" s="74"/>
      <c r="D26" s="74"/>
      <c r="E26" s="77" t="s">
        <v>38</v>
      </c>
      <c r="F26" s="77"/>
      <c r="G26" s="77"/>
      <c r="H26" s="77"/>
    </row>
    <row r="27" spans="1:8" ht="15" customHeight="1">
      <c r="A27" s="73" t="s">
        <v>39</v>
      </c>
      <c r="B27" s="73"/>
      <c r="C27" s="73"/>
      <c r="D27" s="73"/>
      <c r="E27" s="77" t="str">
        <f>IF(AND(G21="Mumbai"),"Upper Class","Middle Class")</f>
        <v>Middle Class</v>
      </c>
      <c r="F27" s="77"/>
      <c r="G27" s="77"/>
      <c r="H27" s="77"/>
    </row>
    <row r="28" spans="1:8">
      <c r="A28" s="73" t="s">
        <v>40</v>
      </c>
      <c r="B28" s="73"/>
      <c r="C28" s="73"/>
      <c r="D28" s="73"/>
      <c r="E28" s="77" t="s">
        <v>41</v>
      </c>
      <c r="F28" s="77"/>
      <c r="G28" s="77"/>
      <c r="H28" s="77"/>
    </row>
    <row r="29" spans="1:8" ht="15.75" customHeight="1">
      <c r="A29" s="73" t="s">
        <v>42</v>
      </c>
      <c r="B29" s="73"/>
      <c r="C29" s="73"/>
      <c r="D29" s="73"/>
      <c r="E29" s="77" t="str">
        <f>IF(AND(G21="Mumbai"),"Developed","Developing")</f>
        <v>Developing</v>
      </c>
      <c r="F29" s="77"/>
      <c r="G29" s="77"/>
      <c r="H29" s="77"/>
    </row>
    <row r="30" spans="1:8">
      <c r="A30" s="73" t="s">
        <v>43</v>
      </c>
      <c r="B30" s="73"/>
      <c r="C30" s="73"/>
      <c r="D30" s="73"/>
      <c r="E30" s="77" t="s">
        <v>44</v>
      </c>
      <c r="F30" s="77"/>
      <c r="G30" s="77"/>
      <c r="H30" s="77"/>
    </row>
    <row r="31" spans="1:8">
      <c r="A31" s="73" t="s">
        <v>45</v>
      </c>
      <c r="B31" s="73"/>
      <c r="C31" s="73"/>
      <c r="D31" s="73"/>
      <c r="E31" s="77" t="s">
        <v>46</v>
      </c>
      <c r="F31" s="77"/>
      <c r="G31" s="77"/>
      <c r="H31" s="77"/>
    </row>
    <row r="32" spans="1:8" ht="15" customHeight="1">
      <c r="A32" s="74" t="s">
        <v>47</v>
      </c>
      <c r="B32" s="74"/>
      <c r="C32" s="74"/>
      <c r="D32" s="74"/>
      <c r="E32" s="81" t="s">
        <v>48</v>
      </c>
      <c r="F32" s="81"/>
      <c r="G32" s="81"/>
      <c r="H32" s="81"/>
    </row>
    <row r="33" spans="1:9">
      <c r="A33" s="74" t="s">
        <v>49</v>
      </c>
      <c r="B33" s="74"/>
      <c r="C33" s="74"/>
      <c r="D33" s="74"/>
      <c r="E33" s="74" t="s">
        <v>50</v>
      </c>
      <c r="F33" s="74"/>
      <c r="G33" s="74"/>
      <c r="H33" s="74"/>
    </row>
    <row r="34" spans="1:9" s="13" customFormat="1">
      <c r="A34" s="98" t="s">
        <v>51</v>
      </c>
      <c r="B34" s="98"/>
      <c r="C34" s="99" t="s">
        <v>268</v>
      </c>
      <c r="D34" s="99"/>
      <c r="E34" s="99"/>
      <c r="F34" s="99" t="s">
        <v>52</v>
      </c>
      <c r="G34" s="99"/>
      <c r="H34" s="99"/>
    </row>
    <row r="35" spans="1:9" s="13" customFormat="1">
      <c r="A35" s="100" t="s">
        <v>53</v>
      </c>
      <c r="B35" s="100" t="s">
        <v>54</v>
      </c>
      <c r="C35" s="101" t="s">
        <v>272</v>
      </c>
      <c r="D35" s="101"/>
      <c r="E35" s="101"/>
      <c r="F35" s="101" t="s">
        <v>56</v>
      </c>
      <c r="G35" s="101"/>
      <c r="H35" s="101"/>
    </row>
    <row r="36" spans="1:9">
      <c r="A36" s="100" t="s">
        <v>55</v>
      </c>
      <c r="B36" s="100" t="s">
        <v>54</v>
      </c>
      <c r="C36" s="101" t="s">
        <v>271</v>
      </c>
      <c r="D36" s="101"/>
      <c r="E36" s="101"/>
      <c r="F36" s="101" t="s">
        <v>56</v>
      </c>
      <c r="G36" s="101"/>
      <c r="H36" s="101"/>
    </row>
    <row r="37" spans="1:9" s="13" customFormat="1">
      <c r="A37" s="100" t="s">
        <v>57</v>
      </c>
      <c r="B37" s="100" t="s">
        <v>54</v>
      </c>
      <c r="C37" s="101" t="s">
        <v>269</v>
      </c>
      <c r="D37" s="101"/>
      <c r="E37" s="101"/>
      <c r="F37" s="101" t="s">
        <v>267</v>
      </c>
      <c r="G37" s="101"/>
      <c r="H37" s="101"/>
    </row>
    <row r="38" spans="1:9">
      <c r="A38" s="100" t="s">
        <v>58</v>
      </c>
      <c r="B38" s="100" t="s">
        <v>54</v>
      </c>
      <c r="C38" s="101" t="s">
        <v>270</v>
      </c>
      <c r="D38" s="101"/>
      <c r="E38" s="101"/>
      <c r="F38" s="101" t="s">
        <v>59</v>
      </c>
      <c r="G38" s="101"/>
      <c r="H38" s="101"/>
    </row>
    <row r="39" spans="1:9">
      <c r="A39" s="73" t="s">
        <v>60</v>
      </c>
      <c r="B39" s="73"/>
      <c r="C39" s="73"/>
      <c r="D39" s="73"/>
      <c r="E39" s="73"/>
      <c r="F39" s="73"/>
      <c r="G39" s="73"/>
      <c r="H39" s="73"/>
    </row>
    <row r="40" spans="1:9" ht="15.75" customHeight="1">
      <c r="A40" s="73" t="s">
        <v>61</v>
      </c>
      <c r="B40" s="73"/>
      <c r="C40" s="102" t="s">
        <v>62</v>
      </c>
      <c r="D40" s="103"/>
      <c r="E40" s="103"/>
      <c r="F40" s="103"/>
      <c r="G40" s="103"/>
      <c r="H40" s="104"/>
    </row>
    <row r="41" spans="1:9">
      <c r="A41" s="73" t="s">
        <v>63</v>
      </c>
      <c r="B41" s="73"/>
      <c r="C41" s="105" t="s">
        <v>64</v>
      </c>
      <c r="D41" s="106"/>
      <c r="E41" s="106"/>
      <c r="F41" s="106"/>
      <c r="G41" s="106"/>
      <c r="H41" s="107"/>
    </row>
    <row r="42" spans="1:9">
      <c r="A42" s="75" t="s">
        <v>65</v>
      </c>
      <c r="B42" s="75"/>
      <c r="C42" s="75"/>
      <c r="D42" s="75"/>
      <c r="E42" s="75"/>
      <c r="F42" s="75"/>
      <c r="G42" s="75"/>
      <c r="H42" s="75"/>
    </row>
    <row r="43" spans="1:9">
      <c r="A43" s="73" t="s">
        <v>66</v>
      </c>
      <c r="B43" s="73"/>
      <c r="C43" s="73"/>
      <c r="D43" s="73"/>
      <c r="E43" s="108">
        <v>134781.95000000001</v>
      </c>
      <c r="F43" s="108"/>
      <c r="G43" s="108"/>
      <c r="H43" s="108"/>
    </row>
    <row r="44" spans="1:9">
      <c r="A44" s="76" t="s">
        <v>67</v>
      </c>
      <c r="B44" s="76"/>
      <c r="C44" s="76"/>
      <c r="D44" s="76"/>
      <c r="E44" s="109">
        <v>1.8</v>
      </c>
      <c r="F44" s="109"/>
      <c r="G44" s="109"/>
      <c r="H44" s="109"/>
    </row>
    <row r="45" spans="1:9">
      <c r="A45" s="76" t="s">
        <v>68</v>
      </c>
      <c r="B45" s="76"/>
      <c r="C45" s="76"/>
      <c r="D45" s="76"/>
      <c r="E45" s="109">
        <f>E47/E43-E44</f>
        <v>2.5880025478189035</v>
      </c>
      <c r="F45" s="109"/>
      <c r="G45" s="109"/>
      <c r="H45" s="109"/>
    </row>
    <row r="46" spans="1:9">
      <c r="A46" s="76" t="s">
        <v>69</v>
      </c>
      <c r="B46" s="76"/>
      <c r="C46" s="76"/>
      <c r="D46" s="76"/>
      <c r="E46" s="109">
        <f>E44+E45</f>
        <v>4.3880025478189033</v>
      </c>
      <c r="F46" s="109"/>
      <c r="G46" s="109"/>
      <c r="H46" s="109"/>
    </row>
    <row r="47" spans="1:9">
      <c r="A47" s="76" t="s">
        <v>70</v>
      </c>
      <c r="B47" s="76"/>
      <c r="C47" s="76"/>
      <c r="D47" s="76"/>
      <c r="E47" s="110">
        <v>591423.54</v>
      </c>
      <c r="F47" s="110"/>
      <c r="G47" s="110"/>
      <c r="H47" s="110"/>
      <c r="I47" s="20">
        <v>463368.37</v>
      </c>
    </row>
    <row r="48" spans="1:9">
      <c r="A48" s="76" t="s">
        <v>71</v>
      </c>
      <c r="B48" s="76"/>
      <c r="C48" s="76"/>
      <c r="D48" s="76"/>
      <c r="E48" s="76" t="s">
        <v>72</v>
      </c>
      <c r="F48" s="76"/>
      <c r="G48" s="76"/>
      <c r="H48" s="76"/>
    </row>
    <row r="49" spans="1:9">
      <c r="A49" s="111" t="s">
        <v>73</v>
      </c>
      <c r="B49" s="111"/>
      <c r="C49" s="111"/>
      <c r="D49" s="111"/>
      <c r="E49" s="111"/>
      <c r="F49" s="111"/>
      <c r="G49" s="111"/>
      <c r="H49" s="111"/>
    </row>
    <row r="50" spans="1:9" ht="33.75" customHeight="1">
      <c r="A50" s="83" t="s">
        <v>74</v>
      </c>
      <c r="B50" s="84"/>
      <c r="C50" s="112" t="s">
        <v>75</v>
      </c>
      <c r="D50" s="113"/>
      <c r="E50" s="113"/>
      <c r="F50" s="113"/>
      <c r="G50" s="113"/>
      <c r="H50" s="114"/>
    </row>
    <row r="51" spans="1:9" ht="63" customHeight="1">
      <c r="A51" s="77" t="s">
        <v>76</v>
      </c>
      <c r="B51" s="77"/>
      <c r="C51" s="115" t="s">
        <v>77</v>
      </c>
      <c r="D51" s="115"/>
      <c r="E51" s="115"/>
      <c r="F51" s="60" t="s">
        <v>78</v>
      </c>
      <c r="G51" s="116">
        <v>45366</v>
      </c>
      <c r="H51" s="117"/>
    </row>
    <row r="52" spans="1:9" ht="62.25" customHeight="1">
      <c r="A52" s="77" t="s">
        <v>278</v>
      </c>
      <c r="B52" s="76"/>
      <c r="C52" s="115" t="s">
        <v>277</v>
      </c>
      <c r="D52" s="115"/>
      <c r="E52" s="115"/>
      <c r="F52" s="22" t="s">
        <v>78</v>
      </c>
      <c r="G52" s="118">
        <v>45656</v>
      </c>
      <c r="H52" s="118"/>
    </row>
    <row r="53" spans="1:9" ht="63" customHeight="1">
      <c r="A53" s="77" t="s">
        <v>276</v>
      </c>
      <c r="B53" s="76"/>
      <c r="C53" s="115" t="s">
        <v>79</v>
      </c>
      <c r="D53" s="115"/>
      <c r="E53" s="115"/>
      <c r="F53" s="60" t="s">
        <v>78</v>
      </c>
      <c r="G53" s="118" t="s">
        <v>80</v>
      </c>
      <c r="H53" s="118"/>
    </row>
    <row r="54" spans="1:9" ht="49.5" customHeight="1">
      <c r="A54" s="77" t="s">
        <v>81</v>
      </c>
      <c r="B54" s="76"/>
      <c r="C54" s="115" t="s">
        <v>82</v>
      </c>
      <c r="D54" s="115"/>
      <c r="E54" s="115"/>
      <c r="F54" s="22" t="s">
        <v>78</v>
      </c>
      <c r="G54" s="118">
        <v>45069</v>
      </c>
      <c r="H54" s="118"/>
    </row>
    <row r="55" spans="1:9" ht="63" customHeight="1">
      <c r="A55" s="77" t="s">
        <v>275</v>
      </c>
      <c r="B55" s="77"/>
      <c r="C55" s="115" t="s">
        <v>77</v>
      </c>
      <c r="D55" s="115"/>
      <c r="E55" s="115"/>
      <c r="F55" s="22" t="s">
        <v>78</v>
      </c>
      <c r="G55" s="116">
        <v>45366</v>
      </c>
      <c r="H55" s="117"/>
    </row>
    <row r="56" spans="1:9" s="14" customFormat="1" ht="30" hidden="1" customHeight="1">
      <c r="A56" s="77" t="s">
        <v>83</v>
      </c>
      <c r="B56" s="77"/>
      <c r="C56" s="115" t="s">
        <v>84</v>
      </c>
      <c r="D56" s="119"/>
      <c r="E56" s="119"/>
      <c r="F56" s="23" t="s">
        <v>78</v>
      </c>
      <c r="G56" s="118">
        <v>44910</v>
      </c>
      <c r="H56" s="118"/>
    </row>
    <row r="57" spans="1:9" s="14" customFormat="1" ht="36.75" hidden="1" customHeight="1">
      <c r="A57" s="77"/>
      <c r="B57" s="77"/>
      <c r="C57" s="120" t="s">
        <v>85</v>
      </c>
      <c r="D57" s="121"/>
      <c r="E57" s="121"/>
      <c r="F57" s="121"/>
      <c r="G57" s="121"/>
      <c r="H57" s="122"/>
    </row>
    <row r="58" spans="1:9" s="14" customFormat="1" ht="37.5" hidden="1" customHeight="1">
      <c r="A58" s="77" t="s">
        <v>83</v>
      </c>
      <c r="B58" s="77"/>
      <c r="C58" s="115" t="s">
        <v>86</v>
      </c>
      <c r="D58" s="119"/>
      <c r="E58" s="119"/>
      <c r="F58" s="23" t="s">
        <v>78</v>
      </c>
      <c r="G58" s="118">
        <f>G54</f>
        <v>45069</v>
      </c>
      <c r="H58" s="118"/>
    </row>
    <row r="59" spans="1:9" s="14" customFormat="1" hidden="1">
      <c r="A59" s="77"/>
      <c r="B59" s="77"/>
      <c r="C59" s="120" t="s">
        <v>87</v>
      </c>
      <c r="D59" s="121"/>
      <c r="E59" s="121"/>
      <c r="F59" s="121"/>
      <c r="G59" s="121"/>
      <c r="H59" s="122"/>
    </row>
    <row r="60" spans="1:9" s="14" customFormat="1" ht="49.5" customHeight="1">
      <c r="A60" s="77" t="s">
        <v>83</v>
      </c>
      <c r="B60" s="77"/>
      <c r="C60" s="115" t="s">
        <v>88</v>
      </c>
      <c r="D60" s="119"/>
      <c r="E60" s="119"/>
      <c r="F60" s="23" t="s">
        <v>78</v>
      </c>
      <c r="G60" s="118">
        <v>45366</v>
      </c>
      <c r="H60" s="118"/>
    </row>
    <row r="61" spans="1:9" s="14" customFormat="1" ht="30" customHeight="1">
      <c r="A61" s="77"/>
      <c r="B61" s="77"/>
      <c r="C61" s="115" t="s">
        <v>89</v>
      </c>
      <c r="D61" s="115"/>
      <c r="E61" s="115"/>
      <c r="F61" s="115"/>
      <c r="G61" s="115"/>
      <c r="H61" s="115"/>
      <c r="I61" s="14">
        <f>38344.35/3</f>
        <v>12781.449999999999</v>
      </c>
    </row>
    <row r="62" spans="1:9">
      <c r="A62" s="123" t="s">
        <v>90</v>
      </c>
      <c r="B62" s="123"/>
      <c r="C62" s="124" t="s">
        <v>91</v>
      </c>
      <c r="D62" s="125"/>
      <c r="E62" s="125" t="s">
        <v>92</v>
      </c>
      <c r="F62" s="68" t="s">
        <v>78</v>
      </c>
      <c r="G62" s="126" t="s">
        <v>54</v>
      </c>
      <c r="H62" s="126"/>
      <c r="I62" s="20">
        <f>9931.82+13577.27*2</f>
        <v>37086.36</v>
      </c>
    </row>
    <row r="63" spans="1:9">
      <c r="A63" s="127" t="s">
        <v>93</v>
      </c>
      <c r="B63" s="127"/>
      <c r="C63" s="127"/>
      <c r="D63" s="127"/>
      <c r="E63" s="127"/>
      <c r="F63" s="127"/>
      <c r="G63" s="127"/>
      <c r="H63" s="127"/>
    </row>
    <row r="64" spans="1:9">
      <c r="A64" s="77" t="s">
        <v>94</v>
      </c>
      <c r="B64" s="77"/>
      <c r="C64" s="77"/>
      <c r="D64" s="128">
        <f>9962.79+9958.42+9958.42+9947.17+13662.67+13662.67+13034.24+13022.44</f>
        <v>93208.82</v>
      </c>
      <c r="E64" s="76"/>
      <c r="F64" s="76"/>
      <c r="G64" s="76"/>
      <c r="H64" s="76"/>
    </row>
    <row r="65" spans="1:14">
      <c r="A65" s="77" t="s">
        <v>95</v>
      </c>
      <c r="B65" s="76"/>
      <c r="C65" s="76"/>
      <c r="D65" s="129" t="s">
        <v>96</v>
      </c>
      <c r="E65" s="129"/>
      <c r="F65" s="129"/>
      <c r="G65" s="129"/>
      <c r="H65" s="129"/>
      <c r="I65" s="25"/>
    </row>
    <row r="66" spans="1:14" ht="33" customHeight="1">
      <c r="A66" s="77" t="s">
        <v>97</v>
      </c>
      <c r="B66" s="77"/>
      <c r="C66" s="77"/>
      <c r="D66" s="77" t="s">
        <v>98</v>
      </c>
      <c r="E66" s="77"/>
      <c r="F66" s="77"/>
      <c r="G66" s="77"/>
      <c r="H66" s="77"/>
    </row>
    <row r="67" spans="1:14" ht="33.75" customHeight="1">
      <c r="A67" s="222" t="s">
        <v>99</v>
      </c>
      <c r="B67" s="223"/>
      <c r="C67" s="224"/>
      <c r="D67" s="130" t="s">
        <v>100</v>
      </c>
      <c r="E67" s="130"/>
      <c r="F67" s="130"/>
      <c r="G67" s="130"/>
      <c r="H67" s="130"/>
    </row>
    <row r="68" spans="1:14" ht="33.75" customHeight="1">
      <c r="A68" s="225"/>
      <c r="B68" s="226"/>
      <c r="C68" s="227"/>
      <c r="D68" s="131" t="s">
        <v>101</v>
      </c>
      <c r="E68" s="131"/>
      <c r="F68" s="131"/>
      <c r="G68" s="131"/>
      <c r="H68" s="131"/>
    </row>
    <row r="69" spans="1:14" ht="36" customHeight="1">
      <c r="A69" s="225"/>
      <c r="B69" s="226"/>
      <c r="C69" s="227"/>
      <c r="D69" s="130" t="s">
        <v>102</v>
      </c>
      <c r="E69" s="130"/>
      <c r="F69" s="130"/>
      <c r="G69" s="130"/>
      <c r="H69" s="130"/>
    </row>
    <row r="70" spans="1:14" ht="36" customHeight="1">
      <c r="A70" s="225"/>
      <c r="B70" s="226"/>
      <c r="C70" s="227"/>
      <c r="D70" s="130" t="s">
        <v>103</v>
      </c>
      <c r="E70" s="130"/>
      <c r="F70" s="130"/>
      <c r="G70" s="130"/>
      <c r="H70" s="130"/>
    </row>
    <row r="71" spans="1:14" ht="36" customHeight="1">
      <c r="A71" s="228"/>
      <c r="B71" s="229"/>
      <c r="C71" s="230"/>
      <c r="D71" s="130" t="s">
        <v>104</v>
      </c>
      <c r="E71" s="130"/>
      <c r="F71" s="130"/>
      <c r="G71" s="130"/>
      <c r="H71" s="130"/>
    </row>
    <row r="72" spans="1:14" ht="68.25" customHeight="1">
      <c r="A72" s="76" t="s">
        <v>105</v>
      </c>
      <c r="B72" s="76"/>
      <c r="C72" s="76"/>
      <c r="D72" s="132" t="s">
        <v>274</v>
      </c>
      <c r="E72" s="132"/>
      <c r="F72" s="132"/>
      <c r="G72" s="132"/>
      <c r="H72" s="132"/>
      <c r="I72" s="34">
        <v>46538</v>
      </c>
      <c r="J72" s="34"/>
      <c r="K72" s="25"/>
      <c r="N72" s="25"/>
    </row>
    <row r="73" spans="1:14" ht="15.75" customHeight="1">
      <c r="A73" s="76" t="s">
        <v>106</v>
      </c>
      <c r="B73" s="76"/>
      <c r="C73" s="76"/>
      <c r="D73" s="133" t="str">
        <f>(IF(G62="NA","60 Years After Completion",IF(G62&lt;&gt;"NA",""&amp;60-ROUNDDOWN((E3-G62)/360,0)&amp;" Years"," ")))</f>
        <v>60 Years After Completion</v>
      </c>
      <c r="E73" s="133"/>
      <c r="F73" s="133"/>
      <c r="G73" s="133"/>
      <c r="H73" s="133"/>
      <c r="N73" s="25"/>
    </row>
    <row r="74" spans="1:14" ht="15.75" customHeight="1">
      <c r="A74" s="73" t="s">
        <v>107</v>
      </c>
      <c r="B74" s="73"/>
      <c r="C74" s="73"/>
      <c r="D74" s="74" t="s">
        <v>44</v>
      </c>
      <c r="E74" s="74"/>
      <c r="F74" s="74"/>
      <c r="G74" s="74"/>
      <c r="H74" s="74"/>
      <c r="J74" s="35"/>
      <c r="K74" s="35"/>
    </row>
    <row r="75" spans="1:14" ht="35.25" customHeight="1">
      <c r="A75" s="73" t="s">
        <v>108</v>
      </c>
      <c r="B75" s="73"/>
      <c r="C75" s="73"/>
      <c r="D75" s="77" t="s">
        <v>109</v>
      </c>
      <c r="E75" s="74"/>
      <c r="F75" s="74"/>
      <c r="G75" s="74"/>
      <c r="H75" s="74"/>
    </row>
    <row r="76" spans="1:14">
      <c r="A76" s="74" t="s">
        <v>110</v>
      </c>
      <c r="B76" s="74"/>
      <c r="C76" s="74"/>
      <c r="D76" s="74" t="s">
        <v>54</v>
      </c>
      <c r="E76" s="74"/>
      <c r="F76" s="74"/>
      <c r="G76" s="74"/>
      <c r="H76" s="74"/>
      <c r="I76" s="36"/>
      <c r="J76" s="36"/>
      <c r="K76" s="36"/>
      <c r="L76" s="36"/>
      <c r="M76" s="36"/>
      <c r="N76" s="36"/>
    </row>
    <row r="77" spans="1:14" ht="15.75" customHeight="1">
      <c r="A77" s="134" t="s">
        <v>111</v>
      </c>
      <c r="B77" s="134"/>
      <c r="C77" s="134"/>
      <c r="D77" s="130" t="str">
        <f ca="1">(IF(G83&gt;95%,"Nothing",IF(G83&gt;0%,"Cement, Aggregate, Steel, etc",IF(G83=0%,"Work not yet Started"))))</f>
        <v>Cement, Aggregate, Steel, etc</v>
      </c>
      <c r="E77" s="130"/>
      <c r="F77" s="130"/>
      <c r="G77" s="130"/>
      <c r="H77" s="130"/>
      <c r="J77" s="35"/>
    </row>
    <row r="78" spans="1:14" ht="33.75" customHeight="1">
      <c r="A78" s="135" t="s">
        <v>112</v>
      </c>
      <c r="B78" s="135"/>
      <c r="C78" s="135"/>
      <c r="D78" s="130" t="str">
        <f ca="1">(IF(D77="Nothing","Yes",IF(D77="Cement, Aggregate, Steel, etc","Under Construction",IF(D77="Work not yet Started","Work not yet Started"))))</f>
        <v>Under Construction</v>
      </c>
      <c r="E78" s="130"/>
      <c r="F78" s="130" t="str">
        <f ca="1">(IF(D77="Nothing","Yes",IF(D77="Cement, Aggregate, Steel, etc","Under Construction",IF(D77="Work not yet Started","Work not yet Started"))))</f>
        <v>Under Construction</v>
      </c>
      <c r="G78" s="130"/>
      <c r="H78" s="130"/>
    </row>
    <row r="79" spans="1:14" s="14" customFormat="1">
      <c r="A79" s="136" t="s">
        <v>113</v>
      </c>
      <c r="B79" s="137"/>
      <c r="C79" s="137" t="str">
        <f>D67</f>
        <v>(Cluster 15.01)  Casa Belvedere (A &amp; L Wing) = Gr/St + 1st to 23rd Floor</v>
      </c>
      <c r="D79" s="137"/>
      <c r="E79" s="137"/>
      <c r="F79" s="137"/>
      <c r="G79" s="137"/>
      <c r="H79" s="138"/>
      <c r="I79" s="37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Plinth, RCC, Brick, Plaster, Flooring, Painting work Completed. Finishing work is in process.</v>
      </c>
      <c r="J79" s="38"/>
    </row>
    <row r="80" spans="1:14" s="14" customFormat="1">
      <c r="A80" s="26" t="s">
        <v>114</v>
      </c>
      <c r="B80" s="21">
        <v>0</v>
      </c>
      <c r="C80" s="21" t="s">
        <v>115</v>
      </c>
      <c r="D80" s="21">
        <v>1</v>
      </c>
      <c r="E80" s="21" t="s">
        <v>116</v>
      </c>
      <c r="F80" s="21">
        <v>0</v>
      </c>
      <c r="G80" s="21" t="s">
        <v>117</v>
      </c>
      <c r="H80" s="27">
        <f ca="1">--TRIM(RIGHT(SUBSTITUTE(LEFT(C79,_xlfn.AGGREGATE(16,6,FIND({0,1,2,3,4,5,6,7,8,9},C79,ROW(INDIRECT("1:"&amp;LEN(C79)))),1))," ",REPT(" ",LEN(C79))),LEN(C79)))</f>
        <v>23</v>
      </c>
      <c r="I80" s="39"/>
      <c r="J80" s="40"/>
    </row>
    <row r="81" spans="1:10" s="14" customFormat="1" ht="34" customHeight="1">
      <c r="A81" s="111" t="s">
        <v>118</v>
      </c>
      <c r="B81" s="111"/>
      <c r="C81" s="123" t="str">
        <f ca="1">(IF($G$62="NA",I79,"All work Completed. OC Received."))</f>
        <v>Plinth, RCC, Brick, Plaster, Flooring, Painting work Completed. Finishing work is in process.</v>
      </c>
      <c r="D81" s="123"/>
      <c r="E81" s="123"/>
      <c r="F81" s="123"/>
      <c r="G81" s="123"/>
      <c r="H81" s="123"/>
      <c r="I81" s="39" t="s">
        <v>119</v>
      </c>
      <c r="J81" s="40"/>
    </row>
    <row r="82" spans="1:10" s="14" customFormat="1" ht="15.75" customHeight="1">
      <c r="A82" s="139" t="s">
        <v>120</v>
      </c>
      <c r="B82" s="139"/>
      <c r="C82" s="69" t="s">
        <v>121</v>
      </c>
      <c r="D82" s="69" t="s">
        <v>122</v>
      </c>
      <c r="E82" s="139" t="s">
        <v>123</v>
      </c>
      <c r="F82" s="139"/>
      <c r="G82" s="139" t="s">
        <v>124</v>
      </c>
      <c r="H82" s="139"/>
      <c r="I82" s="41" t="s">
        <v>125</v>
      </c>
      <c r="J82" s="42">
        <f ca="1">H80*25%</f>
        <v>5.75</v>
      </c>
    </row>
    <row r="83" spans="1:10" s="14" customFormat="1">
      <c r="A83" s="139" t="s">
        <v>126</v>
      </c>
      <c r="B83" s="139"/>
      <c r="C83" s="29">
        <f ca="1">J84</f>
        <v>23</v>
      </c>
      <c r="D83" s="70">
        <f ca="1">((100/H80)*C83)/100</f>
        <v>1</v>
      </c>
      <c r="E83" s="140">
        <f ca="1">(((C84/H80*10)+(40/(D80+F80+H80)*C85)+(7.5/(H80)*C86)+(7.5/(H80)*C87)+(10/H80*C88)+(10/H80*C89)+(5/H80*C90)+(5/H80*C91)+(5/H80*C92))/100)</f>
        <v>0.91739130434782612</v>
      </c>
      <c r="F83" s="140"/>
      <c r="G83" s="140">
        <f ca="1">((((C83/H80)*20)+((C84/H80)*25)+(30/(H80+F80+D80)*C85)+(5/H80*C86)+(5/H80*C87)+(5/H80*C88)+(5/H80*C89)+(0/H80*C90)+(0/H80*C91)+(5/H80*C92))/100)</f>
        <v>0.95</v>
      </c>
      <c r="H83" s="140"/>
      <c r="I83" s="41" t="s">
        <v>127</v>
      </c>
      <c r="J83" s="43">
        <f ca="1">H80*50%</f>
        <v>11.5</v>
      </c>
    </row>
    <row r="84" spans="1:10" s="14" customFormat="1">
      <c r="A84" s="139" t="s">
        <v>128</v>
      </c>
      <c r="B84" s="139"/>
      <c r="C84" s="31">
        <f ca="1">J92</f>
        <v>23</v>
      </c>
      <c r="D84" s="70">
        <f ca="1">((100/H80)*C84)/100</f>
        <v>1</v>
      </c>
      <c r="E84" s="140"/>
      <c r="F84" s="140"/>
      <c r="G84" s="140"/>
      <c r="H84" s="140"/>
      <c r="I84" s="41" t="s">
        <v>129</v>
      </c>
      <c r="J84" s="43">
        <f ca="1">H80</f>
        <v>23</v>
      </c>
    </row>
    <row r="85" spans="1:10" s="14" customFormat="1" ht="15.75" customHeight="1">
      <c r="A85" s="101" t="s">
        <v>130</v>
      </c>
      <c r="B85" s="101"/>
      <c r="C85" s="31">
        <v>24</v>
      </c>
      <c r="D85" s="70">
        <f ca="1">((100/(D80+F80+H80))*C85)/100</f>
        <v>1</v>
      </c>
      <c r="E85" s="140"/>
      <c r="F85" s="140"/>
      <c r="G85" s="140"/>
      <c r="H85" s="140"/>
      <c r="I85" s="41" t="s">
        <v>131</v>
      </c>
      <c r="J85" s="44">
        <f ca="1">(IF(B80&gt;1,(H80/(B80+2)),H80/4))</f>
        <v>5.75</v>
      </c>
    </row>
    <row r="86" spans="1:10" s="14" customFormat="1" ht="15.75" customHeight="1">
      <c r="A86" s="139" t="s">
        <v>132</v>
      </c>
      <c r="B86" s="139" t="s">
        <v>133</v>
      </c>
      <c r="C86" s="31">
        <v>23</v>
      </c>
      <c r="D86" s="70">
        <f ca="1">((100/H80)*C86)/100</f>
        <v>1</v>
      </c>
      <c r="E86" s="140"/>
      <c r="F86" s="140"/>
      <c r="G86" s="140"/>
      <c r="H86" s="140"/>
      <c r="I86" s="41" t="s">
        <v>134</v>
      </c>
      <c r="J86" s="44">
        <f ca="1">(IF(B80&gt;1,(H80/(B80+2)+J85),H80/4+J85))</f>
        <v>11.5</v>
      </c>
    </row>
    <row r="87" spans="1:10" s="14" customFormat="1" ht="15.75" customHeight="1">
      <c r="A87" s="139" t="s">
        <v>135</v>
      </c>
      <c r="B87" s="139" t="s">
        <v>133</v>
      </c>
      <c r="C87" s="31">
        <v>23</v>
      </c>
      <c r="D87" s="70">
        <f ca="1">((100/H80)*C87)/100</f>
        <v>1</v>
      </c>
      <c r="E87" s="140"/>
      <c r="F87" s="140"/>
      <c r="G87" s="140"/>
      <c r="H87" s="140"/>
      <c r="I87" s="41" t="s">
        <v>136</v>
      </c>
      <c r="J87" s="44">
        <f>(IF(B80&gt;1,(H80/(B80+2)+J86),0))</f>
        <v>0</v>
      </c>
    </row>
    <row r="88" spans="1:10" s="14" customFormat="1" ht="15" customHeight="1">
      <c r="A88" s="139" t="s">
        <v>137</v>
      </c>
      <c r="B88" s="139" t="s">
        <v>138</v>
      </c>
      <c r="C88" s="31">
        <v>23</v>
      </c>
      <c r="D88" s="70">
        <f ca="1">((100/(H80))*C88)/100</f>
        <v>1</v>
      </c>
      <c r="E88" s="140"/>
      <c r="F88" s="140"/>
      <c r="G88" s="140"/>
      <c r="H88" s="140"/>
      <c r="I88" s="41" t="s">
        <v>139</v>
      </c>
      <c r="J88" s="44">
        <f>(IF(B80&gt;2,(H80/(B80+2)+J87),0))</f>
        <v>0</v>
      </c>
    </row>
    <row r="89" spans="1:10" s="14" customFormat="1" ht="15.75" customHeight="1">
      <c r="A89" s="139" t="s">
        <v>140</v>
      </c>
      <c r="B89" s="139" t="s">
        <v>140</v>
      </c>
      <c r="C89" s="29">
        <v>23</v>
      </c>
      <c r="D89" s="70">
        <f ca="1">((100/H80)*C89)/100</f>
        <v>1</v>
      </c>
      <c r="E89" s="140"/>
      <c r="F89" s="140"/>
      <c r="G89" s="140"/>
      <c r="H89" s="140"/>
      <c r="I89" s="41" t="s">
        <v>141</v>
      </c>
      <c r="J89" s="45">
        <f>(IF(B80&gt;3,(H80/(B80+2)+J88),0))</f>
        <v>0</v>
      </c>
    </row>
    <row r="90" spans="1:10" s="14" customFormat="1" ht="15.75" customHeight="1">
      <c r="A90" s="139" t="s">
        <v>142</v>
      </c>
      <c r="B90" s="139"/>
      <c r="C90" s="29">
        <v>23</v>
      </c>
      <c r="D90" s="70">
        <f ca="1">((100/H80)*C90)/100</f>
        <v>1</v>
      </c>
      <c r="E90" s="140"/>
      <c r="F90" s="140"/>
      <c r="G90" s="140"/>
      <c r="H90" s="140"/>
      <c r="I90" s="41" t="s">
        <v>143</v>
      </c>
      <c r="J90" s="44">
        <f>(IF(B80&gt;4,(H80/(B80+2)+J89),0))</f>
        <v>0</v>
      </c>
    </row>
    <row r="91" spans="1:10" s="14" customFormat="1" ht="15.75" customHeight="1">
      <c r="A91" s="139" t="s">
        <v>144</v>
      </c>
      <c r="B91" s="139" t="s">
        <v>144</v>
      </c>
      <c r="C91" s="29">
        <v>8</v>
      </c>
      <c r="D91" s="70">
        <f ca="1">((100/(H80))*C91)/100</f>
        <v>0.34782608695652173</v>
      </c>
      <c r="E91" s="140"/>
      <c r="F91" s="140"/>
      <c r="G91" s="140"/>
      <c r="H91" s="140"/>
      <c r="I91" s="41" t="s">
        <v>145</v>
      </c>
      <c r="J91" s="44">
        <f ca="1">(IF(B80=1,(H80/(B80+3)+J86),IF(B80=0,(H80/4+J86),IF(B80&gt;1,0))))</f>
        <v>17.25</v>
      </c>
    </row>
    <row r="92" spans="1:10" s="14" customFormat="1">
      <c r="A92" s="139" t="s">
        <v>146</v>
      </c>
      <c r="B92" s="139"/>
      <c r="C92" s="29">
        <v>0</v>
      </c>
      <c r="D92" s="70">
        <f ca="1">((100/(H80))*C92)/100</f>
        <v>0</v>
      </c>
      <c r="E92" s="140"/>
      <c r="F92" s="140"/>
      <c r="G92" s="140"/>
      <c r="H92" s="140"/>
      <c r="I92" s="46" t="s">
        <v>147</v>
      </c>
      <c r="J92" s="47">
        <f ca="1">(IF(B80&gt;1.5,(H80/(B80+2)+J86+MAX(0,J87-J86)+MAX(0,J88-J87)+MAX(0,J89-J88)+MAX(0,J90-J89)+MAX(0,J91-J90)),IF(B80=1,(H80/(B80+3)+J91),IF(B80=0,H80/4+J91))))</f>
        <v>23</v>
      </c>
    </row>
    <row r="93" spans="1:10" s="14" customFormat="1" ht="17.25" customHeight="1">
      <c r="A93" s="123" t="s">
        <v>113</v>
      </c>
      <c r="B93" s="123"/>
      <c r="C93" s="123" t="s">
        <v>148</v>
      </c>
      <c r="D93" s="123"/>
      <c r="E93" s="123"/>
      <c r="F93" s="123"/>
      <c r="G93" s="123"/>
      <c r="H93" s="123"/>
      <c r="I93" s="37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upto 20 Slab Completed, Brickwork upto 19 Floor Completed, Internal Plaster upto 12.35 Floor Completed, External Plaster upto 12.35 Floor Completed.</v>
      </c>
      <c r="J93" s="38"/>
    </row>
    <row r="94" spans="1:10" s="14" customFormat="1">
      <c r="A94" s="62" t="s">
        <v>114</v>
      </c>
      <c r="B94" s="62">
        <v>0</v>
      </c>
      <c r="C94" s="62" t="s">
        <v>115</v>
      </c>
      <c r="D94" s="62">
        <v>1</v>
      </c>
      <c r="E94" s="62" t="s">
        <v>116</v>
      </c>
      <c r="F94" s="62">
        <v>0</v>
      </c>
      <c r="G94" s="62" t="s">
        <v>117</v>
      </c>
      <c r="H94" s="62">
        <f ca="1">--TRIM(RIGHT(SUBSTITUTE(LEFT(C93,_xlfn.AGGREGATE(16,6,FIND({0,1,2,3,4,5,6,7,8,9},C93,ROW(INDIRECT("1:"&amp;LEN(C93)))),1))," ",REPT(" ",LEN(C93))),LEN(C93)))</f>
        <v>23</v>
      </c>
      <c r="I94" s="39"/>
      <c r="J94" s="40"/>
    </row>
    <row r="95" spans="1:10" s="14" customFormat="1" ht="50.15" customHeight="1">
      <c r="A95" s="111" t="s">
        <v>118</v>
      </c>
      <c r="B95" s="111"/>
      <c r="C95" s="123" t="str">
        <f ca="1">(IF($G$62="NA",I93,"All work Completed. OC Received."))</f>
        <v>Excavation work Completed. Plinth work completed, RCC upto 20 Slab Completed, Brickwork upto 19 Floor Completed, Internal Plaster upto 12.35 Floor Completed, External Plaster upto 12.35 Floor Completed.</v>
      </c>
      <c r="D95" s="123"/>
      <c r="E95" s="123"/>
      <c r="F95" s="123"/>
      <c r="G95" s="123"/>
      <c r="H95" s="123"/>
      <c r="I95" s="39" t="s">
        <v>119</v>
      </c>
      <c r="J95" s="40"/>
    </row>
    <row r="96" spans="1:10" s="14" customFormat="1" ht="15.75" customHeight="1">
      <c r="A96" s="141" t="s">
        <v>120</v>
      </c>
      <c r="B96" s="139"/>
      <c r="C96" s="28" t="s">
        <v>121</v>
      </c>
      <c r="D96" s="28" t="s">
        <v>122</v>
      </c>
      <c r="E96" s="139" t="s">
        <v>123</v>
      </c>
      <c r="F96" s="139"/>
      <c r="G96" s="139" t="s">
        <v>124</v>
      </c>
      <c r="H96" s="142"/>
      <c r="I96" s="41" t="s">
        <v>125</v>
      </c>
      <c r="J96" s="42">
        <f ca="1">H94*25%</f>
        <v>5.75</v>
      </c>
    </row>
    <row r="97" spans="1:10" s="14" customFormat="1">
      <c r="A97" s="141" t="s">
        <v>126</v>
      </c>
      <c r="B97" s="139"/>
      <c r="C97" s="29">
        <f ca="1">J98</f>
        <v>23</v>
      </c>
      <c r="D97" s="30">
        <f ca="1">((100/H94)*C97)/100</f>
        <v>1</v>
      </c>
      <c r="E97" s="140">
        <f ca="1">(((C98/H94*10)+(40/(D94+F94+H94)*C99)+(7.5/(H94)*C100)+(7.5/(H94)*C101)+(10/H94*C102)+(10/H94*C103)+(5/H94*C104)+(5/H94*C105)+(5/H94*C106))/100)</f>
        <v>0.58925724637681165</v>
      </c>
      <c r="F97" s="140"/>
      <c r="G97" s="140">
        <f ca="1">((((C97/H94)*20)+((C98/H94)*25)+(30/(H94+F94+D94)*C99)+(5/H94*C100)+(5/H94*C101)+(5/H94*C102)+(5/H94*C103)+(0/H94*C104)+(0/H94*C105)+(5/H94*C106))/100)</f>
        <v>0.79500000000000004</v>
      </c>
      <c r="H97" s="154"/>
      <c r="I97" s="41" t="s">
        <v>127</v>
      </c>
      <c r="J97" s="43">
        <f ca="1">H94*50%</f>
        <v>11.5</v>
      </c>
    </row>
    <row r="98" spans="1:10" s="14" customFormat="1">
      <c r="A98" s="141" t="s">
        <v>128</v>
      </c>
      <c r="B98" s="139"/>
      <c r="C98" s="31">
        <v>23</v>
      </c>
      <c r="D98" s="30">
        <f ca="1">((100/H94)*C98)/100</f>
        <v>1</v>
      </c>
      <c r="E98" s="140"/>
      <c r="F98" s="140"/>
      <c r="G98" s="140"/>
      <c r="H98" s="154"/>
      <c r="I98" s="41" t="s">
        <v>129</v>
      </c>
      <c r="J98" s="43">
        <f ca="1">H94</f>
        <v>23</v>
      </c>
    </row>
    <row r="99" spans="1:10" s="14" customFormat="1" ht="15.75" customHeight="1">
      <c r="A99" s="143" t="s">
        <v>130</v>
      </c>
      <c r="B99" s="101"/>
      <c r="C99" s="31">
        <v>20</v>
      </c>
      <c r="D99" s="30">
        <f ca="1">((100/(D94+F94+H94))*C99)/100</f>
        <v>0.83333333333333348</v>
      </c>
      <c r="E99" s="140"/>
      <c r="F99" s="140"/>
      <c r="G99" s="140"/>
      <c r="H99" s="154"/>
      <c r="I99" s="41" t="s">
        <v>131</v>
      </c>
      <c r="J99" s="44">
        <f ca="1">(IF(B94&gt;1,(H94/(B94+2)),H94/4))</f>
        <v>5.75</v>
      </c>
    </row>
    <row r="100" spans="1:10" s="14" customFormat="1" ht="15.75" customHeight="1">
      <c r="A100" s="141" t="s">
        <v>132</v>
      </c>
      <c r="B100" s="139" t="s">
        <v>133</v>
      </c>
      <c r="C100" s="31">
        <f>C99-1</f>
        <v>19</v>
      </c>
      <c r="D100" s="30">
        <f ca="1">((100/H94)*C100)/100</f>
        <v>0.82608695652173902</v>
      </c>
      <c r="E100" s="140"/>
      <c r="F100" s="140"/>
      <c r="G100" s="140"/>
      <c r="H100" s="154"/>
      <c r="I100" s="41" t="s">
        <v>134</v>
      </c>
      <c r="J100" s="44">
        <f ca="1">(IF(B94&gt;1,(H94/(B94+2)+J99),H94/4+J99))</f>
        <v>11.5</v>
      </c>
    </row>
    <row r="101" spans="1:10" s="14" customFormat="1" ht="15.75" customHeight="1">
      <c r="A101" s="141" t="s">
        <v>135</v>
      </c>
      <c r="B101" s="139" t="s">
        <v>133</v>
      </c>
      <c r="C101" s="31">
        <f>C100*0.65</f>
        <v>12.35</v>
      </c>
      <c r="D101" s="30">
        <f ca="1">((100/H94)*C101)/100</f>
        <v>0.53695652173913044</v>
      </c>
      <c r="E101" s="140"/>
      <c r="F101" s="140"/>
      <c r="G101" s="140"/>
      <c r="H101" s="154"/>
      <c r="I101" s="41" t="s">
        <v>136</v>
      </c>
      <c r="J101" s="44">
        <f>(IF(B94&gt;1,(H94/(B94+2)+J100),0))</f>
        <v>0</v>
      </c>
    </row>
    <row r="102" spans="1:10" s="14" customFormat="1" ht="15" customHeight="1">
      <c r="A102" s="141" t="s">
        <v>137</v>
      </c>
      <c r="B102" s="139" t="s">
        <v>138</v>
      </c>
      <c r="C102" s="31">
        <f>C101</f>
        <v>12.35</v>
      </c>
      <c r="D102" s="30">
        <f ca="1">((100/(H94))*C102)/100</f>
        <v>0.53695652173913044</v>
      </c>
      <c r="E102" s="140"/>
      <c r="F102" s="140"/>
      <c r="G102" s="140"/>
      <c r="H102" s="154"/>
      <c r="I102" s="41" t="s">
        <v>139</v>
      </c>
      <c r="J102" s="44">
        <f>(IF(B94&gt;2,(H94/(B94+2)+J101),0))</f>
        <v>0</v>
      </c>
    </row>
    <row r="103" spans="1:10" s="14" customFormat="1" ht="15.75" customHeight="1">
      <c r="A103" s="141" t="s">
        <v>140</v>
      </c>
      <c r="B103" s="139" t="s">
        <v>140</v>
      </c>
      <c r="C103" s="29">
        <v>0</v>
      </c>
      <c r="D103" s="30">
        <f ca="1">((100/H94)*C103)/100</f>
        <v>0</v>
      </c>
      <c r="E103" s="140"/>
      <c r="F103" s="140"/>
      <c r="G103" s="140"/>
      <c r="H103" s="154"/>
      <c r="I103" s="41" t="s">
        <v>141</v>
      </c>
      <c r="J103" s="45">
        <f>(IF(B94&gt;3,(H94/(B94+2)+J102),0))</f>
        <v>0</v>
      </c>
    </row>
    <row r="104" spans="1:10" s="14" customFormat="1" ht="15.75" customHeight="1">
      <c r="A104" s="141" t="s">
        <v>142</v>
      </c>
      <c r="B104" s="139"/>
      <c r="C104" s="29">
        <v>0</v>
      </c>
      <c r="D104" s="30">
        <f ca="1">((100/H94)*C104)/100</f>
        <v>0</v>
      </c>
      <c r="E104" s="140"/>
      <c r="F104" s="140"/>
      <c r="G104" s="140"/>
      <c r="H104" s="154"/>
      <c r="I104" s="41" t="s">
        <v>143</v>
      </c>
      <c r="J104" s="44">
        <f>(IF(B94&gt;4,(H94/(B94+2)+J103),0))</f>
        <v>0</v>
      </c>
    </row>
    <row r="105" spans="1:10" s="14" customFormat="1" ht="15.75" customHeight="1">
      <c r="A105" s="141" t="s">
        <v>144</v>
      </c>
      <c r="B105" s="139" t="s">
        <v>144</v>
      </c>
      <c r="C105" s="29">
        <v>0</v>
      </c>
      <c r="D105" s="30">
        <f ca="1">((100/(H94))*C105)/100</f>
        <v>0</v>
      </c>
      <c r="E105" s="140"/>
      <c r="F105" s="140"/>
      <c r="G105" s="140"/>
      <c r="H105" s="154"/>
      <c r="I105" s="41" t="s">
        <v>145</v>
      </c>
      <c r="J105" s="44">
        <f ca="1">(IF(B94=1,(H94/(B94+3)+J100),IF(B94=0,(H94/4+J100),IF(B94&gt;1,0))))</f>
        <v>17.25</v>
      </c>
    </row>
    <row r="106" spans="1:10" s="14" customFormat="1">
      <c r="A106" s="144" t="s">
        <v>146</v>
      </c>
      <c r="B106" s="145"/>
      <c r="C106" s="32">
        <v>0</v>
      </c>
      <c r="D106" s="33">
        <f ca="1">((100/(H94))*C106)/100</f>
        <v>0</v>
      </c>
      <c r="E106" s="153"/>
      <c r="F106" s="153"/>
      <c r="G106" s="153"/>
      <c r="H106" s="155"/>
      <c r="I106" s="46" t="s">
        <v>147</v>
      </c>
      <c r="J106" s="47">
        <f ca="1">(IF(B94&gt;1.5,(H94/(B94+2)+J100+MAX(0,J101-J100)+MAX(0,J102-J101)+MAX(0,J103-J102)+MAX(0,J104-J103)+MAX(0,J105-J104)),IF(B94=1,(H94/(B94+3)+J105),IF(B94=0,H94/4+J105))))</f>
        <v>23</v>
      </c>
    </row>
    <row r="107" spans="1:10" s="14" customFormat="1" ht="17.25" customHeight="1">
      <c r="A107" s="146" t="s">
        <v>113</v>
      </c>
      <c r="B107" s="147"/>
      <c r="C107" s="148" t="s">
        <v>149</v>
      </c>
      <c r="D107" s="149"/>
      <c r="E107" s="149"/>
      <c r="F107" s="149"/>
      <c r="G107" s="149"/>
      <c r="H107" s="150"/>
      <c r="I107" s="37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 Completed",IF(C113&gt;0,", RCC upto "&amp;C113&amp;" Slab Completed",""))&amp;(IF(C114=H108,", Brickwork Completed",IF(C114&gt;0,", Brickwork upto "&amp;C114&amp;" Floor Completed",""))&amp;(IF(C115=H108,", Internal Plaster Completed",IF(C115&gt;0,", Internal Plaster upto "&amp;C115&amp;" Floor Completed",""))&amp;(IF(C116=H108,", External Plaster Completed",IF(C116&gt;0,", External Plaster upto "&amp;C116&amp;" Floor Completed",""))&amp;(IF(C117=H108,", Flooring Completed",IF(C117&gt;0,", Flooring upto "&amp;C117&amp;" Floor Completed",""))&amp;(IF(C118=H108,", Painting Completed",IF(C118&gt;0,", Painting upto "&amp;C118&amp;" Floor Completed",""))&amp;(IF(C119&gt;0,", Finishing upto "&amp;C119&amp;" Floor Completed","")&amp;(IF(C113&gt;0.5,".",""))))))))))))))</f>
        <v>Excavation work Completed. Plinth work completed, RCC upto 18 Slab Completed, Brickwork upto 17 Floor Completed, Internal Plaster upto 12.75 Floor Completed, External Plaster upto 10.2 Floor Completed.</v>
      </c>
      <c r="J107" s="38"/>
    </row>
    <row r="108" spans="1:10" s="14" customFormat="1">
      <c r="A108" s="26" t="s">
        <v>114</v>
      </c>
      <c r="B108" s="21">
        <v>0</v>
      </c>
      <c r="C108" s="21" t="s">
        <v>115</v>
      </c>
      <c r="D108" s="21">
        <v>1</v>
      </c>
      <c r="E108" s="21" t="s">
        <v>116</v>
      </c>
      <c r="F108" s="21">
        <v>0</v>
      </c>
      <c r="G108" s="21" t="s">
        <v>117</v>
      </c>
      <c r="H108" s="27">
        <f ca="1">--TRIM(RIGHT(SUBSTITUTE(LEFT(C107,_xlfn.AGGREGATE(16,6,FIND({0,1,2,3,4,5,6,7,8,9},C107,ROW(INDIRECT("1:"&amp;LEN(C107)))),1))," ",REPT(" ",LEN(C107))),LEN(C107)))</f>
        <v>23</v>
      </c>
      <c r="I108" s="39"/>
      <c r="J108" s="40"/>
    </row>
    <row r="109" spans="1:10" s="14" customFormat="1" ht="46.5" customHeight="1">
      <c r="A109" s="151" t="s">
        <v>118</v>
      </c>
      <c r="B109" s="111"/>
      <c r="C109" s="123" t="str">
        <f ca="1">(IF($G$62="NA",I107,"All work Completed. OC Received."))</f>
        <v>Excavation work Completed. Plinth work completed, RCC upto 18 Slab Completed, Brickwork upto 17 Floor Completed, Internal Plaster upto 12.75 Floor Completed, External Plaster upto 10.2 Floor Completed.</v>
      </c>
      <c r="D109" s="123"/>
      <c r="E109" s="123"/>
      <c r="F109" s="123"/>
      <c r="G109" s="123"/>
      <c r="H109" s="152"/>
      <c r="I109" s="39" t="s">
        <v>119</v>
      </c>
      <c r="J109" s="40"/>
    </row>
    <row r="110" spans="1:10" s="14" customFormat="1" ht="15.75" customHeight="1">
      <c r="A110" s="141" t="s">
        <v>120</v>
      </c>
      <c r="B110" s="139"/>
      <c r="C110" s="28" t="s">
        <v>121</v>
      </c>
      <c r="D110" s="28" t="s">
        <v>122</v>
      </c>
      <c r="E110" s="139" t="s">
        <v>123</v>
      </c>
      <c r="F110" s="139"/>
      <c r="G110" s="139" t="s">
        <v>124</v>
      </c>
      <c r="H110" s="142"/>
      <c r="I110" s="41" t="s">
        <v>125</v>
      </c>
      <c r="J110" s="42">
        <f ca="1">H108*25%</f>
        <v>5.75</v>
      </c>
    </row>
    <row r="111" spans="1:10" s="14" customFormat="1">
      <c r="A111" s="139" t="s">
        <v>126</v>
      </c>
      <c r="B111" s="139"/>
      <c r="C111" s="29">
        <f ca="1">J112</f>
        <v>23</v>
      </c>
      <c r="D111" s="64">
        <f ca="1">((100/H108)*C111)/100</f>
        <v>1</v>
      </c>
      <c r="E111" s="140">
        <f ca="1">(((C112/H108*10)+(40/(D108+F108+H108)*C113)+(7.5/(H108)*C114)+(7.5/(H108)*C115)+(10/H108*C116)+(10/H108*C117)+(5/H108*C118)+(5/H108*C119)+(5/H108*C120))/100)</f>
        <v>0.54135869565217387</v>
      </c>
      <c r="F111" s="140"/>
      <c r="G111" s="140">
        <f ca="1">((((C111/H108)*20)+((C112/H108)*25)+(30/(H108+F108+D108)*C113)+(5/H108*C114)+(5/H108*C115)+(5/H108*C116)+(5/H108*C117)+(0/H108*C118)+(0/H108*C119)+(5/H108*C120))/100)</f>
        <v>0.76184782608695656</v>
      </c>
      <c r="H111" s="140"/>
      <c r="I111" s="41" t="s">
        <v>127</v>
      </c>
      <c r="J111" s="43">
        <f ca="1">H108*50%</f>
        <v>11.5</v>
      </c>
    </row>
    <row r="112" spans="1:10" s="14" customFormat="1">
      <c r="A112" s="139" t="s">
        <v>128</v>
      </c>
      <c r="B112" s="139"/>
      <c r="C112" s="31">
        <f ca="1">J120</f>
        <v>23</v>
      </c>
      <c r="D112" s="64">
        <f ca="1">((100/H108)*C112)/100</f>
        <v>1</v>
      </c>
      <c r="E112" s="140"/>
      <c r="F112" s="140"/>
      <c r="G112" s="140"/>
      <c r="H112" s="140"/>
      <c r="I112" s="41" t="s">
        <v>129</v>
      </c>
      <c r="J112" s="43">
        <f ca="1">H108</f>
        <v>23</v>
      </c>
    </row>
    <row r="113" spans="1:10" s="14" customFormat="1" ht="15.75" customHeight="1">
      <c r="A113" s="101" t="s">
        <v>130</v>
      </c>
      <c r="B113" s="101"/>
      <c r="C113" s="31">
        <v>18</v>
      </c>
      <c r="D113" s="64">
        <f ca="1">((100/(D108+F108+H108))*C113)/100</f>
        <v>0.75</v>
      </c>
      <c r="E113" s="140"/>
      <c r="F113" s="140"/>
      <c r="G113" s="140"/>
      <c r="H113" s="140"/>
      <c r="I113" s="41" t="s">
        <v>131</v>
      </c>
      <c r="J113" s="44">
        <f ca="1">(IF(B108&gt;1,(H108/(B108+2)),H108/4))</f>
        <v>5.75</v>
      </c>
    </row>
    <row r="114" spans="1:10" s="14" customFormat="1" ht="15.75" customHeight="1">
      <c r="A114" s="139" t="s">
        <v>132</v>
      </c>
      <c r="B114" s="139" t="s">
        <v>133</v>
      </c>
      <c r="C114" s="31">
        <f>C113-1</f>
        <v>17</v>
      </c>
      <c r="D114" s="64">
        <f ca="1">((100/H108)*C114)/100</f>
        <v>0.73913043478260865</v>
      </c>
      <c r="E114" s="140"/>
      <c r="F114" s="140"/>
      <c r="G114" s="140"/>
      <c r="H114" s="140"/>
      <c r="I114" s="41" t="s">
        <v>134</v>
      </c>
      <c r="J114" s="44">
        <f ca="1">(IF(B108&gt;1,(H108/(B108+2)+J113),H108/4+J113))</f>
        <v>11.5</v>
      </c>
    </row>
    <row r="115" spans="1:10" s="14" customFormat="1" ht="15.75" customHeight="1">
      <c r="A115" s="139" t="s">
        <v>135</v>
      </c>
      <c r="B115" s="139" t="s">
        <v>133</v>
      </c>
      <c r="C115" s="31">
        <f>C114*0.75</f>
        <v>12.75</v>
      </c>
      <c r="D115" s="64">
        <f ca="1">((100/H108)*C115)/100</f>
        <v>0.55434782608695654</v>
      </c>
      <c r="E115" s="140"/>
      <c r="F115" s="140"/>
      <c r="G115" s="140"/>
      <c r="H115" s="140"/>
      <c r="I115" s="41" t="s">
        <v>136</v>
      </c>
      <c r="J115" s="44">
        <f>(IF(B108&gt;1,(H108/(B108+2)+J114),0))</f>
        <v>0</v>
      </c>
    </row>
    <row r="116" spans="1:10" s="14" customFormat="1" ht="15" customHeight="1">
      <c r="A116" s="139" t="s">
        <v>137</v>
      </c>
      <c r="B116" s="139" t="s">
        <v>138</v>
      </c>
      <c r="C116" s="31">
        <f>C114*0.6</f>
        <v>10.199999999999999</v>
      </c>
      <c r="D116" s="64">
        <f ca="1">((100/(H108))*C116)/100</f>
        <v>0.44347826086956516</v>
      </c>
      <c r="E116" s="140"/>
      <c r="F116" s="140"/>
      <c r="G116" s="140"/>
      <c r="H116" s="140"/>
      <c r="I116" s="41" t="s">
        <v>139</v>
      </c>
      <c r="J116" s="44">
        <f>(IF(B108&gt;2,(H108/(B108+2)+J115),0))</f>
        <v>0</v>
      </c>
    </row>
    <row r="117" spans="1:10" s="14" customFormat="1" ht="15.75" customHeight="1">
      <c r="A117" s="139" t="s">
        <v>140</v>
      </c>
      <c r="B117" s="139" t="s">
        <v>140</v>
      </c>
      <c r="C117" s="29">
        <v>0</v>
      </c>
      <c r="D117" s="64">
        <f ca="1">((100/H108)*C117)/100</f>
        <v>0</v>
      </c>
      <c r="E117" s="140"/>
      <c r="F117" s="140"/>
      <c r="G117" s="140"/>
      <c r="H117" s="140"/>
      <c r="I117" s="41" t="s">
        <v>141</v>
      </c>
      <c r="J117" s="45">
        <f>(IF(B108&gt;3,(H108/(B108+2)+J116),0))</f>
        <v>0</v>
      </c>
    </row>
    <row r="118" spans="1:10" s="14" customFormat="1" ht="15.75" customHeight="1">
      <c r="A118" s="139" t="s">
        <v>142</v>
      </c>
      <c r="B118" s="139"/>
      <c r="C118" s="29">
        <v>0</v>
      </c>
      <c r="D118" s="64">
        <f ca="1">((100/H108)*C118)/100</f>
        <v>0</v>
      </c>
      <c r="E118" s="140"/>
      <c r="F118" s="140"/>
      <c r="G118" s="140"/>
      <c r="H118" s="140"/>
      <c r="I118" s="41" t="s">
        <v>143</v>
      </c>
      <c r="J118" s="44">
        <f>(IF(B108&gt;4,(H108/(B108+2)+J117),0))</f>
        <v>0</v>
      </c>
    </row>
    <row r="119" spans="1:10" s="14" customFormat="1" ht="15.75" customHeight="1">
      <c r="A119" s="139" t="s">
        <v>144</v>
      </c>
      <c r="B119" s="139" t="s">
        <v>144</v>
      </c>
      <c r="C119" s="29">
        <v>0</v>
      </c>
      <c r="D119" s="64">
        <f ca="1">((100/(H108))*C119)/100</f>
        <v>0</v>
      </c>
      <c r="E119" s="140"/>
      <c r="F119" s="140"/>
      <c r="G119" s="140"/>
      <c r="H119" s="140"/>
      <c r="I119" s="41" t="s">
        <v>145</v>
      </c>
      <c r="J119" s="44">
        <f ca="1">(IF(B108=1,(H108/(B108+3)+J114),IF(B108=0,(H108/4+J114),IF(B108&gt;1,0))))</f>
        <v>17.25</v>
      </c>
    </row>
    <row r="120" spans="1:10" s="14" customFormat="1">
      <c r="A120" s="139" t="s">
        <v>146</v>
      </c>
      <c r="B120" s="139"/>
      <c r="C120" s="29">
        <v>0</v>
      </c>
      <c r="D120" s="64">
        <f ca="1">((100/(H108))*C120)/100</f>
        <v>0</v>
      </c>
      <c r="E120" s="140"/>
      <c r="F120" s="140"/>
      <c r="G120" s="140"/>
      <c r="H120" s="140"/>
      <c r="I120" s="46" t="s">
        <v>147</v>
      </c>
      <c r="J120" s="47">
        <f ca="1">(IF(B108&gt;1.5,(H108/(B108+2)+J114+MAX(0,J115-J114)+MAX(0,J116-J115)+MAX(0,J117-J116)+MAX(0,J118-J117)+MAX(0,J119-J118)),IF(B108=1,(H108/(B108+3)+J119),IF(B108=0,H108/4+J119))))</f>
        <v>23</v>
      </c>
    </row>
    <row r="121" spans="1:10" s="14" customFormat="1" ht="17.25" customHeight="1">
      <c r="A121" s="123" t="s">
        <v>113</v>
      </c>
      <c r="B121" s="123"/>
      <c r="C121" s="123" t="s">
        <v>150</v>
      </c>
      <c r="D121" s="123"/>
      <c r="E121" s="123"/>
      <c r="F121" s="123"/>
      <c r="G121" s="123"/>
      <c r="H121" s="123"/>
      <c r="I121" s="37" t="str">
        <f ca="1"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","0")))&amp;(IF(C126=0%,"",IF(C126=J127,"Footing work is process",IF(C126=J128,"Footing work Completed",IF(C126=J129,"1st Basement Completed",IF(C126=J130,"1st &amp; 2nd Basement Completed",IF(C126=J131,"1st to 3rd Basement Completed",IF(C126=J132,"1st to 4th Basement Completed",IF(C126=J133,"Plinth work is process",IF(C126=J134,"Plinth work completed","0")))))))))))&amp;(IF(C127=(D122+F122+H122),", RCC Slab Completed",IF(C127&gt;0,", RCC upto "&amp;C127&amp;" Slab Completed",""))&amp;(IF(C128=H122,", Brickwork Completed",IF(C128&gt;0,", Brickwork upto "&amp;C128&amp;" Floor Completed",""))&amp;(IF(C129=H122,", Internal Plaster Completed",IF(C129&gt;0,", Internal Plaster upto "&amp;C129&amp;" Floor Completed",""))&amp;(IF(C130=H122,", External Plaster Completed",IF(C130&gt;0,", External Plaster upto "&amp;C130&amp;" Floor Completed",""))&amp;(IF(C131=H122,", Flooring Completed",IF(C131&gt;0,", Flooring upto "&amp;C131&amp;" Floor Completed",""))&amp;(IF(C132=H122,", Painting Completed",IF(C132&gt;0,", Painting upto "&amp;C132&amp;" Floor Completed",""))&amp;(IF(C133&gt;0,", Finishing upto "&amp;C133&amp;" Floor Completed","")&amp;(IF(C127&gt;0.5,".",""))))))))))))))</f>
        <v>Plinth, RCC, Brick, Plaster, Flooring, Painting work Completed. Finishing work is in process.</v>
      </c>
      <c r="J121" s="38"/>
    </row>
    <row r="122" spans="1:10" s="14" customFormat="1">
      <c r="A122" s="65" t="s">
        <v>114</v>
      </c>
      <c r="B122" s="65">
        <v>0</v>
      </c>
      <c r="C122" s="65" t="s">
        <v>115</v>
      </c>
      <c r="D122" s="65">
        <v>1</v>
      </c>
      <c r="E122" s="65" t="s">
        <v>116</v>
      </c>
      <c r="F122" s="65">
        <v>0</v>
      </c>
      <c r="G122" s="65" t="s">
        <v>117</v>
      </c>
      <c r="H122" s="65">
        <f ca="1">--TRIM(RIGHT(SUBSTITUTE(LEFT(C121,_xlfn.AGGREGATE(16,6,FIND({0,1,2,3,4,5,6,7,8,9},C121,ROW(INDIRECT("1:"&amp;LEN(C121)))),1))," ",REPT(" ",LEN(C121))),LEN(C121)))</f>
        <v>23</v>
      </c>
      <c r="I122" s="39"/>
      <c r="J122" s="40"/>
    </row>
    <row r="123" spans="1:10" s="14" customFormat="1" ht="32.5" customHeight="1">
      <c r="A123" s="111" t="s">
        <v>118</v>
      </c>
      <c r="B123" s="111"/>
      <c r="C123" s="123" t="str">
        <f ca="1">(IF($G$62="NA",I121,"All work Completed. OC Received."))</f>
        <v>Plinth, RCC, Brick, Plaster, Flooring, Painting work Completed. Finishing work is in process.</v>
      </c>
      <c r="D123" s="123"/>
      <c r="E123" s="123"/>
      <c r="F123" s="123"/>
      <c r="G123" s="123"/>
      <c r="H123" s="123"/>
      <c r="I123" s="39" t="s">
        <v>119</v>
      </c>
      <c r="J123" s="40"/>
    </row>
    <row r="124" spans="1:10" s="14" customFormat="1" ht="15.75" customHeight="1">
      <c r="A124" s="141" t="s">
        <v>120</v>
      </c>
      <c r="B124" s="139"/>
      <c r="C124" s="28" t="s">
        <v>121</v>
      </c>
      <c r="D124" s="28" t="s">
        <v>122</v>
      </c>
      <c r="E124" s="139" t="s">
        <v>123</v>
      </c>
      <c r="F124" s="139"/>
      <c r="G124" s="139" t="s">
        <v>124</v>
      </c>
      <c r="H124" s="142"/>
      <c r="I124" s="41" t="s">
        <v>125</v>
      </c>
      <c r="J124" s="42">
        <f ca="1">H122*25%</f>
        <v>5.75</v>
      </c>
    </row>
    <row r="125" spans="1:10" s="14" customFormat="1">
      <c r="A125" s="141" t="s">
        <v>126</v>
      </c>
      <c r="B125" s="139"/>
      <c r="C125" s="29">
        <v>23</v>
      </c>
      <c r="D125" s="30">
        <f ca="1">((100/H122)*C125)/100</f>
        <v>1</v>
      </c>
      <c r="E125" s="140">
        <f ca="1">(((C126/H122*10)+(40/(D122+F122+H122)*C127)+(7.5/(H122)*C128)+(7.5/(H122)*C129)+(10/H122*C130)+(10/H122*C131)+(5/H122*C132)+(5/H122*C133)+(5/H122*C134))/100)</f>
        <v>0.91739130434782612</v>
      </c>
      <c r="F125" s="140"/>
      <c r="G125" s="140">
        <f ca="1">((((C125/H122)*20)+((C126/H122)*25)+(30/(H122+F122+D122)*C127)+(5/H122*C128)+(5/H122*C129)+(5/H122*C130)+(5/H122*C131)+(0/H122*C132)+(0/H122*C133)+(5/H122*C134))/100)</f>
        <v>0.95</v>
      </c>
      <c r="H125" s="154"/>
      <c r="I125" s="41" t="s">
        <v>127</v>
      </c>
      <c r="J125" s="43">
        <f ca="1">H122*50%</f>
        <v>11.5</v>
      </c>
    </row>
    <row r="126" spans="1:10" s="14" customFormat="1">
      <c r="A126" s="141" t="s">
        <v>128</v>
      </c>
      <c r="B126" s="139"/>
      <c r="C126" s="31">
        <v>23</v>
      </c>
      <c r="D126" s="30">
        <f ca="1">((100/H122)*C126)/100</f>
        <v>1</v>
      </c>
      <c r="E126" s="140"/>
      <c r="F126" s="140"/>
      <c r="G126" s="140"/>
      <c r="H126" s="154"/>
      <c r="I126" s="41" t="s">
        <v>129</v>
      </c>
      <c r="J126" s="43">
        <f ca="1">H122</f>
        <v>23</v>
      </c>
    </row>
    <row r="127" spans="1:10" s="14" customFormat="1" ht="15.75" customHeight="1">
      <c r="A127" s="143" t="s">
        <v>130</v>
      </c>
      <c r="B127" s="101"/>
      <c r="C127" s="31">
        <v>24</v>
      </c>
      <c r="D127" s="30">
        <f ca="1">((100/(D122+F122+H122))*C127)/100</f>
        <v>1</v>
      </c>
      <c r="E127" s="140"/>
      <c r="F127" s="140"/>
      <c r="G127" s="140"/>
      <c r="H127" s="154"/>
      <c r="I127" s="41" t="s">
        <v>131</v>
      </c>
      <c r="J127" s="44">
        <f ca="1">(IF(B122&gt;1,(H122/(B122+2)),H122/4))</f>
        <v>5.75</v>
      </c>
    </row>
    <row r="128" spans="1:10" s="14" customFormat="1" ht="15.75" customHeight="1">
      <c r="A128" s="141" t="s">
        <v>132</v>
      </c>
      <c r="B128" s="139" t="s">
        <v>133</v>
      </c>
      <c r="C128" s="31">
        <v>23</v>
      </c>
      <c r="D128" s="30">
        <f ca="1">((100/H122)*C128)/100</f>
        <v>1</v>
      </c>
      <c r="E128" s="140"/>
      <c r="F128" s="140"/>
      <c r="G128" s="140"/>
      <c r="H128" s="154"/>
      <c r="I128" s="41" t="s">
        <v>134</v>
      </c>
      <c r="J128" s="44">
        <f ca="1">(IF(B122&gt;1,(H122/(B122+2)+J127),H122/4+J127))</f>
        <v>11.5</v>
      </c>
    </row>
    <row r="129" spans="1:10" s="14" customFormat="1" ht="15.75" customHeight="1">
      <c r="A129" s="141" t="s">
        <v>135</v>
      </c>
      <c r="B129" s="139" t="s">
        <v>133</v>
      </c>
      <c r="C129" s="31">
        <v>23</v>
      </c>
      <c r="D129" s="30">
        <f ca="1">((100/H122)*C129)/100</f>
        <v>1</v>
      </c>
      <c r="E129" s="140"/>
      <c r="F129" s="140"/>
      <c r="G129" s="140"/>
      <c r="H129" s="154"/>
      <c r="I129" s="41" t="s">
        <v>136</v>
      </c>
      <c r="J129" s="44">
        <f>(IF(B122&gt;1,(H122/(B122+2)+J128),0))</f>
        <v>0</v>
      </c>
    </row>
    <row r="130" spans="1:10" s="14" customFormat="1" ht="15" customHeight="1">
      <c r="A130" s="141" t="s">
        <v>137</v>
      </c>
      <c r="B130" s="139" t="s">
        <v>138</v>
      </c>
      <c r="C130" s="31">
        <v>23</v>
      </c>
      <c r="D130" s="30">
        <f ca="1">((100/(H122))*C130)/100</f>
        <v>1</v>
      </c>
      <c r="E130" s="140"/>
      <c r="F130" s="140"/>
      <c r="G130" s="140"/>
      <c r="H130" s="154"/>
      <c r="I130" s="41" t="s">
        <v>139</v>
      </c>
      <c r="J130" s="44">
        <f>(IF(B122&gt;2,(H122/(B122+2)+J129),0))</f>
        <v>0</v>
      </c>
    </row>
    <row r="131" spans="1:10" s="14" customFormat="1" ht="15.75" customHeight="1">
      <c r="A131" s="141" t="s">
        <v>140</v>
      </c>
      <c r="B131" s="139" t="s">
        <v>140</v>
      </c>
      <c r="C131" s="29">
        <v>23</v>
      </c>
      <c r="D131" s="30">
        <f ca="1">((100/H122)*C131)/100</f>
        <v>1</v>
      </c>
      <c r="E131" s="140"/>
      <c r="F131" s="140"/>
      <c r="G131" s="140"/>
      <c r="H131" s="154"/>
      <c r="I131" s="41" t="s">
        <v>141</v>
      </c>
      <c r="J131" s="45">
        <f>(IF(B122&gt;3,(H122/(B122+2)+J130),0))</f>
        <v>0</v>
      </c>
    </row>
    <row r="132" spans="1:10" s="14" customFormat="1" ht="15.75" customHeight="1">
      <c r="A132" s="141" t="s">
        <v>142</v>
      </c>
      <c r="B132" s="139"/>
      <c r="C132" s="29">
        <v>23</v>
      </c>
      <c r="D132" s="30">
        <f ca="1">((100/H122)*C132)/100</f>
        <v>1</v>
      </c>
      <c r="E132" s="140"/>
      <c r="F132" s="140"/>
      <c r="G132" s="140"/>
      <c r="H132" s="154"/>
      <c r="I132" s="41" t="s">
        <v>143</v>
      </c>
      <c r="J132" s="44">
        <f>(IF(B122&gt;4,(H122/(B122+2)+J131),0))</f>
        <v>0</v>
      </c>
    </row>
    <row r="133" spans="1:10" s="14" customFormat="1" ht="15.75" customHeight="1">
      <c r="A133" s="141" t="s">
        <v>144</v>
      </c>
      <c r="B133" s="139" t="s">
        <v>144</v>
      </c>
      <c r="C133" s="29">
        <v>8</v>
      </c>
      <c r="D133" s="30">
        <f ca="1">((100/(H122))*C133)/100</f>
        <v>0.34782608695652173</v>
      </c>
      <c r="E133" s="140"/>
      <c r="F133" s="140"/>
      <c r="G133" s="140"/>
      <c r="H133" s="154"/>
      <c r="I133" s="41" t="s">
        <v>145</v>
      </c>
      <c r="J133" s="44">
        <f ca="1">(IF(B122=1,(H122/(B122+3)+J128),IF(B122=0,(H122/4+J128),IF(B122&gt;1,0))))</f>
        <v>17.25</v>
      </c>
    </row>
    <row r="134" spans="1:10" s="14" customFormat="1">
      <c r="A134" s="144" t="s">
        <v>146</v>
      </c>
      <c r="B134" s="145"/>
      <c r="C134" s="32">
        <v>0</v>
      </c>
      <c r="D134" s="33">
        <f ca="1">((100/(H122))*C134)/100</f>
        <v>0</v>
      </c>
      <c r="E134" s="153"/>
      <c r="F134" s="153"/>
      <c r="G134" s="153"/>
      <c r="H134" s="155"/>
      <c r="I134" s="46" t="s">
        <v>147</v>
      </c>
      <c r="J134" s="47">
        <f ca="1">(IF(B122&gt;1.5,(H122/(B122+2)+J128+MAX(0,J129-J128)+MAX(0,J130-J129)+MAX(0,J131-J130)+MAX(0,J132-J131)+MAX(0,J133-J132)),IF(B122=1,(H122/(B122+3)+J133),IF(B122=0,H122/4+J133))))</f>
        <v>23</v>
      </c>
    </row>
    <row r="135" spans="1:10" s="14" customFormat="1" ht="17.25" customHeight="1">
      <c r="A135" s="146" t="s">
        <v>113</v>
      </c>
      <c r="B135" s="147"/>
      <c r="C135" s="148" t="s">
        <v>151</v>
      </c>
      <c r="D135" s="149"/>
      <c r="E135" s="149"/>
      <c r="F135" s="149"/>
      <c r="G135" s="149"/>
      <c r="H135" s="150"/>
      <c r="I135" s="37" t="str">
        <f ca="1">(IF(E139&gt;99%,"All work completed. Please provide OC.",IF(E139&gt;89.8%,"Plinth, RCC, Brick, Plaster, Flooring, Painting work Completed. Finishing work is in process.",IF(E139&lt;94%,(IF(C139=0,"Work not yet Started.",IF(D139=25%,"Piling work in process",IF(D139=50%,"Excavation work in process",IF(D139=100%,"Excavation work Completed. ","0")))&amp;(IF(C140=0%,"",IF(C140=J141,"Footing work is process",IF(C140=J142,"Footing work Completed",IF(C140=J143,"1st Basement Completed",IF(C140=J144,"1st &amp; 2nd Basement Completed",IF(C140=J145,"1st to 3rd Basement Completed",IF(C140=J146,"1st to 4th Basement Completed",IF(C140=J147,"Plinth work is process",IF(C140=J148,"Plinth work completed","0")))))))))))&amp;(IF(C141=(D136+F136+H136),", RCC Slab Completed",IF(C141&gt;0,", RCC upto "&amp;C141&amp;" Slab Completed",""))&amp;(IF(C142=H136,", Brickwork Completed",IF(C142&gt;0,", Brickwork upto "&amp;C142&amp;" Floor Completed",""))&amp;(IF(C143=H136,", Internal Plaster Completed",IF(C143&gt;0,", Internal Plaster upto "&amp;C143&amp;" Floor Completed",""))&amp;(IF(C144=H136,", External Plaster Completed",IF(C144&gt;0,", External Plaster upto "&amp;C144&amp;" Floor Completed",""))&amp;(IF(C145=H136,", Flooring Completed",IF(C145&gt;0,", Flooring upto "&amp;C145&amp;" Floor Completed",""))&amp;(IF(C146=H136,", Painting Completed",IF(C146&gt;0,", Painting upto "&amp;C146&amp;" Floor Completed",""))&amp;(IF(C147&gt;0,", Finishing upto "&amp;C147&amp;" Floor Completed","")&amp;(IF(C141&gt;0.5,".",""))))))))))))))</f>
        <v>Plinth, RCC, Brick, Plaster, Flooring, Painting work Completed. Finishing work is in process.</v>
      </c>
      <c r="J135" s="38"/>
    </row>
    <row r="136" spans="1:10" s="14" customFormat="1">
      <c r="A136" s="26" t="s">
        <v>114</v>
      </c>
      <c r="B136" s="21">
        <v>0</v>
      </c>
      <c r="C136" s="21" t="s">
        <v>115</v>
      </c>
      <c r="D136" s="21">
        <v>1</v>
      </c>
      <c r="E136" s="21" t="s">
        <v>116</v>
      </c>
      <c r="F136" s="21">
        <v>0</v>
      </c>
      <c r="G136" s="21" t="s">
        <v>117</v>
      </c>
      <c r="H136" s="27">
        <f ca="1">--TRIM(RIGHT(SUBSTITUTE(LEFT(C135,_xlfn.AGGREGATE(16,6,FIND({0,1,2,3,4,5,6,7,8,9},C135,ROW(INDIRECT("1:"&amp;LEN(C135)))),1))," ",REPT(" ",LEN(C135))),LEN(C135)))</f>
        <v>23</v>
      </c>
      <c r="I136" s="39"/>
      <c r="J136" s="40"/>
    </row>
    <row r="137" spans="1:10" s="14" customFormat="1" ht="35" customHeight="1">
      <c r="A137" s="151" t="s">
        <v>118</v>
      </c>
      <c r="B137" s="111"/>
      <c r="C137" s="123" t="str">
        <f ca="1">(IF($G$62="NA",I135,"All work Completed. OC Received."))</f>
        <v>Plinth, RCC, Brick, Plaster, Flooring, Painting work Completed. Finishing work is in process.</v>
      </c>
      <c r="D137" s="123"/>
      <c r="E137" s="123"/>
      <c r="F137" s="123"/>
      <c r="G137" s="123"/>
      <c r="H137" s="152"/>
      <c r="I137" s="39" t="s">
        <v>119</v>
      </c>
      <c r="J137" s="40"/>
    </row>
    <row r="138" spans="1:10" s="14" customFormat="1" ht="15.75" customHeight="1">
      <c r="A138" s="141" t="s">
        <v>120</v>
      </c>
      <c r="B138" s="139"/>
      <c r="C138" s="28" t="s">
        <v>121</v>
      </c>
      <c r="D138" s="28" t="s">
        <v>122</v>
      </c>
      <c r="E138" s="139" t="s">
        <v>123</v>
      </c>
      <c r="F138" s="139"/>
      <c r="G138" s="139" t="s">
        <v>124</v>
      </c>
      <c r="H138" s="142"/>
      <c r="I138" s="41" t="s">
        <v>125</v>
      </c>
      <c r="J138" s="42">
        <f ca="1">H136*25%</f>
        <v>5.75</v>
      </c>
    </row>
    <row r="139" spans="1:10" s="14" customFormat="1">
      <c r="A139" s="139" t="s">
        <v>126</v>
      </c>
      <c r="B139" s="139"/>
      <c r="C139" s="29">
        <v>23</v>
      </c>
      <c r="D139" s="64">
        <f ca="1">((100/H136)*C139)/100</f>
        <v>1</v>
      </c>
      <c r="E139" s="140">
        <f ca="1">(((C140/H136*10)+(40/(D136+F136+H136)*C141)+(7.5/(H136)*C142)+(7.5/(H136)*C143)+(10/H136*C144)+(10/H136*C145)+(5/H136*C146)+(5/H136*C147)+(5/H136*C148))/100)</f>
        <v>0.91739130434782612</v>
      </c>
      <c r="F139" s="140"/>
      <c r="G139" s="140">
        <f ca="1">((((C139/H136)*20)+((C140/H136)*25)+(30/(H136+F136+D136)*C141)+(5/H136*C142)+(5/H136*C143)+(5/H136*C144)+(5/H136*C145)+(0/H136*C146)+(0/H136*C147)+(5/H136*C148))/100)</f>
        <v>0.95</v>
      </c>
      <c r="H139" s="140"/>
      <c r="I139" s="41" t="s">
        <v>127</v>
      </c>
      <c r="J139" s="43">
        <f ca="1">H136*50%</f>
        <v>11.5</v>
      </c>
    </row>
    <row r="140" spans="1:10" s="14" customFormat="1">
      <c r="A140" s="139" t="s">
        <v>128</v>
      </c>
      <c r="B140" s="139"/>
      <c r="C140" s="31">
        <v>23</v>
      </c>
      <c r="D140" s="64">
        <f ca="1">((100/H136)*C140)/100</f>
        <v>1</v>
      </c>
      <c r="E140" s="140"/>
      <c r="F140" s="140"/>
      <c r="G140" s="140"/>
      <c r="H140" s="140"/>
      <c r="I140" s="41" t="s">
        <v>129</v>
      </c>
      <c r="J140" s="43">
        <f ca="1">H136</f>
        <v>23</v>
      </c>
    </row>
    <row r="141" spans="1:10" s="14" customFormat="1" ht="15.75" customHeight="1">
      <c r="A141" s="101" t="s">
        <v>130</v>
      </c>
      <c r="B141" s="101"/>
      <c r="C141" s="31">
        <v>24</v>
      </c>
      <c r="D141" s="64">
        <f ca="1">((100/(D136+F136+H136))*C141)/100</f>
        <v>1</v>
      </c>
      <c r="E141" s="140"/>
      <c r="F141" s="140"/>
      <c r="G141" s="140"/>
      <c r="H141" s="140"/>
      <c r="I141" s="41" t="s">
        <v>131</v>
      </c>
      <c r="J141" s="44">
        <f ca="1">(IF(B136&gt;1,(H136/(B136+2)),H136/4))</f>
        <v>5.75</v>
      </c>
    </row>
    <row r="142" spans="1:10" s="14" customFormat="1" ht="15.75" customHeight="1">
      <c r="A142" s="139" t="s">
        <v>132</v>
      </c>
      <c r="B142" s="139" t="s">
        <v>133</v>
      </c>
      <c r="C142" s="31">
        <v>23</v>
      </c>
      <c r="D142" s="64">
        <f ca="1">((100/H136)*C142)/100</f>
        <v>1</v>
      </c>
      <c r="E142" s="140"/>
      <c r="F142" s="140"/>
      <c r="G142" s="140"/>
      <c r="H142" s="140"/>
      <c r="I142" s="41" t="s">
        <v>134</v>
      </c>
      <c r="J142" s="44">
        <f ca="1">(IF(B136&gt;1,(H136/(B136+2)+J141),H136/4+J141))</f>
        <v>11.5</v>
      </c>
    </row>
    <row r="143" spans="1:10" s="14" customFormat="1" ht="15.75" customHeight="1">
      <c r="A143" s="139" t="s">
        <v>135</v>
      </c>
      <c r="B143" s="139" t="s">
        <v>133</v>
      </c>
      <c r="C143" s="31">
        <v>23</v>
      </c>
      <c r="D143" s="64">
        <f ca="1">((100/H136)*C143)/100</f>
        <v>1</v>
      </c>
      <c r="E143" s="140"/>
      <c r="F143" s="140"/>
      <c r="G143" s="140"/>
      <c r="H143" s="140"/>
      <c r="I143" s="41" t="s">
        <v>136</v>
      </c>
      <c r="J143" s="44">
        <f>(IF(B136&gt;1,(H136/(B136+2)+J142),0))</f>
        <v>0</v>
      </c>
    </row>
    <row r="144" spans="1:10" s="14" customFormat="1" ht="15" customHeight="1">
      <c r="A144" s="139" t="s">
        <v>137</v>
      </c>
      <c r="B144" s="139" t="s">
        <v>138</v>
      </c>
      <c r="C144" s="31">
        <v>23</v>
      </c>
      <c r="D144" s="64">
        <f ca="1">((100/(H136))*C144)/100</f>
        <v>1</v>
      </c>
      <c r="E144" s="140"/>
      <c r="F144" s="140"/>
      <c r="G144" s="140"/>
      <c r="H144" s="140"/>
      <c r="I144" s="41" t="s">
        <v>139</v>
      </c>
      <c r="J144" s="44">
        <f>(IF(B136&gt;2,(H136/(B136+2)+J143),0))</f>
        <v>0</v>
      </c>
    </row>
    <row r="145" spans="1:10" s="14" customFormat="1" ht="15.75" customHeight="1">
      <c r="A145" s="139" t="s">
        <v>140</v>
      </c>
      <c r="B145" s="139" t="s">
        <v>140</v>
      </c>
      <c r="C145" s="31">
        <v>23</v>
      </c>
      <c r="D145" s="64">
        <f ca="1">((100/H136)*C145)/100</f>
        <v>1</v>
      </c>
      <c r="E145" s="140"/>
      <c r="F145" s="140"/>
      <c r="G145" s="140"/>
      <c r="H145" s="140"/>
      <c r="I145" s="41" t="s">
        <v>141</v>
      </c>
      <c r="J145" s="45">
        <f>(IF(B136&gt;3,(H136/(B136+2)+J144),0))</f>
        <v>0</v>
      </c>
    </row>
    <row r="146" spans="1:10" s="14" customFormat="1" ht="15.75" customHeight="1">
      <c r="A146" s="139" t="s">
        <v>142</v>
      </c>
      <c r="B146" s="139"/>
      <c r="C146" s="31">
        <v>23</v>
      </c>
      <c r="D146" s="64">
        <f ca="1">((100/H136)*C146)/100</f>
        <v>1</v>
      </c>
      <c r="E146" s="140"/>
      <c r="F146" s="140"/>
      <c r="G146" s="140"/>
      <c r="H146" s="140"/>
      <c r="I146" s="41" t="s">
        <v>143</v>
      </c>
      <c r="J146" s="44">
        <f>(IF(B136&gt;4,(H136/(B136+2)+J145),0))</f>
        <v>0</v>
      </c>
    </row>
    <row r="147" spans="1:10" s="14" customFormat="1" ht="15.75" customHeight="1">
      <c r="A147" s="139" t="s">
        <v>144</v>
      </c>
      <c r="B147" s="139" t="s">
        <v>144</v>
      </c>
      <c r="C147" s="29">
        <v>8</v>
      </c>
      <c r="D147" s="64">
        <f ca="1">((100/(H136))*C147)/100</f>
        <v>0.34782608695652173</v>
      </c>
      <c r="E147" s="140"/>
      <c r="F147" s="140"/>
      <c r="G147" s="140"/>
      <c r="H147" s="140"/>
      <c r="I147" s="41" t="s">
        <v>145</v>
      </c>
      <c r="J147" s="44">
        <f ca="1">(IF(B136=1,(H136/(B136+3)+J142),IF(B136=0,(H136/4+J142),IF(B136&gt;1,0))))</f>
        <v>17.25</v>
      </c>
    </row>
    <row r="148" spans="1:10" s="14" customFormat="1">
      <c r="A148" s="139" t="s">
        <v>146</v>
      </c>
      <c r="B148" s="139"/>
      <c r="C148" s="29">
        <v>0</v>
      </c>
      <c r="D148" s="64">
        <f ca="1">((100/(H136))*C148)/100</f>
        <v>0</v>
      </c>
      <c r="E148" s="140"/>
      <c r="F148" s="140"/>
      <c r="G148" s="140"/>
      <c r="H148" s="140"/>
      <c r="I148" s="46" t="s">
        <v>147</v>
      </c>
      <c r="J148" s="47">
        <f ca="1">(IF(B136&gt;1.5,(H136/(B136+2)+J142+MAX(0,J143-J142)+MAX(0,J144-J143)+MAX(0,J145-J144)+MAX(0,J146-J145)+MAX(0,J147-J146)),IF(B136=1,(H136/(B136+3)+J147),IF(B136=0,H136/4+J147))))</f>
        <v>23</v>
      </c>
    </row>
    <row r="149" spans="1:10" s="14" customFormat="1">
      <c r="A149" s="123" t="s">
        <v>113</v>
      </c>
      <c r="B149" s="123"/>
      <c r="C149" s="123" t="s">
        <v>103</v>
      </c>
      <c r="D149" s="123"/>
      <c r="E149" s="123"/>
      <c r="F149" s="123"/>
      <c r="G149" s="123"/>
      <c r="H149" s="123"/>
      <c r="I149" s="37" t="str">
        <f ca="1">(IF(E153&gt;99%,"All work completed. Please provide OC.",IF(E153&gt;89.8%,"Plinth, RCC, Brick, Plaster, Flooring, Painting work Completed. Finishing work is in process.",IF(E153&lt;94%,(IF(C153=0,"Work not yet Started.",IF(D153=25%,"Piling work in process",IF(D153=50%,"Excavation work in process",IF(D153=100%,"Excavation work Completed. ","0")))&amp;(IF(C154=0%,"",IF(C154=J155,"Footing work is process",IF(C154=J156,"Footing work Completed",IF(C154=J157,"1st Basement Completed",IF(C154=J158,"1st &amp; 2nd Basement Completed",IF(C154=J159,"1st to 3rd Basement Completed",IF(C154=J160,"1st to 4th Basement Completed",IF(C154=J161,"Plinth work is process",IF(C154=J162,"Plinth work completed","0")))))))))))&amp;(IF(C155=(D150+F150+H150),", RCC Slab Completed",IF(C155&gt;0,", RCC upto "&amp;C155&amp;" Slab Completed",""))&amp;(IF(C156=H150,", Brickwork Completed",IF(C156&gt;0,", Brickwork upto "&amp;C156&amp;" Floor Completed",""))&amp;(IF(C157=H150,", Internal Plaster Completed",IF(C157&gt;0,", Internal Plaster upto "&amp;C157&amp;" Floor Completed",""))&amp;(IF(C158=H150,", External Plaster Completed",IF(C158&gt;0,", External Plaster upto "&amp;C158&amp;" Floor Completed",""))&amp;(IF(C159=H150,", Flooring Completed",IF(C159&gt;0,", Flooring upto "&amp;C159&amp;" Floor Completed",""))&amp;(IF(C160=H150,", Painting Completed",IF(C160&gt;0,", Painting upto "&amp;C160&amp;" Floor Completed",""))&amp;(IF(C161&gt;0,", Finishing upto "&amp;C161&amp;" Floor Completed","")&amp;(IF(C155&gt;0.5,".",""))))))))))))))</f>
        <v>Excavation work Completed. Plinth work completed, RCC Slab Completed, Brickwork Completed, Internal Plaster upto 20 Floor Completed, External Plaster upto 15 Floor Completed.</v>
      </c>
      <c r="J149" s="38"/>
    </row>
    <row r="150" spans="1:10" s="14" customFormat="1">
      <c r="A150" s="65" t="s">
        <v>114</v>
      </c>
      <c r="B150" s="65">
        <v>0</v>
      </c>
      <c r="C150" s="65" t="s">
        <v>115</v>
      </c>
      <c r="D150" s="65">
        <v>1</v>
      </c>
      <c r="E150" s="65" t="s">
        <v>116</v>
      </c>
      <c r="F150" s="65">
        <v>0</v>
      </c>
      <c r="G150" s="65" t="s">
        <v>117</v>
      </c>
      <c r="H150" s="65">
        <f ca="1">--TRIM(RIGHT(SUBSTITUTE(LEFT(C149,_xlfn.AGGREGATE(16,6,FIND({0,1,2,3,4,5,6,7,8,9},C149,ROW(INDIRECT("1:"&amp;LEN(C149)))),1))," ",REPT(" ",LEN(C149))),LEN(C149)))</f>
        <v>23</v>
      </c>
      <c r="I150" s="39"/>
      <c r="J150" s="40"/>
    </row>
    <row r="151" spans="1:10" s="14" customFormat="1" ht="50.15" customHeight="1">
      <c r="A151" s="111" t="s">
        <v>118</v>
      </c>
      <c r="B151" s="111"/>
      <c r="C151" s="123" t="str">
        <f ca="1">(IF($G$62="NA",I149,"All work Completed. OC Received."))</f>
        <v>Excavation work Completed. Plinth work completed, RCC Slab Completed, Brickwork Completed, Internal Plaster upto 20 Floor Completed, External Plaster upto 15 Floor Completed.</v>
      </c>
      <c r="D151" s="123"/>
      <c r="E151" s="123"/>
      <c r="F151" s="123"/>
      <c r="G151" s="123"/>
      <c r="H151" s="123"/>
      <c r="I151" s="39" t="s">
        <v>119</v>
      </c>
      <c r="J151" s="40"/>
    </row>
    <row r="152" spans="1:10" s="14" customFormat="1" ht="15.75" customHeight="1">
      <c r="A152" s="139" t="s">
        <v>120</v>
      </c>
      <c r="B152" s="139"/>
      <c r="C152" s="63" t="s">
        <v>121</v>
      </c>
      <c r="D152" s="63" t="s">
        <v>122</v>
      </c>
      <c r="E152" s="139" t="s">
        <v>123</v>
      </c>
      <c r="F152" s="139"/>
      <c r="G152" s="139" t="s">
        <v>124</v>
      </c>
      <c r="H152" s="139"/>
      <c r="I152" s="41" t="s">
        <v>125</v>
      </c>
      <c r="J152" s="42">
        <f ca="1">H150*25%</f>
        <v>5.75</v>
      </c>
    </row>
    <row r="153" spans="1:10" s="14" customFormat="1">
      <c r="A153" s="141" t="s">
        <v>126</v>
      </c>
      <c r="B153" s="139"/>
      <c r="C153" s="29">
        <f ca="1">J154</f>
        <v>23</v>
      </c>
      <c r="D153" s="30">
        <f ca="1">((100/H150)*C153)/100</f>
        <v>1</v>
      </c>
      <c r="E153" s="140">
        <f ca="1">(((C154/H150*10)+(40/(D150+F150+H150)*C155)+(7.5/(H150)*C156)+(7.5/(H150)*C157)+(10/H150*C158)+(10/H150*C159)+(5/H150*C160)+(5/H150*C161)+(5/H150*C162))/100)</f>
        <v>0.70543478260869563</v>
      </c>
      <c r="F153" s="140"/>
      <c r="G153" s="140">
        <f ca="1">((((C153/H150)*20)+((C154/H150)*25)+(30/(H150+F150+D150)*C155)+(5/H150*C156)+(5/H150*C157)+(5/H150*C158)+(5/H150*C159)+(0/H150*C160)+(0/H150*C161)+(5/H150*C162))/100)</f>
        <v>0.87608695652173907</v>
      </c>
      <c r="H153" s="154"/>
      <c r="I153" s="41" t="s">
        <v>127</v>
      </c>
      <c r="J153" s="43">
        <f ca="1">H150*50%</f>
        <v>11.5</v>
      </c>
    </row>
    <row r="154" spans="1:10" s="14" customFormat="1">
      <c r="A154" s="141" t="s">
        <v>128</v>
      </c>
      <c r="B154" s="139"/>
      <c r="C154" s="31">
        <v>23</v>
      </c>
      <c r="D154" s="30">
        <f ca="1">((100/H150)*C154)/100</f>
        <v>1</v>
      </c>
      <c r="E154" s="140"/>
      <c r="F154" s="140"/>
      <c r="G154" s="140"/>
      <c r="H154" s="154"/>
      <c r="I154" s="41" t="s">
        <v>129</v>
      </c>
      <c r="J154" s="43">
        <f ca="1">H150</f>
        <v>23</v>
      </c>
    </row>
    <row r="155" spans="1:10" s="14" customFormat="1" ht="15.75" customHeight="1">
      <c r="A155" s="143" t="s">
        <v>130</v>
      </c>
      <c r="B155" s="101"/>
      <c r="C155" s="31">
        <v>24</v>
      </c>
      <c r="D155" s="30">
        <f ca="1">((100/(D150+F150+H150))*C155)/100</f>
        <v>1</v>
      </c>
      <c r="E155" s="140"/>
      <c r="F155" s="140"/>
      <c r="G155" s="140"/>
      <c r="H155" s="154"/>
      <c r="I155" s="41" t="s">
        <v>131</v>
      </c>
      <c r="J155" s="44">
        <f ca="1">(IF(B150&gt;1,(H150/(B150+2)),H150/4))</f>
        <v>5.75</v>
      </c>
    </row>
    <row r="156" spans="1:10" s="14" customFormat="1" ht="15.75" customHeight="1">
      <c r="A156" s="141" t="s">
        <v>132</v>
      </c>
      <c r="B156" s="139" t="s">
        <v>133</v>
      </c>
      <c r="C156" s="31">
        <f>C155-1</f>
        <v>23</v>
      </c>
      <c r="D156" s="30">
        <f ca="1">((100/H150)*C156)/100</f>
        <v>1</v>
      </c>
      <c r="E156" s="140"/>
      <c r="F156" s="140"/>
      <c r="G156" s="140"/>
      <c r="H156" s="154"/>
      <c r="I156" s="41" t="s">
        <v>134</v>
      </c>
      <c r="J156" s="44">
        <f ca="1">(IF(B150&gt;1,(H150/(B150+2)+J155),H150/4+J155))</f>
        <v>11.5</v>
      </c>
    </row>
    <row r="157" spans="1:10" s="14" customFormat="1" ht="15.75" customHeight="1">
      <c r="A157" s="141" t="s">
        <v>135</v>
      </c>
      <c r="B157" s="139" t="s">
        <v>133</v>
      </c>
      <c r="C157" s="31">
        <v>20</v>
      </c>
      <c r="D157" s="30">
        <f ca="1">((100/H150)*C157)/100</f>
        <v>0.86956521739130432</v>
      </c>
      <c r="E157" s="140"/>
      <c r="F157" s="140"/>
      <c r="G157" s="140"/>
      <c r="H157" s="154"/>
      <c r="I157" s="41" t="s">
        <v>136</v>
      </c>
      <c r="J157" s="44">
        <f>(IF(B150&gt;1,(H150/(B150+2)+J156),0))</f>
        <v>0</v>
      </c>
    </row>
    <row r="158" spans="1:10" s="14" customFormat="1" ht="15" customHeight="1">
      <c r="A158" s="141" t="s">
        <v>137</v>
      </c>
      <c r="B158" s="139" t="s">
        <v>138</v>
      </c>
      <c r="C158" s="31">
        <v>15</v>
      </c>
      <c r="D158" s="30">
        <f ca="1">((100/(H150))*C158)/100</f>
        <v>0.65217391304347827</v>
      </c>
      <c r="E158" s="140"/>
      <c r="F158" s="140"/>
      <c r="G158" s="140"/>
      <c r="H158" s="154"/>
      <c r="I158" s="41" t="s">
        <v>139</v>
      </c>
      <c r="J158" s="44">
        <f>(IF(B150&gt;2,(H150/(B150+2)+J157),0))</f>
        <v>0</v>
      </c>
    </row>
    <row r="159" spans="1:10" s="14" customFormat="1" ht="15.75" customHeight="1">
      <c r="A159" s="141" t="s">
        <v>140</v>
      </c>
      <c r="B159" s="139" t="s">
        <v>140</v>
      </c>
      <c r="C159" s="29">
        <v>0</v>
      </c>
      <c r="D159" s="30">
        <f ca="1">((100/H150)*C159)/100</f>
        <v>0</v>
      </c>
      <c r="E159" s="140"/>
      <c r="F159" s="140"/>
      <c r="G159" s="140"/>
      <c r="H159" s="154"/>
      <c r="I159" s="41" t="s">
        <v>141</v>
      </c>
      <c r="J159" s="45">
        <f>(IF(B150&gt;3,(H150/(B150+2)+J158),0))</f>
        <v>0</v>
      </c>
    </row>
    <row r="160" spans="1:10" s="14" customFormat="1" ht="15.75" customHeight="1">
      <c r="A160" s="141" t="s">
        <v>142</v>
      </c>
      <c r="B160" s="139"/>
      <c r="C160" s="29">
        <v>0</v>
      </c>
      <c r="D160" s="30">
        <f ca="1">((100/H150)*C160)/100</f>
        <v>0</v>
      </c>
      <c r="E160" s="140"/>
      <c r="F160" s="140"/>
      <c r="G160" s="140"/>
      <c r="H160" s="154"/>
      <c r="I160" s="41" t="s">
        <v>143</v>
      </c>
      <c r="J160" s="44">
        <f>(IF(B150&gt;4,(H150/(B150+2)+J159),0))</f>
        <v>0</v>
      </c>
    </row>
    <row r="161" spans="1:10" s="14" customFormat="1" ht="15.75" customHeight="1">
      <c r="A161" s="141" t="s">
        <v>144</v>
      </c>
      <c r="B161" s="139" t="s">
        <v>144</v>
      </c>
      <c r="C161" s="29">
        <v>0</v>
      </c>
      <c r="D161" s="30">
        <f ca="1">((100/(H150))*C161)/100</f>
        <v>0</v>
      </c>
      <c r="E161" s="140"/>
      <c r="F161" s="140"/>
      <c r="G161" s="140"/>
      <c r="H161" s="154"/>
      <c r="I161" s="41" t="s">
        <v>145</v>
      </c>
      <c r="J161" s="44">
        <f ca="1">(IF(B150=1,(H150/(B150+3)+J156),IF(B150=0,(H150/4+J156),IF(B150&gt;1,0))))</f>
        <v>17.25</v>
      </c>
    </row>
    <row r="162" spans="1:10" s="14" customFormat="1">
      <c r="A162" s="144" t="s">
        <v>146</v>
      </c>
      <c r="B162" s="145"/>
      <c r="C162" s="32">
        <v>0</v>
      </c>
      <c r="D162" s="33">
        <f ca="1">((100/(H150))*C162)/100</f>
        <v>0</v>
      </c>
      <c r="E162" s="153"/>
      <c r="F162" s="153"/>
      <c r="G162" s="153"/>
      <c r="H162" s="155"/>
      <c r="I162" s="46" t="s">
        <v>147</v>
      </c>
      <c r="J162" s="47">
        <f ca="1">(IF(B150&gt;1.5,(H150/(B150+2)+J156+MAX(0,J157-J156)+MAX(0,J158-J157)+MAX(0,J159-J158)+MAX(0,J160-J159)+MAX(0,J161-J160)),IF(B150=1,(H150/(B150+3)+J161),IF(B150=0,H150/4+J161))))</f>
        <v>23</v>
      </c>
    </row>
    <row r="163" spans="1:10" s="14" customFormat="1">
      <c r="A163" s="136" t="s">
        <v>113</v>
      </c>
      <c r="B163" s="137"/>
      <c r="C163" s="137" t="str">
        <f>D71</f>
        <v>(Cluster 15.01)  Casa Belvedere (D Wing) = Gr/St + 1st to 23rd Floor</v>
      </c>
      <c r="D163" s="137"/>
      <c r="E163" s="137"/>
      <c r="F163" s="137"/>
      <c r="G163" s="137"/>
      <c r="H163" s="138"/>
      <c r="I163" s="37" t="str">
        <f ca="1">(IF(E167&gt;99%,"All work completed. Please provide OC.",IF(E167&gt;89.8%,"Plinth, RCC, Brick, Plaster, Flooring, Painting work Completed. Finishing work is in process.",IF(E167&lt;94%,(IF(C167=0,"Work not yet Started.",IF(D167=25%,"Piling work in process",IF(D167=50%,"Excavation work in process",IF(D167=100%,"Excavation work Completed. ","0")))&amp;(IF(C168=0%,"",IF(C168=J169,"Footing work is process",IF(C168=J170,"Footing work Completed",IF(C168=J171,"1st Basement Completed",IF(C168=J172,"1st &amp; 2nd Basement Completed",IF(C168=J173,"1st to 3rd Basement Completed",IF(C168=J174,"1st to 4th Basement Completed",IF(C168=J175,"Plinth work is process",IF(C168=J176,"Plinth work completed","0")))))))))))&amp;(IF(C169=(D164+F164+H164),", RCC Slab Completed",IF(C169&gt;0,", RCC upto "&amp;C169&amp;" Slab Completed",""))&amp;(IF(C170=H164,", Brickwork Completed",IF(C170&gt;0,", Brickwork upto "&amp;C170&amp;" Floor Completed",""))&amp;(IF(C171=H164,", Internal Plaster Completed",IF(C171&gt;0,", Internal Plaster upto "&amp;C171&amp;" Floor Completed",""))&amp;(IF(C172=H164,", External Plaster Completed",IF(C172&gt;0,", External Plaster upto "&amp;C172&amp;" Floor Completed",""))&amp;(IF(C173=H164,", Flooring Completed",IF(C173&gt;0,", Flooring upto "&amp;C173&amp;" Floor Completed",""))&amp;(IF(C174=H164,", Painting Completed",IF(C174&gt;0,", Painting upto "&amp;C174&amp;" Floor Completed",""))&amp;(IF(C175&gt;0,", Finishing upto "&amp;C175&amp;" Floor Completed","")&amp;(IF(C169&gt;0.5,".",""))))))))))))))</f>
        <v>Excavation work Completed. Plinth work completed, RCC upto 6 Slab Completed, Brickwork upto 5 Floor Completed.</v>
      </c>
      <c r="J163" s="38"/>
    </row>
    <row r="164" spans="1:10" s="14" customFormat="1">
      <c r="A164" s="26" t="s">
        <v>114</v>
      </c>
      <c r="B164" s="21">
        <v>0</v>
      </c>
      <c r="C164" s="21" t="s">
        <v>115</v>
      </c>
      <c r="D164" s="21">
        <v>1</v>
      </c>
      <c r="E164" s="21" t="s">
        <v>116</v>
      </c>
      <c r="F164" s="21">
        <v>0</v>
      </c>
      <c r="G164" s="21" t="s">
        <v>117</v>
      </c>
      <c r="H164" s="27">
        <f ca="1">--TRIM(RIGHT(SUBSTITUTE(LEFT(C163,_xlfn.AGGREGATE(16,6,FIND({0,1,2,3,4,5,6,7,8,9},C163,ROW(INDIRECT("1:"&amp;LEN(C163)))),1))," ",REPT(" ",LEN(C163))),LEN(C163)))</f>
        <v>23</v>
      </c>
      <c r="I164" s="39"/>
      <c r="J164" s="40"/>
    </row>
    <row r="165" spans="1:10" s="14" customFormat="1" ht="31.5" customHeight="1">
      <c r="A165" s="151" t="s">
        <v>118</v>
      </c>
      <c r="B165" s="111"/>
      <c r="C165" s="123" t="str">
        <f ca="1">(IF($G$62="NA",I163,"All work Completed. OC Received."))</f>
        <v>Excavation work Completed. Plinth work completed, RCC upto 6 Slab Completed, Brickwork upto 5 Floor Completed.</v>
      </c>
      <c r="D165" s="123"/>
      <c r="E165" s="123"/>
      <c r="F165" s="123"/>
      <c r="G165" s="123"/>
      <c r="H165" s="152"/>
      <c r="I165" s="39" t="s">
        <v>119</v>
      </c>
      <c r="J165" s="40"/>
    </row>
    <row r="166" spans="1:10" s="14" customFormat="1" ht="15.75" customHeight="1">
      <c r="A166" s="141" t="s">
        <v>120</v>
      </c>
      <c r="B166" s="139"/>
      <c r="C166" s="28" t="s">
        <v>121</v>
      </c>
      <c r="D166" s="28" t="s">
        <v>122</v>
      </c>
      <c r="E166" s="139" t="s">
        <v>123</v>
      </c>
      <c r="F166" s="139"/>
      <c r="G166" s="139" t="s">
        <v>124</v>
      </c>
      <c r="H166" s="142"/>
      <c r="I166" s="41" t="s">
        <v>125</v>
      </c>
      <c r="J166" s="42">
        <f ca="1">H164*25%</f>
        <v>5.75</v>
      </c>
    </row>
    <row r="167" spans="1:10" s="14" customFormat="1">
      <c r="A167" s="141" t="s">
        <v>126</v>
      </c>
      <c r="B167" s="139"/>
      <c r="C167" s="29">
        <f ca="1">J168</f>
        <v>23</v>
      </c>
      <c r="D167" s="30">
        <f ca="1">((100/H164)*C167)/100</f>
        <v>1</v>
      </c>
      <c r="E167" s="140">
        <f ca="1">(((C168/H164*10)+(40/(D164+F164+H164)*C169)+(7.5/(H164)*C170)+(7.5/(H164)*C171)+(10/H164*C172)+(10/H164*C173)+(5/H164*C174)+(5/H164*C175)+(5/H164*C176))/100)</f>
        <v>0.21630434782608696</v>
      </c>
      <c r="F167" s="140"/>
      <c r="G167" s="140">
        <f ca="1">((((C167/H164)*20)+((C168/H164)*25)+(30/(H164+F164+D164)*C169)+(5/H164*C170)+(5/H164*C171)+(5/H164*C172)+(5/H164*C173)+(0/H164*C174)+(0/H164*C175)+(5/H164*C176))/100)</f>
        <v>0.53586956521739137</v>
      </c>
      <c r="H167" s="154"/>
      <c r="I167" s="41" t="s">
        <v>127</v>
      </c>
      <c r="J167" s="43">
        <f ca="1">H164*50%</f>
        <v>11.5</v>
      </c>
    </row>
    <row r="168" spans="1:10" s="14" customFormat="1">
      <c r="A168" s="141" t="s">
        <v>128</v>
      </c>
      <c r="B168" s="139"/>
      <c r="C168" s="31">
        <f ca="1">J176</f>
        <v>23</v>
      </c>
      <c r="D168" s="30">
        <f ca="1">((100/H164)*C168)/100</f>
        <v>1</v>
      </c>
      <c r="E168" s="140"/>
      <c r="F168" s="140"/>
      <c r="G168" s="140"/>
      <c r="H168" s="154"/>
      <c r="I168" s="41" t="s">
        <v>129</v>
      </c>
      <c r="J168" s="43">
        <f ca="1">H164</f>
        <v>23</v>
      </c>
    </row>
    <row r="169" spans="1:10" s="14" customFormat="1" ht="15.75" customHeight="1">
      <c r="A169" s="143" t="s">
        <v>130</v>
      </c>
      <c r="B169" s="101"/>
      <c r="C169" s="31">
        <v>6</v>
      </c>
      <c r="D169" s="30">
        <f ca="1">((100/(D164+F164+H164))*C169)/100</f>
        <v>0.25</v>
      </c>
      <c r="E169" s="140"/>
      <c r="F169" s="140"/>
      <c r="G169" s="140"/>
      <c r="H169" s="154"/>
      <c r="I169" s="41" t="s">
        <v>131</v>
      </c>
      <c r="J169" s="44">
        <f ca="1">(IF(B164&gt;1,(H164/(B164+2)),H164/4))</f>
        <v>5.75</v>
      </c>
    </row>
    <row r="170" spans="1:10" s="14" customFormat="1" ht="15.75" customHeight="1">
      <c r="A170" s="141" t="s">
        <v>132</v>
      </c>
      <c r="B170" s="139" t="s">
        <v>133</v>
      </c>
      <c r="C170" s="31">
        <f>C169-1</f>
        <v>5</v>
      </c>
      <c r="D170" s="30">
        <f ca="1">((100/H164)*C170)/100</f>
        <v>0.21739130434782608</v>
      </c>
      <c r="E170" s="140"/>
      <c r="F170" s="140"/>
      <c r="G170" s="140"/>
      <c r="H170" s="154"/>
      <c r="I170" s="41" t="s">
        <v>134</v>
      </c>
      <c r="J170" s="44">
        <f ca="1">(IF(B164&gt;1,(H164/(B164+2)+J169),H164/4+J169))</f>
        <v>11.5</v>
      </c>
    </row>
    <row r="171" spans="1:10" s="14" customFormat="1" ht="15.75" customHeight="1">
      <c r="A171" s="141" t="s">
        <v>135</v>
      </c>
      <c r="B171" s="139" t="s">
        <v>133</v>
      </c>
      <c r="C171" s="31">
        <v>0</v>
      </c>
      <c r="D171" s="30">
        <f ca="1">((100/H164)*C171)/100</f>
        <v>0</v>
      </c>
      <c r="E171" s="140"/>
      <c r="F171" s="140"/>
      <c r="G171" s="140"/>
      <c r="H171" s="154"/>
      <c r="I171" s="41" t="s">
        <v>136</v>
      </c>
      <c r="J171" s="44">
        <f>(IF(B164&gt;1,(H164/(B164+2)+J170),0))</f>
        <v>0</v>
      </c>
    </row>
    <row r="172" spans="1:10" s="14" customFormat="1" ht="15" customHeight="1">
      <c r="A172" s="141" t="s">
        <v>137</v>
      </c>
      <c r="B172" s="139" t="s">
        <v>138</v>
      </c>
      <c r="C172" s="31">
        <v>0</v>
      </c>
      <c r="D172" s="30">
        <f ca="1">((100/(H164))*C172)/100</f>
        <v>0</v>
      </c>
      <c r="E172" s="140"/>
      <c r="F172" s="140"/>
      <c r="G172" s="140"/>
      <c r="H172" s="154"/>
      <c r="I172" s="41" t="s">
        <v>139</v>
      </c>
      <c r="J172" s="44">
        <f>(IF(B164&gt;2,(H164/(B164+2)+J171),0))</f>
        <v>0</v>
      </c>
    </row>
    <row r="173" spans="1:10" s="14" customFormat="1" ht="15.75" customHeight="1">
      <c r="A173" s="141" t="s">
        <v>140</v>
      </c>
      <c r="B173" s="139" t="s">
        <v>140</v>
      </c>
      <c r="C173" s="29">
        <v>0</v>
      </c>
      <c r="D173" s="30">
        <f ca="1">((100/H164)*C173)/100</f>
        <v>0</v>
      </c>
      <c r="E173" s="140"/>
      <c r="F173" s="140"/>
      <c r="G173" s="140"/>
      <c r="H173" s="154"/>
      <c r="I173" s="41" t="s">
        <v>141</v>
      </c>
      <c r="J173" s="45">
        <f>(IF(B164&gt;3,(H164/(B164+2)+J172),0))</f>
        <v>0</v>
      </c>
    </row>
    <row r="174" spans="1:10" s="14" customFormat="1" ht="15.75" customHeight="1">
      <c r="A174" s="141" t="s">
        <v>142</v>
      </c>
      <c r="B174" s="139"/>
      <c r="C174" s="29">
        <v>0</v>
      </c>
      <c r="D174" s="30">
        <f ca="1">((100/H164)*C174)/100</f>
        <v>0</v>
      </c>
      <c r="E174" s="140"/>
      <c r="F174" s="140"/>
      <c r="G174" s="140"/>
      <c r="H174" s="154"/>
      <c r="I174" s="41" t="s">
        <v>143</v>
      </c>
      <c r="J174" s="44">
        <f>(IF(B164&gt;4,(H164/(B164+2)+J173),0))</f>
        <v>0</v>
      </c>
    </row>
    <row r="175" spans="1:10" s="14" customFormat="1" ht="15.75" customHeight="1">
      <c r="A175" s="141" t="s">
        <v>144</v>
      </c>
      <c r="B175" s="139" t="s">
        <v>144</v>
      </c>
      <c r="C175" s="29">
        <v>0</v>
      </c>
      <c r="D175" s="30">
        <f ca="1">((100/(H164))*C175)/100</f>
        <v>0</v>
      </c>
      <c r="E175" s="140"/>
      <c r="F175" s="140"/>
      <c r="G175" s="140"/>
      <c r="H175" s="154"/>
      <c r="I175" s="41" t="s">
        <v>145</v>
      </c>
      <c r="J175" s="44">
        <f ca="1">(IF(B164=1,(H164/(B164+3)+J170),IF(B164=0,(H164/4+J170),IF(B164&gt;1,0))))</f>
        <v>17.25</v>
      </c>
    </row>
    <row r="176" spans="1:10" s="14" customFormat="1">
      <c r="A176" s="156" t="s">
        <v>146</v>
      </c>
      <c r="B176" s="157"/>
      <c r="C176" s="66">
        <v>0</v>
      </c>
      <c r="D176" s="67">
        <f ca="1">((100/(H164))*C176)/100</f>
        <v>0</v>
      </c>
      <c r="E176" s="159"/>
      <c r="F176" s="159"/>
      <c r="G176" s="159"/>
      <c r="H176" s="160"/>
      <c r="I176" s="46" t="s">
        <v>147</v>
      </c>
      <c r="J176" s="47">
        <f ca="1">(IF(B164&gt;1.5,(H164/(B164+2)+J170+MAX(0,J171-J170)+MAX(0,J172-J171)+MAX(0,J173-J172)+MAX(0,J174-J173)+MAX(0,J175-J174)),IF(B164=1,(H164/(B164+3)+J175),IF(B164=0,H164/4+J175))))</f>
        <v>23</v>
      </c>
    </row>
    <row r="177" spans="1:12" s="14" customFormat="1">
      <c r="A177" s="111" t="s">
        <v>152</v>
      </c>
      <c r="B177" s="111"/>
      <c r="C177" s="111"/>
      <c r="D177" s="111"/>
      <c r="E177" s="111"/>
      <c r="F177" s="111"/>
      <c r="G177" s="111"/>
      <c r="H177" s="111"/>
    </row>
    <row r="178" spans="1:12">
      <c r="A178" s="73" t="s">
        <v>153</v>
      </c>
      <c r="B178" s="73"/>
      <c r="C178" s="73"/>
      <c r="D178" s="73"/>
      <c r="E178" s="73"/>
      <c r="F178" s="158">
        <v>7900</v>
      </c>
      <c r="G178" s="158"/>
      <c r="H178" s="158"/>
      <c r="I178" s="161" t="s">
        <v>154</v>
      </c>
      <c r="J178" s="162"/>
      <c r="K178" s="162"/>
      <c r="L178" s="162"/>
    </row>
    <row r="179" spans="1:12" ht="15.5" hidden="1" customHeight="1">
      <c r="A179" s="73" t="s">
        <v>155</v>
      </c>
      <c r="B179" s="73"/>
      <c r="C179" s="73"/>
      <c r="D179" s="73"/>
      <c r="E179" s="73"/>
      <c r="F179" s="163"/>
      <c r="G179" s="163"/>
      <c r="H179" s="163"/>
      <c r="I179" s="161" t="s">
        <v>281</v>
      </c>
      <c r="J179" s="162"/>
      <c r="K179" s="162"/>
      <c r="L179" s="162"/>
    </row>
    <row r="180" spans="1:12" s="15" customFormat="1" ht="30.75" customHeight="1">
      <c r="A180" s="74" t="s">
        <v>157</v>
      </c>
      <c r="B180" s="73"/>
      <c r="C180" s="73"/>
      <c r="D180" s="73"/>
      <c r="E180" s="73"/>
      <c r="F180" s="163">
        <v>150000</v>
      </c>
      <c r="G180" s="163"/>
      <c r="H180" s="163"/>
      <c r="I180" s="161" t="s">
        <v>156</v>
      </c>
      <c r="J180" s="162"/>
      <c r="K180" s="162"/>
      <c r="L180" s="162"/>
    </row>
    <row r="181" spans="1:12" s="15" customFormat="1">
      <c r="A181" s="74" t="s">
        <v>158</v>
      </c>
      <c r="B181" s="73"/>
      <c r="C181" s="73"/>
      <c r="D181" s="73"/>
      <c r="E181" s="73"/>
      <c r="F181" s="163">
        <v>350000</v>
      </c>
      <c r="G181" s="163"/>
      <c r="H181" s="163"/>
      <c r="I181" s="164" t="s">
        <v>159</v>
      </c>
      <c r="J181" s="165"/>
      <c r="K181" s="165"/>
      <c r="L181" s="165"/>
    </row>
    <row r="182" spans="1:12" s="15" customFormat="1">
      <c r="A182" s="73" t="s">
        <v>160</v>
      </c>
      <c r="B182" s="73"/>
      <c r="C182" s="73"/>
      <c r="D182" s="73"/>
      <c r="E182" s="73"/>
      <c r="F182" s="163">
        <v>90000</v>
      </c>
      <c r="G182" s="163"/>
      <c r="H182" s="163"/>
    </row>
    <row r="183" spans="1:12" s="15" customFormat="1">
      <c r="A183" s="73" t="s">
        <v>161</v>
      </c>
      <c r="B183" s="73"/>
      <c r="C183" s="73"/>
      <c r="D183" s="73"/>
      <c r="E183" s="73"/>
      <c r="F183" s="163">
        <v>5000</v>
      </c>
      <c r="G183" s="163"/>
      <c r="H183" s="163"/>
      <c r="I183" s="15" t="s">
        <v>282</v>
      </c>
    </row>
    <row r="184" spans="1:12" s="15" customFormat="1" hidden="1">
      <c r="A184" s="73" t="s">
        <v>162</v>
      </c>
      <c r="B184" s="73"/>
      <c r="C184" s="73"/>
      <c r="D184" s="73"/>
      <c r="E184" s="73"/>
      <c r="F184" s="163"/>
      <c r="G184" s="163"/>
      <c r="H184" s="163"/>
    </row>
    <row r="185" spans="1:12" s="15" customFormat="1" hidden="1">
      <c r="A185" s="73" t="s">
        <v>163</v>
      </c>
      <c r="B185" s="73"/>
      <c r="C185" s="73"/>
      <c r="D185" s="73"/>
      <c r="E185" s="73"/>
      <c r="F185" s="163"/>
      <c r="G185" s="163"/>
      <c r="H185" s="163"/>
    </row>
    <row r="186" spans="1:12" s="15" customFormat="1" hidden="1">
      <c r="A186" s="73" t="s">
        <v>164</v>
      </c>
      <c r="B186" s="73"/>
      <c r="C186" s="73"/>
      <c r="D186" s="73"/>
      <c r="E186" s="73"/>
      <c r="F186" s="163"/>
      <c r="G186" s="163"/>
      <c r="H186" s="163"/>
    </row>
    <row r="187" spans="1:12" s="15" customFormat="1" hidden="1">
      <c r="A187" s="73" t="s">
        <v>165</v>
      </c>
      <c r="B187" s="73"/>
      <c r="C187" s="73"/>
      <c r="D187" s="73"/>
      <c r="E187" s="73"/>
      <c r="F187" s="163"/>
      <c r="G187" s="163"/>
      <c r="H187" s="163"/>
    </row>
    <row r="188" spans="1:12">
      <c r="A188" s="73" t="s">
        <v>166</v>
      </c>
      <c r="B188" s="73"/>
      <c r="C188" s="73"/>
      <c r="D188" s="73"/>
      <c r="E188" s="73"/>
      <c r="F188" s="163">
        <v>500000</v>
      </c>
      <c r="G188" s="163"/>
      <c r="H188" s="163"/>
    </row>
    <row r="189" spans="1:12" s="16" customFormat="1">
      <c r="A189" s="75" t="s">
        <v>167</v>
      </c>
      <c r="B189" s="75"/>
      <c r="C189" s="75"/>
      <c r="D189" s="75"/>
      <c r="E189" s="75"/>
      <c r="F189" s="163">
        <f>F178*0.8</f>
        <v>6320</v>
      </c>
      <c r="G189" s="163"/>
      <c r="H189" s="163"/>
    </row>
    <row r="190" spans="1:12" s="17" customFormat="1">
      <c r="A190" s="166" t="s">
        <v>168</v>
      </c>
      <c r="B190" s="166"/>
      <c r="C190" s="166"/>
      <c r="D190" s="166"/>
      <c r="E190" s="166"/>
      <c r="F190" s="166"/>
      <c r="G190" s="166"/>
      <c r="H190" s="166"/>
    </row>
    <row r="191" spans="1:12" s="17" customFormat="1" ht="15.75" customHeight="1">
      <c r="A191" s="167" t="s">
        <v>169</v>
      </c>
      <c r="B191" s="167"/>
      <c r="C191" s="168" t="s">
        <v>170</v>
      </c>
      <c r="D191" s="168"/>
      <c r="E191" s="169" t="s">
        <v>171</v>
      </c>
      <c r="F191" s="169"/>
      <c r="G191" s="167" t="s">
        <v>172</v>
      </c>
      <c r="H191" s="167"/>
    </row>
    <row r="192" spans="1:12" s="17" customFormat="1">
      <c r="A192" s="170" t="s">
        <v>173</v>
      </c>
      <c r="B192" s="170"/>
      <c r="C192" s="171">
        <f>COUNT(D209:D210,D213:D213)+COUNT(D215:D220)*2+COUNT(D222:D227)*9+COUNT(D229:D234)*9+COUNT(D236:D238,D240:D241)*3</f>
        <v>138</v>
      </c>
      <c r="D192" s="171"/>
      <c r="E192" s="172">
        <f>SUM(D209:D210,D213:D213)+SUM(D215:D220)*2+SUM(D222:D227)*9+SUM(D229:D234)*9+SUM(D236:D238,D240:D241)*3</f>
        <v>79180.199280000015</v>
      </c>
      <c r="F192" s="172"/>
      <c r="G192" s="172">
        <f>SUM(F209:F210,F213:F213)+SUM(F215:F220)*2+SUM(F222:F227)*9+SUM(F229:F234)*9+SUM(F236:F238,F240:F241)*3</f>
        <v>118770.29892000002</v>
      </c>
      <c r="H192" s="172"/>
    </row>
    <row r="193" spans="1:13" s="17" customFormat="1">
      <c r="A193" s="170" t="s">
        <v>174</v>
      </c>
      <c r="B193" s="170"/>
      <c r="C193" s="171">
        <f>COUNT(D244:D248)+COUNT(D250:D255)*2+COUNT(D257:D262)*9+COUNT(D264:D269)*9+COUNT(D271:D273,D275:D276)*3</f>
        <v>140</v>
      </c>
      <c r="D193" s="171"/>
      <c r="E193" s="172">
        <f>SUM(D244:D248)+SUM(D250:D255)*2+SUM(D257:D262)*9+SUM(D264:D269)*9+SUM(D271:D273,D275:D276)*3</f>
        <v>80278.342560000019</v>
      </c>
      <c r="F193" s="172"/>
      <c r="G193" s="172">
        <f>SUM(F244:F248)+SUM(F250:F255)*2+SUM(F257:F262)*9+SUM(F264:F269)*9+SUM(F271:F273,F275:F276)*3</f>
        <v>120417.51384000001</v>
      </c>
      <c r="H193" s="172"/>
    </row>
    <row r="194" spans="1:13" s="17" customFormat="1">
      <c r="A194" s="173" t="s">
        <v>175</v>
      </c>
      <c r="B194" s="173"/>
      <c r="C194" s="174">
        <f>COUNT(D314:D315,D319)+COUNT(D321:D326)*2+COUNT(D328:D333)*9+COUNT(D335:D340)*9+COUNT(D342:D344,D346:D347)*3</f>
        <v>138</v>
      </c>
      <c r="D194" s="174"/>
      <c r="E194" s="175">
        <f>SUM(D314:D315,D319)+SUM(D321:D326)*2+SUM(D328:D333)*9+SUM(D335:D340)*9+SUM(D342:D344,D346:D347)*3</f>
        <v>79307.429760000014</v>
      </c>
      <c r="F194" s="175"/>
      <c r="G194" s="175">
        <f>SUM(F314:F315,F319)+SUM(F321:F326)*2+SUM(F328:F333)*9+SUM(F335:F340)*9+SUM(F342:F344,F346:F347)*3</f>
        <v>118961.14464000001</v>
      </c>
      <c r="H194" s="175"/>
    </row>
    <row r="195" spans="1:13" s="17" customFormat="1">
      <c r="A195" s="170" t="s">
        <v>176</v>
      </c>
      <c r="B195" s="170"/>
      <c r="C195" s="171">
        <f>COUNT(D279:D280,D283)+COUNT(D285:D290)*2+COUNT(D292:D297)*9+COUNT(D299:D304)*9+COUNT(D306:D308,D310:D311)*3</f>
        <v>138</v>
      </c>
      <c r="D195" s="171"/>
      <c r="E195" s="172">
        <f>SUM(D279:D280,D283)+SUM(D285:D290)*2+SUM(D292:D297)*9+SUM(D299:D304)*9+SUM(D306:D308,D310:D311)*3</f>
        <v>79180.199280000015</v>
      </c>
      <c r="F195" s="172"/>
      <c r="G195" s="172">
        <f>SUM(F279:F280,F283)+SUM(F285:F290)*2+SUM(F292:F297)*9+SUM(F299:F304)*9+SUM(F306:F308,F310:F311)*3</f>
        <v>118770.29892000002</v>
      </c>
      <c r="H195" s="172"/>
    </row>
    <row r="196" spans="1:13" s="17" customFormat="1">
      <c r="A196" s="170" t="s">
        <v>177</v>
      </c>
      <c r="B196" s="170"/>
      <c r="C196" s="171">
        <f>COUNT(D350:D353,D355:D356)+COUNT(D358:D364)*20+COUNT(D374:D377,D379:D380)*3</f>
        <v>164</v>
      </c>
      <c r="D196" s="171"/>
      <c r="E196" s="172">
        <f>SUM(D350:D353,D355:D356)+SUM(D358:D364)*20+SUM(D374:D377,D379:D380)*3</f>
        <v>108973.82967119999</v>
      </c>
      <c r="F196" s="172"/>
      <c r="G196" s="172">
        <f>SUM(F350:F353,F355:F356)+SUM(F358:F364)*20+SUM(F374:F377,F379:F380)*3</f>
        <v>163460.74450679999</v>
      </c>
      <c r="H196" s="172"/>
    </row>
    <row r="197" spans="1:13" s="17" customFormat="1">
      <c r="A197" s="176" t="s">
        <v>178</v>
      </c>
      <c r="B197" s="177"/>
      <c r="C197" s="171">
        <f>COUNT(D383:D386,D388:D389)+COUNT(D391:D397)*20+COUNT(D407:D410,D412:D413)*3</f>
        <v>164</v>
      </c>
      <c r="D197" s="171"/>
      <c r="E197" s="172">
        <f>SUM(D383:D386,D388:D389)+SUM(D391:D397)*20+SUM(D407:D410,D412:D413)*3</f>
        <v>108973.82967119999</v>
      </c>
      <c r="F197" s="172"/>
      <c r="G197" s="172">
        <f>SUM(F383:F386,F388:F389)+SUM(F391:F397)*20+SUM(F407:F410,F412:F413)*3</f>
        <v>163460.74450679999</v>
      </c>
      <c r="H197" s="172"/>
    </row>
    <row r="198" spans="1:13" s="17" customFormat="1">
      <c r="A198" s="176" t="s">
        <v>179</v>
      </c>
      <c r="B198" s="177"/>
      <c r="C198" s="171">
        <f>COUNT(D416:D421)+COUNT(D423:D428)*11+COUNT(D430:D435)*9+COUNT(D437:D439,D441:D442)*3</f>
        <v>141</v>
      </c>
      <c r="D198" s="171"/>
      <c r="E198" s="172">
        <f>SUM(D416:D421)+SUM(D423:D428)*11+SUM(D430:D435)*9+SUM(D437:D439,D441:D442)*3</f>
        <v>107652.27095999999</v>
      </c>
      <c r="F198" s="172"/>
      <c r="G198" s="172">
        <f>SUM(F416:F421)+SUM(F423:F428)*11+SUM(F430:F435)*9+SUM(F437:F439,F441:F442)*3</f>
        <v>161478.40643999996</v>
      </c>
      <c r="H198" s="172"/>
    </row>
    <row r="199" spans="1:13" s="17" customFormat="1">
      <c r="A199" s="176" t="s">
        <v>180</v>
      </c>
      <c r="B199" s="177"/>
      <c r="C199" s="171">
        <f>COUNT(D445:D450)+COUNT(D452:D457)*20+COUNT(D466:D468,D470:D471)*3</f>
        <v>141</v>
      </c>
      <c r="D199" s="171"/>
      <c r="E199" s="172">
        <f>SUM(D445:D450)+SUM(D452:D457)*20+SUM(D466:D468,D470:D471)*3</f>
        <v>107402.33087999999</v>
      </c>
      <c r="F199" s="172"/>
      <c r="G199" s="172">
        <f>SUM(F445:F450)+SUM(F452:F457)*20+SUM(F466:F468,F470:F471)*3</f>
        <v>161103.49632000001</v>
      </c>
      <c r="H199" s="172"/>
    </row>
    <row r="200" spans="1:13" s="17" customFormat="1">
      <c r="A200" s="166" t="s">
        <v>181</v>
      </c>
      <c r="B200" s="166"/>
      <c r="C200" s="178">
        <f>SUM(C192:D199)</f>
        <v>1164</v>
      </c>
      <c r="D200" s="178"/>
      <c r="E200" s="179">
        <f>SUM(E192:F199)</f>
        <v>750948.43206240004</v>
      </c>
      <c r="F200" s="179"/>
      <c r="G200" s="167">
        <f>SUM(G192:H199)</f>
        <v>1126422.6480936001</v>
      </c>
      <c r="H200" s="167"/>
    </row>
    <row r="201" spans="1:13" s="16" customFormat="1">
      <c r="A201" s="79" t="s">
        <v>182</v>
      </c>
      <c r="B201" s="79"/>
      <c r="C201" s="79"/>
      <c r="D201" s="79"/>
      <c r="E201" s="79"/>
      <c r="F201" s="79"/>
      <c r="G201" s="79"/>
      <c r="H201" s="79"/>
      <c r="J201" s="17"/>
      <c r="K201" s="17"/>
      <c r="L201" s="17"/>
      <c r="M201" s="17"/>
    </row>
    <row r="202" spans="1:13">
      <c r="A202" s="79" t="s">
        <v>183</v>
      </c>
      <c r="B202" s="79"/>
      <c r="C202" s="79"/>
      <c r="D202" s="79"/>
      <c r="E202" s="79"/>
      <c r="F202" s="79"/>
      <c r="G202" s="79"/>
      <c r="H202" s="79"/>
    </row>
    <row r="203" spans="1:13" ht="47.25" customHeight="1">
      <c r="A203" s="183" t="s">
        <v>184</v>
      </c>
      <c r="B203" s="183" t="s">
        <v>185</v>
      </c>
      <c r="C203" s="214" t="s">
        <v>186</v>
      </c>
      <c r="D203" s="214" t="s">
        <v>187</v>
      </c>
      <c r="E203" s="216" t="s">
        <v>188</v>
      </c>
      <c r="F203" s="48" t="s">
        <v>189</v>
      </c>
      <c r="G203" s="183" t="s">
        <v>190</v>
      </c>
      <c r="H203" s="184"/>
      <c r="I203" s="53"/>
    </row>
    <row r="204" spans="1:13" s="18" customFormat="1">
      <c r="A204" s="185"/>
      <c r="B204" s="185"/>
      <c r="C204" s="215"/>
      <c r="D204" s="215"/>
      <c r="E204" s="217"/>
      <c r="F204" s="49">
        <v>0.5</v>
      </c>
      <c r="G204" s="185"/>
      <c r="H204" s="186"/>
      <c r="I204" s="53"/>
    </row>
    <row r="205" spans="1:13">
      <c r="A205" s="79" t="s">
        <v>191</v>
      </c>
      <c r="B205" s="79"/>
      <c r="C205" s="79"/>
      <c r="D205" s="79"/>
      <c r="E205" s="79"/>
      <c r="F205" s="79"/>
      <c r="G205" s="79"/>
      <c r="H205" s="79"/>
    </row>
    <row r="206" spans="1:13">
      <c r="A206" s="79" t="s">
        <v>192</v>
      </c>
      <c r="B206" s="79"/>
      <c r="C206" s="79"/>
      <c r="D206" s="79"/>
      <c r="E206" s="79"/>
      <c r="F206" s="79"/>
      <c r="G206" s="79"/>
      <c r="H206" s="79"/>
    </row>
    <row r="207" spans="1:13">
      <c r="A207" s="79" t="s">
        <v>173</v>
      </c>
      <c r="B207" s="79"/>
      <c r="C207" s="79"/>
      <c r="D207" s="79"/>
      <c r="E207" s="79"/>
      <c r="F207" s="79"/>
      <c r="G207" s="79"/>
      <c r="H207" s="79"/>
      <c r="K207" s="52">
        <v>10.763999999999999</v>
      </c>
    </row>
    <row r="208" spans="1:13" s="18" customFormat="1">
      <c r="A208" s="180" t="s">
        <v>193</v>
      </c>
      <c r="B208" s="180"/>
      <c r="C208" s="180"/>
      <c r="D208" s="180"/>
      <c r="E208" s="180"/>
      <c r="F208" s="180"/>
      <c r="G208" s="180"/>
      <c r="H208" s="180"/>
      <c r="I208" s="53"/>
      <c r="L208" s="181"/>
      <c r="M208" s="181"/>
    </row>
    <row r="209" spans="1:14" s="18" customFormat="1" ht="15.75" customHeight="1">
      <c r="A209" s="182">
        <v>1</v>
      </c>
      <c r="B209" s="182"/>
      <c r="C209" s="51" t="s">
        <v>194</v>
      </c>
      <c r="D209" s="52">
        <f>(51.01)*10.764</f>
        <v>549.07163999999989</v>
      </c>
      <c r="E209" s="50">
        <v>0</v>
      </c>
      <c r="F209" s="50">
        <f t="shared" ref="F209:F210" si="0">D209*(($F$204)+1)+(IF(E209&lt;101,E209,IF(E209&lt;201,E209/2,IF(E209&lt;=301,E209/3,E209/4))))</f>
        <v>823.60745999999983</v>
      </c>
      <c r="G209" s="196" t="str">
        <f>A208</f>
        <v>Ground Floor for Residential</v>
      </c>
      <c r="H209" s="197"/>
      <c r="I209" s="53">
        <f>4.32*3.05+2.6*2.13+2.9*2.75+1.4*0.6+2.75*2.9+1.7*0.6+1.5*2.28+0.9*2.11+0.74*0.9</f>
        <v>42.509</v>
      </c>
      <c r="J209" s="53"/>
      <c r="N209" s="53"/>
    </row>
    <row r="210" spans="1:14" s="18" customFormat="1" ht="15.75" customHeight="1">
      <c r="A210" s="182">
        <v>2</v>
      </c>
      <c r="B210" s="182"/>
      <c r="C210" s="51" t="s">
        <v>194</v>
      </c>
      <c r="D210" s="52">
        <f>(51.01)*10.764</f>
        <v>549.07163999999989</v>
      </c>
      <c r="E210" s="50">
        <v>0</v>
      </c>
      <c r="F210" s="50">
        <f t="shared" si="0"/>
        <v>823.60745999999983</v>
      </c>
      <c r="G210" s="198"/>
      <c r="H210" s="199"/>
      <c r="I210" s="53"/>
      <c r="J210" s="53"/>
      <c r="N210" s="53"/>
    </row>
    <row r="211" spans="1:14" s="18" customFormat="1" ht="15.75" customHeight="1">
      <c r="A211" s="182">
        <v>3</v>
      </c>
      <c r="B211" s="182"/>
      <c r="C211" s="187" t="s">
        <v>195</v>
      </c>
      <c r="D211" s="188"/>
      <c r="E211" s="188"/>
      <c r="F211" s="189"/>
      <c r="G211" s="198"/>
      <c r="H211" s="199"/>
      <c r="I211" s="53"/>
      <c r="N211" s="53"/>
    </row>
    <row r="212" spans="1:14" s="18" customFormat="1" ht="15.75" customHeight="1">
      <c r="A212" s="182">
        <v>4</v>
      </c>
      <c r="B212" s="182"/>
      <c r="C212" s="187" t="s">
        <v>196</v>
      </c>
      <c r="D212" s="188"/>
      <c r="E212" s="188"/>
      <c r="F212" s="189"/>
      <c r="G212" s="198"/>
      <c r="H212" s="199"/>
      <c r="I212" s="53"/>
      <c r="N212" s="53"/>
    </row>
    <row r="213" spans="1:14" s="18" customFormat="1" ht="15.75" customHeight="1">
      <c r="A213" s="182">
        <v>5</v>
      </c>
      <c r="B213" s="182"/>
      <c r="C213" s="51" t="s">
        <v>197</v>
      </c>
      <c r="D213" s="52">
        <f>(44.36)*10.764</f>
        <v>477.49103999999994</v>
      </c>
      <c r="E213" s="50">
        <v>0</v>
      </c>
      <c r="F213" s="50">
        <f t="shared" ref="F213" si="1">D213*(($F$204)+1)+(IF(E213&lt;101,E213,IF(E213&lt;201,E213/2,IF(E213&lt;=301,E213/3,E213/4))))</f>
        <v>716.23655999999994</v>
      </c>
      <c r="G213" s="200"/>
      <c r="H213" s="201"/>
      <c r="I213" s="53"/>
      <c r="J213" s="53"/>
      <c r="N213" s="53"/>
    </row>
    <row r="214" spans="1:14" s="18" customFormat="1">
      <c r="A214" s="190" t="s">
        <v>198</v>
      </c>
      <c r="B214" s="191"/>
      <c r="C214" s="191"/>
      <c r="D214" s="191"/>
      <c r="E214" s="191"/>
      <c r="F214" s="191"/>
      <c r="G214" s="191"/>
      <c r="H214" s="192"/>
      <c r="I214" s="53"/>
    </row>
    <row r="215" spans="1:14" s="18" customFormat="1" ht="15.75" customHeight="1">
      <c r="A215" s="187">
        <v>1</v>
      </c>
      <c r="B215" s="189"/>
      <c r="C215" s="51" t="s">
        <v>194</v>
      </c>
      <c r="D215" s="52">
        <f>(50.34)*10.764</f>
        <v>541.85976000000005</v>
      </c>
      <c r="E215" s="50">
        <v>0</v>
      </c>
      <c r="F215" s="50">
        <f t="shared" ref="F215:F220" si="2">D215*(($F$204)+1)+(IF(E215&lt;101,E215,IF(E215&lt;201,E215/2,IF(E215&lt;=301,E215/3,E215/4))))</f>
        <v>812.78964000000008</v>
      </c>
      <c r="G215" s="196" t="str">
        <f>A214</f>
        <v>1st &amp; 2nd Floor</v>
      </c>
      <c r="H215" s="197"/>
      <c r="I215" s="53"/>
      <c r="J215" s="53"/>
    </row>
    <row r="216" spans="1:14" s="18" customFormat="1" ht="15.75" customHeight="1">
      <c r="A216" s="187">
        <v>2</v>
      </c>
      <c r="B216" s="189"/>
      <c r="C216" s="51" t="s">
        <v>194</v>
      </c>
      <c r="D216" s="52">
        <f>(50.34)*10.764</f>
        <v>541.85976000000005</v>
      </c>
      <c r="E216" s="50">
        <v>0</v>
      </c>
      <c r="F216" s="50">
        <f t="shared" si="2"/>
        <v>812.78964000000008</v>
      </c>
      <c r="G216" s="198"/>
      <c r="H216" s="199"/>
      <c r="I216" s="53"/>
      <c r="J216" s="53"/>
    </row>
    <row r="217" spans="1:14" s="18" customFormat="1" ht="15.75" customHeight="1">
      <c r="A217" s="187">
        <v>3</v>
      </c>
      <c r="B217" s="189"/>
      <c r="C217" s="51" t="s">
        <v>194</v>
      </c>
      <c r="D217" s="52">
        <f>(53.42)*10.764</f>
        <v>575.01288</v>
      </c>
      <c r="E217" s="50">
        <v>0</v>
      </c>
      <c r="F217" s="50">
        <f t="shared" si="2"/>
        <v>862.51931999999999</v>
      </c>
      <c r="G217" s="198"/>
      <c r="H217" s="199"/>
      <c r="I217" s="53"/>
      <c r="J217" s="53"/>
    </row>
    <row r="218" spans="1:14" s="18" customFormat="1" ht="15.75" customHeight="1">
      <c r="A218" s="187">
        <v>4</v>
      </c>
      <c r="B218" s="189"/>
      <c r="C218" s="51" t="s">
        <v>194</v>
      </c>
      <c r="D218" s="52">
        <f>(53.42)*10.764</f>
        <v>575.01288</v>
      </c>
      <c r="E218" s="50">
        <v>0</v>
      </c>
      <c r="F218" s="50">
        <f t="shared" si="2"/>
        <v>862.51931999999999</v>
      </c>
      <c r="G218" s="198"/>
      <c r="H218" s="199"/>
      <c r="I218" s="53"/>
      <c r="J218" s="53"/>
    </row>
    <row r="219" spans="1:14" s="18" customFormat="1" ht="15.75" customHeight="1">
      <c r="A219" s="187">
        <v>5</v>
      </c>
      <c r="B219" s="189"/>
      <c r="C219" s="51" t="s">
        <v>194</v>
      </c>
      <c r="D219" s="52">
        <f>(61.7)*10.764</f>
        <v>664.13879999999995</v>
      </c>
      <c r="E219" s="50">
        <v>0</v>
      </c>
      <c r="F219" s="50">
        <f t="shared" si="2"/>
        <v>996.20819999999992</v>
      </c>
      <c r="G219" s="198"/>
      <c r="H219" s="199"/>
      <c r="I219" s="53"/>
      <c r="J219" s="53"/>
    </row>
    <row r="220" spans="1:14" s="18" customFormat="1" ht="15.75" customHeight="1">
      <c r="A220" s="187">
        <v>6</v>
      </c>
      <c r="B220" s="189"/>
      <c r="C220" s="51" t="s">
        <v>194</v>
      </c>
      <c r="D220" s="52">
        <f>(53.42)*10.764</f>
        <v>575.01288</v>
      </c>
      <c r="E220" s="50">
        <v>0</v>
      </c>
      <c r="F220" s="50">
        <f t="shared" si="2"/>
        <v>862.51931999999999</v>
      </c>
      <c r="G220" s="200"/>
      <c r="H220" s="201"/>
      <c r="I220" s="53"/>
      <c r="J220" s="53"/>
    </row>
    <row r="221" spans="1:14" s="18" customFormat="1">
      <c r="A221" s="190" t="s">
        <v>199</v>
      </c>
      <c r="B221" s="191"/>
      <c r="C221" s="191"/>
      <c r="D221" s="191"/>
      <c r="E221" s="191"/>
      <c r="F221" s="191"/>
      <c r="G221" s="191"/>
      <c r="H221" s="192"/>
      <c r="I221" s="53"/>
    </row>
    <row r="222" spans="1:14" s="18" customFormat="1" ht="15.75" customHeight="1">
      <c r="A222" s="182">
        <v>1</v>
      </c>
      <c r="B222" s="182"/>
      <c r="C222" s="51" t="s">
        <v>194</v>
      </c>
      <c r="D222" s="52">
        <f>(53.27)*10.764</f>
        <v>573.39828</v>
      </c>
      <c r="E222" s="50">
        <v>0</v>
      </c>
      <c r="F222" s="50">
        <f t="shared" ref="F222:F227" si="3">D222*(($F$204)+1)+(IF(E222&lt;101,E222,IF(E222&lt;201,E222/2,IF(E222&lt;=301,E222/3,E222/4))))</f>
        <v>860.09742000000006</v>
      </c>
      <c r="G222" s="196" t="str">
        <f>A221</f>
        <v>3rd to 7th, 9th to 12th Floor</v>
      </c>
      <c r="H222" s="197"/>
      <c r="I222" s="53"/>
      <c r="J222" s="53"/>
    </row>
    <row r="223" spans="1:14" s="18" customFormat="1" ht="15.75" customHeight="1">
      <c r="A223" s="182">
        <f>A222+1</f>
        <v>2</v>
      </c>
      <c r="B223" s="182"/>
      <c r="C223" s="51" t="s">
        <v>194</v>
      </c>
      <c r="D223" s="52">
        <f>(53.27)*10.764</f>
        <v>573.39828</v>
      </c>
      <c r="E223" s="50">
        <v>0</v>
      </c>
      <c r="F223" s="50">
        <f t="shared" si="3"/>
        <v>860.09742000000006</v>
      </c>
      <c r="G223" s="198"/>
      <c r="H223" s="199"/>
      <c r="I223" s="53"/>
      <c r="J223" s="53"/>
    </row>
    <row r="224" spans="1:14" s="18" customFormat="1" ht="15.75" customHeight="1">
      <c r="A224" s="182">
        <f t="shared" ref="A224:A227" si="4">A223+1</f>
        <v>3</v>
      </c>
      <c r="B224" s="182"/>
      <c r="C224" s="51" t="s">
        <v>194</v>
      </c>
      <c r="D224" s="52">
        <f>(53.42)*10.764</f>
        <v>575.01288</v>
      </c>
      <c r="E224" s="50">
        <v>0</v>
      </c>
      <c r="F224" s="50">
        <f t="shared" si="3"/>
        <v>862.51931999999999</v>
      </c>
      <c r="G224" s="198"/>
      <c r="H224" s="199"/>
      <c r="I224" s="53"/>
      <c r="J224" s="53"/>
    </row>
    <row r="225" spans="1:10" s="18" customFormat="1" ht="15.75" customHeight="1">
      <c r="A225" s="182">
        <f t="shared" si="4"/>
        <v>4</v>
      </c>
      <c r="B225" s="182"/>
      <c r="C225" s="51" t="s">
        <v>194</v>
      </c>
      <c r="D225" s="52">
        <f t="shared" ref="D225:D227" si="5">(53.42)*10.764</f>
        <v>575.01288</v>
      </c>
      <c r="E225" s="50">
        <v>0</v>
      </c>
      <c r="F225" s="50">
        <f t="shared" si="3"/>
        <v>862.51931999999999</v>
      </c>
      <c r="G225" s="198"/>
      <c r="H225" s="199"/>
      <c r="I225" s="53"/>
      <c r="J225" s="53"/>
    </row>
    <row r="226" spans="1:10" s="18" customFormat="1" ht="15.75" customHeight="1">
      <c r="A226" s="182">
        <f t="shared" si="4"/>
        <v>5</v>
      </c>
      <c r="B226" s="182"/>
      <c r="C226" s="51" t="s">
        <v>194</v>
      </c>
      <c r="D226" s="52">
        <f t="shared" si="5"/>
        <v>575.01288</v>
      </c>
      <c r="E226" s="50">
        <v>0</v>
      </c>
      <c r="F226" s="50">
        <f t="shared" si="3"/>
        <v>862.51931999999999</v>
      </c>
      <c r="G226" s="198"/>
      <c r="H226" s="199"/>
      <c r="I226" s="53"/>
      <c r="J226" s="53"/>
    </row>
    <row r="227" spans="1:10" s="18" customFormat="1" ht="15.75" customHeight="1">
      <c r="A227" s="182">
        <f t="shared" si="4"/>
        <v>6</v>
      </c>
      <c r="B227" s="182"/>
      <c r="C227" s="51" t="s">
        <v>194</v>
      </c>
      <c r="D227" s="52">
        <f t="shared" si="5"/>
        <v>575.01288</v>
      </c>
      <c r="E227" s="50">
        <v>0</v>
      </c>
      <c r="F227" s="50">
        <f t="shared" si="3"/>
        <v>862.51931999999999</v>
      </c>
      <c r="G227" s="200"/>
      <c r="H227" s="201"/>
      <c r="I227" s="53"/>
      <c r="J227" s="53"/>
    </row>
    <row r="228" spans="1:10" s="18" customFormat="1" ht="32.25" customHeight="1">
      <c r="A228" s="180" t="s">
        <v>200</v>
      </c>
      <c r="B228" s="180"/>
      <c r="C228" s="180"/>
      <c r="D228" s="180"/>
      <c r="E228" s="180"/>
      <c r="F228" s="180"/>
      <c r="G228" s="180"/>
      <c r="H228" s="180"/>
      <c r="I228" s="53"/>
    </row>
    <row r="229" spans="1:10" s="18" customFormat="1" ht="15.75" customHeight="1">
      <c r="A229" s="182">
        <v>1</v>
      </c>
      <c r="B229" s="182"/>
      <c r="C229" s="72" t="s">
        <v>194</v>
      </c>
      <c r="D229" s="52">
        <f>(53.27)*10.764</f>
        <v>573.39828</v>
      </c>
      <c r="E229" s="71">
        <v>0</v>
      </c>
      <c r="F229" s="71">
        <f t="shared" ref="F229:F234" si="6">D229*(($F$204)+1)+(IF(E229&lt;101,E229,IF(E229&lt;201,E229/2,IF(E229&lt;=301,E229/3,E229/4))))</f>
        <v>860.09742000000006</v>
      </c>
      <c r="G229" s="182" t="str">
        <f>A228</f>
        <v>14th to 17th Floor (15th to 18th Floor as per Builder)
19th to 23rd Floor (20th to 24th Floor as per Builder)</v>
      </c>
      <c r="H229" s="182"/>
      <c r="I229" s="53"/>
      <c r="J229" s="53"/>
    </row>
    <row r="230" spans="1:10" s="18" customFormat="1" ht="15.75" customHeight="1">
      <c r="A230" s="182">
        <f>A229+1</f>
        <v>2</v>
      </c>
      <c r="B230" s="182"/>
      <c r="C230" s="72" t="s">
        <v>194</v>
      </c>
      <c r="D230" s="52">
        <f>(53.27)*10.764</f>
        <v>573.39828</v>
      </c>
      <c r="E230" s="71">
        <v>0</v>
      </c>
      <c r="F230" s="71">
        <f t="shared" si="6"/>
        <v>860.09742000000006</v>
      </c>
      <c r="G230" s="182"/>
      <c r="H230" s="182"/>
      <c r="I230" s="53"/>
      <c r="J230" s="53"/>
    </row>
    <row r="231" spans="1:10" s="18" customFormat="1" ht="15.75" customHeight="1">
      <c r="A231" s="182">
        <f t="shared" ref="A231:A234" si="7">A230+1</f>
        <v>3</v>
      </c>
      <c r="B231" s="182"/>
      <c r="C231" s="72" t="s">
        <v>194</v>
      </c>
      <c r="D231" s="52">
        <f>(53.42)*10.764</f>
        <v>575.01288</v>
      </c>
      <c r="E231" s="71">
        <v>0</v>
      </c>
      <c r="F231" s="71">
        <f t="shared" si="6"/>
        <v>862.51931999999999</v>
      </c>
      <c r="G231" s="182"/>
      <c r="H231" s="182"/>
      <c r="I231" s="53"/>
      <c r="J231" s="53"/>
    </row>
    <row r="232" spans="1:10" s="18" customFormat="1" ht="15.75" customHeight="1">
      <c r="A232" s="182">
        <f t="shared" si="7"/>
        <v>4</v>
      </c>
      <c r="B232" s="182"/>
      <c r="C232" s="72" t="s">
        <v>194</v>
      </c>
      <c r="D232" s="52">
        <f t="shared" ref="D232:D234" si="8">(53.42)*10.764</f>
        <v>575.01288</v>
      </c>
      <c r="E232" s="71">
        <v>0</v>
      </c>
      <c r="F232" s="71">
        <f t="shared" si="6"/>
        <v>862.51931999999999</v>
      </c>
      <c r="G232" s="182"/>
      <c r="H232" s="182"/>
      <c r="I232" s="53"/>
      <c r="J232" s="53"/>
    </row>
    <row r="233" spans="1:10" s="18" customFormat="1" ht="15.75" customHeight="1">
      <c r="A233" s="182">
        <f t="shared" si="7"/>
        <v>5</v>
      </c>
      <c r="B233" s="182"/>
      <c r="C233" s="72" t="s">
        <v>194</v>
      </c>
      <c r="D233" s="52">
        <f t="shared" si="8"/>
        <v>575.01288</v>
      </c>
      <c r="E233" s="71">
        <v>0</v>
      </c>
      <c r="F233" s="71">
        <f t="shared" si="6"/>
        <v>862.51931999999999</v>
      </c>
      <c r="G233" s="182"/>
      <c r="H233" s="182"/>
      <c r="I233" s="53"/>
      <c r="J233" s="53"/>
    </row>
    <row r="234" spans="1:10" s="18" customFormat="1" ht="15.75" customHeight="1">
      <c r="A234" s="182">
        <f t="shared" si="7"/>
        <v>6</v>
      </c>
      <c r="B234" s="182"/>
      <c r="C234" s="72" t="s">
        <v>194</v>
      </c>
      <c r="D234" s="52">
        <f t="shared" si="8"/>
        <v>575.01288</v>
      </c>
      <c r="E234" s="71">
        <v>0</v>
      </c>
      <c r="F234" s="71">
        <f t="shared" si="6"/>
        <v>862.51931999999999</v>
      </c>
      <c r="G234" s="182"/>
      <c r="H234" s="182"/>
      <c r="I234" s="53"/>
      <c r="J234" s="53"/>
    </row>
    <row r="235" spans="1:10" s="18" customFormat="1" ht="61.5" customHeight="1">
      <c r="A235" s="180" t="s">
        <v>201</v>
      </c>
      <c r="B235" s="180"/>
      <c r="C235" s="180"/>
      <c r="D235" s="180"/>
      <c r="E235" s="180"/>
      <c r="F235" s="180"/>
      <c r="G235" s="180"/>
      <c r="H235" s="180"/>
      <c r="I235" s="53"/>
    </row>
    <row r="236" spans="1:10" s="18" customFormat="1" ht="15.75" customHeight="1">
      <c r="A236" s="182">
        <v>1</v>
      </c>
      <c r="B236" s="182"/>
      <c r="C236" s="51" t="s">
        <v>194</v>
      </c>
      <c r="D236" s="52">
        <f>(53.27)*10.764</f>
        <v>573.39828</v>
      </c>
      <c r="E236" s="50">
        <v>0</v>
      </c>
      <c r="F236" s="50">
        <f t="shared" ref="F236:F238" si="9">D236*(($F$204)+1)+(IF(E236&lt;101,E236,IF(E236&lt;201,E236/2,IF(E236&lt;=301,E236/3,E236/4))))</f>
        <v>860.09742000000006</v>
      </c>
      <c r="G236" s="196" t="str">
        <f>A235</f>
        <v>8th Floor
13th Floor (14th Floor as per Builder)
18th Floor (19th Floor as per Builder)
 (Part Refuge Area)</v>
      </c>
      <c r="H236" s="197"/>
      <c r="I236" s="53"/>
      <c r="J236" s="53"/>
    </row>
    <row r="237" spans="1:10" s="18" customFormat="1" ht="15.75" customHeight="1">
      <c r="A237" s="182">
        <f>A236+1</f>
        <v>2</v>
      </c>
      <c r="B237" s="182"/>
      <c r="C237" s="51" t="s">
        <v>194</v>
      </c>
      <c r="D237" s="52">
        <f>(53.27)*10.764</f>
        <v>573.39828</v>
      </c>
      <c r="E237" s="50">
        <v>0</v>
      </c>
      <c r="F237" s="50">
        <f t="shared" si="9"/>
        <v>860.09742000000006</v>
      </c>
      <c r="G237" s="198"/>
      <c r="H237" s="199"/>
      <c r="I237" s="53"/>
      <c r="J237" s="53"/>
    </row>
    <row r="238" spans="1:10" s="18" customFormat="1" ht="15.75" customHeight="1">
      <c r="A238" s="182">
        <f t="shared" ref="A238:A241" si="10">A237+1</f>
        <v>3</v>
      </c>
      <c r="B238" s="182"/>
      <c r="C238" s="51" t="s">
        <v>194</v>
      </c>
      <c r="D238" s="52">
        <f>(53.42)*10.764</f>
        <v>575.01288</v>
      </c>
      <c r="E238" s="50">
        <v>0</v>
      </c>
      <c r="F238" s="50">
        <f t="shared" si="9"/>
        <v>862.51931999999999</v>
      </c>
      <c r="G238" s="198"/>
      <c r="H238" s="199"/>
      <c r="I238" s="53"/>
      <c r="J238" s="53"/>
    </row>
    <row r="239" spans="1:10" s="18" customFormat="1" ht="15.75" customHeight="1">
      <c r="A239" s="182">
        <f t="shared" si="10"/>
        <v>4</v>
      </c>
      <c r="B239" s="182"/>
      <c r="C239" s="193" t="s">
        <v>202</v>
      </c>
      <c r="D239" s="194"/>
      <c r="E239" s="194"/>
      <c r="F239" s="195"/>
      <c r="G239" s="198"/>
      <c r="H239" s="199"/>
      <c r="I239" s="53"/>
      <c r="J239" s="53"/>
    </row>
    <row r="240" spans="1:10" s="18" customFormat="1" ht="15.75" customHeight="1">
      <c r="A240" s="182">
        <f t="shared" si="10"/>
        <v>5</v>
      </c>
      <c r="B240" s="182"/>
      <c r="C240" s="51" t="s">
        <v>194</v>
      </c>
      <c r="D240" s="52">
        <f t="shared" ref="D240:D241" si="11">(53.42)*10.764</f>
        <v>575.01288</v>
      </c>
      <c r="E240" s="50">
        <v>0</v>
      </c>
      <c r="F240" s="50">
        <f t="shared" ref="F240:F241" si="12">D240*(($F$204)+1)+(IF(E240&lt;101,E240,IF(E240&lt;201,E240/2,IF(E240&lt;=301,E240/3,E240/4))))</f>
        <v>862.51931999999999</v>
      </c>
      <c r="G240" s="198"/>
      <c r="H240" s="199"/>
      <c r="I240" s="53"/>
      <c r="J240" s="53"/>
    </row>
    <row r="241" spans="1:14" s="18" customFormat="1" ht="15.75" customHeight="1">
      <c r="A241" s="182">
        <f t="shared" si="10"/>
        <v>6</v>
      </c>
      <c r="B241" s="182"/>
      <c r="C241" s="51" t="s">
        <v>194</v>
      </c>
      <c r="D241" s="52">
        <f t="shared" si="11"/>
        <v>575.01288</v>
      </c>
      <c r="E241" s="50">
        <v>0</v>
      </c>
      <c r="F241" s="50">
        <f t="shared" si="12"/>
        <v>862.51931999999999</v>
      </c>
      <c r="G241" s="200"/>
      <c r="H241" s="201"/>
      <c r="I241" s="53"/>
      <c r="J241" s="53"/>
    </row>
    <row r="242" spans="1:14">
      <c r="A242" s="79" t="s">
        <v>174</v>
      </c>
      <c r="B242" s="79"/>
      <c r="C242" s="79"/>
      <c r="D242" s="79"/>
      <c r="E242" s="79"/>
      <c r="F242" s="79"/>
      <c r="G242" s="79"/>
      <c r="H242" s="79"/>
      <c r="K242" s="52">
        <v>10.763999999999999</v>
      </c>
    </row>
    <row r="243" spans="1:14" s="18" customFormat="1" ht="15.75" customHeight="1">
      <c r="A243" s="190" t="s">
        <v>203</v>
      </c>
      <c r="B243" s="191"/>
      <c r="C243" s="191"/>
      <c r="D243" s="191"/>
      <c r="E243" s="191"/>
      <c r="F243" s="191"/>
      <c r="G243" s="191"/>
      <c r="H243" s="192"/>
      <c r="I243" s="53"/>
      <c r="L243" s="181"/>
      <c r="M243" s="181"/>
    </row>
    <row r="244" spans="1:14" s="18" customFormat="1" ht="15.75" customHeight="1">
      <c r="A244" s="187">
        <v>1</v>
      </c>
      <c r="B244" s="189"/>
      <c r="C244" s="51" t="s">
        <v>194</v>
      </c>
      <c r="D244" s="52">
        <f>(51.01)*10.764</f>
        <v>549.07163999999989</v>
      </c>
      <c r="E244" s="50">
        <v>0</v>
      </c>
      <c r="F244" s="50">
        <f t="shared" ref="F244:F245" si="13">D244*(($F$204)+1)+(IF(E244&lt;101,E244,IF(E244&lt;201,E244/2,IF(E244&lt;=301,E244/3,E244/4))))</f>
        <v>823.60745999999983</v>
      </c>
      <c r="G244" s="196" t="str">
        <f>A243</f>
        <v>Ground Floor for Entrance Lobby, Meter Room &amp; Residential</v>
      </c>
      <c r="H244" s="197"/>
      <c r="I244" s="53">
        <f>4.32*3.05+2.6*2.13+2.9*2.75+1.4*0.6+2.75*2.9+1.7*0.6+1.5*2.28+0.9*2.11+0.74*0.9</f>
        <v>42.509</v>
      </c>
      <c r="J244" s="53"/>
      <c r="N244" s="53"/>
    </row>
    <row r="245" spans="1:14" s="18" customFormat="1" ht="15.75" customHeight="1">
      <c r="A245" s="187">
        <v>2</v>
      </c>
      <c r="B245" s="189"/>
      <c r="C245" s="51" t="s">
        <v>194</v>
      </c>
      <c r="D245" s="52">
        <f>(51.01)*10.764</f>
        <v>549.07163999999989</v>
      </c>
      <c r="E245" s="50">
        <v>0</v>
      </c>
      <c r="F245" s="50">
        <f t="shared" si="13"/>
        <v>823.60745999999983</v>
      </c>
      <c r="G245" s="198"/>
      <c r="H245" s="199"/>
      <c r="I245" s="53"/>
      <c r="J245" s="53"/>
      <c r="N245" s="53"/>
    </row>
    <row r="246" spans="1:14" s="18" customFormat="1" ht="15.75" customHeight="1">
      <c r="A246" s="187">
        <v>3</v>
      </c>
      <c r="B246" s="189"/>
      <c r="C246" s="51" t="s">
        <v>194</v>
      </c>
      <c r="D246" s="52">
        <f t="shared" ref="D246:D247" si="14">(51.01)*10.764</f>
        <v>549.07163999999989</v>
      </c>
      <c r="E246" s="50">
        <v>0</v>
      </c>
      <c r="F246" s="50">
        <f t="shared" ref="F246:F247" si="15">D246*(($F$204)+1)+(IF(E246&lt;101,E246,IF(E246&lt;201,E246/2,IF(E246&lt;=301,E246/3,E246/4))))</f>
        <v>823.60745999999983</v>
      </c>
      <c r="G246" s="198"/>
      <c r="H246" s="199"/>
      <c r="I246" s="53"/>
      <c r="N246" s="53"/>
    </row>
    <row r="247" spans="1:14" s="18" customFormat="1" ht="15.75" customHeight="1">
      <c r="A247" s="187">
        <v>4</v>
      </c>
      <c r="B247" s="189"/>
      <c r="C247" s="51" t="s">
        <v>194</v>
      </c>
      <c r="D247" s="52">
        <f t="shared" si="14"/>
        <v>549.07163999999989</v>
      </c>
      <c r="E247" s="50">
        <v>0</v>
      </c>
      <c r="F247" s="50">
        <f t="shared" si="15"/>
        <v>823.60745999999983</v>
      </c>
      <c r="G247" s="198"/>
      <c r="H247" s="199"/>
      <c r="I247" s="53"/>
      <c r="N247" s="53"/>
    </row>
    <row r="248" spans="1:14" s="18" customFormat="1" ht="15.75" customHeight="1">
      <c r="A248" s="187">
        <v>5</v>
      </c>
      <c r="B248" s="189"/>
      <c r="C248" s="51" t="s">
        <v>197</v>
      </c>
      <c r="D248" s="52">
        <f>(44.36)*10.764</f>
        <v>477.49103999999994</v>
      </c>
      <c r="E248" s="50">
        <v>0</v>
      </c>
      <c r="F248" s="50">
        <f t="shared" ref="F248" si="16">D248*(($F$204)+1)+(IF(E248&lt;101,E248,IF(E248&lt;201,E248/2,IF(E248&lt;=301,E248/3,E248/4))))</f>
        <v>716.23655999999994</v>
      </c>
      <c r="G248" s="200"/>
      <c r="H248" s="201"/>
      <c r="I248" s="53"/>
      <c r="J248" s="53"/>
      <c r="N248" s="53"/>
    </row>
    <row r="249" spans="1:14" s="18" customFormat="1" ht="15.75" customHeight="1">
      <c r="A249" s="190" t="s">
        <v>198</v>
      </c>
      <c r="B249" s="191"/>
      <c r="C249" s="191"/>
      <c r="D249" s="191"/>
      <c r="E249" s="191"/>
      <c r="F249" s="191"/>
      <c r="G249" s="191"/>
      <c r="H249" s="192"/>
      <c r="I249" s="53"/>
    </row>
    <row r="250" spans="1:14" s="18" customFormat="1" ht="15.75" customHeight="1">
      <c r="A250" s="187">
        <v>1</v>
      </c>
      <c r="B250" s="189"/>
      <c r="C250" s="51" t="s">
        <v>194</v>
      </c>
      <c r="D250" s="52">
        <f>(50.34)*10.764</f>
        <v>541.85976000000005</v>
      </c>
      <c r="E250" s="50">
        <v>0</v>
      </c>
      <c r="F250" s="50">
        <f t="shared" ref="F250:F255" si="17">D250*(($F$204)+1)+(IF(E250&lt;101,E250,IF(E250&lt;201,E250/2,IF(E250&lt;=301,E250/3,E250/4))))</f>
        <v>812.78964000000008</v>
      </c>
      <c r="G250" s="196" t="str">
        <f>A249</f>
        <v>1st &amp; 2nd Floor</v>
      </c>
      <c r="H250" s="197"/>
      <c r="I250" s="53"/>
      <c r="J250" s="53"/>
    </row>
    <row r="251" spans="1:14" s="18" customFormat="1" ht="15.75" customHeight="1">
      <c r="A251" s="187">
        <v>2</v>
      </c>
      <c r="B251" s="189"/>
      <c r="C251" s="51" t="s">
        <v>194</v>
      </c>
      <c r="D251" s="52">
        <f>(50.34)*10.764</f>
        <v>541.85976000000005</v>
      </c>
      <c r="E251" s="50">
        <v>0</v>
      </c>
      <c r="F251" s="50">
        <f t="shared" si="17"/>
        <v>812.78964000000008</v>
      </c>
      <c r="G251" s="198"/>
      <c r="H251" s="199"/>
      <c r="I251" s="53"/>
      <c r="J251" s="53"/>
    </row>
    <row r="252" spans="1:14" s="18" customFormat="1" ht="15.75" customHeight="1">
      <c r="A252" s="187">
        <v>3</v>
      </c>
      <c r="B252" s="189"/>
      <c r="C252" s="51" t="s">
        <v>194</v>
      </c>
      <c r="D252" s="52">
        <f>(53.42)*10.764</f>
        <v>575.01288</v>
      </c>
      <c r="E252" s="50">
        <v>0</v>
      </c>
      <c r="F252" s="50">
        <f t="shared" si="17"/>
        <v>862.51931999999999</v>
      </c>
      <c r="G252" s="198"/>
      <c r="H252" s="199"/>
      <c r="I252" s="53"/>
      <c r="J252" s="53"/>
    </row>
    <row r="253" spans="1:14" s="18" customFormat="1" ht="15.75" customHeight="1">
      <c r="A253" s="187">
        <v>4</v>
      </c>
      <c r="B253" s="189"/>
      <c r="C253" s="51" t="s">
        <v>194</v>
      </c>
      <c r="D253" s="52">
        <f>(53.42)*10.764</f>
        <v>575.01288</v>
      </c>
      <c r="E253" s="50">
        <v>0</v>
      </c>
      <c r="F253" s="50">
        <f t="shared" si="17"/>
        <v>862.51931999999999</v>
      </c>
      <c r="G253" s="198"/>
      <c r="H253" s="199"/>
      <c r="I253" s="53"/>
      <c r="J253" s="53"/>
    </row>
    <row r="254" spans="1:14" s="18" customFormat="1" ht="15.75" customHeight="1">
      <c r="A254" s="187">
        <v>5</v>
      </c>
      <c r="B254" s="189"/>
      <c r="C254" s="51" t="s">
        <v>194</v>
      </c>
      <c r="D254" s="52">
        <f>(61.7)*10.764</f>
        <v>664.13879999999995</v>
      </c>
      <c r="E254" s="50">
        <v>0</v>
      </c>
      <c r="F254" s="50">
        <f t="shared" si="17"/>
        <v>996.20819999999992</v>
      </c>
      <c r="G254" s="198"/>
      <c r="H254" s="199"/>
      <c r="I254" s="53"/>
      <c r="J254" s="53"/>
    </row>
    <row r="255" spans="1:14" s="18" customFormat="1" ht="15.75" customHeight="1">
      <c r="A255" s="187">
        <v>6</v>
      </c>
      <c r="B255" s="189"/>
      <c r="C255" s="51" t="s">
        <v>194</v>
      </c>
      <c r="D255" s="52">
        <f>(53.42)*10.764</f>
        <v>575.01288</v>
      </c>
      <c r="E255" s="50">
        <v>0</v>
      </c>
      <c r="F255" s="50">
        <f t="shared" si="17"/>
        <v>862.51931999999999</v>
      </c>
      <c r="G255" s="200"/>
      <c r="H255" s="201"/>
      <c r="I255" s="53"/>
      <c r="J255" s="53"/>
    </row>
    <row r="256" spans="1:14" s="18" customFormat="1" ht="15.75" customHeight="1">
      <c r="A256" s="190" t="s">
        <v>199</v>
      </c>
      <c r="B256" s="191"/>
      <c r="C256" s="191"/>
      <c r="D256" s="191"/>
      <c r="E256" s="191"/>
      <c r="F256" s="191"/>
      <c r="G256" s="191"/>
      <c r="H256" s="192"/>
      <c r="I256" s="53"/>
    </row>
    <row r="257" spans="1:10" s="18" customFormat="1" ht="15.75" customHeight="1">
      <c r="A257" s="187">
        <v>1</v>
      </c>
      <c r="B257" s="189"/>
      <c r="C257" s="51" t="s">
        <v>194</v>
      </c>
      <c r="D257" s="52">
        <f>(53.27)*10.764</f>
        <v>573.39828</v>
      </c>
      <c r="E257" s="50">
        <v>0</v>
      </c>
      <c r="F257" s="50">
        <f t="shared" ref="F257:F262" si="18">D257*(($F$204)+1)+(IF(E257&lt;101,E257,IF(E257&lt;201,E257/2,IF(E257&lt;=301,E257/3,E257/4))))</f>
        <v>860.09742000000006</v>
      </c>
      <c r="G257" s="196" t="str">
        <f>A256</f>
        <v>3rd to 7th, 9th to 12th Floor</v>
      </c>
      <c r="H257" s="197"/>
      <c r="I257" s="53"/>
      <c r="J257" s="53"/>
    </row>
    <row r="258" spans="1:10" s="18" customFormat="1" ht="15.75" customHeight="1">
      <c r="A258" s="187">
        <v>2</v>
      </c>
      <c r="B258" s="189"/>
      <c r="C258" s="51" t="s">
        <v>194</v>
      </c>
      <c r="D258" s="52">
        <f>(53.27)*10.764</f>
        <v>573.39828</v>
      </c>
      <c r="E258" s="50">
        <v>0</v>
      </c>
      <c r="F258" s="50">
        <f t="shared" si="18"/>
        <v>860.09742000000006</v>
      </c>
      <c r="G258" s="198"/>
      <c r="H258" s="199"/>
      <c r="I258" s="53"/>
      <c r="J258" s="53"/>
    </row>
    <row r="259" spans="1:10" s="18" customFormat="1" ht="15.75" customHeight="1">
      <c r="A259" s="187">
        <v>3</v>
      </c>
      <c r="B259" s="189"/>
      <c r="C259" s="51" t="s">
        <v>194</v>
      </c>
      <c r="D259" s="52">
        <f>(53.42)*10.764</f>
        <v>575.01288</v>
      </c>
      <c r="E259" s="50">
        <v>0</v>
      </c>
      <c r="F259" s="50">
        <f t="shared" si="18"/>
        <v>862.51931999999999</v>
      </c>
      <c r="G259" s="198"/>
      <c r="H259" s="199"/>
      <c r="I259" s="53"/>
      <c r="J259" s="53"/>
    </row>
    <row r="260" spans="1:10" s="18" customFormat="1" ht="15.75" customHeight="1">
      <c r="A260" s="187">
        <v>4</v>
      </c>
      <c r="B260" s="189"/>
      <c r="C260" s="51" t="s">
        <v>194</v>
      </c>
      <c r="D260" s="52">
        <f>(53.42)*10.764</f>
        <v>575.01288</v>
      </c>
      <c r="E260" s="50">
        <v>0</v>
      </c>
      <c r="F260" s="50">
        <f t="shared" si="18"/>
        <v>862.51931999999999</v>
      </c>
      <c r="G260" s="198"/>
      <c r="H260" s="199"/>
      <c r="I260" s="53"/>
      <c r="J260" s="53"/>
    </row>
    <row r="261" spans="1:10" s="18" customFormat="1" ht="15.75" customHeight="1">
      <c r="A261" s="187">
        <v>5</v>
      </c>
      <c r="B261" s="189"/>
      <c r="C261" s="51" t="s">
        <v>194</v>
      </c>
      <c r="D261" s="52">
        <f>(53.42)*10.764</f>
        <v>575.01288</v>
      </c>
      <c r="E261" s="50">
        <v>0</v>
      </c>
      <c r="F261" s="50">
        <f t="shared" si="18"/>
        <v>862.51931999999999</v>
      </c>
      <c r="G261" s="198"/>
      <c r="H261" s="199"/>
      <c r="I261" s="53"/>
      <c r="J261" s="53"/>
    </row>
    <row r="262" spans="1:10" s="18" customFormat="1" ht="15.75" customHeight="1">
      <c r="A262" s="187">
        <v>6</v>
      </c>
      <c r="B262" s="189"/>
      <c r="C262" s="51" t="s">
        <v>194</v>
      </c>
      <c r="D262" s="52">
        <f>(53.42)*10.764</f>
        <v>575.01288</v>
      </c>
      <c r="E262" s="50">
        <v>0</v>
      </c>
      <c r="F262" s="50">
        <f t="shared" si="18"/>
        <v>862.51931999999999</v>
      </c>
      <c r="G262" s="200"/>
      <c r="H262" s="201"/>
      <c r="I262" s="53"/>
      <c r="J262" s="53"/>
    </row>
    <row r="263" spans="1:10" s="18" customFormat="1" ht="32.25" customHeight="1">
      <c r="A263" s="180" t="s">
        <v>200</v>
      </c>
      <c r="B263" s="180"/>
      <c r="C263" s="180"/>
      <c r="D263" s="180"/>
      <c r="E263" s="180"/>
      <c r="F263" s="180"/>
      <c r="G263" s="180"/>
      <c r="H263" s="180"/>
      <c r="I263" s="53"/>
    </row>
    <row r="264" spans="1:10" s="18" customFormat="1" ht="15.75" customHeight="1">
      <c r="A264" s="182">
        <v>1</v>
      </c>
      <c r="B264" s="182"/>
      <c r="C264" s="72" t="s">
        <v>194</v>
      </c>
      <c r="D264" s="52">
        <f>(53.27)*10.764</f>
        <v>573.39828</v>
      </c>
      <c r="E264" s="71">
        <v>0</v>
      </c>
      <c r="F264" s="71">
        <f t="shared" ref="F264:F269" si="19">D264*(($F$204)+1)+(IF(E264&lt;101,E264,IF(E264&lt;201,E264/2,IF(E264&lt;=301,E264/3,E264/4))))</f>
        <v>860.09742000000006</v>
      </c>
      <c r="G264" s="182" t="str">
        <f>A263</f>
        <v>14th to 17th Floor (15th to 18th Floor as per Builder)
19th to 23rd Floor (20th to 24th Floor as per Builder)</v>
      </c>
      <c r="H264" s="182"/>
      <c r="I264" s="53"/>
      <c r="J264" s="53"/>
    </row>
    <row r="265" spans="1:10" s="18" customFormat="1" ht="15.75" customHeight="1">
      <c r="A265" s="182">
        <v>2</v>
      </c>
      <c r="B265" s="182"/>
      <c r="C265" s="72" t="s">
        <v>194</v>
      </c>
      <c r="D265" s="52">
        <f>(53.27)*10.764</f>
        <v>573.39828</v>
      </c>
      <c r="E265" s="71">
        <v>0</v>
      </c>
      <c r="F265" s="71">
        <f t="shared" si="19"/>
        <v>860.09742000000006</v>
      </c>
      <c r="G265" s="182"/>
      <c r="H265" s="182"/>
      <c r="I265" s="53"/>
      <c r="J265" s="53"/>
    </row>
    <row r="266" spans="1:10" s="18" customFormat="1" ht="15.75" customHeight="1">
      <c r="A266" s="182">
        <v>3</v>
      </c>
      <c r="B266" s="182"/>
      <c r="C266" s="72" t="s">
        <v>194</v>
      </c>
      <c r="D266" s="52">
        <f>(53.42)*10.764</f>
        <v>575.01288</v>
      </c>
      <c r="E266" s="71">
        <v>0</v>
      </c>
      <c r="F266" s="71">
        <f t="shared" si="19"/>
        <v>862.51931999999999</v>
      </c>
      <c r="G266" s="182"/>
      <c r="H266" s="182"/>
      <c r="I266" s="53"/>
      <c r="J266" s="53"/>
    </row>
    <row r="267" spans="1:10" s="18" customFormat="1" ht="15.75" customHeight="1">
      <c r="A267" s="182">
        <v>4</v>
      </c>
      <c r="B267" s="182"/>
      <c r="C267" s="72" t="s">
        <v>194</v>
      </c>
      <c r="D267" s="52">
        <f>(53.42)*10.764</f>
        <v>575.01288</v>
      </c>
      <c r="E267" s="71">
        <v>0</v>
      </c>
      <c r="F267" s="71">
        <f t="shared" si="19"/>
        <v>862.51931999999999</v>
      </c>
      <c r="G267" s="182"/>
      <c r="H267" s="182"/>
      <c r="I267" s="53"/>
      <c r="J267" s="53"/>
    </row>
    <row r="268" spans="1:10" s="18" customFormat="1" ht="15.75" customHeight="1">
      <c r="A268" s="182">
        <v>5</v>
      </c>
      <c r="B268" s="182"/>
      <c r="C268" s="72" t="s">
        <v>194</v>
      </c>
      <c r="D268" s="52">
        <f>(53.42)*10.764</f>
        <v>575.01288</v>
      </c>
      <c r="E268" s="71">
        <v>0</v>
      </c>
      <c r="F268" s="71">
        <f t="shared" si="19"/>
        <v>862.51931999999999</v>
      </c>
      <c r="G268" s="182"/>
      <c r="H268" s="182"/>
      <c r="I268" s="53"/>
      <c r="J268" s="53"/>
    </row>
    <row r="269" spans="1:10" s="18" customFormat="1" ht="15.75" customHeight="1">
      <c r="A269" s="182">
        <v>6</v>
      </c>
      <c r="B269" s="182"/>
      <c r="C269" s="72" t="s">
        <v>194</v>
      </c>
      <c r="D269" s="52">
        <f>(53.42)*10.764</f>
        <v>575.01288</v>
      </c>
      <c r="E269" s="71">
        <v>0</v>
      </c>
      <c r="F269" s="71">
        <f t="shared" si="19"/>
        <v>862.51931999999999</v>
      </c>
      <c r="G269" s="182"/>
      <c r="H269" s="182"/>
      <c r="I269" s="53"/>
      <c r="J269" s="53"/>
    </row>
    <row r="270" spans="1:10" s="18" customFormat="1" ht="61.5" customHeight="1">
      <c r="A270" s="180" t="s">
        <v>201</v>
      </c>
      <c r="B270" s="180"/>
      <c r="C270" s="180"/>
      <c r="D270" s="180"/>
      <c r="E270" s="180"/>
      <c r="F270" s="180"/>
      <c r="G270" s="180"/>
      <c r="H270" s="180"/>
      <c r="I270" s="53"/>
    </row>
    <row r="271" spans="1:10" s="18" customFormat="1" ht="15.75" customHeight="1">
      <c r="A271" s="187">
        <v>1</v>
      </c>
      <c r="B271" s="189"/>
      <c r="C271" s="51" t="s">
        <v>194</v>
      </c>
      <c r="D271" s="52">
        <f>(53.27)*10.764</f>
        <v>573.39828</v>
      </c>
      <c r="E271" s="50">
        <v>0</v>
      </c>
      <c r="F271" s="50">
        <f t="shared" ref="F271:F273" si="20">D271*(($F$204)+1)+(IF(E271&lt;101,E271,IF(E271&lt;201,E271/2,IF(E271&lt;=301,E271/3,E271/4))))</f>
        <v>860.09742000000006</v>
      </c>
      <c r="G271" s="196" t="str">
        <f>A270</f>
        <v>8th Floor
13th Floor (14th Floor as per Builder)
18th Floor (19th Floor as per Builder)
 (Part Refuge Area)</v>
      </c>
      <c r="H271" s="197"/>
      <c r="I271" s="53"/>
      <c r="J271" s="53"/>
    </row>
    <row r="272" spans="1:10" s="18" customFormat="1" ht="15.75" customHeight="1">
      <c r="A272" s="187">
        <v>2</v>
      </c>
      <c r="B272" s="189"/>
      <c r="C272" s="51" t="s">
        <v>194</v>
      </c>
      <c r="D272" s="52">
        <f>(53.27)*10.764</f>
        <v>573.39828</v>
      </c>
      <c r="E272" s="50">
        <v>0</v>
      </c>
      <c r="F272" s="50">
        <f t="shared" si="20"/>
        <v>860.09742000000006</v>
      </c>
      <c r="G272" s="198"/>
      <c r="H272" s="199"/>
      <c r="I272" s="53"/>
      <c r="J272" s="53"/>
    </row>
    <row r="273" spans="1:14" s="18" customFormat="1" ht="15.75" customHeight="1">
      <c r="A273" s="187">
        <v>3</v>
      </c>
      <c r="B273" s="189"/>
      <c r="C273" s="51" t="s">
        <v>194</v>
      </c>
      <c r="D273" s="52">
        <f>(53.42)*10.764</f>
        <v>575.01288</v>
      </c>
      <c r="E273" s="50">
        <v>0</v>
      </c>
      <c r="F273" s="50">
        <f t="shared" si="20"/>
        <v>862.51931999999999</v>
      </c>
      <c r="G273" s="198"/>
      <c r="H273" s="199"/>
      <c r="I273" s="53"/>
      <c r="J273" s="53"/>
    </row>
    <row r="274" spans="1:14" s="18" customFormat="1" ht="15.75" customHeight="1">
      <c r="A274" s="187">
        <v>4</v>
      </c>
      <c r="B274" s="189"/>
      <c r="C274" s="193" t="s">
        <v>202</v>
      </c>
      <c r="D274" s="194"/>
      <c r="E274" s="194"/>
      <c r="F274" s="195"/>
      <c r="G274" s="198"/>
      <c r="H274" s="199"/>
      <c r="I274" s="53"/>
      <c r="J274" s="53"/>
    </row>
    <row r="275" spans="1:14" s="18" customFormat="1" ht="15.75" customHeight="1">
      <c r="A275" s="187">
        <v>5</v>
      </c>
      <c r="B275" s="189"/>
      <c r="C275" s="51" t="s">
        <v>194</v>
      </c>
      <c r="D275" s="52">
        <f>(53.42)*10.764</f>
        <v>575.01288</v>
      </c>
      <c r="E275" s="50">
        <v>0</v>
      </c>
      <c r="F275" s="50">
        <f t="shared" ref="F275:F276" si="21">D275*(($F$204)+1)+(IF(E275&lt;101,E275,IF(E275&lt;201,E275/2,IF(E275&lt;=301,E275/3,E275/4))))</f>
        <v>862.51931999999999</v>
      </c>
      <c r="G275" s="198"/>
      <c r="H275" s="199"/>
      <c r="I275" s="53"/>
      <c r="J275" s="53"/>
    </row>
    <row r="276" spans="1:14" s="18" customFormat="1" ht="15.75" customHeight="1">
      <c r="A276" s="187">
        <v>6</v>
      </c>
      <c r="B276" s="189"/>
      <c r="C276" s="51" t="s">
        <v>194</v>
      </c>
      <c r="D276" s="52">
        <f>(53.42)*10.764</f>
        <v>575.01288</v>
      </c>
      <c r="E276" s="50">
        <v>0</v>
      </c>
      <c r="F276" s="50">
        <f t="shared" si="21"/>
        <v>862.51931999999999</v>
      </c>
      <c r="G276" s="200"/>
      <c r="H276" s="201"/>
      <c r="I276" s="53"/>
      <c r="J276" s="53"/>
    </row>
    <row r="277" spans="1:14">
      <c r="A277" s="79" t="s">
        <v>176</v>
      </c>
      <c r="B277" s="79"/>
      <c r="C277" s="79"/>
      <c r="D277" s="79"/>
      <c r="E277" s="79"/>
      <c r="F277" s="79"/>
      <c r="G277" s="79"/>
      <c r="H277" s="79"/>
      <c r="K277" s="52">
        <v>10.763999999999999</v>
      </c>
    </row>
    <row r="278" spans="1:14" s="18" customFormat="1">
      <c r="A278" s="180" t="s">
        <v>193</v>
      </c>
      <c r="B278" s="180"/>
      <c r="C278" s="180"/>
      <c r="D278" s="180"/>
      <c r="E278" s="180"/>
      <c r="F278" s="180"/>
      <c r="G278" s="180"/>
      <c r="H278" s="180"/>
      <c r="I278" s="53"/>
      <c r="L278" s="181"/>
      <c r="M278" s="181"/>
    </row>
    <row r="279" spans="1:14" s="18" customFormat="1" ht="15.75" customHeight="1">
      <c r="A279" s="182">
        <v>1</v>
      </c>
      <c r="B279" s="182"/>
      <c r="C279" s="51" t="s">
        <v>194</v>
      </c>
      <c r="D279" s="52">
        <f>(51.01)*10.764</f>
        <v>549.07163999999989</v>
      </c>
      <c r="E279" s="50">
        <v>0</v>
      </c>
      <c r="F279" s="50">
        <f t="shared" ref="F279:F280" si="22">D279*(($F$204)+1)+(IF(E279&lt;101,E279,IF(E279&lt;201,E279/2,IF(E279&lt;=301,E279/3,E279/4))))</f>
        <v>823.60745999999983</v>
      </c>
      <c r="G279" s="196" t="str">
        <f>A278</f>
        <v>Ground Floor for Residential</v>
      </c>
      <c r="H279" s="197"/>
      <c r="I279" s="53">
        <f>4.32*3.05+2.6*2.13+2.9*2.75+1.4*0.6+2.75*2.9+1.7*0.6+1.5*2.28+0.9*2.11+0.74*0.9</f>
        <v>42.509</v>
      </c>
      <c r="J279" s="53"/>
      <c r="N279" s="53"/>
    </row>
    <row r="280" spans="1:14" s="18" customFormat="1" ht="15.75" customHeight="1">
      <c r="A280" s="182">
        <v>2</v>
      </c>
      <c r="B280" s="182"/>
      <c r="C280" s="51" t="s">
        <v>194</v>
      </c>
      <c r="D280" s="52">
        <f>(51.01)*10.764</f>
        <v>549.07163999999989</v>
      </c>
      <c r="E280" s="50">
        <v>0</v>
      </c>
      <c r="F280" s="50">
        <f t="shared" si="22"/>
        <v>823.60745999999983</v>
      </c>
      <c r="G280" s="198"/>
      <c r="H280" s="199"/>
      <c r="I280" s="53"/>
      <c r="J280" s="53"/>
      <c r="N280" s="53"/>
    </row>
    <row r="281" spans="1:14" s="18" customFormat="1" ht="15.75" customHeight="1">
      <c r="A281" s="182">
        <v>3</v>
      </c>
      <c r="B281" s="182"/>
      <c r="C281" s="187" t="s">
        <v>195</v>
      </c>
      <c r="D281" s="188"/>
      <c r="E281" s="188"/>
      <c r="F281" s="189"/>
      <c r="G281" s="198"/>
      <c r="H281" s="199"/>
      <c r="I281" s="53"/>
      <c r="N281" s="53"/>
    </row>
    <row r="282" spans="1:14" s="18" customFormat="1" ht="15.75" customHeight="1">
      <c r="A282" s="182">
        <v>4</v>
      </c>
      <c r="B282" s="182"/>
      <c r="C282" s="187" t="s">
        <v>196</v>
      </c>
      <c r="D282" s="188"/>
      <c r="E282" s="188"/>
      <c r="F282" s="189"/>
      <c r="G282" s="198"/>
      <c r="H282" s="199"/>
      <c r="I282" s="53"/>
      <c r="N282" s="53"/>
    </row>
    <row r="283" spans="1:14" s="18" customFormat="1" ht="15.75" customHeight="1">
      <c r="A283" s="182">
        <v>5</v>
      </c>
      <c r="B283" s="182"/>
      <c r="C283" s="51" t="s">
        <v>197</v>
      </c>
      <c r="D283" s="52">
        <f>(44.36)*10.764</f>
        <v>477.49103999999994</v>
      </c>
      <c r="E283" s="50">
        <v>0</v>
      </c>
      <c r="F283" s="50">
        <f t="shared" ref="F283" si="23">D283*(($F$204)+1)+(IF(E283&lt;101,E283,IF(E283&lt;201,E283/2,IF(E283&lt;=301,E283/3,E283/4))))</f>
        <v>716.23655999999994</v>
      </c>
      <c r="G283" s="200"/>
      <c r="H283" s="201"/>
      <c r="I283" s="53"/>
      <c r="J283" s="53"/>
      <c r="N283" s="53"/>
    </row>
    <row r="284" spans="1:14" s="18" customFormat="1">
      <c r="A284" s="190" t="s">
        <v>198</v>
      </c>
      <c r="B284" s="191"/>
      <c r="C284" s="191"/>
      <c r="D284" s="191"/>
      <c r="E284" s="191"/>
      <c r="F284" s="191"/>
      <c r="G284" s="191"/>
      <c r="H284" s="192"/>
      <c r="I284" s="53"/>
    </row>
    <row r="285" spans="1:14" s="18" customFormat="1" ht="15.75" customHeight="1">
      <c r="A285" s="187">
        <v>1</v>
      </c>
      <c r="B285" s="189"/>
      <c r="C285" s="51" t="s">
        <v>194</v>
      </c>
      <c r="D285" s="52">
        <f>(50.34)*10.764</f>
        <v>541.85976000000005</v>
      </c>
      <c r="E285" s="50">
        <v>0</v>
      </c>
      <c r="F285" s="50">
        <f t="shared" ref="F285:F290" si="24">D285*(($F$204)+1)+(IF(E285&lt;101,E285,IF(E285&lt;201,E285/2,IF(E285&lt;=301,E285/3,E285/4))))</f>
        <v>812.78964000000008</v>
      </c>
      <c r="G285" s="196" t="str">
        <f>A284</f>
        <v>1st &amp; 2nd Floor</v>
      </c>
      <c r="H285" s="197"/>
      <c r="I285" s="53"/>
      <c r="J285" s="53"/>
    </row>
    <row r="286" spans="1:14" s="18" customFormat="1" ht="15.75" customHeight="1">
      <c r="A286" s="187">
        <v>2</v>
      </c>
      <c r="B286" s="189"/>
      <c r="C286" s="51" t="s">
        <v>194</v>
      </c>
      <c r="D286" s="52">
        <f>(50.34)*10.764</f>
        <v>541.85976000000005</v>
      </c>
      <c r="E286" s="50">
        <v>0</v>
      </c>
      <c r="F286" s="50">
        <f t="shared" si="24"/>
        <v>812.78964000000008</v>
      </c>
      <c r="G286" s="198"/>
      <c r="H286" s="199"/>
      <c r="I286" s="53"/>
      <c r="J286" s="53"/>
    </row>
    <row r="287" spans="1:14" s="18" customFormat="1" ht="15.75" customHeight="1">
      <c r="A287" s="187">
        <v>3</v>
      </c>
      <c r="B287" s="189"/>
      <c r="C287" s="51" t="s">
        <v>194</v>
      </c>
      <c r="D287" s="52">
        <f>(53.42)*10.764</f>
        <v>575.01288</v>
      </c>
      <c r="E287" s="50">
        <v>0</v>
      </c>
      <c r="F287" s="50">
        <f t="shared" si="24"/>
        <v>862.51931999999999</v>
      </c>
      <c r="G287" s="198"/>
      <c r="H287" s="199"/>
      <c r="I287" s="53"/>
      <c r="J287" s="53"/>
    </row>
    <row r="288" spans="1:14" s="18" customFormat="1" ht="15.75" customHeight="1">
      <c r="A288" s="187">
        <v>4</v>
      </c>
      <c r="B288" s="189"/>
      <c r="C288" s="51" t="s">
        <v>194</v>
      </c>
      <c r="D288" s="52">
        <f>(53.42)*10.764</f>
        <v>575.01288</v>
      </c>
      <c r="E288" s="50">
        <v>0</v>
      </c>
      <c r="F288" s="50">
        <f t="shared" si="24"/>
        <v>862.51931999999999</v>
      </c>
      <c r="G288" s="198"/>
      <c r="H288" s="199"/>
      <c r="I288" s="53"/>
      <c r="J288" s="53"/>
    </row>
    <row r="289" spans="1:10" s="18" customFormat="1" ht="15.75" customHeight="1">
      <c r="A289" s="187">
        <v>5</v>
      </c>
      <c r="B289" s="189"/>
      <c r="C289" s="51" t="s">
        <v>194</v>
      </c>
      <c r="D289" s="52">
        <f>(61.7)*10.764</f>
        <v>664.13879999999995</v>
      </c>
      <c r="E289" s="50">
        <v>0</v>
      </c>
      <c r="F289" s="50">
        <f t="shared" si="24"/>
        <v>996.20819999999992</v>
      </c>
      <c r="G289" s="198"/>
      <c r="H289" s="199"/>
      <c r="I289" s="53"/>
      <c r="J289" s="53"/>
    </row>
    <row r="290" spans="1:10" s="18" customFormat="1" ht="15.75" customHeight="1">
      <c r="A290" s="187">
        <v>6</v>
      </c>
      <c r="B290" s="189"/>
      <c r="C290" s="51" t="s">
        <v>194</v>
      </c>
      <c r="D290" s="52">
        <f>(53.42)*10.764</f>
        <v>575.01288</v>
      </c>
      <c r="E290" s="50">
        <v>0</v>
      </c>
      <c r="F290" s="50">
        <f t="shared" si="24"/>
        <v>862.51931999999999</v>
      </c>
      <c r="G290" s="200"/>
      <c r="H290" s="201"/>
      <c r="I290" s="53"/>
      <c r="J290" s="53"/>
    </row>
    <row r="291" spans="1:10" s="18" customFormat="1">
      <c r="A291" s="190" t="s">
        <v>199</v>
      </c>
      <c r="B291" s="191"/>
      <c r="C291" s="191"/>
      <c r="D291" s="191"/>
      <c r="E291" s="191"/>
      <c r="F291" s="191"/>
      <c r="G291" s="191"/>
      <c r="H291" s="192"/>
      <c r="I291" s="53"/>
    </row>
    <row r="292" spans="1:10" s="18" customFormat="1" ht="15.75" customHeight="1">
      <c r="A292" s="187">
        <v>1</v>
      </c>
      <c r="B292" s="189"/>
      <c r="C292" s="51" t="s">
        <v>194</v>
      </c>
      <c r="D292" s="52">
        <f>(53.27)*10.764</f>
        <v>573.39828</v>
      </c>
      <c r="E292" s="50">
        <v>0</v>
      </c>
      <c r="F292" s="50">
        <f t="shared" ref="F292:F297" si="25">D292*(($F$204)+1)+(IF(E292&lt;101,E292,IF(E292&lt;201,E292/2,IF(E292&lt;=301,E292/3,E292/4))))</f>
        <v>860.09742000000006</v>
      </c>
      <c r="G292" s="196" t="str">
        <f>A291</f>
        <v>3rd to 7th, 9th to 12th Floor</v>
      </c>
      <c r="H292" s="197"/>
      <c r="I292" s="53"/>
      <c r="J292" s="53"/>
    </row>
    <row r="293" spans="1:10" s="18" customFormat="1" ht="15.75" customHeight="1">
      <c r="A293" s="187">
        <v>2</v>
      </c>
      <c r="B293" s="189"/>
      <c r="C293" s="51" t="s">
        <v>194</v>
      </c>
      <c r="D293" s="52">
        <f>(53.27)*10.764</f>
        <v>573.39828</v>
      </c>
      <c r="E293" s="50">
        <v>0</v>
      </c>
      <c r="F293" s="50">
        <f t="shared" si="25"/>
        <v>860.09742000000006</v>
      </c>
      <c r="G293" s="198"/>
      <c r="H293" s="199"/>
      <c r="I293" s="53"/>
      <c r="J293" s="53"/>
    </row>
    <row r="294" spans="1:10" s="18" customFormat="1" ht="15.75" customHeight="1">
      <c r="A294" s="187">
        <v>3</v>
      </c>
      <c r="B294" s="189"/>
      <c r="C294" s="51" t="s">
        <v>194</v>
      </c>
      <c r="D294" s="52">
        <f>(53.42)*10.764</f>
        <v>575.01288</v>
      </c>
      <c r="E294" s="50">
        <v>0</v>
      </c>
      <c r="F294" s="50">
        <f t="shared" si="25"/>
        <v>862.51931999999999</v>
      </c>
      <c r="G294" s="198"/>
      <c r="H294" s="199"/>
      <c r="I294" s="53"/>
      <c r="J294" s="53"/>
    </row>
    <row r="295" spans="1:10" s="18" customFormat="1" ht="15.75" customHeight="1">
      <c r="A295" s="187">
        <v>4</v>
      </c>
      <c r="B295" s="189"/>
      <c r="C295" s="51" t="s">
        <v>194</v>
      </c>
      <c r="D295" s="52">
        <f>(53.42)*10.764</f>
        <v>575.01288</v>
      </c>
      <c r="E295" s="50">
        <v>0</v>
      </c>
      <c r="F295" s="50">
        <f t="shared" si="25"/>
        <v>862.51931999999999</v>
      </c>
      <c r="G295" s="198"/>
      <c r="H295" s="199"/>
      <c r="I295" s="53"/>
      <c r="J295" s="53"/>
    </row>
    <row r="296" spans="1:10" s="18" customFormat="1" ht="15.75" customHeight="1">
      <c r="A296" s="187">
        <v>5</v>
      </c>
      <c r="B296" s="189"/>
      <c r="C296" s="51" t="s">
        <v>194</v>
      </c>
      <c r="D296" s="52">
        <f>(53.42)*10.764</f>
        <v>575.01288</v>
      </c>
      <c r="E296" s="50">
        <v>0</v>
      </c>
      <c r="F296" s="50">
        <f t="shared" si="25"/>
        <v>862.51931999999999</v>
      </c>
      <c r="G296" s="198"/>
      <c r="H296" s="199"/>
      <c r="I296" s="53"/>
      <c r="J296" s="53"/>
    </row>
    <row r="297" spans="1:10" s="18" customFormat="1" ht="15.75" customHeight="1">
      <c r="A297" s="187">
        <v>6</v>
      </c>
      <c r="B297" s="189"/>
      <c r="C297" s="51" t="s">
        <v>194</v>
      </c>
      <c r="D297" s="52">
        <f>(53.42)*10.764</f>
        <v>575.01288</v>
      </c>
      <c r="E297" s="50">
        <v>0</v>
      </c>
      <c r="F297" s="50">
        <f t="shared" si="25"/>
        <v>862.51931999999999</v>
      </c>
      <c r="G297" s="200"/>
      <c r="H297" s="201"/>
      <c r="I297" s="53"/>
      <c r="J297" s="53"/>
    </row>
    <row r="298" spans="1:10" s="18" customFormat="1" ht="32.25" customHeight="1">
      <c r="A298" s="180" t="s">
        <v>200</v>
      </c>
      <c r="B298" s="180"/>
      <c r="C298" s="180"/>
      <c r="D298" s="180"/>
      <c r="E298" s="180"/>
      <c r="F298" s="180"/>
      <c r="G298" s="180"/>
      <c r="H298" s="180"/>
      <c r="I298" s="53"/>
    </row>
    <row r="299" spans="1:10" s="18" customFormat="1" ht="15.75" customHeight="1">
      <c r="A299" s="182">
        <v>1</v>
      </c>
      <c r="B299" s="182"/>
      <c r="C299" s="72" t="s">
        <v>194</v>
      </c>
      <c r="D299" s="52">
        <f>(53.27)*10.764</f>
        <v>573.39828</v>
      </c>
      <c r="E299" s="71">
        <v>0</v>
      </c>
      <c r="F299" s="71">
        <f t="shared" ref="F299:F304" si="26">D299*(($F$204)+1)+(IF(E299&lt;101,E299,IF(E299&lt;201,E299/2,IF(E299&lt;=301,E299/3,E299/4))))</f>
        <v>860.09742000000006</v>
      </c>
      <c r="G299" s="182" t="str">
        <f>A298</f>
        <v>14th to 17th Floor (15th to 18th Floor as per Builder)
19th to 23rd Floor (20th to 24th Floor as per Builder)</v>
      </c>
      <c r="H299" s="182"/>
      <c r="I299" s="53"/>
      <c r="J299" s="53"/>
    </row>
    <row r="300" spans="1:10" s="18" customFormat="1" ht="15.75" customHeight="1">
      <c r="A300" s="182">
        <v>2</v>
      </c>
      <c r="B300" s="182"/>
      <c r="C300" s="72" t="s">
        <v>194</v>
      </c>
      <c r="D300" s="52">
        <f>(53.27)*10.764</f>
        <v>573.39828</v>
      </c>
      <c r="E300" s="71">
        <v>0</v>
      </c>
      <c r="F300" s="71">
        <f t="shared" si="26"/>
        <v>860.09742000000006</v>
      </c>
      <c r="G300" s="182"/>
      <c r="H300" s="182"/>
      <c r="I300" s="53"/>
      <c r="J300" s="53"/>
    </row>
    <row r="301" spans="1:10" s="18" customFormat="1" ht="15.75" customHeight="1">
      <c r="A301" s="182">
        <v>3</v>
      </c>
      <c r="B301" s="182"/>
      <c r="C301" s="72" t="s">
        <v>194</v>
      </c>
      <c r="D301" s="52">
        <f>(53.42)*10.764</f>
        <v>575.01288</v>
      </c>
      <c r="E301" s="71">
        <v>0</v>
      </c>
      <c r="F301" s="71">
        <f t="shared" si="26"/>
        <v>862.51931999999999</v>
      </c>
      <c r="G301" s="182"/>
      <c r="H301" s="182"/>
      <c r="I301" s="53"/>
      <c r="J301" s="53"/>
    </row>
    <row r="302" spans="1:10" s="18" customFormat="1" ht="15.75" customHeight="1">
      <c r="A302" s="182">
        <v>4</v>
      </c>
      <c r="B302" s="182"/>
      <c r="C302" s="72" t="s">
        <v>194</v>
      </c>
      <c r="D302" s="52">
        <f>(53.42)*10.764</f>
        <v>575.01288</v>
      </c>
      <c r="E302" s="71">
        <v>0</v>
      </c>
      <c r="F302" s="71">
        <f t="shared" si="26"/>
        <v>862.51931999999999</v>
      </c>
      <c r="G302" s="182"/>
      <c r="H302" s="182"/>
      <c r="I302" s="53"/>
      <c r="J302" s="53"/>
    </row>
    <row r="303" spans="1:10" s="18" customFormat="1" ht="15.75" customHeight="1">
      <c r="A303" s="182">
        <v>5</v>
      </c>
      <c r="B303" s="182"/>
      <c r="C303" s="72" t="s">
        <v>194</v>
      </c>
      <c r="D303" s="52">
        <f>(53.42)*10.764</f>
        <v>575.01288</v>
      </c>
      <c r="E303" s="71">
        <v>0</v>
      </c>
      <c r="F303" s="71">
        <f t="shared" si="26"/>
        <v>862.51931999999999</v>
      </c>
      <c r="G303" s="182"/>
      <c r="H303" s="182"/>
      <c r="I303" s="53"/>
      <c r="J303" s="53"/>
    </row>
    <row r="304" spans="1:10" s="18" customFormat="1" ht="15.75" customHeight="1">
      <c r="A304" s="182">
        <v>6</v>
      </c>
      <c r="B304" s="182"/>
      <c r="C304" s="72" t="s">
        <v>194</v>
      </c>
      <c r="D304" s="52">
        <f>(53.42)*10.764</f>
        <v>575.01288</v>
      </c>
      <c r="E304" s="71">
        <v>0</v>
      </c>
      <c r="F304" s="71">
        <f t="shared" si="26"/>
        <v>862.51931999999999</v>
      </c>
      <c r="G304" s="182"/>
      <c r="H304" s="182"/>
      <c r="I304" s="53"/>
      <c r="J304" s="53"/>
    </row>
    <row r="305" spans="1:14" s="18" customFormat="1" ht="61.5" customHeight="1">
      <c r="A305" s="180" t="s">
        <v>201</v>
      </c>
      <c r="B305" s="180"/>
      <c r="C305" s="180"/>
      <c r="D305" s="180"/>
      <c r="E305" s="180"/>
      <c r="F305" s="180"/>
      <c r="G305" s="180"/>
      <c r="H305" s="180"/>
      <c r="I305" s="53"/>
    </row>
    <row r="306" spans="1:14" s="18" customFormat="1" ht="15.75" customHeight="1">
      <c r="A306" s="187">
        <v>1</v>
      </c>
      <c r="B306" s="189"/>
      <c r="C306" s="51" t="s">
        <v>194</v>
      </c>
      <c r="D306" s="52">
        <f>(53.27)*10.764</f>
        <v>573.39828</v>
      </c>
      <c r="E306" s="50">
        <v>0</v>
      </c>
      <c r="F306" s="50">
        <f t="shared" ref="F306:F308" si="27">D306*(($F$204)+1)+(IF(E306&lt;101,E306,IF(E306&lt;201,E306/2,IF(E306&lt;=301,E306/3,E306/4))))</f>
        <v>860.09742000000006</v>
      </c>
      <c r="G306" s="196" t="str">
        <f>A305</f>
        <v>8th Floor
13th Floor (14th Floor as per Builder)
18th Floor (19th Floor as per Builder)
 (Part Refuge Area)</v>
      </c>
      <c r="H306" s="197"/>
      <c r="I306" s="53"/>
      <c r="J306" s="53"/>
    </row>
    <row r="307" spans="1:14" s="18" customFormat="1" ht="15.75" customHeight="1">
      <c r="A307" s="187">
        <v>2</v>
      </c>
      <c r="B307" s="189"/>
      <c r="C307" s="51" t="s">
        <v>194</v>
      </c>
      <c r="D307" s="52">
        <f>(53.27)*10.764</f>
        <v>573.39828</v>
      </c>
      <c r="E307" s="50">
        <v>0</v>
      </c>
      <c r="F307" s="50">
        <f t="shared" si="27"/>
        <v>860.09742000000006</v>
      </c>
      <c r="G307" s="198"/>
      <c r="H307" s="199"/>
      <c r="I307" s="53"/>
      <c r="J307" s="53"/>
    </row>
    <row r="308" spans="1:14" s="18" customFormat="1" ht="15.75" customHeight="1">
      <c r="A308" s="187">
        <v>3</v>
      </c>
      <c r="B308" s="189"/>
      <c r="C308" s="51" t="s">
        <v>194</v>
      </c>
      <c r="D308" s="52">
        <f>(53.42)*10.764</f>
        <v>575.01288</v>
      </c>
      <c r="E308" s="50">
        <v>0</v>
      </c>
      <c r="F308" s="50">
        <f t="shared" si="27"/>
        <v>862.51931999999999</v>
      </c>
      <c r="G308" s="198"/>
      <c r="H308" s="199"/>
      <c r="I308" s="53"/>
      <c r="J308" s="53"/>
    </row>
    <row r="309" spans="1:14" s="18" customFormat="1" ht="15.75" customHeight="1">
      <c r="A309" s="187">
        <v>4</v>
      </c>
      <c r="B309" s="189"/>
      <c r="C309" s="193" t="s">
        <v>202</v>
      </c>
      <c r="D309" s="194"/>
      <c r="E309" s="194"/>
      <c r="F309" s="195"/>
      <c r="G309" s="198"/>
      <c r="H309" s="199"/>
      <c r="I309" s="53"/>
      <c r="J309" s="53"/>
    </row>
    <row r="310" spans="1:14" s="18" customFormat="1" ht="15.75" customHeight="1">
      <c r="A310" s="187">
        <v>5</v>
      </c>
      <c r="B310" s="189"/>
      <c r="C310" s="51" t="s">
        <v>194</v>
      </c>
      <c r="D310" s="52">
        <f>(53.42)*10.764</f>
        <v>575.01288</v>
      </c>
      <c r="E310" s="50">
        <v>0</v>
      </c>
      <c r="F310" s="50">
        <f t="shared" ref="F310:F311" si="28">D310*(($F$204)+1)+(IF(E310&lt;101,E310,IF(E310&lt;201,E310/2,IF(E310&lt;=301,E310/3,E310/4))))</f>
        <v>862.51931999999999</v>
      </c>
      <c r="G310" s="198"/>
      <c r="H310" s="199"/>
      <c r="I310" s="53"/>
      <c r="J310" s="53"/>
    </row>
    <row r="311" spans="1:14" s="18" customFormat="1" ht="15.75" customHeight="1">
      <c r="A311" s="187">
        <v>6</v>
      </c>
      <c r="B311" s="189"/>
      <c r="C311" s="51" t="s">
        <v>194</v>
      </c>
      <c r="D311" s="52">
        <f>(53.42)*10.764</f>
        <v>575.01288</v>
      </c>
      <c r="E311" s="50">
        <v>0</v>
      </c>
      <c r="F311" s="50">
        <f t="shared" si="28"/>
        <v>862.51931999999999</v>
      </c>
      <c r="G311" s="200"/>
      <c r="H311" s="201"/>
      <c r="I311" s="53"/>
      <c r="J311" s="53"/>
    </row>
    <row r="312" spans="1:14">
      <c r="A312" s="79" t="s">
        <v>175</v>
      </c>
      <c r="B312" s="79"/>
      <c r="C312" s="79"/>
      <c r="D312" s="79"/>
      <c r="E312" s="79"/>
      <c r="F312" s="79"/>
      <c r="G312" s="79"/>
      <c r="H312" s="79"/>
      <c r="K312" s="52">
        <v>10.763999999999999</v>
      </c>
    </row>
    <row r="313" spans="1:14" s="18" customFormat="1">
      <c r="A313" s="180" t="s">
        <v>204</v>
      </c>
      <c r="B313" s="180"/>
      <c r="C313" s="180"/>
      <c r="D313" s="180"/>
      <c r="E313" s="180"/>
      <c r="F313" s="180"/>
      <c r="G313" s="180"/>
      <c r="H313" s="180"/>
      <c r="I313" s="53"/>
      <c r="L313" s="181"/>
      <c r="M313" s="181"/>
    </row>
    <row r="314" spans="1:14" s="18" customFormat="1" ht="15.75" customHeight="1">
      <c r="A314" s="182">
        <v>1</v>
      </c>
      <c r="B314" s="182"/>
      <c r="C314" s="51" t="s">
        <v>194</v>
      </c>
      <c r="D314" s="52">
        <f>(54.74)*10.764</f>
        <v>589.22136</v>
      </c>
      <c r="E314" s="50">
        <v>0</v>
      </c>
      <c r="F314" s="50">
        <f t="shared" ref="F314:F315" si="29">D314*(($F$204)+1)+(IF(E314&lt;101,E314,IF(E314&lt;201,E314/2,IF(E314&lt;=301,E314/3,E314/4))))</f>
        <v>883.83204000000001</v>
      </c>
      <c r="G314" s="196" t="str">
        <f>A313</f>
        <v>Ground Floor for Residential, Society Office, Meter Room &amp; Entrance Lobby</v>
      </c>
      <c r="H314" s="197"/>
      <c r="I314" s="53">
        <f>4.32*3.05+2.6*2.13+2.9*2.75+1.4*0.6+2.75*2.9+1.7*0.6+1.5*2.28+0.9*2.11+0.74*0.9</f>
        <v>42.509</v>
      </c>
      <c r="J314" s="53"/>
      <c r="N314" s="53"/>
    </row>
    <row r="315" spans="1:14" s="18" customFormat="1" ht="15.75" customHeight="1">
      <c r="A315" s="182">
        <f>A314+1</f>
        <v>2</v>
      </c>
      <c r="B315" s="182"/>
      <c r="C315" s="51" t="s">
        <v>194</v>
      </c>
      <c r="D315" s="52">
        <f>(54.74)*10.764</f>
        <v>589.22136</v>
      </c>
      <c r="E315" s="50">
        <v>0</v>
      </c>
      <c r="F315" s="50">
        <f t="shared" si="29"/>
        <v>883.83204000000001</v>
      </c>
      <c r="G315" s="198"/>
      <c r="H315" s="199"/>
      <c r="I315" s="53"/>
      <c r="J315" s="53"/>
      <c r="N315" s="53"/>
    </row>
    <row r="316" spans="1:14" s="18" customFormat="1" ht="15.75" customHeight="1">
      <c r="A316" s="182">
        <f t="shared" ref="A316:A319" si="30">A315+1</f>
        <v>3</v>
      </c>
      <c r="B316" s="182"/>
      <c r="C316" s="231" t="s">
        <v>195</v>
      </c>
      <c r="D316" s="232"/>
      <c r="E316" s="232"/>
      <c r="F316" s="233"/>
      <c r="G316" s="198"/>
      <c r="H316" s="199"/>
      <c r="I316" s="53"/>
      <c r="N316" s="53"/>
    </row>
    <row r="317" spans="1:14" s="18" customFormat="1" ht="15.75" customHeight="1">
      <c r="A317" s="182">
        <f t="shared" si="30"/>
        <v>4</v>
      </c>
      <c r="B317" s="182"/>
      <c r="C317" s="234"/>
      <c r="D317" s="235"/>
      <c r="E317" s="235"/>
      <c r="F317" s="236"/>
      <c r="G317" s="198"/>
      <c r="H317" s="199"/>
      <c r="I317" s="53"/>
      <c r="N317" s="53"/>
    </row>
    <row r="318" spans="1:14" s="18" customFormat="1" ht="15.75" customHeight="1">
      <c r="A318" s="182">
        <f t="shared" si="30"/>
        <v>5</v>
      </c>
      <c r="B318" s="182"/>
      <c r="C318" s="187" t="s">
        <v>196</v>
      </c>
      <c r="D318" s="188"/>
      <c r="E318" s="188"/>
      <c r="F318" s="189"/>
      <c r="G318" s="198"/>
      <c r="H318" s="199"/>
      <c r="I318" s="53"/>
      <c r="J318" s="53"/>
      <c r="N318" s="53"/>
    </row>
    <row r="319" spans="1:14" s="18" customFormat="1" ht="15.75" customHeight="1">
      <c r="A319" s="182">
        <f t="shared" si="30"/>
        <v>6</v>
      </c>
      <c r="B319" s="182"/>
      <c r="C319" s="51" t="s">
        <v>197</v>
      </c>
      <c r="D319" s="52">
        <f>(48.72)*10.764</f>
        <v>524.42207999999994</v>
      </c>
      <c r="E319" s="50">
        <v>0</v>
      </c>
      <c r="F319" s="50">
        <f t="shared" ref="F319" si="31">D319*(($F$204)+1)+(IF(E319&lt;101,E319,IF(E319&lt;201,E319/2,IF(E319&lt;=301,E319/3,E319/4))))</f>
        <v>786.63311999999996</v>
      </c>
      <c r="G319" s="200"/>
      <c r="H319" s="201"/>
      <c r="I319" s="53"/>
      <c r="J319" s="53"/>
      <c r="N319" s="53"/>
    </row>
    <row r="320" spans="1:14" s="18" customFormat="1">
      <c r="A320" s="190" t="s">
        <v>198</v>
      </c>
      <c r="B320" s="191"/>
      <c r="C320" s="191"/>
      <c r="D320" s="191"/>
      <c r="E320" s="191"/>
      <c r="F320" s="191"/>
      <c r="G320" s="191"/>
      <c r="H320" s="192"/>
      <c r="I320" s="53"/>
    </row>
    <row r="321" spans="1:10" s="18" customFormat="1" ht="15.75" customHeight="1">
      <c r="A321" s="182">
        <v>1</v>
      </c>
      <c r="B321" s="182"/>
      <c r="C321" s="51" t="s">
        <v>194</v>
      </c>
      <c r="D321" s="52">
        <f>(50.34)*10.764</f>
        <v>541.85976000000005</v>
      </c>
      <c r="E321" s="50">
        <v>0</v>
      </c>
      <c r="F321" s="50">
        <f t="shared" ref="F321:F326" si="32">D321*(($F$204)+1)+(IF(E321&lt;101,E321,IF(E321&lt;201,E321/2,IF(E321&lt;=301,E321/3,E321/4))))</f>
        <v>812.78964000000008</v>
      </c>
      <c r="G321" s="196" t="str">
        <f>A320</f>
        <v>1st &amp; 2nd Floor</v>
      </c>
      <c r="H321" s="197"/>
      <c r="I321" s="53"/>
      <c r="J321" s="53"/>
    </row>
    <row r="322" spans="1:10" s="18" customFormat="1" ht="15.75" customHeight="1">
      <c r="A322" s="182">
        <f>A321+1</f>
        <v>2</v>
      </c>
      <c r="B322" s="182"/>
      <c r="C322" s="51" t="s">
        <v>194</v>
      </c>
      <c r="D322" s="52">
        <f>(50.34)*10.764</f>
        <v>541.85976000000005</v>
      </c>
      <c r="E322" s="50">
        <v>0</v>
      </c>
      <c r="F322" s="50">
        <f t="shared" si="32"/>
        <v>812.78964000000008</v>
      </c>
      <c r="G322" s="198"/>
      <c r="H322" s="199"/>
      <c r="I322" s="53"/>
      <c r="J322" s="53"/>
    </row>
    <row r="323" spans="1:10" s="18" customFormat="1" ht="15.75" customHeight="1">
      <c r="A323" s="182">
        <f t="shared" ref="A323:A326" si="33">A322+1</f>
        <v>3</v>
      </c>
      <c r="B323" s="182"/>
      <c r="C323" s="51" t="s">
        <v>194</v>
      </c>
      <c r="D323" s="52">
        <f>(53.42)*10.764</f>
        <v>575.01288</v>
      </c>
      <c r="E323" s="50">
        <v>0</v>
      </c>
      <c r="F323" s="50">
        <f t="shared" si="32"/>
        <v>862.51931999999999</v>
      </c>
      <c r="G323" s="198"/>
      <c r="H323" s="199"/>
      <c r="I323" s="53"/>
      <c r="J323" s="53"/>
    </row>
    <row r="324" spans="1:10" s="18" customFormat="1" ht="15.75" customHeight="1">
      <c r="A324" s="182">
        <f t="shared" si="33"/>
        <v>4</v>
      </c>
      <c r="B324" s="182"/>
      <c r="C324" s="51" t="s">
        <v>194</v>
      </c>
      <c r="D324" s="52">
        <f>(53.42)*10.764</f>
        <v>575.01288</v>
      </c>
      <c r="E324" s="50">
        <v>0</v>
      </c>
      <c r="F324" s="50">
        <f t="shared" si="32"/>
        <v>862.51931999999999</v>
      </c>
      <c r="G324" s="198"/>
      <c r="H324" s="199"/>
      <c r="I324" s="53"/>
      <c r="J324" s="53"/>
    </row>
    <row r="325" spans="1:10" s="18" customFormat="1" ht="15.75" customHeight="1">
      <c r="A325" s="182">
        <f t="shared" si="33"/>
        <v>5</v>
      </c>
      <c r="B325" s="182"/>
      <c r="C325" s="51" t="s">
        <v>194</v>
      </c>
      <c r="D325" s="52">
        <f>(61.7)*10.764</f>
        <v>664.13879999999995</v>
      </c>
      <c r="E325" s="50">
        <v>0</v>
      </c>
      <c r="F325" s="50">
        <f t="shared" si="32"/>
        <v>996.20819999999992</v>
      </c>
      <c r="G325" s="198"/>
      <c r="H325" s="199"/>
      <c r="I325" s="53"/>
      <c r="J325" s="53"/>
    </row>
    <row r="326" spans="1:10" s="18" customFormat="1" ht="15.75" customHeight="1">
      <c r="A326" s="182">
        <f t="shared" si="33"/>
        <v>6</v>
      </c>
      <c r="B326" s="182"/>
      <c r="C326" s="51" t="s">
        <v>194</v>
      </c>
      <c r="D326" s="52">
        <f>(53.42)*10.764</f>
        <v>575.01288</v>
      </c>
      <c r="E326" s="50">
        <v>0</v>
      </c>
      <c r="F326" s="50">
        <f t="shared" si="32"/>
        <v>862.51931999999999</v>
      </c>
      <c r="G326" s="200"/>
      <c r="H326" s="201"/>
      <c r="I326" s="53"/>
      <c r="J326" s="53"/>
    </row>
    <row r="327" spans="1:10" s="18" customFormat="1">
      <c r="A327" s="190" t="s">
        <v>199</v>
      </c>
      <c r="B327" s="191"/>
      <c r="C327" s="191"/>
      <c r="D327" s="191"/>
      <c r="E327" s="191"/>
      <c r="F327" s="191"/>
      <c r="G327" s="191"/>
      <c r="H327" s="192"/>
      <c r="I327" s="53"/>
    </row>
    <row r="328" spans="1:10" s="18" customFormat="1" ht="15.75" customHeight="1">
      <c r="A328" s="182">
        <v>1</v>
      </c>
      <c r="B328" s="182"/>
      <c r="C328" s="51" t="s">
        <v>194</v>
      </c>
      <c r="D328" s="52">
        <f>(53.27)*10.764</f>
        <v>573.39828</v>
      </c>
      <c r="E328" s="50">
        <v>0</v>
      </c>
      <c r="F328" s="50">
        <f t="shared" ref="F328:F333" si="34">D328*(($F$204)+1)+(IF(E328&lt;101,E328,IF(E328&lt;201,E328/2,IF(E328&lt;=301,E328/3,E328/4))))</f>
        <v>860.09742000000006</v>
      </c>
      <c r="G328" s="196" t="str">
        <f>A327</f>
        <v>3rd to 7th, 9th to 12th Floor</v>
      </c>
      <c r="H328" s="197"/>
      <c r="I328" s="53"/>
      <c r="J328" s="53"/>
    </row>
    <row r="329" spans="1:10" s="18" customFormat="1" ht="15.75" customHeight="1">
      <c r="A329" s="182">
        <f>A328+1</f>
        <v>2</v>
      </c>
      <c r="B329" s="182"/>
      <c r="C329" s="51" t="s">
        <v>194</v>
      </c>
      <c r="D329" s="52">
        <f>(53.27)*10.764</f>
        <v>573.39828</v>
      </c>
      <c r="E329" s="50">
        <v>0</v>
      </c>
      <c r="F329" s="50">
        <f t="shared" si="34"/>
        <v>860.09742000000006</v>
      </c>
      <c r="G329" s="198"/>
      <c r="H329" s="199"/>
      <c r="I329" s="53"/>
      <c r="J329" s="53"/>
    </row>
    <row r="330" spans="1:10" s="18" customFormat="1" ht="15.75" customHeight="1">
      <c r="A330" s="182">
        <f t="shared" ref="A330:A333" si="35">A329+1</f>
        <v>3</v>
      </c>
      <c r="B330" s="182"/>
      <c r="C330" s="51" t="s">
        <v>194</v>
      </c>
      <c r="D330" s="52">
        <f>(53.42)*10.764</f>
        <v>575.01288</v>
      </c>
      <c r="E330" s="50">
        <v>0</v>
      </c>
      <c r="F330" s="50">
        <f t="shared" si="34"/>
        <v>862.51931999999999</v>
      </c>
      <c r="G330" s="198"/>
      <c r="H330" s="199"/>
      <c r="I330" s="53"/>
      <c r="J330" s="53"/>
    </row>
    <row r="331" spans="1:10" s="18" customFormat="1" ht="15.75" customHeight="1">
      <c r="A331" s="182">
        <f t="shared" si="35"/>
        <v>4</v>
      </c>
      <c r="B331" s="182"/>
      <c r="C331" s="51" t="s">
        <v>194</v>
      </c>
      <c r="D331" s="52">
        <f t="shared" ref="D331:D333" si="36">(53.42)*10.764</f>
        <v>575.01288</v>
      </c>
      <c r="E331" s="50">
        <v>0</v>
      </c>
      <c r="F331" s="50">
        <f t="shared" si="34"/>
        <v>862.51931999999999</v>
      </c>
      <c r="G331" s="198"/>
      <c r="H331" s="199"/>
      <c r="I331" s="53"/>
      <c r="J331" s="53"/>
    </row>
    <row r="332" spans="1:10" s="18" customFormat="1" ht="15.75" customHeight="1">
      <c r="A332" s="182">
        <f t="shared" si="35"/>
        <v>5</v>
      </c>
      <c r="B332" s="182"/>
      <c r="C332" s="51" t="s">
        <v>194</v>
      </c>
      <c r="D332" s="52">
        <f t="shared" si="36"/>
        <v>575.01288</v>
      </c>
      <c r="E332" s="50">
        <v>0</v>
      </c>
      <c r="F332" s="50">
        <f t="shared" si="34"/>
        <v>862.51931999999999</v>
      </c>
      <c r="G332" s="198"/>
      <c r="H332" s="199"/>
      <c r="I332" s="53"/>
      <c r="J332" s="53"/>
    </row>
    <row r="333" spans="1:10" s="18" customFormat="1" ht="15.75" customHeight="1">
      <c r="A333" s="182">
        <f t="shared" si="35"/>
        <v>6</v>
      </c>
      <c r="B333" s="182"/>
      <c r="C333" s="51" t="s">
        <v>194</v>
      </c>
      <c r="D333" s="52">
        <f t="shared" si="36"/>
        <v>575.01288</v>
      </c>
      <c r="E333" s="50">
        <v>0</v>
      </c>
      <c r="F333" s="50">
        <f t="shared" si="34"/>
        <v>862.51931999999999</v>
      </c>
      <c r="G333" s="200"/>
      <c r="H333" s="201"/>
      <c r="I333" s="53"/>
      <c r="J333" s="53"/>
    </row>
    <row r="334" spans="1:10" s="18" customFormat="1" ht="32.25" customHeight="1">
      <c r="A334" s="180" t="s">
        <v>200</v>
      </c>
      <c r="B334" s="180"/>
      <c r="C334" s="180"/>
      <c r="D334" s="180"/>
      <c r="E334" s="180"/>
      <c r="F334" s="180"/>
      <c r="G334" s="180"/>
      <c r="H334" s="180"/>
      <c r="I334" s="53"/>
    </row>
    <row r="335" spans="1:10" s="18" customFormat="1" ht="15.75" customHeight="1">
      <c r="A335" s="182">
        <v>1</v>
      </c>
      <c r="B335" s="182"/>
      <c r="C335" s="72" t="s">
        <v>194</v>
      </c>
      <c r="D335" s="52">
        <f>(53.27)*10.764</f>
        <v>573.39828</v>
      </c>
      <c r="E335" s="71">
        <v>0</v>
      </c>
      <c r="F335" s="71">
        <f t="shared" ref="F335:F340" si="37">D335*(($F$204)+1)+(IF(E335&lt;101,E335,IF(E335&lt;201,E335/2,IF(E335&lt;=301,E335/3,E335/4))))</f>
        <v>860.09742000000006</v>
      </c>
      <c r="G335" s="182" t="str">
        <f>A334</f>
        <v>14th to 17th Floor (15th to 18th Floor as per Builder)
19th to 23rd Floor (20th to 24th Floor as per Builder)</v>
      </c>
      <c r="H335" s="182"/>
      <c r="I335" s="53"/>
      <c r="J335" s="53"/>
    </row>
    <row r="336" spans="1:10" s="18" customFormat="1" ht="15.75" customHeight="1">
      <c r="A336" s="182">
        <f>A335+1</f>
        <v>2</v>
      </c>
      <c r="B336" s="182"/>
      <c r="C336" s="72" t="s">
        <v>194</v>
      </c>
      <c r="D336" s="52">
        <f>(53.27)*10.764</f>
        <v>573.39828</v>
      </c>
      <c r="E336" s="71">
        <v>0</v>
      </c>
      <c r="F336" s="71">
        <f t="shared" si="37"/>
        <v>860.09742000000006</v>
      </c>
      <c r="G336" s="182"/>
      <c r="H336" s="182"/>
      <c r="I336" s="53"/>
      <c r="J336" s="53"/>
    </row>
    <row r="337" spans="1:14" s="18" customFormat="1" ht="15.75" customHeight="1">
      <c r="A337" s="182">
        <f t="shared" ref="A337:A340" si="38">A336+1</f>
        <v>3</v>
      </c>
      <c r="B337" s="182"/>
      <c r="C337" s="72" t="s">
        <v>194</v>
      </c>
      <c r="D337" s="52">
        <f>(53.42)*10.764</f>
        <v>575.01288</v>
      </c>
      <c r="E337" s="71">
        <v>0</v>
      </c>
      <c r="F337" s="71">
        <f t="shared" si="37"/>
        <v>862.51931999999999</v>
      </c>
      <c r="G337" s="182"/>
      <c r="H337" s="182"/>
      <c r="I337" s="53"/>
      <c r="J337" s="53"/>
    </row>
    <row r="338" spans="1:14" s="18" customFormat="1" ht="15.75" customHeight="1">
      <c r="A338" s="182">
        <f t="shared" si="38"/>
        <v>4</v>
      </c>
      <c r="B338" s="182"/>
      <c r="C338" s="72" t="s">
        <v>194</v>
      </c>
      <c r="D338" s="52">
        <f t="shared" ref="D338:D340" si="39">(53.42)*10.764</f>
        <v>575.01288</v>
      </c>
      <c r="E338" s="71">
        <v>0</v>
      </c>
      <c r="F338" s="71">
        <f t="shared" si="37"/>
        <v>862.51931999999999</v>
      </c>
      <c r="G338" s="182"/>
      <c r="H338" s="182"/>
      <c r="I338" s="53"/>
      <c r="J338" s="53"/>
    </row>
    <row r="339" spans="1:14" s="18" customFormat="1" ht="15.75" customHeight="1">
      <c r="A339" s="182">
        <f t="shared" si="38"/>
        <v>5</v>
      </c>
      <c r="B339" s="182"/>
      <c r="C339" s="72" t="s">
        <v>194</v>
      </c>
      <c r="D339" s="52">
        <f t="shared" si="39"/>
        <v>575.01288</v>
      </c>
      <c r="E339" s="71">
        <v>0</v>
      </c>
      <c r="F339" s="71">
        <f t="shared" si="37"/>
        <v>862.51931999999999</v>
      </c>
      <c r="G339" s="182"/>
      <c r="H339" s="182"/>
      <c r="I339" s="53"/>
      <c r="J339" s="53"/>
    </row>
    <row r="340" spans="1:14" s="18" customFormat="1" ht="15.75" customHeight="1">
      <c r="A340" s="182">
        <f t="shared" si="38"/>
        <v>6</v>
      </c>
      <c r="B340" s="182"/>
      <c r="C340" s="72" t="s">
        <v>194</v>
      </c>
      <c r="D340" s="52">
        <f t="shared" si="39"/>
        <v>575.01288</v>
      </c>
      <c r="E340" s="71">
        <v>0</v>
      </c>
      <c r="F340" s="71">
        <f t="shared" si="37"/>
        <v>862.51931999999999</v>
      </c>
      <c r="G340" s="182"/>
      <c r="H340" s="182"/>
      <c r="I340" s="53"/>
      <c r="J340" s="53"/>
    </row>
    <row r="341" spans="1:14" s="18" customFormat="1" ht="61.5" customHeight="1">
      <c r="A341" s="180" t="s">
        <v>201</v>
      </c>
      <c r="B341" s="180"/>
      <c r="C341" s="180"/>
      <c r="D341" s="180"/>
      <c r="E341" s="180"/>
      <c r="F341" s="180"/>
      <c r="G341" s="180"/>
      <c r="H341" s="180"/>
      <c r="I341" s="53"/>
    </row>
    <row r="342" spans="1:14" s="18" customFormat="1" ht="15.75" customHeight="1">
      <c r="A342" s="182">
        <v>1</v>
      </c>
      <c r="B342" s="182"/>
      <c r="C342" s="72" t="s">
        <v>194</v>
      </c>
      <c r="D342" s="52">
        <f>(53.27)*10.764</f>
        <v>573.39828</v>
      </c>
      <c r="E342" s="71">
        <v>0</v>
      </c>
      <c r="F342" s="71">
        <f t="shared" ref="F342:F344" si="40">D342*(($F$204)+1)+(IF(E342&lt;101,E342,IF(E342&lt;201,E342/2,IF(E342&lt;=301,E342/3,E342/4))))</f>
        <v>860.09742000000006</v>
      </c>
      <c r="G342" s="182" t="str">
        <f>A341</f>
        <v>8th Floor
13th Floor (14th Floor as per Builder)
18th Floor (19th Floor as per Builder)
 (Part Refuge Area)</v>
      </c>
      <c r="H342" s="182"/>
      <c r="I342" s="53"/>
      <c r="J342" s="53"/>
    </row>
    <row r="343" spans="1:14" s="18" customFormat="1" ht="15.75" customHeight="1">
      <c r="A343" s="182">
        <f>A342+1</f>
        <v>2</v>
      </c>
      <c r="B343" s="182"/>
      <c r="C343" s="72" t="s">
        <v>194</v>
      </c>
      <c r="D343" s="52">
        <f>(53.27)*10.764</f>
        <v>573.39828</v>
      </c>
      <c r="E343" s="71">
        <v>0</v>
      </c>
      <c r="F343" s="71">
        <f t="shared" si="40"/>
        <v>860.09742000000006</v>
      </c>
      <c r="G343" s="182"/>
      <c r="H343" s="182"/>
      <c r="I343" s="53"/>
      <c r="J343" s="53"/>
    </row>
    <row r="344" spans="1:14" s="18" customFormat="1" ht="15.75" customHeight="1">
      <c r="A344" s="182">
        <f t="shared" ref="A344:A347" si="41">A343+1</f>
        <v>3</v>
      </c>
      <c r="B344" s="182"/>
      <c r="C344" s="72" t="s">
        <v>194</v>
      </c>
      <c r="D344" s="52">
        <f>(53.42)*10.764</f>
        <v>575.01288</v>
      </c>
      <c r="E344" s="71">
        <v>0</v>
      </c>
      <c r="F344" s="71">
        <f t="shared" si="40"/>
        <v>862.51931999999999</v>
      </c>
      <c r="G344" s="182"/>
      <c r="H344" s="182"/>
      <c r="I344" s="53"/>
      <c r="J344" s="53"/>
    </row>
    <row r="345" spans="1:14" s="18" customFormat="1" ht="15.75" customHeight="1">
      <c r="A345" s="182">
        <f t="shared" si="41"/>
        <v>4</v>
      </c>
      <c r="B345" s="182"/>
      <c r="C345" s="202" t="s">
        <v>202</v>
      </c>
      <c r="D345" s="202"/>
      <c r="E345" s="202"/>
      <c r="F345" s="202"/>
      <c r="G345" s="182"/>
      <c r="H345" s="182"/>
      <c r="I345" s="53"/>
      <c r="J345" s="53"/>
    </row>
    <row r="346" spans="1:14" s="18" customFormat="1" ht="15.75" customHeight="1">
      <c r="A346" s="182">
        <f t="shared" si="41"/>
        <v>5</v>
      </c>
      <c r="B346" s="182"/>
      <c r="C346" s="72" t="s">
        <v>194</v>
      </c>
      <c r="D346" s="52">
        <f t="shared" ref="D346:D347" si="42">(53.42)*10.764</f>
        <v>575.01288</v>
      </c>
      <c r="E346" s="71">
        <v>0</v>
      </c>
      <c r="F346" s="71">
        <f t="shared" ref="F346:F347" si="43">D346*(($F$204)+1)+(IF(E346&lt;101,E346,IF(E346&lt;201,E346/2,IF(E346&lt;=301,E346/3,E346/4))))</f>
        <v>862.51931999999999</v>
      </c>
      <c r="G346" s="182"/>
      <c r="H346" s="182"/>
      <c r="I346" s="53"/>
      <c r="J346" s="53"/>
    </row>
    <row r="347" spans="1:14" s="18" customFormat="1" ht="15.75" customHeight="1">
      <c r="A347" s="182">
        <f t="shared" si="41"/>
        <v>6</v>
      </c>
      <c r="B347" s="182"/>
      <c r="C347" s="72" t="s">
        <v>194</v>
      </c>
      <c r="D347" s="52">
        <f t="shared" si="42"/>
        <v>575.01288</v>
      </c>
      <c r="E347" s="71">
        <v>0</v>
      </c>
      <c r="F347" s="71">
        <f t="shared" si="43"/>
        <v>862.51931999999999</v>
      </c>
      <c r="G347" s="182"/>
      <c r="H347" s="182"/>
      <c r="I347" s="53"/>
      <c r="J347" s="53"/>
    </row>
    <row r="348" spans="1:14">
      <c r="A348" s="79" t="s">
        <v>177</v>
      </c>
      <c r="B348" s="79"/>
      <c r="C348" s="79"/>
      <c r="D348" s="79"/>
      <c r="E348" s="79"/>
      <c r="F348" s="79"/>
      <c r="G348" s="79"/>
      <c r="H348" s="79"/>
      <c r="K348" s="52">
        <v>10.763999999999999</v>
      </c>
    </row>
    <row r="349" spans="1:14" s="18" customFormat="1">
      <c r="A349" s="180" t="s">
        <v>205</v>
      </c>
      <c r="B349" s="180"/>
      <c r="C349" s="180"/>
      <c r="D349" s="180"/>
      <c r="E349" s="180"/>
      <c r="F349" s="180"/>
      <c r="G349" s="180"/>
      <c r="H349" s="180"/>
      <c r="I349" s="53"/>
      <c r="L349" s="181"/>
      <c r="M349" s="181"/>
    </row>
    <row r="350" spans="1:14" s="18" customFormat="1" ht="15.75" customHeight="1">
      <c r="A350" s="182">
        <v>1</v>
      </c>
      <c r="B350" s="182"/>
      <c r="C350" s="51" t="s">
        <v>197</v>
      </c>
      <c r="D350" s="52">
        <f>(62.25-(1.22*2.44+2.75*2.14+2.09*1.05))*10.764</f>
        <v>551.04898679999997</v>
      </c>
      <c r="E350" s="50">
        <v>0</v>
      </c>
      <c r="F350" s="50">
        <f t="shared" ref="F350:F351" si="44">D350*(($F$204)+1)+(IF(E350&lt;101,E350,IF(E350&lt;201,E350/2,IF(E350&lt;=301,E350/3,E350/4))))</f>
        <v>826.57348019999995</v>
      </c>
      <c r="G350" s="196" t="str">
        <f>A349</f>
        <v xml:space="preserve">Ground Floor for Residential </v>
      </c>
      <c r="H350" s="197"/>
      <c r="I350" s="53"/>
      <c r="J350" s="53"/>
      <c r="N350" s="53"/>
    </row>
    <row r="351" spans="1:14" s="18" customFormat="1" ht="15.75" customHeight="1">
      <c r="A351" s="182">
        <v>2</v>
      </c>
      <c r="B351" s="182"/>
      <c r="C351" s="51" t="s">
        <v>194</v>
      </c>
      <c r="D351" s="52">
        <f>(62.25-1.22*2.44)*10.764</f>
        <v>638.01672480000002</v>
      </c>
      <c r="E351" s="50">
        <v>0</v>
      </c>
      <c r="F351" s="50">
        <f t="shared" si="44"/>
        <v>957.02508720000003</v>
      </c>
      <c r="G351" s="198"/>
      <c r="H351" s="199"/>
      <c r="I351" s="53"/>
      <c r="J351" s="53"/>
      <c r="N351" s="53"/>
    </row>
    <row r="352" spans="1:14" s="18" customFormat="1" ht="15.75" customHeight="1">
      <c r="A352" s="182">
        <v>3</v>
      </c>
      <c r="B352" s="182"/>
      <c r="C352" s="51" t="s">
        <v>194</v>
      </c>
      <c r="D352" s="52">
        <f>(61.42-2.44*1.2)*10.764</f>
        <v>629.607888</v>
      </c>
      <c r="E352" s="50">
        <v>0</v>
      </c>
      <c r="F352" s="50">
        <f t="shared" ref="F352:F353" si="45">D352*(($F$204)+1)+(IF(E352&lt;101,E352,IF(E352&lt;201,E352/2,IF(E352&lt;=301,E352/3,E352/4))))</f>
        <v>944.411832</v>
      </c>
      <c r="G352" s="198"/>
      <c r="H352" s="199"/>
      <c r="I352" s="53"/>
      <c r="J352" s="53"/>
      <c r="N352" s="53"/>
    </row>
    <row r="353" spans="1:14" s="18" customFormat="1" ht="15.75" customHeight="1">
      <c r="A353" s="182">
        <v>4</v>
      </c>
      <c r="B353" s="182"/>
      <c r="C353" s="51" t="s">
        <v>206</v>
      </c>
      <c r="D353" s="52">
        <f>(61.42-(2.44*1.22+3.05*3.05+1.48*0.6)+1.38*3.05)*10.764</f>
        <v>564.69773880000002</v>
      </c>
      <c r="E353" s="50">
        <v>0</v>
      </c>
      <c r="F353" s="50">
        <f t="shared" si="45"/>
        <v>847.04660820000004</v>
      </c>
      <c r="G353" s="198"/>
      <c r="H353" s="199"/>
      <c r="I353" s="53"/>
      <c r="J353" s="53"/>
      <c r="N353" s="53"/>
    </row>
    <row r="354" spans="1:14" s="18" customFormat="1" ht="15.75" customHeight="1">
      <c r="A354" s="182">
        <v>5</v>
      </c>
      <c r="B354" s="182"/>
      <c r="C354" s="187" t="s">
        <v>196</v>
      </c>
      <c r="D354" s="188"/>
      <c r="E354" s="188"/>
      <c r="F354" s="189"/>
      <c r="G354" s="198"/>
      <c r="H354" s="199"/>
      <c r="I354" s="53"/>
      <c r="N354" s="53"/>
    </row>
    <row r="355" spans="1:14" s="18" customFormat="1" ht="15.75" customHeight="1">
      <c r="A355" s="182">
        <v>6</v>
      </c>
      <c r="B355" s="182"/>
      <c r="C355" s="51" t="s">
        <v>194</v>
      </c>
      <c r="D355" s="52">
        <f>(61.42-2.44*1.22)*10.764</f>
        <v>629.08260480000001</v>
      </c>
      <c r="E355" s="50">
        <v>0</v>
      </c>
      <c r="F355" s="50">
        <f t="shared" ref="F355" si="46">D355*(($F$204)+1)+(IF(E355&lt;101,E355,IF(E355&lt;201,E355/2,IF(E355&lt;=301,E355/3,E355/4))))</f>
        <v>943.62390720000008</v>
      </c>
      <c r="G355" s="198"/>
      <c r="H355" s="199"/>
      <c r="I355" s="53"/>
      <c r="J355" s="53"/>
      <c r="N355" s="53"/>
    </row>
    <row r="356" spans="1:14" s="18" customFormat="1" ht="15.75" customHeight="1">
      <c r="A356" s="182">
        <v>7</v>
      </c>
      <c r="B356" s="182"/>
      <c r="C356" s="51" t="s">
        <v>194</v>
      </c>
      <c r="D356" s="52">
        <f>(61.42-2.44*1.2)*10.764</f>
        <v>629.607888</v>
      </c>
      <c r="E356" s="50">
        <v>0</v>
      </c>
      <c r="F356" s="50">
        <f t="shared" ref="F356" si="47">D356*(($F$204)+1)+(IF(E356&lt;101,E356,IF(E356&lt;201,E356/2,IF(E356&lt;=301,E356/3,E356/4))))</f>
        <v>944.411832</v>
      </c>
      <c r="G356" s="200"/>
      <c r="H356" s="201"/>
      <c r="I356" s="53"/>
      <c r="J356" s="53"/>
      <c r="N356" s="53"/>
    </row>
    <row r="357" spans="1:14" s="18" customFormat="1" ht="15.75" customHeight="1">
      <c r="A357" s="190" t="s">
        <v>207</v>
      </c>
      <c r="B357" s="191"/>
      <c r="C357" s="191"/>
      <c r="D357" s="191"/>
      <c r="E357" s="191"/>
      <c r="F357" s="191"/>
      <c r="G357" s="191"/>
      <c r="H357" s="192"/>
      <c r="I357" s="53"/>
    </row>
    <row r="358" spans="1:14" s="18" customFormat="1" ht="15.75" customHeight="1">
      <c r="A358" s="187">
        <v>1</v>
      </c>
      <c r="B358" s="189"/>
      <c r="C358" s="51" t="s">
        <v>194</v>
      </c>
      <c r="D358" s="52">
        <f>(62.25)*10.764</f>
        <v>670.05899999999997</v>
      </c>
      <c r="E358" s="50">
        <v>0</v>
      </c>
      <c r="F358" s="50">
        <f t="shared" ref="F358:F364" si="48">D358*(($F$204)+1)+(IF(E358&lt;101,E358,IF(E358&lt;201,E358/2,IF(E358&lt;=301,E358/3,E358/4))))</f>
        <v>1005.0885</v>
      </c>
      <c r="G358" s="196" t="str">
        <f>A357</f>
        <v>1st to 7th, 9th to 12th Floor</v>
      </c>
      <c r="H358" s="197"/>
      <c r="I358" s="53"/>
      <c r="J358" s="53"/>
    </row>
    <row r="359" spans="1:14" s="18" customFormat="1" ht="15.75" customHeight="1">
      <c r="A359" s="187">
        <v>2</v>
      </c>
      <c r="B359" s="189"/>
      <c r="C359" s="51" t="s">
        <v>194</v>
      </c>
      <c r="D359" s="52">
        <f>(62.25)*10.764</f>
        <v>670.05899999999997</v>
      </c>
      <c r="E359" s="50">
        <v>0</v>
      </c>
      <c r="F359" s="50">
        <f t="shared" si="48"/>
        <v>1005.0885</v>
      </c>
      <c r="G359" s="198"/>
      <c r="H359" s="199"/>
      <c r="I359" s="53"/>
      <c r="J359" s="53"/>
    </row>
    <row r="360" spans="1:14" s="18" customFormat="1" ht="15.75" customHeight="1">
      <c r="A360" s="187">
        <v>3</v>
      </c>
      <c r="B360" s="189"/>
      <c r="C360" s="51" t="s">
        <v>194</v>
      </c>
      <c r="D360" s="52">
        <f>(61.42)*10.764</f>
        <v>661.12487999999996</v>
      </c>
      <c r="E360" s="50">
        <v>0</v>
      </c>
      <c r="F360" s="50">
        <f t="shared" si="48"/>
        <v>991.68732</v>
      </c>
      <c r="G360" s="198"/>
      <c r="H360" s="199"/>
      <c r="I360" s="53"/>
      <c r="J360" s="53"/>
    </row>
    <row r="361" spans="1:14" s="18" customFormat="1" ht="15.75" customHeight="1">
      <c r="A361" s="187">
        <v>4</v>
      </c>
      <c r="B361" s="189"/>
      <c r="C361" s="51" t="s">
        <v>194</v>
      </c>
      <c r="D361" s="52">
        <f>(61.42)*10.764</f>
        <v>661.12487999999996</v>
      </c>
      <c r="E361" s="50">
        <v>0</v>
      </c>
      <c r="F361" s="50">
        <f t="shared" si="48"/>
        <v>991.68732</v>
      </c>
      <c r="G361" s="198"/>
      <c r="H361" s="199"/>
      <c r="I361" s="53"/>
      <c r="J361" s="53"/>
    </row>
    <row r="362" spans="1:14" s="18" customFormat="1" ht="15.75" customHeight="1">
      <c r="A362" s="187">
        <v>5</v>
      </c>
      <c r="B362" s="189"/>
      <c r="C362" s="51" t="s">
        <v>194</v>
      </c>
      <c r="D362" s="52">
        <f>(61.42)*10.764</f>
        <v>661.12487999999996</v>
      </c>
      <c r="E362" s="50">
        <v>0</v>
      </c>
      <c r="F362" s="50">
        <f t="shared" si="48"/>
        <v>991.68732</v>
      </c>
      <c r="G362" s="198"/>
      <c r="H362" s="199"/>
      <c r="I362" s="53"/>
      <c r="J362" s="53"/>
    </row>
    <row r="363" spans="1:14" s="18" customFormat="1" ht="15.75" customHeight="1">
      <c r="A363" s="187">
        <v>6</v>
      </c>
      <c r="B363" s="189"/>
      <c r="C363" s="51" t="s">
        <v>194</v>
      </c>
      <c r="D363" s="52">
        <f>(61.42)*10.764</f>
        <v>661.12487999999996</v>
      </c>
      <c r="E363" s="50">
        <v>0</v>
      </c>
      <c r="F363" s="50">
        <f t="shared" si="48"/>
        <v>991.68732</v>
      </c>
      <c r="G363" s="198"/>
      <c r="H363" s="199"/>
      <c r="I363" s="53"/>
      <c r="J363" s="53"/>
    </row>
    <row r="364" spans="1:14" s="18" customFormat="1" ht="15.75" customHeight="1">
      <c r="A364" s="182">
        <v>7</v>
      </c>
      <c r="B364" s="182"/>
      <c r="C364" s="51" t="s">
        <v>194</v>
      </c>
      <c r="D364" s="52">
        <f>(61.42)*10.764</f>
        <v>661.12487999999996</v>
      </c>
      <c r="E364" s="50">
        <v>0</v>
      </c>
      <c r="F364" s="50">
        <f t="shared" si="48"/>
        <v>991.68732</v>
      </c>
      <c r="G364" s="200"/>
      <c r="H364" s="201"/>
      <c r="I364" s="53"/>
      <c r="J364" s="53"/>
      <c r="N364" s="53"/>
    </row>
    <row r="365" spans="1:14" s="18" customFormat="1" ht="33" customHeight="1">
      <c r="A365" s="190" t="s">
        <v>200</v>
      </c>
      <c r="B365" s="191"/>
      <c r="C365" s="191"/>
      <c r="D365" s="191"/>
      <c r="E365" s="191"/>
      <c r="F365" s="191"/>
      <c r="G365" s="191"/>
      <c r="H365" s="192"/>
      <c r="I365" s="53"/>
    </row>
    <row r="366" spans="1:14" s="18" customFormat="1" ht="15.75" customHeight="1">
      <c r="A366" s="187">
        <v>1</v>
      </c>
      <c r="B366" s="189"/>
      <c r="C366" s="51" t="s">
        <v>194</v>
      </c>
      <c r="D366" s="52">
        <f>(62.25)*10.764</f>
        <v>670.05899999999997</v>
      </c>
      <c r="E366" s="50">
        <v>0</v>
      </c>
      <c r="F366" s="50">
        <f t="shared" ref="F366:F372" si="49">D366*(($F$204)+1)+(IF(E366&lt;101,E366,IF(E366&lt;201,E366/2,IF(E366&lt;=301,E366/3,E366/4))))</f>
        <v>1005.0885</v>
      </c>
      <c r="G366" s="196" t="str">
        <f>A365</f>
        <v>14th to 17th Floor (15th to 18th Floor as per Builder)
19th to 23rd Floor (20th to 24th Floor as per Builder)</v>
      </c>
      <c r="H366" s="197"/>
      <c r="I366" s="53"/>
      <c r="J366" s="53"/>
    </row>
    <row r="367" spans="1:14" s="18" customFormat="1" ht="15.75" customHeight="1">
      <c r="A367" s="187">
        <v>2</v>
      </c>
      <c r="B367" s="189"/>
      <c r="C367" s="51" t="s">
        <v>194</v>
      </c>
      <c r="D367" s="52">
        <f>(62.25)*10.764</f>
        <v>670.05899999999997</v>
      </c>
      <c r="E367" s="50">
        <v>0</v>
      </c>
      <c r="F367" s="50">
        <f t="shared" si="49"/>
        <v>1005.0885</v>
      </c>
      <c r="G367" s="198"/>
      <c r="H367" s="199"/>
      <c r="I367" s="53"/>
      <c r="J367" s="53"/>
    </row>
    <row r="368" spans="1:14" s="18" customFormat="1" ht="15.75" customHeight="1">
      <c r="A368" s="187">
        <v>3</v>
      </c>
      <c r="B368" s="189"/>
      <c r="C368" s="51" t="s">
        <v>194</v>
      </c>
      <c r="D368" s="52">
        <f>(61.42)*10.764</f>
        <v>661.12487999999996</v>
      </c>
      <c r="E368" s="50">
        <v>0</v>
      </c>
      <c r="F368" s="50">
        <f t="shared" si="49"/>
        <v>991.68732</v>
      </c>
      <c r="G368" s="198"/>
      <c r="H368" s="199"/>
      <c r="I368" s="53"/>
      <c r="J368" s="53"/>
    </row>
    <row r="369" spans="1:14" s="18" customFormat="1" ht="15.75" customHeight="1">
      <c r="A369" s="187">
        <v>4</v>
      </c>
      <c r="B369" s="189"/>
      <c r="C369" s="51" t="s">
        <v>194</v>
      </c>
      <c r="D369" s="52">
        <f>(61.42)*10.764</f>
        <v>661.12487999999996</v>
      </c>
      <c r="E369" s="50">
        <v>0</v>
      </c>
      <c r="F369" s="50">
        <f t="shared" si="49"/>
        <v>991.68732</v>
      </c>
      <c r="G369" s="198"/>
      <c r="H369" s="199"/>
      <c r="I369" s="53"/>
      <c r="J369" s="53"/>
    </row>
    <row r="370" spans="1:14" s="18" customFormat="1" ht="15.75" customHeight="1">
      <c r="A370" s="187">
        <v>5</v>
      </c>
      <c r="B370" s="189"/>
      <c r="C370" s="51" t="s">
        <v>194</v>
      </c>
      <c r="D370" s="52">
        <f>(61.42)*10.764</f>
        <v>661.12487999999996</v>
      </c>
      <c r="E370" s="50">
        <v>0</v>
      </c>
      <c r="F370" s="50">
        <f t="shared" si="49"/>
        <v>991.68732</v>
      </c>
      <c r="G370" s="198"/>
      <c r="H370" s="199"/>
      <c r="I370" s="53"/>
      <c r="J370" s="53"/>
    </row>
    <row r="371" spans="1:14" s="18" customFormat="1" ht="15.75" customHeight="1">
      <c r="A371" s="187">
        <v>6</v>
      </c>
      <c r="B371" s="189"/>
      <c r="C371" s="51" t="s">
        <v>194</v>
      </c>
      <c r="D371" s="52">
        <f>(61.42)*10.764</f>
        <v>661.12487999999996</v>
      </c>
      <c r="E371" s="50">
        <v>0</v>
      </c>
      <c r="F371" s="50">
        <f t="shared" si="49"/>
        <v>991.68732</v>
      </c>
      <c r="G371" s="198"/>
      <c r="H371" s="199"/>
      <c r="I371" s="53"/>
      <c r="J371" s="53"/>
    </row>
    <row r="372" spans="1:14" s="18" customFormat="1" ht="15.75" customHeight="1">
      <c r="A372" s="182">
        <v>7</v>
      </c>
      <c r="B372" s="182"/>
      <c r="C372" s="51" t="s">
        <v>194</v>
      </c>
      <c r="D372" s="52">
        <f>(61.42)*10.764</f>
        <v>661.12487999999996</v>
      </c>
      <c r="E372" s="50">
        <v>0</v>
      </c>
      <c r="F372" s="50">
        <f t="shared" si="49"/>
        <v>991.68732</v>
      </c>
      <c r="G372" s="200"/>
      <c r="H372" s="201"/>
      <c r="I372" s="53"/>
      <c r="J372" s="53"/>
      <c r="N372" s="53"/>
    </row>
    <row r="373" spans="1:14" s="18" customFormat="1" ht="63.75" customHeight="1">
      <c r="A373" s="180" t="s">
        <v>201</v>
      </c>
      <c r="B373" s="180"/>
      <c r="C373" s="180"/>
      <c r="D373" s="180"/>
      <c r="E373" s="180"/>
      <c r="F373" s="180"/>
      <c r="G373" s="180"/>
      <c r="H373" s="180"/>
      <c r="I373" s="53"/>
    </row>
    <row r="374" spans="1:14" s="18" customFormat="1" ht="15.75" customHeight="1">
      <c r="A374" s="182">
        <v>1</v>
      </c>
      <c r="B374" s="182"/>
      <c r="C374" s="72" t="s">
        <v>194</v>
      </c>
      <c r="D374" s="52">
        <f>(62.25)*10.764</f>
        <v>670.05899999999997</v>
      </c>
      <c r="E374" s="71">
        <v>0</v>
      </c>
      <c r="F374" s="71">
        <f t="shared" ref="F374:F380" si="50">D374*(($F$204)+1)+(IF(E374&lt;101,E374,IF(E374&lt;201,E374/2,IF(E374&lt;=301,E374/3,E374/4))))</f>
        <v>1005.0885</v>
      </c>
      <c r="G374" s="182" t="str">
        <f>A373</f>
        <v>8th Floor
13th Floor (14th Floor as per Builder)
18th Floor (19th Floor as per Builder)
 (Part Refuge Area)</v>
      </c>
      <c r="H374" s="182"/>
      <c r="I374" s="53"/>
      <c r="J374" s="53"/>
    </row>
    <row r="375" spans="1:14" s="18" customFormat="1" ht="15.75" customHeight="1">
      <c r="A375" s="182">
        <v>2</v>
      </c>
      <c r="B375" s="182"/>
      <c r="C375" s="72" t="s">
        <v>194</v>
      </c>
      <c r="D375" s="52">
        <f>(62.25)*10.764</f>
        <v>670.05899999999997</v>
      </c>
      <c r="E375" s="71">
        <v>0</v>
      </c>
      <c r="F375" s="71">
        <f t="shared" si="50"/>
        <v>1005.0885</v>
      </c>
      <c r="G375" s="182"/>
      <c r="H375" s="182"/>
      <c r="I375" s="53"/>
      <c r="J375" s="53"/>
    </row>
    <row r="376" spans="1:14" s="18" customFormat="1" ht="15.75" customHeight="1">
      <c r="A376" s="182">
        <v>3</v>
      </c>
      <c r="B376" s="182"/>
      <c r="C376" s="72" t="s">
        <v>194</v>
      </c>
      <c r="D376" s="52">
        <f>(61.42)*10.764</f>
        <v>661.12487999999996</v>
      </c>
      <c r="E376" s="71">
        <v>0</v>
      </c>
      <c r="F376" s="71">
        <f t="shared" si="50"/>
        <v>991.68732</v>
      </c>
      <c r="G376" s="182"/>
      <c r="H376" s="182"/>
      <c r="I376" s="53"/>
      <c r="J376" s="53"/>
    </row>
    <row r="377" spans="1:14" s="18" customFormat="1" ht="15.75" customHeight="1">
      <c r="A377" s="182">
        <v>4</v>
      </c>
      <c r="B377" s="182"/>
      <c r="C377" s="72" t="s">
        <v>194</v>
      </c>
      <c r="D377" s="52">
        <f>(61.42)*10.764</f>
        <v>661.12487999999996</v>
      </c>
      <c r="E377" s="71">
        <v>0</v>
      </c>
      <c r="F377" s="71">
        <f t="shared" si="50"/>
        <v>991.68732</v>
      </c>
      <c r="G377" s="182"/>
      <c r="H377" s="182"/>
      <c r="I377" s="53"/>
      <c r="J377" s="53"/>
    </row>
    <row r="378" spans="1:14" s="18" customFormat="1" ht="15.75" customHeight="1">
      <c r="A378" s="182">
        <v>5</v>
      </c>
      <c r="B378" s="182"/>
      <c r="C378" s="202" t="s">
        <v>202</v>
      </c>
      <c r="D378" s="202"/>
      <c r="E378" s="202"/>
      <c r="F378" s="202"/>
      <c r="G378" s="182"/>
      <c r="H378" s="182"/>
      <c r="I378" s="53"/>
      <c r="J378" s="53"/>
    </row>
    <row r="379" spans="1:14" s="18" customFormat="1" ht="15.75" customHeight="1">
      <c r="A379" s="182">
        <v>6</v>
      </c>
      <c r="B379" s="182"/>
      <c r="C379" s="72" t="s">
        <v>208</v>
      </c>
      <c r="D379" s="52">
        <f>(75.76)*10.764</f>
        <v>815.48063999999999</v>
      </c>
      <c r="E379" s="71">
        <v>0</v>
      </c>
      <c r="F379" s="71">
        <f t="shared" si="50"/>
        <v>1223.2209600000001</v>
      </c>
      <c r="G379" s="182"/>
      <c r="H379" s="182"/>
      <c r="I379" s="53"/>
      <c r="J379" s="53"/>
    </row>
    <row r="380" spans="1:14" s="18" customFormat="1" ht="15.75" customHeight="1">
      <c r="A380" s="182">
        <v>7</v>
      </c>
      <c r="B380" s="182"/>
      <c r="C380" s="72" t="s">
        <v>194</v>
      </c>
      <c r="D380" s="52">
        <f>(61.42)*10.764</f>
        <v>661.12487999999996</v>
      </c>
      <c r="E380" s="71">
        <v>0</v>
      </c>
      <c r="F380" s="71">
        <f t="shared" si="50"/>
        <v>991.68732</v>
      </c>
      <c r="G380" s="182"/>
      <c r="H380" s="182"/>
      <c r="I380" s="53"/>
      <c r="J380" s="53"/>
      <c r="N380" s="53"/>
    </row>
    <row r="381" spans="1:14">
      <c r="A381" s="79" t="s">
        <v>178</v>
      </c>
      <c r="B381" s="79"/>
      <c r="C381" s="79"/>
      <c r="D381" s="79"/>
      <c r="E381" s="79"/>
      <c r="F381" s="79"/>
      <c r="G381" s="79"/>
      <c r="H381" s="79"/>
      <c r="K381" s="52">
        <v>10.763999999999999</v>
      </c>
    </row>
    <row r="382" spans="1:14" s="18" customFormat="1">
      <c r="A382" s="180" t="s">
        <v>205</v>
      </c>
      <c r="B382" s="180"/>
      <c r="C382" s="180"/>
      <c r="D382" s="180"/>
      <c r="E382" s="180"/>
      <c r="F382" s="180"/>
      <c r="G382" s="180"/>
      <c r="H382" s="180"/>
      <c r="I382" s="53"/>
      <c r="L382" s="181"/>
      <c r="M382" s="181"/>
    </row>
    <row r="383" spans="1:14" s="18" customFormat="1" ht="15.75" customHeight="1">
      <c r="A383" s="182">
        <v>1</v>
      </c>
      <c r="B383" s="182"/>
      <c r="C383" s="51" t="s">
        <v>197</v>
      </c>
      <c r="D383" s="52">
        <f>(62.25-(1.22*2.44+2.75*2.14+2.09*1.05))*10.764</f>
        <v>551.04898679999997</v>
      </c>
      <c r="E383" s="50">
        <v>0</v>
      </c>
      <c r="F383" s="50">
        <f t="shared" ref="F383:F386" si="51">D383*(($F$204)+1)+(IF(E383&lt;101,E383,IF(E383&lt;201,E383/2,IF(E383&lt;=301,E383/3,E383/4))))</f>
        <v>826.57348019999995</v>
      </c>
      <c r="G383" s="196" t="str">
        <f>A382</f>
        <v xml:space="preserve">Ground Floor for Residential </v>
      </c>
      <c r="H383" s="197"/>
      <c r="I383" s="53"/>
      <c r="J383" s="53"/>
      <c r="N383" s="53"/>
    </row>
    <row r="384" spans="1:14" s="18" customFormat="1" ht="15.75" customHeight="1">
      <c r="A384" s="182">
        <v>2</v>
      </c>
      <c r="B384" s="182"/>
      <c r="C384" s="51" t="s">
        <v>194</v>
      </c>
      <c r="D384" s="52">
        <f>(62.25-1.22*2.44)*10.764</f>
        <v>638.01672480000002</v>
      </c>
      <c r="E384" s="50">
        <v>0</v>
      </c>
      <c r="F384" s="50">
        <f t="shared" si="51"/>
        <v>957.02508720000003</v>
      </c>
      <c r="G384" s="198"/>
      <c r="H384" s="199"/>
      <c r="I384" s="53"/>
      <c r="J384" s="53"/>
      <c r="N384" s="53"/>
    </row>
    <row r="385" spans="1:14" s="18" customFormat="1" ht="15.75" customHeight="1">
      <c r="A385" s="182">
        <v>3</v>
      </c>
      <c r="B385" s="182"/>
      <c r="C385" s="51" t="s">
        <v>194</v>
      </c>
      <c r="D385" s="52">
        <f>(61.42-2.44*1.2)*10.764</f>
        <v>629.607888</v>
      </c>
      <c r="E385" s="50">
        <v>0</v>
      </c>
      <c r="F385" s="50">
        <f t="shared" si="51"/>
        <v>944.411832</v>
      </c>
      <c r="G385" s="198"/>
      <c r="H385" s="199"/>
      <c r="I385" s="53"/>
      <c r="J385" s="53"/>
      <c r="N385" s="53"/>
    </row>
    <row r="386" spans="1:14" s="18" customFormat="1" ht="15.75" customHeight="1">
      <c r="A386" s="182">
        <v>4</v>
      </c>
      <c r="B386" s="182"/>
      <c r="C386" s="51" t="s">
        <v>197</v>
      </c>
      <c r="D386" s="52">
        <f>(61.42-(2.44*1.22+3.05*3.05+1.48*0.6)+1.38*3.05)*10.764</f>
        <v>564.69773880000002</v>
      </c>
      <c r="E386" s="50">
        <v>0</v>
      </c>
      <c r="F386" s="50">
        <f t="shared" si="51"/>
        <v>847.04660820000004</v>
      </c>
      <c r="G386" s="198"/>
      <c r="H386" s="199"/>
      <c r="I386" s="53"/>
      <c r="J386" s="53"/>
      <c r="N386" s="53"/>
    </row>
    <row r="387" spans="1:14" s="18" customFormat="1" ht="15.75" customHeight="1">
      <c r="A387" s="182">
        <v>5</v>
      </c>
      <c r="B387" s="182"/>
      <c r="C387" s="187" t="s">
        <v>196</v>
      </c>
      <c r="D387" s="188"/>
      <c r="E387" s="188"/>
      <c r="F387" s="189"/>
      <c r="G387" s="198"/>
      <c r="H387" s="199"/>
      <c r="I387" s="53"/>
      <c r="N387" s="53"/>
    </row>
    <row r="388" spans="1:14" s="18" customFormat="1" ht="15.75" customHeight="1">
      <c r="A388" s="182">
        <v>6</v>
      </c>
      <c r="B388" s="182"/>
      <c r="C388" s="51" t="s">
        <v>194</v>
      </c>
      <c r="D388" s="52">
        <f>(61.42-2.44*1.22)*10.764</f>
        <v>629.08260480000001</v>
      </c>
      <c r="E388" s="50">
        <v>0</v>
      </c>
      <c r="F388" s="50">
        <f t="shared" ref="F388:F389" si="52">D388*(($F$204)+1)+(IF(E388&lt;101,E388,IF(E388&lt;201,E388/2,IF(E388&lt;=301,E388/3,E388/4))))</f>
        <v>943.62390720000008</v>
      </c>
      <c r="G388" s="198"/>
      <c r="H388" s="199"/>
      <c r="I388" s="53"/>
      <c r="J388" s="53"/>
      <c r="N388" s="53"/>
    </row>
    <row r="389" spans="1:14" s="18" customFormat="1" ht="15.75" customHeight="1">
      <c r="A389" s="182">
        <v>7</v>
      </c>
      <c r="B389" s="182"/>
      <c r="C389" s="51" t="s">
        <v>194</v>
      </c>
      <c r="D389" s="52">
        <f>(61.42-2.44*1.2)*10.764</f>
        <v>629.607888</v>
      </c>
      <c r="E389" s="50">
        <v>0</v>
      </c>
      <c r="F389" s="50">
        <f t="shared" si="52"/>
        <v>944.411832</v>
      </c>
      <c r="G389" s="200"/>
      <c r="H389" s="201"/>
      <c r="I389" s="53"/>
      <c r="J389" s="53"/>
      <c r="N389" s="53"/>
    </row>
    <row r="390" spans="1:14" s="18" customFormat="1" ht="15.75" customHeight="1">
      <c r="A390" s="190" t="s">
        <v>207</v>
      </c>
      <c r="B390" s="191"/>
      <c r="C390" s="191"/>
      <c r="D390" s="191"/>
      <c r="E390" s="191"/>
      <c r="F390" s="191"/>
      <c r="G390" s="191"/>
      <c r="H390" s="192"/>
      <c r="I390" s="53"/>
    </row>
    <row r="391" spans="1:14" s="18" customFormat="1" ht="15.75" customHeight="1">
      <c r="A391" s="187">
        <v>1</v>
      </c>
      <c r="B391" s="189"/>
      <c r="C391" s="51" t="s">
        <v>194</v>
      </c>
      <c r="D391" s="52">
        <f>(62.25)*10.764</f>
        <v>670.05899999999997</v>
      </c>
      <c r="E391" s="50">
        <v>0</v>
      </c>
      <c r="F391" s="50">
        <f t="shared" ref="F391:F397" si="53">D391*(($F$204)+1)+(IF(E391&lt;101,E391,IF(E391&lt;201,E391/2,IF(E391&lt;=301,E391/3,E391/4))))</f>
        <v>1005.0885</v>
      </c>
      <c r="G391" s="196" t="str">
        <f>A390</f>
        <v>1st to 7th, 9th to 12th Floor</v>
      </c>
      <c r="H391" s="197"/>
      <c r="I391" s="53"/>
      <c r="J391" s="53"/>
    </row>
    <row r="392" spans="1:14" s="18" customFormat="1" ht="15.75" customHeight="1">
      <c r="A392" s="187">
        <v>2</v>
      </c>
      <c r="B392" s="189"/>
      <c r="C392" s="51" t="s">
        <v>194</v>
      </c>
      <c r="D392" s="52">
        <f>(62.25)*10.764</f>
        <v>670.05899999999997</v>
      </c>
      <c r="E392" s="50">
        <v>0</v>
      </c>
      <c r="F392" s="50">
        <f t="shared" si="53"/>
        <v>1005.0885</v>
      </c>
      <c r="G392" s="198"/>
      <c r="H392" s="199"/>
      <c r="I392" s="53"/>
      <c r="J392" s="53"/>
    </row>
    <row r="393" spans="1:14" s="18" customFormat="1" ht="15.75" customHeight="1">
      <c r="A393" s="187">
        <v>3</v>
      </c>
      <c r="B393" s="189"/>
      <c r="C393" s="51" t="s">
        <v>194</v>
      </c>
      <c r="D393" s="52">
        <f>(61.42)*10.764</f>
        <v>661.12487999999996</v>
      </c>
      <c r="E393" s="50">
        <v>0</v>
      </c>
      <c r="F393" s="50">
        <f t="shared" si="53"/>
        <v>991.68732</v>
      </c>
      <c r="G393" s="198"/>
      <c r="H393" s="199"/>
      <c r="I393" s="53"/>
      <c r="J393" s="53"/>
    </row>
    <row r="394" spans="1:14" s="18" customFormat="1" ht="15.75" customHeight="1">
      <c r="A394" s="187">
        <v>4</v>
      </c>
      <c r="B394" s="189"/>
      <c r="C394" s="51" t="s">
        <v>194</v>
      </c>
      <c r="D394" s="52">
        <f>(61.42)*10.764</f>
        <v>661.12487999999996</v>
      </c>
      <c r="E394" s="50">
        <v>0</v>
      </c>
      <c r="F394" s="50">
        <f t="shared" si="53"/>
        <v>991.68732</v>
      </c>
      <c r="G394" s="198"/>
      <c r="H394" s="199"/>
      <c r="I394" s="53"/>
      <c r="J394" s="53"/>
    </row>
    <row r="395" spans="1:14" s="18" customFormat="1" ht="15.75" customHeight="1">
      <c r="A395" s="187">
        <v>5</v>
      </c>
      <c r="B395" s="189"/>
      <c r="C395" s="51" t="s">
        <v>194</v>
      </c>
      <c r="D395" s="52">
        <f>(61.42)*10.764</f>
        <v>661.12487999999996</v>
      </c>
      <c r="E395" s="50">
        <v>0</v>
      </c>
      <c r="F395" s="50">
        <f t="shared" si="53"/>
        <v>991.68732</v>
      </c>
      <c r="G395" s="198"/>
      <c r="H395" s="199"/>
      <c r="I395" s="53"/>
      <c r="J395" s="53"/>
    </row>
    <row r="396" spans="1:14" s="18" customFormat="1" ht="15.75" customHeight="1">
      <c r="A396" s="187">
        <v>6</v>
      </c>
      <c r="B396" s="189"/>
      <c r="C396" s="51" t="s">
        <v>194</v>
      </c>
      <c r="D396" s="52">
        <f>(61.42)*10.764</f>
        <v>661.12487999999996</v>
      </c>
      <c r="E396" s="50">
        <v>0</v>
      </c>
      <c r="F396" s="50">
        <f t="shared" si="53"/>
        <v>991.68732</v>
      </c>
      <c r="G396" s="198"/>
      <c r="H396" s="199"/>
      <c r="I396" s="53"/>
      <c r="J396" s="53"/>
    </row>
    <row r="397" spans="1:14" s="18" customFormat="1" ht="15.75" customHeight="1">
      <c r="A397" s="182">
        <v>7</v>
      </c>
      <c r="B397" s="182"/>
      <c r="C397" s="51" t="s">
        <v>194</v>
      </c>
      <c r="D397" s="52">
        <f>(61.42)*10.764</f>
        <v>661.12487999999996</v>
      </c>
      <c r="E397" s="50">
        <v>0</v>
      </c>
      <c r="F397" s="50">
        <f t="shared" si="53"/>
        <v>991.68732</v>
      </c>
      <c r="G397" s="200"/>
      <c r="H397" s="201"/>
      <c r="I397" s="53"/>
      <c r="J397" s="53"/>
      <c r="N397" s="53"/>
    </row>
    <row r="398" spans="1:14" s="18" customFormat="1" ht="36.75" customHeight="1">
      <c r="A398" s="190" t="s">
        <v>200</v>
      </c>
      <c r="B398" s="191"/>
      <c r="C398" s="191"/>
      <c r="D398" s="191"/>
      <c r="E398" s="191"/>
      <c r="F398" s="191"/>
      <c r="G398" s="191"/>
      <c r="H398" s="192"/>
      <c r="I398" s="53"/>
    </row>
    <row r="399" spans="1:14" s="18" customFormat="1" ht="15.75" customHeight="1">
      <c r="A399" s="187">
        <v>1</v>
      </c>
      <c r="B399" s="189"/>
      <c r="C399" s="51" t="s">
        <v>194</v>
      </c>
      <c r="D399" s="52">
        <f>(62.25)*10.764</f>
        <v>670.05899999999997</v>
      </c>
      <c r="E399" s="50">
        <v>0</v>
      </c>
      <c r="F399" s="50">
        <f t="shared" ref="F399:F405" si="54">D399*(($F$204)+1)+(IF(E399&lt;101,E399,IF(E399&lt;201,E399/2,IF(E399&lt;=301,E399/3,E399/4))))</f>
        <v>1005.0885</v>
      </c>
      <c r="G399" s="196" t="str">
        <f>A398</f>
        <v>14th to 17th Floor (15th to 18th Floor as per Builder)
19th to 23rd Floor (20th to 24th Floor as per Builder)</v>
      </c>
      <c r="H399" s="197"/>
      <c r="I399" s="53"/>
      <c r="J399" s="53"/>
    </row>
    <row r="400" spans="1:14" s="18" customFormat="1" ht="15.75" customHeight="1">
      <c r="A400" s="187">
        <v>2</v>
      </c>
      <c r="B400" s="189"/>
      <c r="C400" s="51" t="s">
        <v>194</v>
      </c>
      <c r="D400" s="52">
        <f>(62.25)*10.764</f>
        <v>670.05899999999997</v>
      </c>
      <c r="E400" s="50">
        <v>0</v>
      </c>
      <c r="F400" s="50">
        <f t="shared" si="54"/>
        <v>1005.0885</v>
      </c>
      <c r="G400" s="198"/>
      <c r="H400" s="199"/>
      <c r="I400" s="53"/>
      <c r="J400" s="53"/>
    </row>
    <row r="401" spans="1:14" s="18" customFormat="1" ht="15.75" customHeight="1">
      <c r="A401" s="187">
        <v>3</v>
      </c>
      <c r="B401" s="189"/>
      <c r="C401" s="51" t="s">
        <v>194</v>
      </c>
      <c r="D401" s="52">
        <f>(61.42)*10.764</f>
        <v>661.12487999999996</v>
      </c>
      <c r="E401" s="50">
        <v>0</v>
      </c>
      <c r="F401" s="50">
        <f t="shared" si="54"/>
        <v>991.68732</v>
      </c>
      <c r="G401" s="198"/>
      <c r="H401" s="199"/>
      <c r="I401" s="53"/>
      <c r="J401" s="53"/>
    </row>
    <row r="402" spans="1:14" s="18" customFormat="1" ht="15.75" customHeight="1">
      <c r="A402" s="187">
        <v>4</v>
      </c>
      <c r="B402" s="189"/>
      <c r="C402" s="51" t="s">
        <v>194</v>
      </c>
      <c r="D402" s="52">
        <f>(61.42)*10.764</f>
        <v>661.12487999999996</v>
      </c>
      <c r="E402" s="50">
        <v>0</v>
      </c>
      <c r="F402" s="50">
        <f t="shared" si="54"/>
        <v>991.68732</v>
      </c>
      <c r="G402" s="198"/>
      <c r="H402" s="199"/>
      <c r="I402" s="53"/>
      <c r="J402" s="53"/>
    </row>
    <row r="403" spans="1:14" s="18" customFormat="1" ht="15.75" customHeight="1">
      <c r="A403" s="187">
        <v>5</v>
      </c>
      <c r="B403" s="189"/>
      <c r="C403" s="51" t="s">
        <v>194</v>
      </c>
      <c r="D403" s="52">
        <f>(61.42)*10.764</f>
        <v>661.12487999999996</v>
      </c>
      <c r="E403" s="50">
        <v>0</v>
      </c>
      <c r="F403" s="50">
        <f t="shared" si="54"/>
        <v>991.68732</v>
      </c>
      <c r="G403" s="198"/>
      <c r="H403" s="199"/>
      <c r="I403" s="53"/>
      <c r="J403" s="53"/>
    </row>
    <row r="404" spans="1:14" s="18" customFormat="1" ht="15.75" customHeight="1">
      <c r="A404" s="187">
        <v>6</v>
      </c>
      <c r="B404" s="189"/>
      <c r="C404" s="51" t="s">
        <v>194</v>
      </c>
      <c r="D404" s="52">
        <f>(61.42)*10.764</f>
        <v>661.12487999999996</v>
      </c>
      <c r="E404" s="50">
        <v>0</v>
      </c>
      <c r="F404" s="50">
        <f t="shared" si="54"/>
        <v>991.68732</v>
      </c>
      <c r="G404" s="198"/>
      <c r="H404" s="199"/>
      <c r="I404" s="53"/>
      <c r="J404" s="53"/>
    </row>
    <row r="405" spans="1:14" s="18" customFormat="1" ht="15.75" customHeight="1">
      <c r="A405" s="182">
        <v>7</v>
      </c>
      <c r="B405" s="182"/>
      <c r="C405" s="51" t="s">
        <v>194</v>
      </c>
      <c r="D405" s="52">
        <f>(61.42)*10.764</f>
        <v>661.12487999999996</v>
      </c>
      <c r="E405" s="50">
        <v>0</v>
      </c>
      <c r="F405" s="50">
        <f t="shared" si="54"/>
        <v>991.68732</v>
      </c>
      <c r="G405" s="200"/>
      <c r="H405" s="201"/>
      <c r="I405" s="53"/>
      <c r="J405" s="53"/>
      <c r="N405" s="53"/>
    </row>
    <row r="406" spans="1:14" s="18" customFormat="1" ht="63.75" customHeight="1">
      <c r="A406" s="180" t="s">
        <v>201</v>
      </c>
      <c r="B406" s="180"/>
      <c r="C406" s="180"/>
      <c r="D406" s="180"/>
      <c r="E406" s="180"/>
      <c r="F406" s="180"/>
      <c r="G406" s="180"/>
      <c r="H406" s="180"/>
      <c r="I406" s="53"/>
    </row>
    <row r="407" spans="1:14" s="18" customFormat="1" ht="15.75" customHeight="1">
      <c r="A407" s="182">
        <v>1</v>
      </c>
      <c r="B407" s="182"/>
      <c r="C407" s="72" t="s">
        <v>194</v>
      </c>
      <c r="D407" s="52">
        <f>(62.25)*10.764</f>
        <v>670.05899999999997</v>
      </c>
      <c r="E407" s="71">
        <v>0</v>
      </c>
      <c r="F407" s="71">
        <f t="shared" ref="F407:F410" si="55">D407*(($F$204)+1)+(IF(E407&lt;101,E407,IF(E407&lt;201,E407/2,IF(E407&lt;=301,E407/3,E407/4))))</f>
        <v>1005.0885</v>
      </c>
      <c r="G407" s="182" t="str">
        <f>A406</f>
        <v>8th Floor
13th Floor (14th Floor as per Builder)
18th Floor (19th Floor as per Builder)
 (Part Refuge Area)</v>
      </c>
      <c r="H407" s="182"/>
      <c r="I407" s="53"/>
      <c r="J407" s="53"/>
    </row>
    <row r="408" spans="1:14" s="18" customFormat="1" ht="15.75" customHeight="1">
      <c r="A408" s="182">
        <v>2</v>
      </c>
      <c r="B408" s="182"/>
      <c r="C408" s="72" t="s">
        <v>194</v>
      </c>
      <c r="D408" s="52">
        <f>(62.25)*10.764</f>
        <v>670.05899999999997</v>
      </c>
      <c r="E408" s="71">
        <v>0</v>
      </c>
      <c r="F408" s="71">
        <f t="shared" si="55"/>
        <v>1005.0885</v>
      </c>
      <c r="G408" s="182"/>
      <c r="H408" s="182"/>
      <c r="I408" s="53"/>
      <c r="J408" s="53"/>
    </row>
    <row r="409" spans="1:14" s="18" customFormat="1" ht="15.75" customHeight="1">
      <c r="A409" s="182">
        <v>3</v>
      </c>
      <c r="B409" s="182"/>
      <c r="C409" s="72" t="s">
        <v>194</v>
      </c>
      <c r="D409" s="52">
        <f>(61.42)*10.764</f>
        <v>661.12487999999996</v>
      </c>
      <c r="E409" s="71">
        <v>0</v>
      </c>
      <c r="F409" s="71">
        <f t="shared" si="55"/>
        <v>991.68732</v>
      </c>
      <c r="G409" s="182"/>
      <c r="H409" s="182"/>
      <c r="I409" s="53"/>
      <c r="J409" s="53"/>
    </row>
    <row r="410" spans="1:14" s="18" customFormat="1" ht="15.75" customHeight="1">
      <c r="A410" s="182">
        <v>4</v>
      </c>
      <c r="B410" s="182"/>
      <c r="C410" s="72" t="s">
        <v>194</v>
      </c>
      <c r="D410" s="52">
        <f>(61.42)*10.764</f>
        <v>661.12487999999996</v>
      </c>
      <c r="E410" s="71">
        <v>0</v>
      </c>
      <c r="F410" s="71">
        <f t="shared" si="55"/>
        <v>991.68732</v>
      </c>
      <c r="G410" s="182"/>
      <c r="H410" s="182"/>
      <c r="I410" s="53"/>
      <c r="J410" s="53"/>
    </row>
    <row r="411" spans="1:14" s="18" customFormat="1" ht="15.75" customHeight="1">
      <c r="A411" s="182">
        <v>5</v>
      </c>
      <c r="B411" s="182"/>
      <c r="C411" s="202" t="s">
        <v>202</v>
      </c>
      <c r="D411" s="202"/>
      <c r="E411" s="202"/>
      <c r="F411" s="202"/>
      <c r="G411" s="182"/>
      <c r="H411" s="182"/>
      <c r="I411" s="53"/>
      <c r="J411" s="53"/>
    </row>
    <row r="412" spans="1:14" s="18" customFormat="1" ht="15.75" customHeight="1">
      <c r="A412" s="182">
        <v>6</v>
      </c>
      <c r="B412" s="182"/>
      <c r="C412" s="72" t="s">
        <v>208</v>
      </c>
      <c r="D412" s="52">
        <f>(75.76)*10.764</f>
        <v>815.48063999999999</v>
      </c>
      <c r="E412" s="71">
        <v>0</v>
      </c>
      <c r="F412" s="71">
        <f t="shared" ref="F412:F413" si="56">D412*(($F$204)+1)+(IF(E412&lt;101,E412,IF(E412&lt;201,E412/2,IF(E412&lt;=301,E412/3,E412/4))))</f>
        <v>1223.2209600000001</v>
      </c>
      <c r="G412" s="182"/>
      <c r="H412" s="182"/>
      <c r="I412" s="53"/>
      <c r="J412" s="53"/>
    </row>
    <row r="413" spans="1:14" s="18" customFormat="1" ht="15.75" customHeight="1">
      <c r="A413" s="182">
        <v>7</v>
      </c>
      <c r="B413" s="182"/>
      <c r="C413" s="72" t="s">
        <v>194</v>
      </c>
      <c r="D413" s="52">
        <f>(61.42)*10.764</f>
        <v>661.12487999999996</v>
      </c>
      <c r="E413" s="71">
        <v>0</v>
      </c>
      <c r="F413" s="71">
        <f t="shared" si="56"/>
        <v>991.68732</v>
      </c>
      <c r="G413" s="182"/>
      <c r="H413" s="182"/>
      <c r="I413" s="53"/>
      <c r="J413" s="53"/>
      <c r="N413" s="53"/>
    </row>
    <row r="414" spans="1:14">
      <c r="A414" s="203" t="s">
        <v>179</v>
      </c>
      <c r="B414" s="203"/>
      <c r="C414" s="203"/>
      <c r="D414" s="203"/>
      <c r="E414" s="203"/>
      <c r="F414" s="203"/>
      <c r="G414" s="203"/>
      <c r="H414" s="203"/>
      <c r="K414" s="52">
        <v>10.763999999999999</v>
      </c>
    </row>
    <row r="415" spans="1:14" s="18" customFormat="1">
      <c r="A415" s="204" t="s">
        <v>209</v>
      </c>
      <c r="B415" s="204"/>
      <c r="C415" s="204"/>
      <c r="D415" s="204"/>
      <c r="E415" s="204"/>
      <c r="F415" s="204"/>
      <c r="G415" s="204"/>
      <c r="H415" s="204"/>
      <c r="I415" s="53">
        <f>6+6*11+6*9+5*3</f>
        <v>141</v>
      </c>
      <c r="L415" s="181"/>
      <c r="M415" s="181"/>
    </row>
    <row r="416" spans="1:14" s="18" customFormat="1" ht="15.75" customHeight="1">
      <c r="A416" s="182">
        <v>1</v>
      </c>
      <c r="B416" s="182"/>
      <c r="C416" s="72" t="s">
        <v>208</v>
      </c>
      <c r="D416" s="52">
        <f>(67.65)*10.764</f>
        <v>728.18460000000005</v>
      </c>
      <c r="E416" s="71">
        <v>0</v>
      </c>
      <c r="F416" s="71">
        <f t="shared" ref="F416:F419" si="57">D416*(($F$204)+1)+(IF(E416&lt;101,E416,IF(E416&lt;201,E416/2,IF(E416&lt;=301,E416/3,E416/4))))</f>
        <v>1092.2769000000001</v>
      </c>
      <c r="G416" s="182" t="str">
        <f>A415</f>
        <v>Ground Floor for Meter Room, Lobby &amp; Residential</v>
      </c>
      <c r="H416" s="182"/>
      <c r="I416" s="53">
        <f>5.1*3.05+2.75*2.14+2.48*0.92+2.42*2.18+3.05*3.05+3.05*2.95+1.38*2.29+1.38*2.29+1*2.1+1*1.4+2.37*0.1+2.78*0.6+1.4*0.6+3*0.1+1.07*2.09</f>
        <v>62.398900000000012</v>
      </c>
      <c r="J416" s="53"/>
      <c r="N416" s="53"/>
    </row>
    <row r="417" spans="1:14" s="18" customFormat="1" ht="15.75" customHeight="1">
      <c r="A417" s="182">
        <f>A416+1</f>
        <v>2</v>
      </c>
      <c r="B417" s="182"/>
      <c r="C417" s="72" t="s">
        <v>208</v>
      </c>
      <c r="D417" s="52">
        <f>(67.65)*10.764</f>
        <v>728.18460000000005</v>
      </c>
      <c r="E417" s="71">
        <v>0</v>
      </c>
      <c r="F417" s="71">
        <f t="shared" si="57"/>
        <v>1092.2769000000001</v>
      </c>
      <c r="G417" s="182"/>
      <c r="H417" s="182"/>
      <c r="I417" s="53"/>
      <c r="J417" s="53"/>
      <c r="N417" s="53"/>
    </row>
    <row r="418" spans="1:14" s="18" customFormat="1" ht="15.75" customHeight="1">
      <c r="A418" s="182">
        <f t="shared" ref="A418:A421" si="58">A417+1</f>
        <v>3</v>
      </c>
      <c r="B418" s="182"/>
      <c r="C418" s="72" t="s">
        <v>194</v>
      </c>
      <c r="D418" s="52">
        <f>(61.23)*10.764</f>
        <v>659.07971999999995</v>
      </c>
      <c r="E418" s="71">
        <v>0</v>
      </c>
      <c r="F418" s="71">
        <f t="shared" si="57"/>
        <v>988.61957999999993</v>
      </c>
      <c r="G418" s="182"/>
      <c r="H418" s="182"/>
      <c r="I418" s="53">
        <f>3.05*5.1+2.14*2.75+2.28*2.42+3.05*3.05+2.95*3.05+2.29*1.38+2.29*1.38+0.92*1.48+3*1+2.1*1+2.78*0.6+3*1+1.4*0.6</f>
        <v>63.54760000000001</v>
      </c>
      <c r="J418" s="53">
        <f>1.07*2.09+1.27*2.45</f>
        <v>5.3478000000000003</v>
      </c>
      <c r="N418" s="53"/>
    </row>
    <row r="419" spans="1:14" s="18" customFormat="1" ht="15.75" customHeight="1">
      <c r="A419" s="182">
        <f t="shared" si="58"/>
        <v>4</v>
      </c>
      <c r="B419" s="182"/>
      <c r="C419" s="72" t="s">
        <v>194</v>
      </c>
      <c r="D419" s="52">
        <f>(61.27)*10.764</f>
        <v>659.51027999999997</v>
      </c>
      <c r="E419" s="71">
        <v>0</v>
      </c>
      <c r="F419" s="71">
        <f t="shared" si="57"/>
        <v>989.26541999999995</v>
      </c>
      <c r="G419" s="182"/>
      <c r="H419" s="182"/>
      <c r="I419" s="53"/>
      <c r="J419" s="53"/>
      <c r="N419" s="53"/>
    </row>
    <row r="420" spans="1:14" s="18" customFormat="1" ht="15.75" customHeight="1">
      <c r="A420" s="182">
        <f t="shared" si="58"/>
        <v>5</v>
      </c>
      <c r="B420" s="182"/>
      <c r="C420" s="72" t="s">
        <v>197</v>
      </c>
      <c r="D420" s="52">
        <f>(53.93)*10.764</f>
        <v>580.50252</v>
      </c>
      <c r="E420" s="71">
        <v>0</v>
      </c>
      <c r="F420" s="71">
        <f t="shared" ref="F420:F421" si="59">D420*(($F$204)+1)+(IF(E420&lt;101,E420,IF(E420&lt;201,E420/2,IF(E420&lt;=301,E420/3,E420/4))))</f>
        <v>870.75378000000001</v>
      </c>
      <c r="G420" s="182"/>
      <c r="H420" s="182"/>
      <c r="I420" s="53"/>
      <c r="J420" s="53"/>
      <c r="N420" s="53"/>
    </row>
    <row r="421" spans="1:14" s="18" customFormat="1" ht="15.75" customHeight="1">
      <c r="A421" s="182">
        <f t="shared" si="58"/>
        <v>6</v>
      </c>
      <c r="B421" s="182"/>
      <c r="C421" s="72" t="s">
        <v>208</v>
      </c>
      <c r="D421" s="52">
        <f>(67.57)*10.764</f>
        <v>727.3234799999999</v>
      </c>
      <c r="E421" s="71">
        <v>0</v>
      </c>
      <c r="F421" s="71">
        <f t="shared" si="59"/>
        <v>1090.9852199999998</v>
      </c>
      <c r="G421" s="182"/>
      <c r="H421" s="182"/>
      <c r="I421" s="53"/>
      <c r="J421" s="53"/>
      <c r="N421" s="53"/>
    </row>
    <row r="422" spans="1:14" s="18" customFormat="1" ht="15.75" customHeight="1">
      <c r="A422" s="190" t="s">
        <v>207</v>
      </c>
      <c r="B422" s="191"/>
      <c r="C422" s="191"/>
      <c r="D422" s="191"/>
      <c r="E422" s="191"/>
      <c r="F422" s="191"/>
      <c r="G422" s="191"/>
      <c r="H422" s="192"/>
      <c r="I422" s="53"/>
    </row>
    <row r="423" spans="1:14" s="18" customFormat="1" ht="15.75" customHeight="1">
      <c r="A423" s="187">
        <v>1</v>
      </c>
      <c r="B423" s="189"/>
      <c r="C423" s="51" t="s">
        <v>208</v>
      </c>
      <c r="D423" s="52">
        <f>(71.12)*10.764</f>
        <v>765.53567999999996</v>
      </c>
      <c r="E423" s="50">
        <v>0</v>
      </c>
      <c r="F423" s="50">
        <f t="shared" ref="F423:F428" si="60">D423*(($F$204)+1)+(IF(E423&lt;101,E423,IF(E423&lt;201,E423/2,IF(E423&lt;=301,E423/3,E423/4))))</f>
        <v>1148.3035199999999</v>
      </c>
      <c r="G423" s="196" t="str">
        <f>A422</f>
        <v>1st to 7th, 9th to 12th Floor</v>
      </c>
      <c r="H423" s="197"/>
      <c r="I423" s="53">
        <f>5.1*3.05+2.75*2.14+2.48*0.92+2.42*2.18+3.05*3.05+3.05*2.95+1*2.1+1*2.9+1.38*2.29+1.38*2.29+2.78*0.6+3*0.1+1.4*0.6+2.37*0.1+1.27*2.45+1.07*2.09</f>
        <v>67.010400000000018</v>
      </c>
      <c r="J423" s="53"/>
    </row>
    <row r="424" spans="1:14" s="18" customFormat="1" ht="15.75" customHeight="1">
      <c r="A424" s="187">
        <v>2</v>
      </c>
      <c r="B424" s="189"/>
      <c r="C424" s="51" t="s">
        <v>208</v>
      </c>
      <c r="D424" s="52">
        <f t="shared" ref="D424:D425" si="61">(71.12)*10.764</f>
        <v>765.53567999999996</v>
      </c>
      <c r="E424" s="50">
        <v>0</v>
      </c>
      <c r="F424" s="50">
        <f t="shared" si="60"/>
        <v>1148.3035199999999</v>
      </c>
      <c r="G424" s="198"/>
      <c r="H424" s="199"/>
      <c r="I424" s="53"/>
      <c r="J424" s="53"/>
    </row>
    <row r="425" spans="1:14" s="18" customFormat="1" ht="15.75" customHeight="1">
      <c r="A425" s="187">
        <v>3</v>
      </c>
      <c r="B425" s="189"/>
      <c r="C425" s="51" t="s">
        <v>208</v>
      </c>
      <c r="D425" s="52">
        <f t="shared" si="61"/>
        <v>765.53567999999996</v>
      </c>
      <c r="E425" s="50">
        <v>0</v>
      </c>
      <c r="F425" s="50">
        <f t="shared" si="60"/>
        <v>1148.3035199999999</v>
      </c>
      <c r="G425" s="198"/>
      <c r="H425" s="199"/>
      <c r="I425" s="53"/>
      <c r="J425" s="53"/>
    </row>
    <row r="426" spans="1:14" s="18" customFormat="1" ht="15.75" customHeight="1">
      <c r="A426" s="187">
        <v>4</v>
      </c>
      <c r="B426" s="189"/>
      <c r="C426" s="51" t="s">
        <v>208</v>
      </c>
      <c r="D426" s="52">
        <f>(71.6)*10.764</f>
        <v>770.7023999999999</v>
      </c>
      <c r="E426" s="50">
        <v>0</v>
      </c>
      <c r="F426" s="50">
        <f t="shared" si="60"/>
        <v>1156.0535999999997</v>
      </c>
      <c r="G426" s="198"/>
      <c r="H426" s="199"/>
      <c r="I426" s="53"/>
      <c r="J426" s="53"/>
    </row>
    <row r="427" spans="1:14" s="18" customFormat="1" ht="15.75" customHeight="1">
      <c r="A427" s="187">
        <v>5</v>
      </c>
      <c r="B427" s="189"/>
      <c r="C427" s="51" t="s">
        <v>208</v>
      </c>
      <c r="D427" s="52">
        <f>(71.6)*10.764</f>
        <v>770.7023999999999</v>
      </c>
      <c r="E427" s="50">
        <v>0</v>
      </c>
      <c r="F427" s="50">
        <f t="shared" si="60"/>
        <v>1156.0535999999997</v>
      </c>
      <c r="G427" s="198"/>
      <c r="H427" s="199"/>
      <c r="I427" s="53"/>
      <c r="J427" s="53"/>
    </row>
    <row r="428" spans="1:14" s="18" customFormat="1" ht="15.75" customHeight="1">
      <c r="A428" s="187">
        <v>6</v>
      </c>
      <c r="B428" s="189"/>
      <c r="C428" s="51" t="s">
        <v>208</v>
      </c>
      <c r="D428" s="52">
        <f>(71.12)*10.764</f>
        <v>765.53567999999996</v>
      </c>
      <c r="E428" s="50">
        <v>0</v>
      </c>
      <c r="F428" s="50">
        <f t="shared" si="60"/>
        <v>1148.3035199999999</v>
      </c>
      <c r="G428" s="198"/>
      <c r="H428" s="199"/>
      <c r="I428" s="53"/>
      <c r="J428" s="53"/>
    </row>
    <row r="429" spans="1:14" s="18" customFormat="1" ht="36.75" customHeight="1">
      <c r="A429" s="190" t="s">
        <v>200</v>
      </c>
      <c r="B429" s="191"/>
      <c r="C429" s="191"/>
      <c r="D429" s="191"/>
      <c r="E429" s="191"/>
      <c r="F429" s="191"/>
      <c r="G429" s="191"/>
      <c r="H429" s="192"/>
      <c r="I429" s="53"/>
    </row>
    <row r="430" spans="1:14" s="18" customFormat="1" ht="15.75" customHeight="1">
      <c r="A430" s="187">
        <v>1</v>
      </c>
      <c r="B430" s="189"/>
      <c r="C430" s="51" t="s">
        <v>208</v>
      </c>
      <c r="D430" s="52">
        <f>(71.12)*10.764</f>
        <v>765.53567999999996</v>
      </c>
      <c r="E430" s="50">
        <v>0</v>
      </c>
      <c r="F430" s="50">
        <f t="shared" ref="F430:F435" si="62">D430*(($F$204)+1)+(IF(E430&lt;101,E430,IF(E430&lt;201,E430/2,IF(E430&lt;=301,E430/3,E430/4))))</f>
        <v>1148.3035199999999</v>
      </c>
      <c r="G430" s="196" t="str">
        <f>A429</f>
        <v>14th to 17th Floor (15th to 18th Floor as per Builder)
19th to 23rd Floor (20th to 24th Floor as per Builder)</v>
      </c>
      <c r="H430" s="197"/>
      <c r="I430" s="53"/>
      <c r="J430" s="53"/>
    </row>
    <row r="431" spans="1:14" s="18" customFormat="1" ht="15.75" customHeight="1">
      <c r="A431" s="187">
        <v>2</v>
      </c>
      <c r="B431" s="189"/>
      <c r="C431" s="51" t="s">
        <v>208</v>
      </c>
      <c r="D431" s="52">
        <f t="shared" ref="D431:D432" si="63">(71.12)*10.764</f>
        <v>765.53567999999996</v>
      </c>
      <c r="E431" s="50">
        <v>0</v>
      </c>
      <c r="F431" s="50">
        <f t="shared" si="62"/>
        <v>1148.3035199999999</v>
      </c>
      <c r="G431" s="198"/>
      <c r="H431" s="199"/>
      <c r="I431" s="53"/>
      <c r="J431" s="53"/>
    </row>
    <row r="432" spans="1:14" s="18" customFormat="1" ht="15.75" customHeight="1">
      <c r="A432" s="187">
        <v>3</v>
      </c>
      <c r="B432" s="189"/>
      <c r="C432" s="51" t="s">
        <v>208</v>
      </c>
      <c r="D432" s="52">
        <f t="shared" si="63"/>
        <v>765.53567999999996</v>
      </c>
      <c r="E432" s="50">
        <v>0</v>
      </c>
      <c r="F432" s="50">
        <f t="shared" si="62"/>
        <v>1148.3035199999999</v>
      </c>
      <c r="G432" s="198"/>
      <c r="H432" s="199"/>
      <c r="I432" s="53"/>
      <c r="J432" s="53"/>
      <c r="K432" s="18" t="s">
        <v>210</v>
      </c>
    </row>
    <row r="433" spans="1:14" s="18" customFormat="1" ht="15.75" customHeight="1">
      <c r="A433" s="187">
        <v>4</v>
      </c>
      <c r="B433" s="189"/>
      <c r="C433" s="51" t="s">
        <v>208</v>
      </c>
      <c r="D433" s="52">
        <f>(71.6)*10.764</f>
        <v>770.7023999999999</v>
      </c>
      <c r="E433" s="50">
        <v>0</v>
      </c>
      <c r="F433" s="50">
        <f t="shared" si="62"/>
        <v>1156.0535999999997</v>
      </c>
      <c r="G433" s="198"/>
      <c r="H433" s="199"/>
      <c r="I433" s="53"/>
      <c r="J433" s="53"/>
    </row>
    <row r="434" spans="1:14" s="18" customFormat="1" ht="15.75" customHeight="1">
      <c r="A434" s="187">
        <v>5</v>
      </c>
      <c r="B434" s="189"/>
      <c r="C434" s="51" t="s">
        <v>208</v>
      </c>
      <c r="D434" s="52">
        <f>(71.6)*10.764</f>
        <v>770.7023999999999</v>
      </c>
      <c r="E434" s="50">
        <v>0</v>
      </c>
      <c r="F434" s="50">
        <f t="shared" si="62"/>
        <v>1156.0535999999997</v>
      </c>
      <c r="G434" s="198"/>
      <c r="H434" s="199"/>
      <c r="I434" s="53"/>
      <c r="J434" s="53"/>
    </row>
    <row r="435" spans="1:14" s="18" customFormat="1" ht="15.75" customHeight="1">
      <c r="A435" s="187">
        <v>6</v>
      </c>
      <c r="B435" s="189"/>
      <c r="C435" s="51" t="s">
        <v>208</v>
      </c>
      <c r="D435" s="52">
        <f>(71.12)*10.764</f>
        <v>765.53567999999996</v>
      </c>
      <c r="E435" s="50">
        <v>0</v>
      </c>
      <c r="F435" s="50">
        <f t="shared" si="62"/>
        <v>1148.3035199999999</v>
      </c>
      <c r="G435" s="198"/>
      <c r="H435" s="199"/>
      <c r="I435" s="53"/>
      <c r="J435" s="53"/>
    </row>
    <row r="436" spans="1:14" s="18" customFormat="1" ht="63.75" customHeight="1">
      <c r="A436" s="190" t="s">
        <v>201</v>
      </c>
      <c r="B436" s="191"/>
      <c r="C436" s="191"/>
      <c r="D436" s="191"/>
      <c r="E436" s="191"/>
      <c r="F436" s="191"/>
      <c r="G436" s="191"/>
      <c r="H436" s="192"/>
      <c r="I436" s="53"/>
    </row>
    <row r="437" spans="1:14" s="18" customFormat="1" ht="15.75" customHeight="1">
      <c r="A437" s="187">
        <v>1</v>
      </c>
      <c r="B437" s="189"/>
      <c r="C437" s="51" t="s">
        <v>208</v>
      </c>
      <c r="D437" s="52">
        <f>(71.12)*10.764</f>
        <v>765.53567999999996</v>
      </c>
      <c r="E437" s="50">
        <v>0</v>
      </c>
      <c r="F437" s="50">
        <f>D437*(($F$204)+1)+(IF(E437&lt;101,E437,IF(E437&lt;201,E437/2,IF(E437&lt;=301,E437/3,E437/4))))</f>
        <v>1148.3035199999999</v>
      </c>
      <c r="G437" s="196" t="str">
        <f>A436</f>
        <v>8th Floor
13th Floor (14th Floor as per Builder)
18th Floor (19th Floor as per Builder)
 (Part Refuge Area)</v>
      </c>
      <c r="H437" s="197"/>
      <c r="I437" s="53"/>
      <c r="J437" s="53"/>
    </row>
    <row r="438" spans="1:14" s="18" customFormat="1" ht="15.75" customHeight="1">
      <c r="A438" s="187">
        <v>2</v>
      </c>
      <c r="B438" s="189"/>
      <c r="C438" s="51" t="s">
        <v>208</v>
      </c>
      <c r="D438" s="52">
        <f t="shared" ref="D438:D439" si="64">(71.12)*10.764</f>
        <v>765.53567999999996</v>
      </c>
      <c r="E438" s="50">
        <v>0</v>
      </c>
      <c r="F438" s="50">
        <f>D438*(($F$204)+1)+(IF(E438&lt;101,E438,IF(E438&lt;201,E438/2,IF(E438&lt;=301,E438/3,E438/4))))</f>
        <v>1148.3035199999999</v>
      </c>
      <c r="G438" s="198"/>
      <c r="H438" s="199"/>
      <c r="I438" s="53"/>
      <c r="J438" s="53"/>
    </row>
    <row r="439" spans="1:14" s="18" customFormat="1" ht="15.75" customHeight="1">
      <c r="A439" s="187">
        <v>3</v>
      </c>
      <c r="B439" s="189"/>
      <c r="C439" s="51" t="s">
        <v>208</v>
      </c>
      <c r="D439" s="52">
        <f t="shared" si="64"/>
        <v>765.53567999999996</v>
      </c>
      <c r="E439" s="50">
        <v>0</v>
      </c>
      <c r="F439" s="50">
        <f>D439*(($F$204)+1)+(IF(E439&lt;101,E439,IF(E439&lt;201,E439/2,IF(E439&lt;=301,E439/3,E439/4))))</f>
        <v>1148.3035199999999</v>
      </c>
      <c r="G439" s="198"/>
      <c r="H439" s="199"/>
      <c r="I439" s="53"/>
      <c r="J439" s="53"/>
    </row>
    <row r="440" spans="1:14" s="18" customFormat="1" ht="15.75" customHeight="1">
      <c r="A440" s="187">
        <v>4</v>
      </c>
      <c r="B440" s="189"/>
      <c r="C440" s="193" t="s">
        <v>202</v>
      </c>
      <c r="D440" s="194"/>
      <c r="E440" s="194"/>
      <c r="F440" s="195"/>
      <c r="G440" s="198"/>
      <c r="H440" s="199"/>
      <c r="I440" s="53"/>
      <c r="J440" s="53"/>
    </row>
    <row r="441" spans="1:14" s="18" customFormat="1" ht="15.75" customHeight="1">
      <c r="A441" s="187">
        <v>5</v>
      </c>
      <c r="B441" s="189"/>
      <c r="C441" s="51" t="s">
        <v>208</v>
      </c>
      <c r="D441" s="52">
        <f>(71.6)*10.764</f>
        <v>770.7023999999999</v>
      </c>
      <c r="E441" s="50">
        <v>0</v>
      </c>
      <c r="F441" s="50">
        <f t="shared" ref="F441:F442" si="65">D441*(($F$204)+1)+(IF(E441&lt;101,E441,IF(E441&lt;201,E441/2,IF(E441&lt;=301,E441/3,E441/4))))</f>
        <v>1156.0535999999997</v>
      </c>
      <c r="G441" s="198"/>
      <c r="H441" s="199"/>
      <c r="I441" s="53"/>
      <c r="J441" s="53"/>
    </row>
    <row r="442" spans="1:14" s="18" customFormat="1" ht="15.75" customHeight="1">
      <c r="A442" s="187">
        <v>6</v>
      </c>
      <c r="B442" s="189"/>
      <c r="C442" s="51" t="s">
        <v>208</v>
      </c>
      <c r="D442" s="52">
        <f>(71.12)*10.764</f>
        <v>765.53567999999996</v>
      </c>
      <c r="E442" s="50">
        <v>0</v>
      </c>
      <c r="F442" s="50">
        <f t="shared" si="65"/>
        <v>1148.3035199999999</v>
      </c>
      <c r="G442" s="198"/>
      <c r="H442" s="199"/>
      <c r="I442" s="53"/>
      <c r="J442" s="53"/>
    </row>
    <row r="443" spans="1:14">
      <c r="A443" s="79" t="s">
        <v>180</v>
      </c>
      <c r="B443" s="79"/>
      <c r="C443" s="79"/>
      <c r="D443" s="79"/>
      <c r="E443" s="79"/>
      <c r="F443" s="79"/>
      <c r="G443" s="79"/>
      <c r="H443" s="79"/>
      <c r="K443" s="52">
        <v>10.763999999999999</v>
      </c>
    </row>
    <row r="444" spans="1:14" s="18" customFormat="1">
      <c r="A444" s="180" t="s">
        <v>211</v>
      </c>
      <c r="B444" s="180"/>
      <c r="C444" s="180"/>
      <c r="D444" s="180"/>
      <c r="E444" s="180"/>
      <c r="F444" s="180"/>
      <c r="G444" s="180"/>
      <c r="H444" s="180"/>
      <c r="I444" s="53"/>
      <c r="L444" s="181"/>
      <c r="M444" s="181"/>
    </row>
    <row r="445" spans="1:14" s="18" customFormat="1" ht="15.75" customHeight="1">
      <c r="A445" s="182">
        <v>1</v>
      </c>
      <c r="B445" s="182"/>
      <c r="C445" s="72" t="s">
        <v>208</v>
      </c>
      <c r="D445" s="52">
        <f>(67.65)*10.764</f>
        <v>728.18460000000005</v>
      </c>
      <c r="E445" s="71">
        <v>0</v>
      </c>
      <c r="F445" s="71">
        <f t="shared" ref="F445:F448" si="66">D445*(($F$204)+1)+(IF(E445&lt;101,E445,IF(E445&lt;201,E445/2,IF(E445&lt;=301,E445/3,E445/4))))</f>
        <v>1092.2769000000001</v>
      </c>
      <c r="G445" s="182" t="str">
        <f>A444</f>
        <v>Ground Floor for Residential &amp; Meter Room</v>
      </c>
      <c r="H445" s="182"/>
      <c r="I445" s="53"/>
      <c r="J445" s="53"/>
      <c r="N445" s="53"/>
    </row>
    <row r="446" spans="1:14" s="18" customFormat="1" ht="15.75" customHeight="1">
      <c r="A446" s="182">
        <v>2</v>
      </c>
      <c r="B446" s="182"/>
      <c r="C446" s="72" t="s">
        <v>208</v>
      </c>
      <c r="D446" s="52">
        <f>(67.65)*10.764</f>
        <v>728.18460000000005</v>
      </c>
      <c r="E446" s="71">
        <v>0</v>
      </c>
      <c r="F446" s="71">
        <f t="shared" si="66"/>
        <v>1092.2769000000001</v>
      </c>
      <c r="G446" s="182"/>
      <c r="H446" s="182"/>
      <c r="I446" s="53"/>
      <c r="J446" s="53"/>
      <c r="N446" s="53"/>
    </row>
    <row r="447" spans="1:14" s="18" customFormat="1" ht="15.75" customHeight="1">
      <c r="A447" s="182">
        <v>3</v>
      </c>
      <c r="B447" s="182"/>
      <c r="C447" s="72" t="s">
        <v>194</v>
      </c>
      <c r="D447" s="52">
        <f>(61.23)*10.764</f>
        <v>659.07971999999995</v>
      </c>
      <c r="E447" s="71">
        <v>0</v>
      </c>
      <c r="F447" s="71">
        <f t="shared" si="66"/>
        <v>988.61957999999993</v>
      </c>
      <c r="G447" s="182"/>
      <c r="H447" s="182"/>
      <c r="I447" s="53"/>
      <c r="J447" s="53"/>
      <c r="N447" s="53"/>
    </row>
    <row r="448" spans="1:14" s="18" customFormat="1" ht="15.75" customHeight="1">
      <c r="A448" s="182">
        <v>4</v>
      </c>
      <c r="B448" s="182"/>
      <c r="C448" s="72" t="s">
        <v>194</v>
      </c>
      <c r="D448" s="52">
        <f>(61.27)*10.764</f>
        <v>659.51027999999997</v>
      </c>
      <c r="E448" s="71">
        <v>0</v>
      </c>
      <c r="F448" s="71">
        <f t="shared" si="66"/>
        <v>989.26541999999995</v>
      </c>
      <c r="G448" s="182"/>
      <c r="H448" s="182"/>
      <c r="I448" s="53"/>
      <c r="J448" s="53"/>
      <c r="N448" s="53"/>
    </row>
    <row r="449" spans="1:14" s="18" customFormat="1" ht="15.75" customHeight="1">
      <c r="A449" s="182">
        <v>5</v>
      </c>
      <c r="B449" s="182"/>
      <c r="C449" s="72" t="s">
        <v>197</v>
      </c>
      <c r="D449" s="52">
        <f>(53.93)*10.764</f>
        <v>580.50252</v>
      </c>
      <c r="E449" s="71">
        <v>0</v>
      </c>
      <c r="F449" s="71">
        <f t="shared" ref="F449:F450" si="67">D449*(($F$204)+1)+(IF(E449&lt;101,E449,IF(E449&lt;201,E449/2,IF(E449&lt;=301,E449/3,E449/4))))</f>
        <v>870.75378000000001</v>
      </c>
      <c r="G449" s="182"/>
      <c r="H449" s="182"/>
      <c r="I449" s="53"/>
      <c r="J449" s="53"/>
      <c r="N449" s="53"/>
    </row>
    <row r="450" spans="1:14" s="18" customFormat="1" ht="15.75" customHeight="1">
      <c r="A450" s="182">
        <v>6</v>
      </c>
      <c r="B450" s="182"/>
      <c r="C450" s="72" t="s">
        <v>208</v>
      </c>
      <c r="D450" s="52">
        <f>(67.57)*10.764</f>
        <v>727.3234799999999</v>
      </c>
      <c r="E450" s="71">
        <v>0</v>
      </c>
      <c r="F450" s="71">
        <f t="shared" si="67"/>
        <v>1090.9852199999998</v>
      </c>
      <c r="G450" s="182"/>
      <c r="H450" s="182"/>
      <c r="I450" s="53"/>
      <c r="J450" s="53"/>
      <c r="N450" s="53"/>
    </row>
    <row r="451" spans="1:14" s="18" customFormat="1" ht="15.75" customHeight="1">
      <c r="A451" s="180" t="s">
        <v>207</v>
      </c>
      <c r="B451" s="180"/>
      <c r="C451" s="180"/>
      <c r="D451" s="180"/>
      <c r="E451" s="180"/>
      <c r="F451" s="180"/>
      <c r="G451" s="180"/>
      <c r="H451" s="180"/>
      <c r="I451" s="53"/>
      <c r="L451" s="181"/>
      <c r="M451" s="181"/>
    </row>
    <row r="452" spans="1:14" s="18" customFormat="1" ht="15.75" customHeight="1">
      <c r="A452" s="182">
        <v>1</v>
      </c>
      <c r="B452" s="182"/>
      <c r="C452" s="72" t="s">
        <v>208</v>
      </c>
      <c r="D452" s="52">
        <f>(71.12)*10.764</f>
        <v>765.53567999999996</v>
      </c>
      <c r="E452" s="71">
        <v>0</v>
      </c>
      <c r="F452" s="71">
        <f t="shared" ref="F452:F457" si="68">D452*(($F$204)+1)+(IF(E452&lt;101,E452,IF(E452&lt;201,E452/2,IF(E452&lt;=301,E452/3,E452/4))))</f>
        <v>1148.3035199999999</v>
      </c>
      <c r="G452" s="182" t="str">
        <f>A451</f>
        <v>1st to 7th, 9th to 12th Floor</v>
      </c>
      <c r="H452" s="182"/>
      <c r="I452" s="53"/>
      <c r="J452" s="53"/>
      <c r="N452" s="53"/>
    </row>
    <row r="453" spans="1:14" s="18" customFormat="1" ht="15.75" customHeight="1">
      <c r="A453" s="182">
        <v>2</v>
      </c>
      <c r="B453" s="182"/>
      <c r="C453" s="72" t="s">
        <v>208</v>
      </c>
      <c r="D453" s="52">
        <f>(71.12)*10.764</f>
        <v>765.53567999999996</v>
      </c>
      <c r="E453" s="71">
        <v>0</v>
      </c>
      <c r="F453" s="71">
        <f t="shared" si="68"/>
        <v>1148.3035199999999</v>
      </c>
      <c r="G453" s="182"/>
      <c r="H453" s="182"/>
      <c r="I453" s="53"/>
      <c r="J453" s="53"/>
      <c r="N453" s="53"/>
    </row>
    <row r="454" spans="1:14" s="18" customFormat="1" ht="15.75" customHeight="1">
      <c r="A454" s="182">
        <v>3</v>
      </c>
      <c r="B454" s="182"/>
      <c r="C454" s="72" t="s">
        <v>208</v>
      </c>
      <c r="D454" s="52">
        <f>(71.12)*10.764</f>
        <v>765.53567999999996</v>
      </c>
      <c r="E454" s="71">
        <v>0</v>
      </c>
      <c r="F454" s="71">
        <f t="shared" si="68"/>
        <v>1148.3035199999999</v>
      </c>
      <c r="G454" s="182"/>
      <c r="H454" s="182"/>
      <c r="I454" s="53"/>
      <c r="J454" s="53"/>
      <c r="N454" s="53"/>
    </row>
    <row r="455" spans="1:14" s="18" customFormat="1" ht="15.75" customHeight="1">
      <c r="A455" s="182">
        <v>4</v>
      </c>
      <c r="B455" s="182"/>
      <c r="C455" s="72" t="s">
        <v>208</v>
      </c>
      <c r="D455" s="52">
        <f>(71.06)*10.764</f>
        <v>764.88983999999994</v>
      </c>
      <c r="E455" s="71">
        <v>0</v>
      </c>
      <c r="F455" s="71">
        <f t="shared" si="68"/>
        <v>1147.33476</v>
      </c>
      <c r="G455" s="182"/>
      <c r="H455" s="182"/>
      <c r="I455" s="53"/>
      <c r="J455" s="53"/>
      <c r="N455" s="53"/>
    </row>
    <row r="456" spans="1:14" s="18" customFormat="1" ht="15.75" customHeight="1">
      <c r="A456" s="182">
        <v>5</v>
      </c>
      <c r="B456" s="182"/>
      <c r="C456" s="72" t="s">
        <v>208</v>
      </c>
      <c r="D456" s="52">
        <f>(71.06)*10.764</f>
        <v>764.88983999999994</v>
      </c>
      <c r="E456" s="71">
        <v>0</v>
      </c>
      <c r="F456" s="71">
        <f t="shared" si="68"/>
        <v>1147.33476</v>
      </c>
      <c r="G456" s="182"/>
      <c r="H456" s="182"/>
      <c r="I456" s="53"/>
      <c r="J456" s="53"/>
      <c r="N456" s="53"/>
    </row>
    <row r="457" spans="1:14" s="18" customFormat="1" ht="15.75" customHeight="1">
      <c r="A457" s="182">
        <v>6</v>
      </c>
      <c r="B457" s="182"/>
      <c r="C457" s="72" t="s">
        <v>208</v>
      </c>
      <c r="D457" s="52">
        <f>(71.12)*10.764</f>
        <v>765.53567999999996</v>
      </c>
      <c r="E457" s="71">
        <v>0</v>
      </c>
      <c r="F457" s="71">
        <f t="shared" si="68"/>
        <v>1148.3035199999999</v>
      </c>
      <c r="G457" s="182"/>
      <c r="H457" s="182"/>
      <c r="I457" s="53"/>
      <c r="J457" s="53"/>
      <c r="N457" s="53"/>
    </row>
    <row r="458" spans="1:14" s="18" customFormat="1" ht="32.25" customHeight="1">
      <c r="A458" s="180" t="s">
        <v>200</v>
      </c>
      <c r="B458" s="180"/>
      <c r="C458" s="180"/>
      <c r="D458" s="180"/>
      <c r="E458" s="180"/>
      <c r="F458" s="180"/>
      <c r="G458" s="180"/>
      <c r="H458" s="180"/>
      <c r="I458" s="53"/>
      <c r="L458" s="181"/>
      <c r="M458" s="181"/>
    </row>
    <row r="459" spans="1:14" s="18" customFormat="1" ht="15.75" customHeight="1">
      <c r="A459" s="182">
        <v>1</v>
      </c>
      <c r="B459" s="182"/>
      <c r="C459" s="51" t="s">
        <v>208</v>
      </c>
      <c r="D459" s="52">
        <f>(71.12)*10.764</f>
        <v>765.53567999999996</v>
      </c>
      <c r="E459" s="50">
        <v>0</v>
      </c>
      <c r="F459" s="50">
        <f t="shared" ref="F459:F464" si="69">D459*(($F$204)+1)+(IF(E459&lt;101,E459,IF(E459&lt;201,E459/2,IF(E459&lt;=301,E459/3,E459/4))))</f>
        <v>1148.3035199999999</v>
      </c>
      <c r="G459" s="196" t="str">
        <f>A458</f>
        <v>14th to 17th Floor (15th to 18th Floor as per Builder)
19th to 23rd Floor (20th to 24th Floor as per Builder)</v>
      </c>
      <c r="H459" s="197"/>
      <c r="I459" s="53"/>
      <c r="J459" s="53"/>
      <c r="N459" s="53"/>
    </row>
    <row r="460" spans="1:14" s="18" customFormat="1" ht="15.75" customHeight="1">
      <c r="A460" s="182">
        <v>2</v>
      </c>
      <c r="B460" s="182"/>
      <c r="C460" s="51" t="s">
        <v>208</v>
      </c>
      <c r="D460" s="52">
        <f>(71.12)*10.764</f>
        <v>765.53567999999996</v>
      </c>
      <c r="E460" s="50">
        <v>0</v>
      </c>
      <c r="F460" s="50">
        <f t="shared" si="69"/>
        <v>1148.3035199999999</v>
      </c>
      <c r="G460" s="198"/>
      <c r="H460" s="199"/>
      <c r="I460" s="53"/>
      <c r="J460" s="53"/>
      <c r="N460" s="53"/>
    </row>
    <row r="461" spans="1:14" s="18" customFormat="1" ht="15.75" customHeight="1">
      <c r="A461" s="182">
        <v>3</v>
      </c>
      <c r="B461" s="182"/>
      <c r="C461" s="51" t="s">
        <v>208</v>
      </c>
      <c r="D461" s="52">
        <f>(71.12)*10.764</f>
        <v>765.53567999999996</v>
      </c>
      <c r="E461" s="50">
        <v>0</v>
      </c>
      <c r="F461" s="50">
        <f t="shared" si="69"/>
        <v>1148.3035199999999</v>
      </c>
      <c r="G461" s="198"/>
      <c r="H461" s="199"/>
      <c r="I461" s="53"/>
      <c r="J461" s="53"/>
      <c r="N461" s="53"/>
    </row>
    <row r="462" spans="1:14" s="18" customFormat="1" ht="15.75" customHeight="1">
      <c r="A462" s="182">
        <v>4</v>
      </c>
      <c r="B462" s="182"/>
      <c r="C462" s="51" t="s">
        <v>208</v>
      </c>
      <c r="D462" s="52">
        <f>(71.06)*10.764</f>
        <v>764.88983999999994</v>
      </c>
      <c r="E462" s="50">
        <v>0</v>
      </c>
      <c r="F462" s="50">
        <f t="shared" si="69"/>
        <v>1147.33476</v>
      </c>
      <c r="G462" s="198"/>
      <c r="H462" s="199"/>
      <c r="I462" s="53"/>
      <c r="J462" s="53"/>
      <c r="N462" s="53"/>
    </row>
    <row r="463" spans="1:14" s="18" customFormat="1" ht="15.75" customHeight="1">
      <c r="A463" s="182">
        <v>5</v>
      </c>
      <c r="B463" s="182"/>
      <c r="C463" s="51" t="s">
        <v>208</v>
      </c>
      <c r="D463" s="52">
        <f>(71.06)*10.764</f>
        <v>764.88983999999994</v>
      </c>
      <c r="E463" s="50">
        <v>0</v>
      </c>
      <c r="F463" s="50">
        <f t="shared" si="69"/>
        <v>1147.33476</v>
      </c>
      <c r="G463" s="198"/>
      <c r="H463" s="199"/>
      <c r="I463" s="53"/>
      <c r="J463" s="53"/>
      <c r="N463" s="53"/>
    </row>
    <row r="464" spans="1:14" s="18" customFormat="1" ht="15.75" customHeight="1">
      <c r="A464" s="182">
        <v>6</v>
      </c>
      <c r="B464" s="182"/>
      <c r="C464" s="51" t="s">
        <v>208</v>
      </c>
      <c r="D464" s="52">
        <f>(71.12)*10.764</f>
        <v>765.53567999999996</v>
      </c>
      <c r="E464" s="50">
        <v>0</v>
      </c>
      <c r="F464" s="50">
        <f t="shared" si="69"/>
        <v>1148.3035199999999</v>
      </c>
      <c r="G464" s="200"/>
      <c r="H464" s="201"/>
      <c r="I464" s="53"/>
      <c r="J464" s="53"/>
      <c r="N464" s="53"/>
    </row>
    <row r="465" spans="1:14" s="18" customFormat="1" ht="63.75" customHeight="1">
      <c r="A465" s="190" t="s">
        <v>201</v>
      </c>
      <c r="B465" s="191"/>
      <c r="C465" s="191"/>
      <c r="D465" s="191"/>
      <c r="E465" s="191"/>
      <c r="F465" s="191"/>
      <c r="G465" s="191"/>
      <c r="H465" s="192"/>
      <c r="I465" s="53"/>
      <c r="L465" s="181"/>
      <c r="M465" s="181"/>
    </row>
    <row r="466" spans="1:14" s="18" customFormat="1" ht="15.75" customHeight="1">
      <c r="A466" s="182">
        <v>1</v>
      </c>
      <c r="B466" s="182"/>
      <c r="C466" s="51" t="s">
        <v>208</v>
      </c>
      <c r="D466" s="52">
        <f>(71.12)*10.764</f>
        <v>765.53567999999996</v>
      </c>
      <c r="E466" s="50">
        <v>0</v>
      </c>
      <c r="F466" s="50">
        <f>D466*(($F$204)+1)+(IF(E466&lt;101,E466,IF(E466&lt;201,E466/2,IF(E466&lt;=301,E466/3,E466/4))))</f>
        <v>1148.3035199999999</v>
      </c>
      <c r="G466" s="196" t="str">
        <f>A465</f>
        <v>8th Floor
13th Floor (14th Floor as per Builder)
18th Floor (19th Floor as per Builder)
 (Part Refuge Area)</v>
      </c>
      <c r="H466" s="197"/>
      <c r="I466" s="53"/>
      <c r="J466" s="53"/>
      <c r="N466" s="53"/>
    </row>
    <row r="467" spans="1:14" s="18" customFormat="1" ht="15.75" customHeight="1">
      <c r="A467" s="182">
        <v>2</v>
      </c>
      <c r="B467" s="182"/>
      <c r="C467" s="51" t="s">
        <v>208</v>
      </c>
      <c r="D467" s="52">
        <f>(71.12)*10.764</f>
        <v>765.53567999999996</v>
      </c>
      <c r="E467" s="50">
        <v>0</v>
      </c>
      <c r="F467" s="50">
        <f>D467*(($F$204)+1)+(IF(E467&lt;101,E467,IF(E467&lt;201,E467/2,IF(E467&lt;=301,E467/3,E467/4))))</f>
        <v>1148.3035199999999</v>
      </c>
      <c r="G467" s="198"/>
      <c r="H467" s="199"/>
      <c r="I467" s="53"/>
      <c r="J467" s="53"/>
      <c r="N467" s="53"/>
    </row>
    <row r="468" spans="1:14" s="18" customFormat="1" ht="15.75" customHeight="1">
      <c r="A468" s="182">
        <v>3</v>
      </c>
      <c r="B468" s="182"/>
      <c r="C468" s="51" t="s">
        <v>208</v>
      </c>
      <c r="D468" s="52">
        <f>(71.12)*10.764</f>
        <v>765.53567999999996</v>
      </c>
      <c r="E468" s="50">
        <v>0</v>
      </c>
      <c r="F468" s="50">
        <f>D468*(($F$204)+1)+(IF(E468&lt;101,E468,IF(E468&lt;201,E468/2,IF(E468&lt;=301,E468/3,E468/4))))</f>
        <v>1148.3035199999999</v>
      </c>
      <c r="G468" s="198"/>
      <c r="H468" s="199"/>
      <c r="I468" s="53"/>
      <c r="J468" s="53"/>
      <c r="N468" s="53"/>
    </row>
    <row r="469" spans="1:14" s="18" customFormat="1" ht="15.75" customHeight="1">
      <c r="A469" s="182">
        <v>4</v>
      </c>
      <c r="B469" s="182"/>
      <c r="C469" s="193" t="s">
        <v>202</v>
      </c>
      <c r="D469" s="194"/>
      <c r="E469" s="194"/>
      <c r="F469" s="195"/>
      <c r="G469" s="198"/>
      <c r="H469" s="199"/>
      <c r="I469" s="53"/>
      <c r="J469" s="53"/>
      <c r="N469" s="53"/>
    </row>
    <row r="470" spans="1:14" s="18" customFormat="1" ht="15.75" customHeight="1">
      <c r="A470" s="182">
        <v>5</v>
      </c>
      <c r="B470" s="182"/>
      <c r="C470" s="51" t="s">
        <v>208</v>
      </c>
      <c r="D470" s="52">
        <f>(71.06)*10.764</f>
        <v>764.88983999999994</v>
      </c>
      <c r="E470" s="50">
        <v>0</v>
      </c>
      <c r="F470" s="50">
        <f>D470*(($F$204)+1)+(IF(E470&lt;101,E470,IF(E470&lt;201,E470/2,IF(E470&lt;=301,E470/3,E470/4))))</f>
        <v>1147.33476</v>
      </c>
      <c r="G470" s="198"/>
      <c r="H470" s="199"/>
      <c r="I470" s="53"/>
      <c r="J470" s="53"/>
      <c r="N470" s="53"/>
    </row>
    <row r="471" spans="1:14" s="18" customFormat="1" ht="15.75" customHeight="1">
      <c r="A471" s="182">
        <v>6</v>
      </c>
      <c r="B471" s="182"/>
      <c r="C471" s="51" t="s">
        <v>208</v>
      </c>
      <c r="D471" s="52">
        <f>(71.12)*10.764</f>
        <v>765.53567999999996</v>
      </c>
      <c r="E471" s="50">
        <v>0</v>
      </c>
      <c r="F471" s="50">
        <f>D471*(($F$204)+1)+(IF(E471&lt;101,E471,IF(E471&lt;201,E471/2,IF(E471&lt;=301,E471/3,E471/4))))</f>
        <v>1148.3035199999999</v>
      </c>
      <c r="G471" s="200"/>
      <c r="H471" s="201"/>
      <c r="I471" s="53"/>
      <c r="J471" s="53"/>
      <c r="N471" s="53"/>
    </row>
    <row r="472" spans="1:14" s="17" customFormat="1">
      <c r="A472" s="247" t="s">
        <v>212</v>
      </c>
      <c r="B472" s="247"/>
      <c r="C472" s="247"/>
      <c r="D472" s="247"/>
      <c r="E472" s="247"/>
      <c r="F472" s="247"/>
      <c r="G472" s="247"/>
      <c r="H472" s="247"/>
    </row>
    <row r="473" spans="1:14" s="17" customFormat="1">
      <c r="A473" s="54" t="s">
        <v>213</v>
      </c>
      <c r="B473" s="206" t="s">
        <v>273</v>
      </c>
      <c r="C473" s="207"/>
      <c r="D473" s="207"/>
      <c r="E473" s="207"/>
      <c r="F473" s="207"/>
      <c r="G473" s="207"/>
      <c r="H473" s="208"/>
    </row>
    <row r="474" spans="1:14" s="17" customFormat="1" hidden="1">
      <c r="A474" s="54" t="s">
        <v>213</v>
      </c>
      <c r="B474" s="206" t="s">
        <v>214</v>
      </c>
      <c r="C474" s="207"/>
      <c r="D474" s="207"/>
      <c r="E474" s="207"/>
      <c r="F474" s="207"/>
      <c r="G474" s="207"/>
      <c r="H474" s="208"/>
    </row>
    <row r="475" spans="1:14" s="17" customFormat="1">
      <c r="A475" s="54" t="s">
        <v>213</v>
      </c>
      <c r="B475" s="206" t="s">
        <v>215</v>
      </c>
      <c r="C475" s="207"/>
      <c r="D475" s="207"/>
      <c r="E475" s="207"/>
      <c r="F475" s="207"/>
      <c r="G475" s="207"/>
      <c r="H475" s="208"/>
    </row>
    <row r="476" spans="1:14" s="17" customFormat="1">
      <c r="A476" s="54" t="s">
        <v>213</v>
      </c>
      <c r="B476" s="206" t="str">
        <f>(IF(F203="Saleable area Loading :","We have considered Saleable area of Flats as per our Calculation.","We considered Saleable area of Flat as per Builder area Sheet."))</f>
        <v>We have considered Saleable area of Flats as per our Calculation.</v>
      </c>
      <c r="C476" s="207"/>
      <c r="D476" s="207"/>
      <c r="E476" s="207"/>
      <c r="F476" s="207"/>
      <c r="G476" s="207"/>
      <c r="H476" s="208"/>
    </row>
    <row r="477" spans="1:14" s="17" customFormat="1">
      <c r="A477" s="55" t="s">
        <v>213</v>
      </c>
      <c r="B477" s="209" t="s">
        <v>216</v>
      </c>
      <c r="C477" s="210"/>
      <c r="D477" s="210"/>
      <c r="E477" s="210"/>
      <c r="F477" s="210"/>
      <c r="G477" s="210"/>
      <c r="H477" s="211"/>
    </row>
    <row r="478" spans="1:14" s="17" customFormat="1">
      <c r="A478" s="55" t="s">
        <v>213</v>
      </c>
      <c r="B478" s="209" t="s">
        <v>217</v>
      </c>
      <c r="C478" s="210"/>
      <c r="D478" s="210"/>
      <c r="E478" s="210"/>
      <c r="F478" s="210"/>
      <c r="G478" s="210"/>
      <c r="H478" s="211"/>
    </row>
    <row r="479" spans="1:14" s="17" customFormat="1">
      <c r="A479" s="55" t="s">
        <v>213</v>
      </c>
      <c r="B479" s="209" t="s">
        <v>218</v>
      </c>
      <c r="C479" s="210"/>
      <c r="D479" s="210"/>
      <c r="E479" s="210"/>
      <c r="F479" s="210"/>
      <c r="G479" s="210"/>
      <c r="H479" s="211"/>
    </row>
    <row r="480" spans="1:14" s="17" customFormat="1">
      <c r="A480" s="55" t="s">
        <v>213</v>
      </c>
      <c r="B480" s="209" t="s">
        <v>219</v>
      </c>
      <c r="C480" s="210"/>
      <c r="D480" s="210"/>
      <c r="E480" s="210"/>
      <c r="F480" s="210"/>
      <c r="G480" s="210"/>
      <c r="H480" s="211"/>
    </row>
    <row r="481" spans="1:8" s="17" customFormat="1" ht="34.5" hidden="1" customHeight="1">
      <c r="A481" s="55" t="s">
        <v>213</v>
      </c>
      <c r="B481" s="209" t="s">
        <v>220</v>
      </c>
      <c r="C481" s="210"/>
      <c r="D481" s="210"/>
      <c r="E481" s="210"/>
      <c r="F481" s="210"/>
      <c r="G481" s="210"/>
      <c r="H481" s="211"/>
    </row>
    <row r="482" spans="1:8" s="17" customFormat="1">
      <c r="A482" s="54" t="s">
        <v>213</v>
      </c>
      <c r="B482" s="206" t="s">
        <v>221</v>
      </c>
      <c r="C482" s="207"/>
      <c r="D482" s="207"/>
      <c r="E482" s="207"/>
      <c r="F482" s="207"/>
      <c r="G482" s="207"/>
      <c r="H482" s="208"/>
    </row>
    <row r="483" spans="1:8" s="17" customFormat="1" hidden="1">
      <c r="A483" s="54" t="s">
        <v>213</v>
      </c>
      <c r="B483" s="206" t="s">
        <v>215</v>
      </c>
      <c r="C483" s="207"/>
      <c r="D483" s="207"/>
      <c r="E483" s="207"/>
      <c r="F483" s="207"/>
      <c r="G483" s="207"/>
      <c r="H483" s="208"/>
    </row>
    <row r="484" spans="1:8" s="17" customFormat="1">
      <c r="A484" s="54" t="s">
        <v>213</v>
      </c>
      <c r="B484" s="206" t="s">
        <v>222</v>
      </c>
      <c r="C484" s="207"/>
      <c r="D484" s="207"/>
      <c r="E484" s="207"/>
      <c r="F484" s="207"/>
      <c r="G484" s="207"/>
      <c r="H484" s="208"/>
    </row>
    <row r="485" spans="1:8" s="17" customFormat="1">
      <c r="A485" s="54" t="s">
        <v>213</v>
      </c>
      <c r="B485" s="206" t="s">
        <v>223</v>
      </c>
      <c r="C485" s="207"/>
      <c r="D485" s="207"/>
      <c r="E485" s="207"/>
      <c r="F485" s="207"/>
      <c r="G485" s="207"/>
      <c r="H485" s="208"/>
    </row>
    <row r="486" spans="1:8" s="17" customFormat="1" ht="33.75" customHeight="1">
      <c r="A486" s="56" t="s">
        <v>213</v>
      </c>
      <c r="B486" s="218" t="s">
        <v>283</v>
      </c>
      <c r="C486" s="219"/>
      <c r="D486" s="219"/>
      <c r="E486" s="219"/>
      <c r="F486" s="219"/>
      <c r="G486" s="219"/>
      <c r="H486" s="220"/>
    </row>
    <row r="487" spans="1:8" s="17" customFormat="1">
      <c r="A487" s="54" t="s">
        <v>213</v>
      </c>
      <c r="B487" s="206" t="s">
        <v>224</v>
      </c>
      <c r="C487" s="207"/>
      <c r="D487" s="207"/>
      <c r="E487" s="207"/>
      <c r="F487" s="207"/>
      <c r="G487" s="207"/>
      <c r="H487" s="208"/>
    </row>
    <row r="488" spans="1:8" s="17" customFormat="1">
      <c r="A488" s="54" t="s">
        <v>213</v>
      </c>
      <c r="B488" s="206" t="s">
        <v>225</v>
      </c>
      <c r="C488" s="207"/>
      <c r="D488" s="207"/>
      <c r="E488" s="207"/>
      <c r="F488" s="207"/>
      <c r="G488" s="207"/>
      <c r="H488" s="208"/>
    </row>
    <row r="489" spans="1:8" s="17" customFormat="1">
      <c r="A489" s="54" t="s">
        <v>213</v>
      </c>
      <c r="B489" s="237" t="s">
        <v>280</v>
      </c>
      <c r="C489" s="237"/>
      <c r="D489" s="237"/>
      <c r="E489" s="237"/>
      <c r="F489" s="237"/>
      <c r="G489" s="237"/>
      <c r="H489" s="237"/>
    </row>
    <row r="490" spans="1:8" s="17" customFormat="1">
      <c r="A490" s="54" t="s">
        <v>213</v>
      </c>
      <c r="B490" s="237" t="s">
        <v>279</v>
      </c>
      <c r="C490" s="237"/>
      <c r="D490" s="237"/>
      <c r="E490" s="237"/>
      <c r="F490" s="237"/>
      <c r="G490" s="237"/>
      <c r="H490" s="237"/>
    </row>
    <row r="491" spans="1:8">
      <c r="A491" s="127" t="s">
        <v>226</v>
      </c>
      <c r="B491" s="127"/>
      <c r="C491" s="127"/>
      <c r="D491" s="127"/>
      <c r="E491" s="127"/>
      <c r="F491" s="127"/>
      <c r="G491" s="127"/>
      <c r="H491" s="127"/>
    </row>
    <row r="492" spans="1:8">
      <c r="A492" s="76" t="s">
        <v>227</v>
      </c>
      <c r="B492" s="76"/>
      <c r="C492" s="76"/>
      <c r="D492" s="76"/>
      <c r="E492" s="76"/>
      <c r="F492" s="76"/>
      <c r="G492" s="76"/>
      <c r="H492" s="76"/>
    </row>
    <row r="493" spans="1:8" ht="15.75" customHeight="1">
      <c r="A493" s="205" t="s">
        <v>228</v>
      </c>
      <c r="B493" s="205"/>
      <c r="C493" s="205"/>
      <c r="D493" s="205"/>
      <c r="E493" s="205"/>
      <c r="F493" s="205"/>
      <c r="G493" s="205"/>
      <c r="H493" s="205"/>
    </row>
    <row r="494" spans="1:8">
      <c r="A494" s="73" t="s">
        <v>229</v>
      </c>
      <c r="B494" s="73"/>
      <c r="C494" s="73"/>
      <c r="D494" s="73"/>
      <c r="E494" s="73"/>
      <c r="F494" s="73"/>
      <c r="G494" s="73"/>
      <c r="H494" s="73"/>
    </row>
    <row r="495" spans="1:8">
      <c r="A495" s="73" t="s">
        <v>230</v>
      </c>
      <c r="B495" s="73"/>
      <c r="C495" s="73"/>
      <c r="D495" s="73"/>
      <c r="E495" s="73"/>
      <c r="F495" s="73"/>
      <c r="G495" s="73"/>
      <c r="H495" s="73"/>
    </row>
    <row r="496" spans="1:8">
      <c r="A496" s="73" t="s">
        <v>231</v>
      </c>
      <c r="B496" s="73"/>
      <c r="C496" s="73"/>
      <c r="D496" s="73"/>
      <c r="E496" s="73"/>
      <c r="F496" s="73"/>
      <c r="G496" s="73"/>
      <c r="H496" s="73"/>
    </row>
    <row r="497" spans="1:8" ht="35.25" customHeight="1">
      <c r="A497" s="74" t="s">
        <v>232</v>
      </c>
      <c r="B497" s="74"/>
      <c r="C497" s="74"/>
      <c r="D497" s="74"/>
      <c r="E497" s="74"/>
      <c r="F497" s="74"/>
      <c r="G497" s="74"/>
      <c r="H497" s="74"/>
    </row>
    <row r="498" spans="1:8">
      <c r="A498" s="212" t="s">
        <v>233</v>
      </c>
      <c r="B498" s="212"/>
      <c r="C498" s="213" t="s">
        <v>285</v>
      </c>
      <c r="D498" s="213"/>
      <c r="E498" s="212" t="s">
        <v>234</v>
      </c>
      <c r="F498" s="212"/>
      <c r="G498" s="212" t="s">
        <v>284</v>
      </c>
      <c r="H498" s="212"/>
    </row>
    <row r="499" spans="1:8">
      <c r="A499" s="221" t="s">
        <v>235</v>
      </c>
      <c r="B499" s="221"/>
      <c r="C499" s="221"/>
      <c r="D499" s="221"/>
      <c r="E499" s="221"/>
      <c r="F499" s="221"/>
      <c r="G499" s="221"/>
      <c r="H499" s="221"/>
    </row>
    <row r="500" spans="1:8">
      <c r="A500" s="221"/>
      <c r="B500" s="221"/>
      <c r="C500" s="221"/>
      <c r="D500" s="221"/>
      <c r="E500" s="221"/>
      <c r="F500" s="221"/>
      <c r="G500" s="221"/>
      <c r="H500" s="221"/>
    </row>
    <row r="501" spans="1:8">
      <c r="A501" s="221"/>
      <c r="B501" s="221"/>
      <c r="C501" s="221"/>
      <c r="D501" s="221"/>
      <c r="E501" s="221"/>
      <c r="F501" s="221"/>
      <c r="G501" s="221"/>
      <c r="H501" s="221"/>
    </row>
    <row r="502" spans="1:8">
      <c r="A502" s="221"/>
      <c r="B502" s="221"/>
      <c r="C502" s="221"/>
      <c r="D502" s="221"/>
      <c r="E502" s="221"/>
      <c r="F502" s="221"/>
      <c r="G502" s="221"/>
      <c r="H502" s="221"/>
    </row>
    <row r="503" spans="1:8">
      <c r="A503" s="57" t="s">
        <v>236</v>
      </c>
      <c r="B503" s="58"/>
      <c r="C503" s="58"/>
      <c r="D503" s="57" t="str">
        <f>E8</f>
        <v>Casa Belvedere</v>
      </c>
      <c r="F503" s="58"/>
      <c r="G503" s="58"/>
      <c r="H503" s="58"/>
    </row>
    <row r="504" spans="1:8">
      <c r="A504" s="58"/>
      <c r="B504" s="58"/>
      <c r="C504" s="58"/>
      <c r="D504" s="58"/>
      <c r="E504" s="58"/>
      <c r="F504" s="58"/>
      <c r="G504" s="58"/>
      <c r="H504" s="58"/>
    </row>
    <row r="505" spans="1:8">
      <c r="A505" s="58"/>
      <c r="B505" s="58"/>
      <c r="C505" s="58"/>
      <c r="D505" s="58"/>
      <c r="E505" s="58"/>
      <c r="F505" s="58"/>
      <c r="G505" s="58"/>
      <c r="H505" s="58"/>
    </row>
    <row r="506" spans="1:8" ht="15" customHeight="1"/>
    <row r="546" spans="1:8" ht="18.75" customHeight="1">
      <c r="A546" s="58" t="s">
        <v>237</v>
      </c>
      <c r="B546" s="58"/>
      <c r="C546" s="58"/>
      <c r="D546" s="58"/>
      <c r="E546" s="58"/>
      <c r="F546" s="58"/>
      <c r="G546" s="58"/>
      <c r="H546" s="58"/>
    </row>
    <row r="547" spans="1:8">
      <c r="A547" s="58"/>
      <c r="B547" s="58"/>
      <c r="C547" s="58"/>
      <c r="D547" s="58"/>
      <c r="E547" s="58"/>
      <c r="F547" s="58"/>
      <c r="G547" s="58"/>
      <c r="H547" s="58"/>
    </row>
    <row r="548" spans="1:8">
      <c r="A548" s="58"/>
      <c r="B548" s="58"/>
      <c r="C548" s="58"/>
      <c r="D548" s="58"/>
      <c r="E548" s="58"/>
      <c r="F548" s="58"/>
      <c r="G548" s="58"/>
      <c r="H548" s="58"/>
    </row>
    <row r="549" spans="1:8" ht="15" customHeight="1"/>
    <row r="588" spans="1:1">
      <c r="A588" s="59" t="s">
        <v>238</v>
      </c>
    </row>
  </sheetData>
  <mergeCells count="735">
    <mergeCell ref="A53:B53"/>
    <mergeCell ref="C53:E53"/>
    <mergeCell ref="G53:H53"/>
    <mergeCell ref="B490:H490"/>
    <mergeCell ref="G14:H14"/>
    <mergeCell ref="G10:H10"/>
    <mergeCell ref="G11:H11"/>
    <mergeCell ref="A10:D12"/>
    <mergeCell ref="E10:E12"/>
    <mergeCell ref="G12:H12"/>
    <mergeCell ref="A24:D25"/>
    <mergeCell ref="E24:H25"/>
    <mergeCell ref="B487:H487"/>
    <mergeCell ref="B488:H488"/>
    <mergeCell ref="B489:H489"/>
    <mergeCell ref="A467:B467"/>
    <mergeCell ref="A468:B468"/>
    <mergeCell ref="A469:B469"/>
    <mergeCell ref="C469:F469"/>
    <mergeCell ref="A470:B470"/>
    <mergeCell ref="A471:B471"/>
    <mergeCell ref="A472:H472"/>
    <mergeCell ref="B473:H473"/>
    <mergeCell ref="B474:H474"/>
    <mergeCell ref="A499:H502"/>
    <mergeCell ref="A60:B61"/>
    <mergeCell ref="E139:F148"/>
    <mergeCell ref="G139:H148"/>
    <mergeCell ref="G264:H269"/>
    <mergeCell ref="G271:H276"/>
    <mergeCell ref="G306:H311"/>
    <mergeCell ref="G292:H297"/>
    <mergeCell ref="A67:C71"/>
    <mergeCell ref="G222:H227"/>
    <mergeCell ref="G229:H234"/>
    <mergeCell ref="G299:H304"/>
    <mergeCell ref="G285:H290"/>
    <mergeCell ref="G279:H283"/>
    <mergeCell ref="G314:H319"/>
    <mergeCell ref="G335:H340"/>
    <mergeCell ref="G321:H326"/>
    <mergeCell ref="C316:F317"/>
    <mergeCell ref="G342:H347"/>
    <mergeCell ref="G328:H333"/>
    <mergeCell ref="G236:H241"/>
    <mergeCell ref="A494:H494"/>
    <mergeCell ref="A495:H495"/>
    <mergeCell ref="A496:H496"/>
    <mergeCell ref="A497:H497"/>
    <mergeCell ref="A498:B498"/>
    <mergeCell ref="C498:D498"/>
    <mergeCell ref="E498:F498"/>
    <mergeCell ref="G498:H498"/>
    <mergeCell ref="A203:A204"/>
    <mergeCell ref="B203:B204"/>
    <mergeCell ref="C203:C204"/>
    <mergeCell ref="D203:D204"/>
    <mergeCell ref="E203:E204"/>
    <mergeCell ref="G416:H421"/>
    <mergeCell ref="G257:H262"/>
    <mergeCell ref="G209:H213"/>
    <mergeCell ref="G215:H220"/>
    <mergeCell ref="G374:H380"/>
    <mergeCell ref="G430:H435"/>
    <mergeCell ref="G437:H442"/>
    <mergeCell ref="G383:H389"/>
    <mergeCell ref="G391:H397"/>
    <mergeCell ref="G399:H405"/>
    <mergeCell ref="G452:H457"/>
    <mergeCell ref="B484:H484"/>
    <mergeCell ref="B485:H485"/>
    <mergeCell ref="B486:H486"/>
    <mergeCell ref="A491:H491"/>
    <mergeCell ref="A492:H492"/>
    <mergeCell ref="A493:H493"/>
    <mergeCell ref="B475:H475"/>
    <mergeCell ref="B476:H476"/>
    <mergeCell ref="B477:H477"/>
    <mergeCell ref="B478:H478"/>
    <mergeCell ref="B479:H479"/>
    <mergeCell ref="B480:H480"/>
    <mergeCell ref="B481:H481"/>
    <mergeCell ref="B482:H482"/>
    <mergeCell ref="B483:H483"/>
    <mergeCell ref="G466:H471"/>
    <mergeCell ref="A459:B459"/>
    <mergeCell ref="A460:B460"/>
    <mergeCell ref="A461:B461"/>
    <mergeCell ref="A462:B462"/>
    <mergeCell ref="A463:B463"/>
    <mergeCell ref="A464:B464"/>
    <mergeCell ref="A465:H465"/>
    <mergeCell ref="L465:M465"/>
    <mergeCell ref="A466:B466"/>
    <mergeCell ref="G459:H464"/>
    <mergeCell ref="A451:H451"/>
    <mergeCell ref="L451:M451"/>
    <mergeCell ref="A452:B452"/>
    <mergeCell ref="A453:B453"/>
    <mergeCell ref="A454:B454"/>
    <mergeCell ref="A455:B455"/>
    <mergeCell ref="A456:B456"/>
    <mergeCell ref="A457:B457"/>
    <mergeCell ref="A458:H458"/>
    <mergeCell ref="L458:M458"/>
    <mergeCell ref="A443:H443"/>
    <mergeCell ref="A444:H444"/>
    <mergeCell ref="L444:M444"/>
    <mergeCell ref="A445:B445"/>
    <mergeCell ref="A446:B446"/>
    <mergeCell ref="A447:B447"/>
    <mergeCell ref="A448:B448"/>
    <mergeCell ref="A449:B449"/>
    <mergeCell ref="A450:B450"/>
    <mergeCell ref="G445:H450"/>
    <mergeCell ref="A435:B435"/>
    <mergeCell ref="A436:H436"/>
    <mergeCell ref="A437:B437"/>
    <mergeCell ref="A438:B438"/>
    <mergeCell ref="A439:B439"/>
    <mergeCell ref="A440:B440"/>
    <mergeCell ref="C440:F440"/>
    <mergeCell ref="A441:B441"/>
    <mergeCell ref="A442:B442"/>
    <mergeCell ref="A426:B426"/>
    <mergeCell ref="A427:B427"/>
    <mergeCell ref="A428:B428"/>
    <mergeCell ref="A429:H429"/>
    <mergeCell ref="A430:B430"/>
    <mergeCell ref="A431:B431"/>
    <mergeCell ref="A432:B432"/>
    <mergeCell ref="A433:B433"/>
    <mergeCell ref="A434:B434"/>
    <mergeCell ref="G423:H428"/>
    <mergeCell ref="A417:B417"/>
    <mergeCell ref="A418:B418"/>
    <mergeCell ref="A419:B419"/>
    <mergeCell ref="A420:B420"/>
    <mergeCell ref="A421:B421"/>
    <mergeCell ref="A422:H422"/>
    <mergeCell ref="A423:B423"/>
    <mergeCell ref="A424:B424"/>
    <mergeCell ref="A425:B425"/>
    <mergeCell ref="A410:B410"/>
    <mergeCell ref="A411:B411"/>
    <mergeCell ref="C411:F411"/>
    <mergeCell ref="A412:B412"/>
    <mergeCell ref="A413:B413"/>
    <mergeCell ref="A414:H414"/>
    <mergeCell ref="A415:H415"/>
    <mergeCell ref="L415:M415"/>
    <mergeCell ref="A416:B416"/>
    <mergeCell ref="G407:H413"/>
    <mergeCell ref="A401:B401"/>
    <mergeCell ref="A402:B402"/>
    <mergeCell ref="A403:B403"/>
    <mergeCell ref="A404:B404"/>
    <mergeCell ref="A405:B405"/>
    <mergeCell ref="A406:H406"/>
    <mergeCell ref="A407:B407"/>
    <mergeCell ref="A408:B408"/>
    <mergeCell ref="A409:B409"/>
    <mergeCell ref="A392:B392"/>
    <mergeCell ref="A393:B393"/>
    <mergeCell ref="A394:B394"/>
    <mergeCell ref="A395:B395"/>
    <mergeCell ref="A396:B396"/>
    <mergeCell ref="A397:B397"/>
    <mergeCell ref="A398:H398"/>
    <mergeCell ref="A399:B399"/>
    <mergeCell ref="A400:B400"/>
    <mergeCell ref="A384:B384"/>
    <mergeCell ref="A385:B385"/>
    <mergeCell ref="A386:B386"/>
    <mergeCell ref="A387:B387"/>
    <mergeCell ref="C387:F387"/>
    <mergeCell ref="A388:B388"/>
    <mergeCell ref="A389:B389"/>
    <mergeCell ref="A390:H390"/>
    <mergeCell ref="A391:B391"/>
    <mergeCell ref="A377:B377"/>
    <mergeCell ref="A378:B378"/>
    <mergeCell ref="C378:F378"/>
    <mergeCell ref="A379:B379"/>
    <mergeCell ref="A380:B380"/>
    <mergeCell ref="A381:H381"/>
    <mergeCell ref="A382:H382"/>
    <mergeCell ref="L382:M382"/>
    <mergeCell ref="A383:B383"/>
    <mergeCell ref="A368:B368"/>
    <mergeCell ref="A369:B369"/>
    <mergeCell ref="A370:B370"/>
    <mergeCell ref="A371:B371"/>
    <mergeCell ref="A372:B372"/>
    <mergeCell ref="A373:H373"/>
    <mergeCell ref="A374:B374"/>
    <mergeCell ref="A375:B375"/>
    <mergeCell ref="A376:B376"/>
    <mergeCell ref="G366:H372"/>
    <mergeCell ref="A359:B359"/>
    <mergeCell ref="A360:B360"/>
    <mergeCell ref="A361:B361"/>
    <mergeCell ref="A362:B362"/>
    <mergeCell ref="A363:B363"/>
    <mergeCell ref="A364:B364"/>
    <mergeCell ref="A365:H365"/>
    <mergeCell ref="A366:B366"/>
    <mergeCell ref="A367:B367"/>
    <mergeCell ref="G358:H364"/>
    <mergeCell ref="A351:B351"/>
    <mergeCell ref="A352:B352"/>
    <mergeCell ref="A353:B353"/>
    <mergeCell ref="A354:B354"/>
    <mergeCell ref="C354:F354"/>
    <mergeCell ref="A355:B355"/>
    <mergeCell ref="A356:B356"/>
    <mergeCell ref="A357:H357"/>
    <mergeCell ref="A358:B358"/>
    <mergeCell ref="G350:H356"/>
    <mergeCell ref="A344:B344"/>
    <mergeCell ref="A345:B345"/>
    <mergeCell ref="C345:F345"/>
    <mergeCell ref="A346:B346"/>
    <mergeCell ref="A347:B347"/>
    <mergeCell ref="A348:H348"/>
    <mergeCell ref="A349:H349"/>
    <mergeCell ref="L349:M349"/>
    <mergeCell ref="A350:B350"/>
    <mergeCell ref="A335:B335"/>
    <mergeCell ref="A336:B336"/>
    <mergeCell ref="A337:B337"/>
    <mergeCell ref="A338:B338"/>
    <mergeCell ref="A339:B339"/>
    <mergeCell ref="A340:B340"/>
    <mergeCell ref="A341:H341"/>
    <mergeCell ref="A342:B342"/>
    <mergeCell ref="A343:B343"/>
    <mergeCell ref="A326:B326"/>
    <mergeCell ref="A327:H327"/>
    <mergeCell ref="A328:B328"/>
    <mergeCell ref="A329:B329"/>
    <mergeCell ref="A330:B330"/>
    <mergeCell ref="A331:B331"/>
    <mergeCell ref="A332:B332"/>
    <mergeCell ref="A333:B333"/>
    <mergeCell ref="A334:H334"/>
    <mergeCell ref="A318:B318"/>
    <mergeCell ref="C318:F318"/>
    <mergeCell ref="A319:B319"/>
    <mergeCell ref="A320:H320"/>
    <mergeCell ref="A321:B321"/>
    <mergeCell ref="A322:B322"/>
    <mergeCell ref="A323:B323"/>
    <mergeCell ref="A324:B324"/>
    <mergeCell ref="A325:B325"/>
    <mergeCell ref="A310:B310"/>
    <mergeCell ref="A311:B311"/>
    <mergeCell ref="A312:H312"/>
    <mergeCell ref="A313:H313"/>
    <mergeCell ref="L313:M313"/>
    <mergeCell ref="A314:B314"/>
    <mergeCell ref="A315:B315"/>
    <mergeCell ref="A316:B316"/>
    <mergeCell ref="A317:B317"/>
    <mergeCell ref="A302:B302"/>
    <mergeCell ref="A303:B303"/>
    <mergeCell ref="A304:B304"/>
    <mergeCell ref="A305:H305"/>
    <mergeCell ref="A306:B306"/>
    <mergeCell ref="A307:B307"/>
    <mergeCell ref="A308:B308"/>
    <mergeCell ref="A309:B309"/>
    <mergeCell ref="C309:F309"/>
    <mergeCell ref="A293:B293"/>
    <mergeCell ref="A294:B294"/>
    <mergeCell ref="A295:B295"/>
    <mergeCell ref="A296:B296"/>
    <mergeCell ref="A297:B297"/>
    <mergeCell ref="A298:H298"/>
    <mergeCell ref="A299:B299"/>
    <mergeCell ref="A300:B300"/>
    <mergeCell ref="A301:B301"/>
    <mergeCell ref="A284:H284"/>
    <mergeCell ref="A285:B285"/>
    <mergeCell ref="A286:B286"/>
    <mergeCell ref="A287:B287"/>
    <mergeCell ref="A288:B288"/>
    <mergeCell ref="A289:B289"/>
    <mergeCell ref="A290:B290"/>
    <mergeCell ref="A291:H291"/>
    <mergeCell ref="A292:B292"/>
    <mergeCell ref="A278:H278"/>
    <mergeCell ref="L278:M278"/>
    <mergeCell ref="A279:B279"/>
    <mergeCell ref="A280:B280"/>
    <mergeCell ref="A281:B281"/>
    <mergeCell ref="C281:F281"/>
    <mergeCell ref="A282:B282"/>
    <mergeCell ref="C282:F282"/>
    <mergeCell ref="A283:B283"/>
    <mergeCell ref="A270:H270"/>
    <mergeCell ref="A271:B271"/>
    <mergeCell ref="A272:B272"/>
    <mergeCell ref="A273:B273"/>
    <mergeCell ref="A274:B274"/>
    <mergeCell ref="C274:F274"/>
    <mergeCell ref="A275:B275"/>
    <mergeCell ref="A276:B276"/>
    <mergeCell ref="A277:H277"/>
    <mergeCell ref="A261:B261"/>
    <mergeCell ref="A262:B262"/>
    <mergeCell ref="A263:H263"/>
    <mergeCell ref="A264:B264"/>
    <mergeCell ref="A265:B265"/>
    <mergeCell ref="A266:B266"/>
    <mergeCell ref="A267:B267"/>
    <mergeCell ref="A268:B268"/>
    <mergeCell ref="A269:B269"/>
    <mergeCell ref="A252:B252"/>
    <mergeCell ref="A253:B253"/>
    <mergeCell ref="A254:B254"/>
    <mergeCell ref="A255:B255"/>
    <mergeCell ref="A256:H256"/>
    <mergeCell ref="A257:B257"/>
    <mergeCell ref="A258:B258"/>
    <mergeCell ref="A259:B259"/>
    <mergeCell ref="A260:B260"/>
    <mergeCell ref="G250:H255"/>
    <mergeCell ref="L243:M243"/>
    <mergeCell ref="A244:B244"/>
    <mergeCell ref="A245:B245"/>
    <mergeCell ref="A246:B246"/>
    <mergeCell ref="A247:B247"/>
    <mergeCell ref="A248:B248"/>
    <mergeCell ref="A249:H249"/>
    <mergeCell ref="A250:B250"/>
    <mergeCell ref="A251:B251"/>
    <mergeCell ref="G244:H248"/>
    <mergeCell ref="A236:B236"/>
    <mergeCell ref="A237:B237"/>
    <mergeCell ref="A238:B238"/>
    <mergeCell ref="A239:B239"/>
    <mergeCell ref="C239:F239"/>
    <mergeCell ref="A240:B240"/>
    <mergeCell ref="A241:B241"/>
    <mergeCell ref="A242:H242"/>
    <mergeCell ref="A243:H243"/>
    <mergeCell ref="A227:B227"/>
    <mergeCell ref="A228:H228"/>
    <mergeCell ref="A229:B229"/>
    <mergeCell ref="A230:B230"/>
    <mergeCell ref="A231:B231"/>
    <mergeCell ref="A232:B232"/>
    <mergeCell ref="A233:B233"/>
    <mergeCell ref="A234:B234"/>
    <mergeCell ref="A235:H235"/>
    <mergeCell ref="A218:B218"/>
    <mergeCell ref="A219:B219"/>
    <mergeCell ref="A220:B220"/>
    <mergeCell ref="A221:H221"/>
    <mergeCell ref="A222:B222"/>
    <mergeCell ref="A223:B223"/>
    <mergeCell ref="A224:B224"/>
    <mergeCell ref="A225:B225"/>
    <mergeCell ref="A226:B226"/>
    <mergeCell ref="A211:B211"/>
    <mergeCell ref="C211:F211"/>
    <mergeCell ref="A212:B212"/>
    <mergeCell ref="C212:F212"/>
    <mergeCell ref="A213:B213"/>
    <mergeCell ref="A214:H214"/>
    <mergeCell ref="A215:B215"/>
    <mergeCell ref="A216:B216"/>
    <mergeCell ref="A217:B217"/>
    <mergeCell ref="A201:H201"/>
    <mergeCell ref="A202:H202"/>
    <mergeCell ref="A205:H205"/>
    <mergeCell ref="A206:H206"/>
    <mergeCell ref="A207:H207"/>
    <mergeCell ref="A208:H208"/>
    <mergeCell ref="L208:M208"/>
    <mergeCell ref="A209:B209"/>
    <mergeCell ref="A210:B210"/>
    <mergeCell ref="G203:H204"/>
    <mergeCell ref="A198:B198"/>
    <mergeCell ref="C198:D198"/>
    <mergeCell ref="E198:F198"/>
    <mergeCell ref="G198:H198"/>
    <mergeCell ref="A199:B199"/>
    <mergeCell ref="C199:D199"/>
    <mergeCell ref="E199:F199"/>
    <mergeCell ref="G199:H199"/>
    <mergeCell ref="A200:B200"/>
    <mergeCell ref="C200:D200"/>
    <mergeCell ref="E200:F200"/>
    <mergeCell ref="G200:H200"/>
    <mergeCell ref="A195:B195"/>
    <mergeCell ref="C195:D195"/>
    <mergeCell ref="E195:F195"/>
    <mergeCell ref="G195:H195"/>
    <mergeCell ref="A196:B196"/>
    <mergeCell ref="C196:D196"/>
    <mergeCell ref="E196:F196"/>
    <mergeCell ref="G196:H196"/>
    <mergeCell ref="A197:B197"/>
    <mergeCell ref="C197:D197"/>
    <mergeCell ref="E197:F197"/>
    <mergeCell ref="G197:H197"/>
    <mergeCell ref="A192:B192"/>
    <mergeCell ref="C192:D192"/>
    <mergeCell ref="E192:F192"/>
    <mergeCell ref="G192:H192"/>
    <mergeCell ref="A193:B193"/>
    <mergeCell ref="C193:D193"/>
    <mergeCell ref="E193:F193"/>
    <mergeCell ref="G193:H193"/>
    <mergeCell ref="A194:B194"/>
    <mergeCell ref="C194:D194"/>
    <mergeCell ref="E194:F194"/>
    <mergeCell ref="G194:H194"/>
    <mergeCell ref="A187:E187"/>
    <mergeCell ref="F187:H187"/>
    <mergeCell ref="A188:E188"/>
    <mergeCell ref="F188:H188"/>
    <mergeCell ref="A189:E189"/>
    <mergeCell ref="F189:H189"/>
    <mergeCell ref="A190:H190"/>
    <mergeCell ref="A191:B191"/>
    <mergeCell ref="C191:D191"/>
    <mergeCell ref="E191:F191"/>
    <mergeCell ref="G191:H191"/>
    <mergeCell ref="A182:E182"/>
    <mergeCell ref="F182:H182"/>
    <mergeCell ref="A183:E183"/>
    <mergeCell ref="F183:H183"/>
    <mergeCell ref="A184:E184"/>
    <mergeCell ref="F184:H184"/>
    <mergeCell ref="A185:E185"/>
    <mergeCell ref="F185:H185"/>
    <mergeCell ref="A186:E186"/>
    <mergeCell ref="F186:H186"/>
    <mergeCell ref="I178:L178"/>
    <mergeCell ref="A179:E179"/>
    <mergeCell ref="F179:H179"/>
    <mergeCell ref="I179:L179"/>
    <mergeCell ref="A180:E180"/>
    <mergeCell ref="F180:H180"/>
    <mergeCell ref="I180:L180"/>
    <mergeCell ref="A181:E181"/>
    <mergeCell ref="F181:H181"/>
    <mergeCell ref="I181:L181"/>
    <mergeCell ref="A173:B173"/>
    <mergeCell ref="A174:B174"/>
    <mergeCell ref="A175:B175"/>
    <mergeCell ref="A176:B176"/>
    <mergeCell ref="A177:H177"/>
    <mergeCell ref="A178:E178"/>
    <mergeCell ref="F178:H178"/>
    <mergeCell ref="E167:F176"/>
    <mergeCell ref="G167:H176"/>
    <mergeCell ref="A166:B166"/>
    <mergeCell ref="E166:F166"/>
    <mergeCell ref="G166:H166"/>
    <mergeCell ref="A167:B167"/>
    <mergeCell ref="A168:B168"/>
    <mergeCell ref="A169:B169"/>
    <mergeCell ref="A170:B170"/>
    <mergeCell ref="A171:B171"/>
    <mergeCell ref="A172:B172"/>
    <mergeCell ref="A159:B159"/>
    <mergeCell ref="A160:B160"/>
    <mergeCell ref="A161:B161"/>
    <mergeCell ref="A162:B162"/>
    <mergeCell ref="A163:B163"/>
    <mergeCell ref="C163:H163"/>
    <mergeCell ref="E153:F162"/>
    <mergeCell ref="G153:H162"/>
    <mergeCell ref="A165:B165"/>
    <mergeCell ref="C165:H165"/>
    <mergeCell ref="A152:B152"/>
    <mergeCell ref="E152:F152"/>
    <mergeCell ref="G152:H152"/>
    <mergeCell ref="A153:B153"/>
    <mergeCell ref="A154:B154"/>
    <mergeCell ref="A155:B155"/>
    <mergeCell ref="A156:B156"/>
    <mergeCell ref="A157:B157"/>
    <mergeCell ref="A158:B158"/>
    <mergeCell ref="A143:B143"/>
    <mergeCell ref="A144:B144"/>
    <mergeCell ref="A145:B145"/>
    <mergeCell ref="A146:B146"/>
    <mergeCell ref="A147:B147"/>
    <mergeCell ref="A148:B148"/>
    <mergeCell ref="A149:B149"/>
    <mergeCell ref="C149:H149"/>
    <mergeCell ref="A151:B151"/>
    <mergeCell ref="C151:H151"/>
    <mergeCell ref="A137:B137"/>
    <mergeCell ref="C137:H137"/>
    <mergeCell ref="A138:B138"/>
    <mergeCell ref="E138:F138"/>
    <mergeCell ref="G138:H138"/>
    <mergeCell ref="A139:B139"/>
    <mergeCell ref="A140:B140"/>
    <mergeCell ref="A141:B141"/>
    <mergeCell ref="A142:B142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C135:H135"/>
    <mergeCell ref="A120:B120"/>
    <mergeCell ref="A121:B121"/>
    <mergeCell ref="C121:H121"/>
    <mergeCell ref="A123:B123"/>
    <mergeCell ref="C123:H123"/>
    <mergeCell ref="A124:B124"/>
    <mergeCell ref="E124:F124"/>
    <mergeCell ref="G124:H124"/>
    <mergeCell ref="A125:B125"/>
    <mergeCell ref="E111:F120"/>
    <mergeCell ref="G111:H120"/>
    <mergeCell ref="E125:F134"/>
    <mergeCell ref="G125:H13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6:B126"/>
    <mergeCell ref="A127:B127"/>
    <mergeCell ref="A103:B103"/>
    <mergeCell ref="A104:B104"/>
    <mergeCell ref="A105:B105"/>
    <mergeCell ref="A106:B106"/>
    <mergeCell ref="A107:B107"/>
    <mergeCell ref="C107:H107"/>
    <mergeCell ref="A109:B109"/>
    <mergeCell ref="C109:H109"/>
    <mergeCell ref="A110:B110"/>
    <mergeCell ref="E110:F110"/>
    <mergeCell ref="G110:H110"/>
    <mergeCell ref="E97:F106"/>
    <mergeCell ref="G97:H106"/>
    <mergeCell ref="A96:B96"/>
    <mergeCell ref="E96:F96"/>
    <mergeCell ref="G96:H96"/>
    <mergeCell ref="A97:B97"/>
    <mergeCell ref="A98:B98"/>
    <mergeCell ref="A99:B99"/>
    <mergeCell ref="A100:B100"/>
    <mergeCell ref="A101:B101"/>
    <mergeCell ref="A102:B102"/>
    <mergeCell ref="A87:B87"/>
    <mergeCell ref="A88:B88"/>
    <mergeCell ref="A89:B89"/>
    <mergeCell ref="A90:B90"/>
    <mergeCell ref="A91:B91"/>
    <mergeCell ref="A92:B92"/>
    <mergeCell ref="A93:B93"/>
    <mergeCell ref="C93:H93"/>
    <mergeCell ref="A95:B95"/>
    <mergeCell ref="C95:H95"/>
    <mergeCell ref="E83:F92"/>
    <mergeCell ref="G83:H92"/>
    <mergeCell ref="A81:B81"/>
    <mergeCell ref="C81:H81"/>
    <mergeCell ref="A82:B82"/>
    <mergeCell ref="E82:F82"/>
    <mergeCell ref="G82:H82"/>
    <mergeCell ref="A83:B83"/>
    <mergeCell ref="A84:B84"/>
    <mergeCell ref="A85:B85"/>
    <mergeCell ref="A86:B86"/>
    <mergeCell ref="A75:C75"/>
    <mergeCell ref="D75:H75"/>
    <mergeCell ref="A76:C76"/>
    <mergeCell ref="D76:H76"/>
    <mergeCell ref="A77:C77"/>
    <mergeCell ref="D77:H77"/>
    <mergeCell ref="A78:C78"/>
    <mergeCell ref="D78:H78"/>
    <mergeCell ref="A79:B79"/>
    <mergeCell ref="C79:H79"/>
    <mergeCell ref="D69:H69"/>
    <mergeCell ref="D70:H70"/>
    <mergeCell ref="D71:H71"/>
    <mergeCell ref="A72:C72"/>
    <mergeCell ref="D72:H72"/>
    <mergeCell ref="A73:C73"/>
    <mergeCell ref="D73:H73"/>
    <mergeCell ref="A74:C74"/>
    <mergeCell ref="D74:H74"/>
    <mergeCell ref="A63:H63"/>
    <mergeCell ref="A64:C64"/>
    <mergeCell ref="D64:H64"/>
    <mergeCell ref="A65:C65"/>
    <mergeCell ref="D65:H65"/>
    <mergeCell ref="A66:C66"/>
    <mergeCell ref="D66:H66"/>
    <mergeCell ref="D67:H67"/>
    <mergeCell ref="D68:H68"/>
    <mergeCell ref="C58:E58"/>
    <mergeCell ref="G58:H58"/>
    <mergeCell ref="C59:H59"/>
    <mergeCell ref="C60:E60"/>
    <mergeCell ref="G60:H60"/>
    <mergeCell ref="C61:H61"/>
    <mergeCell ref="A62:B62"/>
    <mergeCell ref="C62:E62"/>
    <mergeCell ref="G62:H62"/>
    <mergeCell ref="A58:B59"/>
    <mergeCell ref="A54:B54"/>
    <mergeCell ref="C54:E54"/>
    <mergeCell ref="G54:H54"/>
    <mergeCell ref="A55:B55"/>
    <mergeCell ref="C55:E55"/>
    <mergeCell ref="G55:H55"/>
    <mergeCell ref="C56:E56"/>
    <mergeCell ref="G56:H56"/>
    <mergeCell ref="C57:H57"/>
    <mergeCell ref="A56:B57"/>
    <mergeCell ref="A48:D48"/>
    <mergeCell ref="E48:H48"/>
    <mergeCell ref="A49:H49"/>
    <mergeCell ref="A50:B50"/>
    <mergeCell ref="C50:H50"/>
    <mergeCell ref="A51:B51"/>
    <mergeCell ref="C51:E51"/>
    <mergeCell ref="G51:H51"/>
    <mergeCell ref="A52:B52"/>
    <mergeCell ref="C52:E52"/>
    <mergeCell ref="G52:H52"/>
    <mergeCell ref="A43:D43"/>
    <mergeCell ref="E43:H43"/>
    <mergeCell ref="A44:D44"/>
    <mergeCell ref="E44:H44"/>
    <mergeCell ref="A45:D45"/>
    <mergeCell ref="E45:H45"/>
    <mergeCell ref="A46:D46"/>
    <mergeCell ref="E46:H46"/>
    <mergeCell ref="A47:D47"/>
    <mergeCell ref="E47:H47"/>
    <mergeCell ref="A38:B38"/>
    <mergeCell ref="C38:E38"/>
    <mergeCell ref="F38:H38"/>
    <mergeCell ref="A39:H39"/>
    <mergeCell ref="A40:B40"/>
    <mergeCell ref="C40:H40"/>
    <mergeCell ref="A41:B41"/>
    <mergeCell ref="C41:H41"/>
    <mergeCell ref="A42:H42"/>
    <mergeCell ref="A35:B35"/>
    <mergeCell ref="C35:E35"/>
    <mergeCell ref="F35:H35"/>
    <mergeCell ref="A36:B36"/>
    <mergeCell ref="C36:E36"/>
    <mergeCell ref="F36:H36"/>
    <mergeCell ref="A37:B37"/>
    <mergeCell ref="C37:E37"/>
    <mergeCell ref="F37:H37"/>
    <mergeCell ref="A31:D31"/>
    <mergeCell ref="E31:H31"/>
    <mergeCell ref="A32:D32"/>
    <mergeCell ref="E32:H32"/>
    <mergeCell ref="A33:D33"/>
    <mergeCell ref="E33:H33"/>
    <mergeCell ref="A34:B34"/>
    <mergeCell ref="C34:E34"/>
    <mergeCell ref="F34:H34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18:B18"/>
    <mergeCell ref="C18:H18"/>
    <mergeCell ref="A19:B19"/>
    <mergeCell ref="C19:H19"/>
    <mergeCell ref="A20:B20"/>
    <mergeCell ref="C20:D20"/>
    <mergeCell ref="E20:F20"/>
    <mergeCell ref="G20:H20"/>
    <mergeCell ref="A14:D17"/>
    <mergeCell ref="E15:F15"/>
    <mergeCell ref="G15:H15"/>
    <mergeCell ref="E16:F16"/>
    <mergeCell ref="G16:H16"/>
    <mergeCell ref="E17:F17"/>
    <mergeCell ref="G17:H17"/>
    <mergeCell ref="E14:F14"/>
    <mergeCell ref="A7:D7"/>
    <mergeCell ref="E7:H7"/>
    <mergeCell ref="A8:D8"/>
    <mergeCell ref="E8:H8"/>
    <mergeCell ref="A9:D9"/>
    <mergeCell ref="E9:H9"/>
    <mergeCell ref="A13:D13"/>
    <mergeCell ref="E13:H13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41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33" max="7" man="1"/>
    <brk id="120" max="7" man="1"/>
    <brk id="148" max="7" man="1"/>
    <brk id="189" max="7" man="1"/>
    <brk id="502" max="16383" man="1"/>
    <brk id="545" max="7" man="1"/>
    <brk id="58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248" t="s">
        <v>239</v>
      </c>
      <c r="C3" s="248"/>
      <c r="D3" s="248"/>
      <c r="E3" s="248"/>
      <c r="F3" s="248"/>
      <c r="G3" s="248"/>
      <c r="H3" s="248"/>
    </row>
    <row r="4" spans="1:9">
      <c r="A4" s="2"/>
      <c r="B4" s="3" t="s">
        <v>240</v>
      </c>
      <c r="C4" s="3" t="s">
        <v>241</v>
      </c>
      <c r="D4" s="3" t="s">
        <v>242</v>
      </c>
      <c r="E4" s="3" t="s">
        <v>243</v>
      </c>
      <c r="F4" s="3" t="s">
        <v>244</v>
      </c>
      <c r="G4" s="3" t="s">
        <v>245</v>
      </c>
      <c r="H4" s="3" t="s">
        <v>246</v>
      </c>
    </row>
    <row r="5" spans="1:9" ht="15" customHeight="1">
      <c r="A5" s="2"/>
      <c r="B5" s="4" t="s">
        <v>247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247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247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247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247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248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248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249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250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ColWidth="9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2025-07-10T09:30:39Z</cp:lastPrinted>
  <dcterms:created xsi:type="dcterms:W3CDTF">2019-07-16T09:29:00Z</dcterms:created>
  <dcterms:modified xsi:type="dcterms:W3CDTF">2025-07-10T09:32:05Z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6598536D589A4954BF2C3861C6778934_12</vt:lpwstr>
  </property>
  <property fmtid="{D5CDD505-2E9C-101B-9397-08002B2CF9AE}" pid="3" name="KSOProductBuildVer">
    <vt:lpwstr>1033-12.2.0.17562</vt:lpwstr>
  </property>
</Properties>
</file>