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4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" l="1"/>
  <c r="J91" i="1"/>
  <c r="J90" i="1"/>
  <c r="J89" i="1"/>
  <c r="M180" i="1" l="1"/>
  <c r="M181" i="1"/>
  <c r="M182" i="1"/>
  <c r="M183" i="1"/>
  <c r="M184" i="1"/>
  <c r="M179" i="1"/>
  <c r="K211" i="1"/>
  <c r="I212" i="1"/>
  <c r="M187" i="1"/>
  <c r="M188" i="1"/>
  <c r="M189" i="1"/>
  <c r="M190" i="1"/>
  <c r="M191" i="1"/>
  <c r="M186" i="1"/>
  <c r="L180" i="1"/>
  <c r="L181" i="1"/>
  <c r="L182" i="1"/>
  <c r="L183" i="1"/>
  <c r="L184" i="1"/>
  <c r="L179" i="1"/>
  <c r="J211" i="1"/>
  <c r="I211" i="1"/>
  <c r="I180" i="1"/>
  <c r="I181" i="1"/>
  <c r="I182" i="1"/>
  <c r="I183" i="1"/>
  <c r="I184" i="1"/>
  <c r="I179" i="1"/>
  <c r="J186" i="1"/>
  <c r="J181" i="1"/>
  <c r="D274" i="1"/>
  <c r="D279" i="1"/>
  <c r="D273" i="1"/>
  <c r="D269" i="1"/>
  <c r="E260" i="1"/>
  <c r="D258" i="1"/>
  <c r="D243" i="1"/>
  <c r="D157" i="1"/>
  <c r="D186" i="1" l="1"/>
  <c r="C15" i="1"/>
  <c r="G126" i="1" l="1"/>
  <c r="G127" i="1"/>
  <c r="G128" i="1"/>
  <c r="G129" i="1"/>
  <c r="G130" i="1"/>
  <c r="G131" i="1"/>
  <c r="G132" i="1"/>
  <c r="G133" i="1"/>
  <c r="E274" i="1"/>
  <c r="E273" i="1"/>
  <c r="E261" i="1"/>
  <c r="E258" i="1"/>
  <c r="L250" i="1"/>
  <c r="J255" i="1"/>
  <c r="J256" i="1"/>
  <c r="J263" i="1"/>
  <c r="J270" i="1"/>
  <c r="J271" i="1"/>
  <c r="J276" i="1"/>
  <c r="J281" i="1"/>
  <c r="J282" i="1"/>
  <c r="J289" i="1"/>
  <c r="J296" i="1"/>
  <c r="J301" i="1"/>
  <c r="J306" i="1"/>
  <c r="J312" i="1"/>
  <c r="J318" i="1"/>
  <c r="J324" i="1"/>
  <c r="E287" i="1"/>
  <c r="E285" i="1"/>
  <c r="E284" i="1"/>
  <c r="D295" i="1"/>
  <c r="J295" i="1" s="1"/>
  <c r="D294" i="1"/>
  <c r="J294" i="1" s="1"/>
  <c r="D293" i="1"/>
  <c r="J293" i="1" s="1"/>
  <c r="D292" i="1"/>
  <c r="J292" i="1" s="1"/>
  <c r="D291" i="1"/>
  <c r="J291" i="1" s="1"/>
  <c r="D290" i="1"/>
  <c r="J290" i="1" s="1"/>
  <c r="D288" i="1"/>
  <c r="J288" i="1" s="1"/>
  <c r="D287" i="1"/>
  <c r="J287" i="1" s="1"/>
  <c r="D286" i="1"/>
  <c r="J286" i="1" s="1"/>
  <c r="D285" i="1"/>
  <c r="J285" i="1" s="1"/>
  <c r="D284" i="1"/>
  <c r="J284" i="1" s="1"/>
  <c r="D283" i="1"/>
  <c r="J283" i="1" s="1"/>
  <c r="D280" i="1"/>
  <c r="J280" i="1" s="1"/>
  <c r="J279" i="1"/>
  <c r="D278" i="1"/>
  <c r="J278" i="1" s="1"/>
  <c r="D277" i="1"/>
  <c r="J277" i="1" s="1"/>
  <c r="D275" i="1"/>
  <c r="J275" i="1" s="1"/>
  <c r="J274" i="1"/>
  <c r="J273" i="1"/>
  <c r="D272" i="1"/>
  <c r="J272" i="1" s="1"/>
  <c r="J269" i="1"/>
  <c r="D268" i="1"/>
  <c r="J268" i="1" s="1"/>
  <c r="D267" i="1"/>
  <c r="J267" i="1" s="1"/>
  <c r="D266" i="1"/>
  <c r="J266" i="1" s="1"/>
  <c r="D265" i="1"/>
  <c r="J265" i="1" s="1"/>
  <c r="D264" i="1"/>
  <c r="J264" i="1" s="1"/>
  <c r="D262" i="1"/>
  <c r="J262" i="1" s="1"/>
  <c r="D261" i="1"/>
  <c r="J261" i="1" s="1"/>
  <c r="D260" i="1"/>
  <c r="J260" i="1" s="1"/>
  <c r="D259" i="1"/>
  <c r="J259" i="1" s="1"/>
  <c r="J258" i="1"/>
  <c r="D257" i="1"/>
  <c r="J257" i="1" s="1"/>
  <c r="D254" i="1"/>
  <c r="J254" i="1" s="1"/>
  <c r="D253" i="1"/>
  <c r="J253" i="1" s="1"/>
  <c r="D252" i="1"/>
  <c r="J252" i="1" s="1"/>
  <c r="D251" i="1"/>
  <c r="J251" i="1" s="1"/>
  <c r="D250" i="1"/>
  <c r="J250" i="1" s="1"/>
  <c r="D249" i="1"/>
  <c r="J249" i="1" s="1"/>
  <c r="E247" i="1"/>
  <c r="E246" i="1"/>
  <c r="E243" i="1"/>
  <c r="D247" i="1"/>
  <c r="J247" i="1" s="1"/>
  <c r="D246" i="1"/>
  <c r="J246" i="1" s="1"/>
  <c r="D245" i="1"/>
  <c r="J245" i="1" s="1"/>
  <c r="D244" i="1"/>
  <c r="J244" i="1" s="1"/>
  <c r="J243" i="1"/>
  <c r="D242" i="1"/>
  <c r="J242" i="1" s="1"/>
  <c r="E232" i="1"/>
  <c r="D238" i="1"/>
  <c r="D237" i="1"/>
  <c r="D236" i="1"/>
  <c r="D235" i="1"/>
  <c r="D234" i="1"/>
  <c r="D233" i="1"/>
  <c r="D232" i="1"/>
  <c r="E229" i="1"/>
  <c r="E226" i="1"/>
  <c r="E225" i="1"/>
  <c r="D230" i="1"/>
  <c r="D229" i="1"/>
  <c r="D228" i="1"/>
  <c r="D227" i="1"/>
  <c r="D226" i="1"/>
  <c r="D225" i="1"/>
  <c r="D224" i="1"/>
  <c r="D221" i="1"/>
  <c r="D220" i="1"/>
  <c r="D219" i="1"/>
  <c r="D218" i="1"/>
  <c r="D217" i="1"/>
  <c r="D216" i="1"/>
  <c r="E214" i="1"/>
  <c r="E213" i="1"/>
  <c r="E210" i="1"/>
  <c r="D214" i="1"/>
  <c r="D213" i="1"/>
  <c r="D212" i="1"/>
  <c r="D211" i="1"/>
  <c r="D210" i="1"/>
  <c r="D209" i="1"/>
  <c r="D206" i="1"/>
  <c r="D205" i="1"/>
  <c r="D204" i="1"/>
  <c r="D203" i="1"/>
  <c r="D202" i="1"/>
  <c r="D201" i="1"/>
  <c r="E198" i="1"/>
  <c r="E195" i="1"/>
  <c r="D199" i="1"/>
  <c r="D198" i="1"/>
  <c r="D197" i="1"/>
  <c r="D196" i="1"/>
  <c r="D195" i="1"/>
  <c r="D194" i="1"/>
  <c r="E189" i="1"/>
  <c r="D191" i="1"/>
  <c r="D190" i="1"/>
  <c r="D189" i="1"/>
  <c r="D188" i="1"/>
  <c r="D187" i="1"/>
  <c r="E180" i="1"/>
  <c r="E179" i="1"/>
  <c r="D184" i="1"/>
  <c r="D183" i="1"/>
  <c r="D182" i="1"/>
  <c r="D181" i="1"/>
  <c r="D180" i="1"/>
  <c r="D179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6" i="1"/>
  <c r="D155" i="1"/>
  <c r="D154" i="1"/>
  <c r="D153" i="1"/>
  <c r="D149" i="1"/>
  <c r="D148" i="1"/>
  <c r="D147" i="1"/>
  <c r="D146" i="1"/>
  <c r="D145" i="1"/>
  <c r="D144" i="1"/>
  <c r="D143" i="1"/>
  <c r="D142" i="1"/>
  <c r="K136" i="1"/>
  <c r="C122" i="1" l="1"/>
  <c r="E121" i="1"/>
  <c r="C127" i="1"/>
  <c r="C121" i="1"/>
  <c r="E122" i="1"/>
  <c r="C126" i="1"/>
  <c r="C128" i="1"/>
  <c r="C129" i="1"/>
  <c r="G134" i="1"/>
  <c r="E126" i="1"/>
  <c r="E128" i="1"/>
  <c r="E130" i="1"/>
  <c r="E132" i="1"/>
  <c r="C130" i="1"/>
  <c r="C132" i="1"/>
  <c r="E127" i="1"/>
  <c r="E129" i="1"/>
  <c r="E131" i="1"/>
  <c r="E133" i="1"/>
  <c r="C131" i="1"/>
  <c r="C133" i="1"/>
  <c r="G290" i="1"/>
  <c r="G283" i="1"/>
  <c r="G277" i="1"/>
  <c r="G272" i="1"/>
  <c r="G264" i="1"/>
  <c r="G257" i="1"/>
  <c r="G249" i="1"/>
  <c r="G242" i="1"/>
  <c r="G232" i="1"/>
  <c r="G224" i="1"/>
  <c r="G216" i="1"/>
  <c r="G209" i="1"/>
  <c r="G201" i="1"/>
  <c r="G194" i="1"/>
  <c r="G186" i="1"/>
  <c r="G179" i="1"/>
  <c r="D297" i="1"/>
  <c r="F297" i="1" s="1"/>
  <c r="J297" i="1" s="1"/>
  <c r="F298" i="1"/>
  <c r="J298" i="1" s="1"/>
  <c r="F300" i="1"/>
  <c r="J300" i="1" s="1"/>
  <c r="F299" i="1"/>
  <c r="J299" i="1" s="1"/>
  <c r="A298" i="1"/>
  <c r="A299" i="1" s="1"/>
  <c r="A300" i="1" s="1"/>
  <c r="G297" i="1"/>
  <c r="G298" i="1" s="1"/>
  <c r="G299" i="1" s="1"/>
  <c r="G300" i="1" s="1"/>
  <c r="F173" i="1"/>
  <c r="F172" i="1"/>
  <c r="F170" i="1"/>
  <c r="F169" i="1"/>
  <c r="F167" i="1"/>
  <c r="F166" i="1"/>
  <c r="F165" i="1"/>
  <c r="F164" i="1"/>
  <c r="F162" i="1"/>
  <c r="F161" i="1"/>
  <c r="F159" i="1"/>
  <c r="F158" i="1"/>
  <c r="F157" i="1"/>
  <c r="F171" i="1"/>
  <c r="F168" i="1"/>
  <c r="F163" i="1"/>
  <c r="F146" i="1"/>
  <c r="F145" i="1"/>
  <c r="F143" i="1"/>
  <c r="F142" i="1"/>
  <c r="F149" i="1"/>
  <c r="F148" i="1"/>
  <c r="F147" i="1"/>
  <c r="F144" i="1"/>
  <c r="A143" i="1"/>
  <c r="A144" i="1" s="1"/>
  <c r="A145" i="1" s="1"/>
  <c r="A146" i="1" s="1"/>
  <c r="A147" i="1" s="1"/>
  <c r="A148" i="1" s="1"/>
  <c r="A149" i="1" s="1"/>
  <c r="G142" i="1"/>
  <c r="F160" i="1"/>
  <c r="A194" i="1"/>
  <c r="A277" i="1"/>
  <c r="A272" i="1"/>
  <c r="A290" i="1"/>
  <c r="A186" i="1"/>
  <c r="A249" i="1"/>
  <c r="A283" i="1"/>
  <c r="A201" i="1"/>
  <c r="A242" i="1"/>
  <c r="A264" i="1"/>
  <c r="A232" i="1"/>
  <c r="A257" i="1"/>
  <c r="A224" i="1"/>
  <c r="A209" i="1"/>
  <c r="A179" i="1"/>
  <c r="A216" i="1"/>
  <c r="E134" i="1" l="1"/>
  <c r="C123" i="1"/>
  <c r="E123" i="1"/>
  <c r="C134" i="1"/>
  <c r="G121" i="1"/>
  <c r="A217" i="1"/>
  <c r="A195" i="1"/>
  <c r="A250" i="1"/>
  <c r="A258" i="1"/>
  <c r="A278" i="1"/>
  <c r="A210" i="1"/>
  <c r="A265" i="1"/>
  <c r="A273" i="1"/>
  <c r="A284" i="1"/>
  <c r="A202" i="1"/>
  <c r="A225" i="1"/>
  <c r="A233" i="1"/>
  <c r="A180" i="1"/>
  <c r="A291" i="1"/>
  <c r="A243" i="1"/>
  <c r="A187" i="1"/>
  <c r="E30" i="1" l="1"/>
  <c r="A234" i="1"/>
  <c r="A203" i="1"/>
  <c r="A279" i="1"/>
  <c r="A244" i="1"/>
  <c r="A188" i="1"/>
  <c r="A181" i="1"/>
  <c r="A226" i="1"/>
  <c r="A274" i="1"/>
  <c r="A266" i="1"/>
  <c r="A251" i="1"/>
  <c r="A218" i="1"/>
  <c r="A285" i="1"/>
  <c r="A211" i="1"/>
  <c r="A259" i="1"/>
  <c r="A292" i="1"/>
  <c r="A196" i="1"/>
  <c r="F303" i="1" l="1"/>
  <c r="J303" i="1" s="1"/>
  <c r="F304" i="1"/>
  <c r="J304" i="1" s="1"/>
  <c r="F305" i="1"/>
  <c r="J305" i="1" s="1"/>
  <c r="F302" i="1"/>
  <c r="J302" i="1" s="1"/>
  <c r="A303" i="1"/>
  <c r="A304" i="1" s="1"/>
  <c r="A305" i="1" s="1"/>
  <c r="G302" i="1"/>
  <c r="G303" i="1" s="1"/>
  <c r="G304" i="1" s="1"/>
  <c r="G305" i="1" s="1"/>
  <c r="A197" i="1"/>
  <c r="A204" i="1"/>
  <c r="A260" i="1"/>
  <c r="A182" i="1"/>
  <c r="A212" i="1"/>
  <c r="A227" i="1"/>
  <c r="A280" i="1"/>
  <c r="A267" i="1"/>
  <c r="A235" i="1"/>
  <c r="A286" i="1"/>
  <c r="A252" i="1"/>
  <c r="A219" i="1"/>
  <c r="A275" i="1"/>
  <c r="A293" i="1"/>
  <c r="A245" i="1"/>
  <c r="A189" i="1"/>
  <c r="F118" i="1" l="1"/>
  <c r="A246" i="1"/>
  <c r="A287" i="1"/>
  <c r="A236" i="1"/>
  <c r="A220" i="1"/>
  <c r="A213" i="1"/>
  <c r="A294" i="1"/>
  <c r="A268" i="1"/>
  <c r="A205" i="1"/>
  <c r="A198" i="1"/>
  <c r="A228" i="1"/>
  <c r="A253" i="1"/>
  <c r="A190" i="1"/>
  <c r="A183" i="1"/>
  <c r="A261" i="1"/>
  <c r="F154" i="1" l="1"/>
  <c r="F155" i="1"/>
  <c r="F156" i="1"/>
  <c r="F153" i="1"/>
  <c r="A184" i="1"/>
  <c r="A237" i="1"/>
  <c r="A254" i="1"/>
  <c r="A288" i="1"/>
  <c r="A295" i="1"/>
  <c r="A269" i="1"/>
  <c r="A247" i="1"/>
  <c r="A214" i="1"/>
  <c r="A221" i="1"/>
  <c r="A199" i="1"/>
  <c r="A191" i="1"/>
  <c r="A229" i="1"/>
  <c r="A262" i="1"/>
  <c r="A206" i="1"/>
  <c r="G122" i="1" l="1"/>
  <c r="G123" i="1" s="1"/>
  <c r="B332" i="1"/>
  <c r="A319" i="1"/>
  <c r="A238" i="1"/>
  <c r="A325" i="1"/>
  <c r="A230" i="1"/>
  <c r="A313" i="1"/>
  <c r="F329" i="1" l="1"/>
  <c r="J329" i="1" s="1"/>
  <c r="F328" i="1"/>
  <c r="J328" i="1" s="1"/>
  <c r="F327" i="1"/>
  <c r="J327" i="1" s="1"/>
  <c r="F326" i="1"/>
  <c r="J326" i="1" s="1"/>
  <c r="F325" i="1"/>
  <c r="J325" i="1" s="1"/>
  <c r="F323" i="1"/>
  <c r="J323" i="1" s="1"/>
  <c r="F322" i="1"/>
  <c r="J322" i="1" s="1"/>
  <c r="F321" i="1"/>
  <c r="J321" i="1" s="1"/>
  <c r="F320" i="1"/>
  <c r="J320" i="1" s="1"/>
  <c r="F319" i="1"/>
  <c r="J319" i="1" s="1"/>
  <c r="F317" i="1"/>
  <c r="J317" i="1" s="1"/>
  <c r="F316" i="1"/>
  <c r="J316" i="1" s="1"/>
  <c r="F315" i="1"/>
  <c r="J315" i="1" s="1"/>
  <c r="F314" i="1"/>
  <c r="J314" i="1" s="1"/>
  <c r="F313" i="1"/>
  <c r="J313" i="1" s="1"/>
  <c r="F311" i="1"/>
  <c r="J311" i="1" s="1"/>
  <c r="F310" i="1"/>
  <c r="J310" i="1" s="1"/>
  <c r="F308" i="1"/>
  <c r="J308" i="1" s="1"/>
  <c r="F307" i="1"/>
  <c r="J307" i="1" s="1"/>
  <c r="F309" i="1"/>
  <c r="J309" i="1" s="1"/>
  <c r="A314" i="1"/>
  <c r="A326" i="1"/>
  <c r="A320" i="1"/>
  <c r="B333" i="1" l="1"/>
  <c r="A315" i="1"/>
  <c r="A321" i="1"/>
  <c r="A32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53" i="1"/>
  <c r="G325" i="1"/>
  <c r="G326" i="1" s="1"/>
  <c r="G327" i="1" s="1"/>
  <c r="G328" i="1" s="1"/>
  <c r="G329" i="1" s="1"/>
  <c r="G319" i="1"/>
  <c r="G320" i="1" s="1"/>
  <c r="G321" i="1" s="1"/>
  <c r="G322" i="1" s="1"/>
  <c r="G323" i="1" s="1"/>
  <c r="G313" i="1"/>
  <c r="G314" i="1" s="1"/>
  <c r="G315" i="1" s="1"/>
  <c r="G316" i="1" s="1"/>
  <c r="G317" i="1" s="1"/>
  <c r="G307" i="1"/>
  <c r="G308" i="1" s="1"/>
  <c r="G309" i="1" s="1"/>
  <c r="G310" i="1" s="1"/>
  <c r="G311" i="1" s="1"/>
  <c r="A307" i="1"/>
  <c r="A308" i="1" s="1"/>
  <c r="A309" i="1" s="1"/>
  <c r="A310" i="1" s="1"/>
  <c r="A311" i="1" s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G153" i="1"/>
  <c r="J107" i="1"/>
  <c r="J106" i="1"/>
  <c r="J105" i="1"/>
  <c r="J104" i="1"/>
  <c r="C96" i="1"/>
  <c r="J78" i="1"/>
  <c r="J77" i="1"/>
  <c r="J76" i="1"/>
  <c r="J75" i="1"/>
  <c r="D55" i="1"/>
  <c r="G50" i="1"/>
  <c r="G51" i="1" s="1"/>
  <c r="C50" i="1"/>
  <c r="C51" i="1" s="1"/>
  <c r="E43" i="1"/>
  <c r="E44" i="1" s="1"/>
  <c r="E27" i="1"/>
  <c r="E25" i="1"/>
  <c r="E7" i="1"/>
  <c r="E3" i="1"/>
  <c r="A328" i="1"/>
  <c r="A316" i="1"/>
  <c r="H68" i="1"/>
  <c r="A322" i="1"/>
  <c r="H97" i="1"/>
  <c r="D61" i="1" l="1"/>
  <c r="D107" i="1"/>
  <c r="D108" i="1"/>
  <c r="D109" i="1"/>
  <c r="D103" i="1"/>
  <c r="D104" i="1"/>
  <c r="D105" i="1"/>
  <c r="D106" i="1"/>
  <c r="J96" i="1"/>
  <c r="J98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102" i="1"/>
  <c r="J100" i="1"/>
  <c r="J101" i="1"/>
  <c r="J99" i="1"/>
  <c r="A329" i="1"/>
  <c r="A323" i="1"/>
  <c r="A317" i="1"/>
  <c r="J74" i="1" l="1"/>
  <c r="J79" i="1" s="1"/>
  <c r="J103" i="1"/>
  <c r="J108" i="1" s="1"/>
  <c r="J109" i="1" s="1"/>
  <c r="C101" i="1" s="1"/>
  <c r="D102" i="1"/>
  <c r="D73" i="1"/>
  <c r="J69" i="1"/>
  <c r="D71" i="1"/>
  <c r="D100" i="1"/>
  <c r="H82" i="1"/>
  <c r="D101" i="1" l="1"/>
  <c r="I97" i="1" s="1"/>
  <c r="E100" i="1"/>
  <c r="J80" i="1"/>
  <c r="C72" i="1" s="1"/>
  <c r="J97" i="1"/>
  <c r="G100" i="1"/>
  <c r="J86" i="1"/>
  <c r="D91" i="1"/>
  <c r="D87" i="1"/>
  <c r="D94" i="1"/>
  <c r="D92" i="1"/>
  <c r="D90" i="1"/>
  <c r="D88" i="1"/>
  <c r="J85" i="1"/>
  <c r="D93" i="1"/>
  <c r="D89" i="1"/>
  <c r="J87" i="1"/>
  <c r="J81" i="1"/>
  <c r="J83" i="1" s="1"/>
  <c r="J84" i="1"/>
  <c r="D72" i="1" l="1"/>
  <c r="I68" i="1" s="1"/>
  <c r="I69" i="1" s="1"/>
  <c r="G71" i="1"/>
  <c r="D65" i="1" s="1"/>
  <c r="D66" i="1" s="1"/>
  <c r="E71" i="1"/>
  <c r="J68" i="1"/>
  <c r="C85" i="1"/>
  <c r="C86" i="1"/>
  <c r="J88" i="1"/>
  <c r="J93" i="1" s="1"/>
  <c r="J94" i="1" s="1"/>
  <c r="J95" i="1" s="1"/>
  <c r="I98" i="1"/>
  <c r="I96" i="1" s="1"/>
  <c r="C98" i="1" s="1"/>
  <c r="I67" i="1" l="1"/>
  <c r="C69" i="1" s="1"/>
  <c r="F66" i="1"/>
  <c r="G85" i="1"/>
  <c r="G95" i="1" s="1"/>
  <c r="D85" i="1"/>
  <c r="J82" i="1" s="1"/>
  <c r="D86" i="1"/>
  <c r="E85" i="1"/>
  <c r="C95" i="1" s="1"/>
  <c r="I82" i="1" l="1"/>
  <c r="I83" i="1" s="1"/>
  <c r="I81" i="1" l="1"/>
  <c r="C83" i="1" s="1"/>
</calcChain>
</file>

<file path=xl/sharedStrings.xml><?xml version="1.0" encoding="utf-8"?>
<sst xmlns="http://schemas.openxmlformats.org/spreadsheetml/2006/main" count="407" uniqueCount="230">
  <si>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</si>
  <si>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</si>
  <si>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</si>
  <si>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</si>
  <si>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</si>
  <si>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</si>
  <si>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</si>
  <si>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</si>
  <si>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</si>
  <si>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</si>
  <si>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</si>
  <si>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</si>
  <si>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</si>
  <si>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</si>
  <si>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</si>
  <si>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</si>
  <si>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</si>
  <si>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</si>
  <si>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</si>
  <si>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</si>
  <si>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</si>
  <si>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</si>
  <si>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</si>
  <si>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</si>
  <si>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</si>
  <si>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</si>
  <si>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</si>
  <si>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</si>
  <si>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</si>
  <si>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</si>
  <si>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</si>
  <si>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</si>
  <si>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</si>
  <si>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</si>
  <si>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</si>
  <si>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</si>
  <si>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</si>
  <si>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</si>
  <si>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</si>
  <si>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</si>
  <si>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</si>
  <si>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</si>
  <si>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</si>
  <si>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</si>
  <si>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</si>
  <si>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</si>
  <si>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</si>
  <si>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</si>
  <si>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</si>
  <si>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</si>
  <si>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</si>
  <si>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</si>
  <si>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</si>
  <si>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</si>
  <si>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</si>
  <si>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</si>
  <si>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</si>
  <si>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</si>
  <si>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</si>
  <si>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</si>
  <si>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</si>
  <si>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</si>
  <si>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</si>
  <si>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</si>
  <si>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</si>
  <si>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</si>
  <si>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</si>
  <si>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</si>
  <si>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</si>
  <si>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</si>
  <si>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</si>
  <si>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</si>
  <si>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</si>
  <si>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</si>
  <si>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</si>
  <si>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</si>
  <si>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</si>
  <si>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</si>
  <si>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</si>
  <si>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</si>
  <si>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</si>
  <si>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</si>
  <si>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</si>
  <si>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</si>
  <si>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</si>
  <si>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</si>
  <si>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</si>
  <si>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</si>
  <si>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</si>
  <si>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</si>
  <si>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</si>
  <si>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</si>
  <si>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</si>
  <si>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</si>
  <si>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</si>
  <si>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</si>
  <si>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</si>
  <si>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</si>
  <si>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</si>
  <si>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</si>
  <si>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</si>
  <si>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</si>
  <si>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</si>
  <si>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</si>
  <si>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</si>
  <si>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</si>
  <si>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</si>
  <si>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</si>
  <si>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</si>
  <si>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</si>
  <si>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</si>
  <si>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</si>
  <si>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</si>
  <si>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</si>
  <si>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</si>
  <si>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</si>
  <si>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</si>
  <si>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</si>
  <si>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</si>
  <si>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</si>
  <si>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</si>
  <si>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</si>
  <si>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</si>
  <si>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</si>
  <si>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</si>
  <si>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</si>
  <si>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</si>
  <si>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</si>
  <si>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</si>
  <si>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</si>
  <si>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</si>
  <si>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</si>
  <si>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</si>
  <si>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</si>
  <si>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</si>
  <si>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</si>
  <si>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</si>
  <si>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</si>
  <si>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</si>
  <si>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</si>
  <si>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</si>
  <si>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</si>
  <si>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</si>
  <si>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</si>
  <si>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</si>
  <si>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</si>
  <si>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</si>
  <si>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</si>
  <si>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</si>
  <si>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</si>
  <si>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</si>
  <si>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</si>
  <si>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</si>
  <si>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</si>
  <si>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</si>
  <si>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</si>
  <si>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</si>
  <si>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</si>
  <si>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</si>
  <si>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</si>
  <si>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</si>
  <si>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</si>
  <si>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</si>
  <si>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</si>
  <si>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</si>
  <si>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</si>
  <si>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</si>
  <si>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</si>
  <si>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</si>
  <si>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</si>
  <si>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</si>
  <si>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</si>
  <si>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Sanpada</t>
  </si>
  <si>
    <t>Vishesh Greenscape LLP</t>
  </si>
  <si>
    <t>Balaji Avvante</t>
  </si>
  <si>
    <t>Name of the Project as per RERA</t>
  </si>
  <si>
    <t>Balaji Avvante - Building No. 11 and 12</t>
  </si>
  <si>
    <t>P52000047141</t>
  </si>
  <si>
    <t>139/3, 139/6, 139/7, 139/10, 139/12, 139/14A, 139/14B, 140/1(2), 140/1(4), 140/2, 141, 142, 143 &amp; 146/2</t>
  </si>
  <si>
    <t>Gut No</t>
  </si>
  <si>
    <t>Swapna Nagari Road</t>
  </si>
  <si>
    <t>Panvel</t>
  </si>
  <si>
    <t>Panvel East</t>
  </si>
  <si>
    <t>Vastusiddhi Alps CHS</t>
  </si>
  <si>
    <t>6.9KM from Panvel Railway Station</t>
  </si>
  <si>
    <t>Open Plot</t>
  </si>
  <si>
    <t>https://g.page/Vishesh-Group-Avvante?share</t>
  </si>
  <si>
    <t>City and Industrial Development Corporation</t>
  </si>
  <si>
    <t>CIDCO/NAINA/PANVEL/Vakadi/BP-00223/ACC 2022/0236</t>
  </si>
  <si>
    <t>As per RERA - 31/12/2025</t>
  </si>
  <si>
    <t>Building No. 11</t>
  </si>
  <si>
    <t>Ground Floor For Commercial &amp; Part Parking</t>
  </si>
  <si>
    <t>Shop</t>
  </si>
  <si>
    <t>Building No. 12</t>
  </si>
  <si>
    <t>1st &amp; 3rd Floor</t>
  </si>
  <si>
    <t>2nd &amp; 4th Floor</t>
  </si>
  <si>
    <t>Wing A</t>
  </si>
  <si>
    <t>Wing B</t>
  </si>
  <si>
    <t>Wing C</t>
  </si>
  <si>
    <t>Wing D</t>
  </si>
  <si>
    <t>Builder Saleable area</t>
  </si>
  <si>
    <t>(Building No. 11) Wing A, B, C &amp; D = G + 1st to 4th Floor
(Building No. 12) Wing A, B, C &amp; D = G + 1st to 4th Floor</t>
  </si>
  <si>
    <t>(Building No. 11) Wing A, B, C &amp; D = G + 1st to 4th Floor</t>
  </si>
  <si>
    <t>(Building No. 12) Wing A, B, C &amp; D = G + 1st to 4th Floor</t>
  </si>
  <si>
    <t>Building No. 11 = Wing A, B, C &amp; D
Building No. 12 = Wing A, B, C &amp; D</t>
  </si>
  <si>
    <t>Building No.11</t>
  </si>
  <si>
    <t>Building No.12</t>
  </si>
  <si>
    <t>Building No.11
(Wing A+B)</t>
  </si>
  <si>
    <t>Building No.12
(Wing B+C+D)</t>
  </si>
  <si>
    <t>Wing B + C+ D</t>
  </si>
  <si>
    <t>Flats - 188, Shops -29</t>
  </si>
  <si>
    <t>Water, Electricity, Development Connection</t>
  </si>
  <si>
    <t>Wakadi</t>
  </si>
  <si>
    <t>Raigad</t>
  </si>
  <si>
    <t>Wing B + C</t>
  </si>
  <si>
    <t>Club Membership</t>
  </si>
  <si>
    <t>Advance Maintenance Charges (For 12 Months)</t>
  </si>
  <si>
    <t>8 Wings</t>
  </si>
  <si>
    <t>We considered Gross carpet area = Net carpet + Enclose balcony + Balcony + C.B Area.</t>
  </si>
  <si>
    <t xml:space="preserve">1.Vitrified tiles flooring 2. Granite Kitchen Platform  3. Decorative Enternace  etc. 
</t>
  </si>
  <si>
    <t>Average Progress</t>
  </si>
  <si>
    <t>Average Disbursement</t>
  </si>
  <si>
    <t>On site We met Mr. Milind Mane - 8652049275.</t>
  </si>
  <si>
    <t>(Building No. 11) Wing A, B, C &amp; D (Part II) = G + 1st to 4th Floor</t>
  </si>
  <si>
    <t>Ravindra vishwakarma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</si>
  <si>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</si>
  <si>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LatitudeLongitude</t>
  </si>
  <si>
    <t>19.026999,73.166114</t>
  </si>
  <si>
    <t>Construction work is in process at the time of visit.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</si>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</sst>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43" fontId="7" fillId="0" borderId="0" xfId="9" applyFont="1" applyFill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5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33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10" fillId="3" borderId="36" xfId="1" applyFont="1" applyFill="1" applyBorder="1" applyAlignment="1" applyProtection="1">
      <alignment horizontal="center" vertical="center" wrapText="1"/>
      <protection locked="0"/>
    </xf>
    <xf numFmtId="0" fontId="10" fillId="3" borderId="37" xfId="1" applyFont="1" applyFill="1" applyBorder="1" applyAlignment="1" applyProtection="1">
      <alignment horizontal="center" vertical="center" wrapText="1"/>
      <protection locked="0"/>
    </xf>
    <xf numFmtId="9" fontId="10" fillId="3" borderId="37" xfId="8" applyFont="1" applyFill="1" applyBorder="1" applyAlignment="1" applyProtection="1">
      <alignment horizontal="center" vertical="center" wrapText="1"/>
      <protection locked="0"/>
    </xf>
    <xf numFmtId="9" fontId="10" fillId="3" borderId="38" xfId="8" applyFont="1" applyFill="1" applyBorder="1" applyAlignment="1" applyProtection="1">
      <alignment horizontal="center" vertical="center" wrapText="1"/>
      <protection locked="0"/>
    </xf>
    <xf numFmtId="9" fontId="10" fillId="3" borderId="3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2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4" fillId="2" borderId="15" xfId="0" applyFont="1" applyFill="1" applyBorder="1"/>
    <xf numFmtId="0" fontId="25" fillId="0" borderId="9" xfId="0" applyFont="1" applyBorder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705972</xdr:colOff>
      <xdr:row>252</xdr:row>
      <xdr:rowOff>33616</xdr:rowOff>
    </xdr:from>
    <xdr:to>
      <xdr:col>16</xdr:col>
      <xdr:colOff>298649</xdr:colOff>
      <xdr:row>276</xdr:row>
      <xdr:rowOff>11722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737" y="52275440"/>
          <a:ext cx="4400000" cy="48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694762</xdr:colOff>
      <xdr:row>276</xdr:row>
      <xdr:rowOff>89648</xdr:rowOff>
    </xdr:from>
    <xdr:to>
      <xdr:col>16</xdr:col>
      <xdr:colOff>592201</xdr:colOff>
      <xdr:row>335</xdr:row>
      <xdr:rowOff>142239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1527" y="57172413"/>
          <a:ext cx="4704762" cy="5095238"/>
        </a:xfrm>
        <a:prstGeom prst="rect">
          <a:avLst/>
        </a:prstGeom>
      </xdr:spPr>
    </xdr:pic>
    <xdr:clientData/>
  </xdr:twoCellAnchor>
  <xdr:twoCellAnchor editAs="oneCell">
    <xdr:from>
      <xdr:col>8</xdr:col>
      <xdr:colOff>324969</xdr:colOff>
      <xdr:row>213</xdr:row>
      <xdr:rowOff>100851</xdr:rowOff>
    </xdr:from>
    <xdr:to>
      <xdr:col>13</xdr:col>
      <xdr:colOff>2084</xdr:colOff>
      <xdr:row>238</xdr:row>
      <xdr:rowOff>96298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9851" y="44274439"/>
          <a:ext cx="4085714" cy="50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3</xdr:colOff>
      <xdr:row>214</xdr:row>
      <xdr:rowOff>168089</xdr:rowOff>
    </xdr:from>
    <xdr:to>
      <xdr:col>17</xdr:col>
      <xdr:colOff>494292</xdr:colOff>
      <xdr:row>238</xdr:row>
      <xdr:rowOff>50956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03" y="44543383"/>
          <a:ext cx="3609524" cy="4723809"/>
        </a:xfrm>
        <a:prstGeom prst="rect">
          <a:avLst/>
        </a:prstGeom>
      </xdr:spPr>
    </xdr:pic>
    <xdr:clientData/>
  </xdr:twoCellAnchor>
  <xdr:twoCellAnchor>
    <xdr:from>
      <xdr:col>1</xdr:col>
      <xdr:colOff>232633</xdr:colOff>
      <xdr:row>399</xdr:row>
      <xdr:rowOff>34514</xdr:rowOff>
    </xdr:from>
    <xdr:to>
      <xdr:col>7</xdr:col>
      <xdr:colOff>331412</xdr:colOff>
      <xdr:row>422</xdr:row>
      <xdr:rowOff>116093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73C2BD0F-F347-2833-E651-DEEE692BCBF3}"/>
            </a:ext>
          </a:extLst>
        </xdr:cNvPr>
        <xdr:cNvGrpSpPr/>
      </xdr:nvGrpSpPr>
      <xdr:grpSpPr>
        <a:xfrm>
          <a:off x="1032733" y="72024464"/>
          <a:ext cx="5223229" cy="4609129"/>
          <a:chOff x="750793" y="71350094"/>
          <a:chExt cx="5158459" cy="463833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50793" y="71350094"/>
            <a:ext cx="5158459" cy="46383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959711" y="72172606"/>
            <a:ext cx="1320053" cy="1981200"/>
          </a:xfrm>
          <a:prstGeom prst="rect">
            <a:avLst/>
          </a:prstGeom>
          <a:noFill/>
          <a:ln w="57150"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242995" y="74351926"/>
            <a:ext cx="1170257" cy="593239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lang="en-IN" sz="1600" b="1"/>
              <a:t>Building No</a:t>
            </a:r>
          </a:p>
          <a:p>
            <a:pPr algn="ctr"/>
            <a:r>
              <a:rPr lang="en-IN" sz="1600" b="1"/>
              <a:t>11 &amp; 12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4007843" y="73295156"/>
            <a:ext cx="392672" cy="342786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IN" sz="1600" b="1"/>
              <a:t>12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4792253" y="72221633"/>
            <a:ext cx="392673" cy="342786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IN" sz="1600" b="1"/>
              <a:t>11</a:t>
            </a:r>
          </a:p>
        </xdr:txBody>
      </xdr:sp>
    </xdr:grpSp>
    <xdr:clientData/>
  </xdr:twoCellAnchor>
  <xdr:twoCellAnchor editAs="oneCell">
    <xdr:from>
      <xdr:col>0</xdr:col>
      <xdr:colOff>679970</xdr:colOff>
      <xdr:row>451</xdr:row>
      <xdr:rowOff>160917</xdr:rowOff>
    </xdr:from>
    <xdr:to>
      <xdr:col>7</xdr:col>
      <xdr:colOff>670352</xdr:colOff>
      <xdr:row>471</xdr:row>
      <xdr:rowOff>133942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9970" y="82228317"/>
          <a:ext cx="5834922" cy="39354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679970</xdr:colOff>
      <xdr:row>431</xdr:row>
      <xdr:rowOff>60064</xdr:rowOff>
    </xdr:from>
    <xdr:to>
      <xdr:col>7</xdr:col>
      <xdr:colOff>670352</xdr:colOff>
      <xdr:row>451</xdr:row>
      <xdr:rowOff>33090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9970" y="78165064"/>
          <a:ext cx="5834922" cy="39354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533400</xdr:colOff>
      <xdr:row>354</xdr:row>
      <xdr:rowOff>57150</xdr:rowOff>
    </xdr:from>
    <xdr:to>
      <xdr:col>7</xdr:col>
      <xdr:colOff>1000909</xdr:colOff>
      <xdr:row>377</xdr:row>
      <xdr:rowOff>161295</xdr:rowOff>
    </xdr:to>
    <xdr:grpSp>
      <xdr:nvGrpSpPr>
        <xdr:cNvPr id="11" name="Group 10"/>
        <xdr:cNvGrpSpPr/>
      </xdr:nvGrpSpPr>
      <xdr:grpSpPr>
        <a:xfrm>
          <a:off x="533400" y="64770000"/>
          <a:ext cx="6392059" cy="4625345"/>
          <a:chOff x="533400" y="64770000"/>
          <a:chExt cx="6392059" cy="4625345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48126" y="67235345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3400" y="6723534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07977" y="64770000"/>
            <a:ext cx="311711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8452" y="64770000"/>
            <a:ext cx="311711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90763" y="6723534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.page/Vishesh-Group-Avvante?share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30"/>
  <sheetViews>
    <sheetView tabSelected="1" view="pageBreakPreview" topLeftCell="A77" zoomScaleNormal="100" zoomScaleSheetLayoutView="100" zoomScalePageLayoutView="85" workbookViewId="0">
      <selection activeCell="C108" sqref="C108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54296875" style="40" customWidth="1"/>
    <col min="4" max="4" width="14.1796875" style="40" customWidth="1"/>
    <col min="5" max="7" width="11.54296875" style="40" customWidth="1"/>
    <col min="8" max="8" width="20.5429687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54296875" style="21" customWidth="1"/>
    <col min="17" max="247" width="9.1796875" style="21"/>
    <col min="248" max="248" width="8.54296875" style="21" customWidth="1"/>
    <col min="249" max="249" width="9.81640625" style="21" customWidth="1"/>
    <col min="250" max="250" width="14.453125" style="21" customWidth="1"/>
    <col min="251" max="251" width="7.4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54296875" style="21" customWidth="1"/>
    <col min="505" max="505" width="9.81640625" style="21" customWidth="1"/>
    <col min="506" max="506" width="14.453125" style="21" customWidth="1"/>
    <col min="507" max="507" width="7.4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54296875" style="21" customWidth="1"/>
    <col min="761" max="761" width="9.81640625" style="21" customWidth="1"/>
    <col min="762" max="762" width="14.453125" style="21" customWidth="1"/>
    <col min="763" max="763" width="7.4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54296875" style="21" customWidth="1"/>
    <col min="1017" max="1017" width="9.81640625" style="21" customWidth="1"/>
    <col min="1018" max="1018" width="14.453125" style="21" customWidth="1"/>
    <col min="1019" max="1019" width="7.4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54296875" style="21" customWidth="1"/>
    <col min="1273" max="1273" width="9.81640625" style="21" customWidth="1"/>
    <col min="1274" max="1274" width="14.453125" style="21" customWidth="1"/>
    <col min="1275" max="1275" width="7.4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54296875" style="21" customWidth="1"/>
    <col min="1529" max="1529" width="9.81640625" style="21" customWidth="1"/>
    <col min="1530" max="1530" width="14.453125" style="21" customWidth="1"/>
    <col min="1531" max="1531" width="7.4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54296875" style="21" customWidth="1"/>
    <col min="1785" max="1785" width="9.81640625" style="21" customWidth="1"/>
    <col min="1786" max="1786" width="14.453125" style="21" customWidth="1"/>
    <col min="1787" max="1787" width="7.4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54296875" style="21" customWidth="1"/>
    <col min="2041" max="2041" width="9.81640625" style="21" customWidth="1"/>
    <col min="2042" max="2042" width="14.453125" style="21" customWidth="1"/>
    <col min="2043" max="2043" width="7.4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54296875" style="21" customWidth="1"/>
    <col min="2297" max="2297" width="9.81640625" style="21" customWidth="1"/>
    <col min="2298" max="2298" width="14.453125" style="21" customWidth="1"/>
    <col min="2299" max="2299" width="7.4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54296875" style="21" customWidth="1"/>
    <col min="2553" max="2553" width="9.81640625" style="21" customWidth="1"/>
    <col min="2554" max="2554" width="14.453125" style="21" customWidth="1"/>
    <col min="2555" max="2555" width="7.4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54296875" style="21" customWidth="1"/>
    <col min="2809" max="2809" width="9.81640625" style="21" customWidth="1"/>
    <col min="2810" max="2810" width="14.453125" style="21" customWidth="1"/>
    <col min="2811" max="2811" width="7.4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54296875" style="21" customWidth="1"/>
    <col min="3065" max="3065" width="9.81640625" style="21" customWidth="1"/>
    <col min="3066" max="3066" width="14.453125" style="21" customWidth="1"/>
    <col min="3067" max="3067" width="7.4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54296875" style="21" customWidth="1"/>
    <col min="3321" max="3321" width="9.81640625" style="21" customWidth="1"/>
    <col min="3322" max="3322" width="14.453125" style="21" customWidth="1"/>
    <col min="3323" max="3323" width="7.4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54296875" style="21" customWidth="1"/>
    <col min="3577" max="3577" width="9.81640625" style="21" customWidth="1"/>
    <col min="3578" max="3578" width="14.453125" style="21" customWidth="1"/>
    <col min="3579" max="3579" width="7.4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54296875" style="21" customWidth="1"/>
    <col min="3833" max="3833" width="9.81640625" style="21" customWidth="1"/>
    <col min="3834" max="3834" width="14.453125" style="21" customWidth="1"/>
    <col min="3835" max="3835" width="7.4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54296875" style="21" customWidth="1"/>
    <col min="4089" max="4089" width="9.81640625" style="21" customWidth="1"/>
    <col min="4090" max="4090" width="14.453125" style="21" customWidth="1"/>
    <col min="4091" max="4091" width="7.4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54296875" style="21" customWidth="1"/>
    <col min="4345" max="4345" width="9.81640625" style="21" customWidth="1"/>
    <col min="4346" max="4346" width="14.453125" style="21" customWidth="1"/>
    <col min="4347" max="4347" width="7.4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54296875" style="21" customWidth="1"/>
    <col min="4601" max="4601" width="9.81640625" style="21" customWidth="1"/>
    <col min="4602" max="4602" width="14.453125" style="21" customWidth="1"/>
    <col min="4603" max="4603" width="7.4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54296875" style="21" customWidth="1"/>
    <col min="4857" max="4857" width="9.81640625" style="21" customWidth="1"/>
    <col min="4858" max="4858" width="14.453125" style="21" customWidth="1"/>
    <col min="4859" max="4859" width="7.4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54296875" style="21" customWidth="1"/>
    <col min="5113" max="5113" width="9.81640625" style="21" customWidth="1"/>
    <col min="5114" max="5114" width="14.453125" style="21" customWidth="1"/>
    <col min="5115" max="5115" width="7.4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54296875" style="21" customWidth="1"/>
    <col min="5369" max="5369" width="9.81640625" style="21" customWidth="1"/>
    <col min="5370" max="5370" width="14.453125" style="21" customWidth="1"/>
    <col min="5371" max="5371" width="7.4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54296875" style="21" customWidth="1"/>
    <col min="5625" max="5625" width="9.81640625" style="21" customWidth="1"/>
    <col min="5626" max="5626" width="14.453125" style="21" customWidth="1"/>
    <col min="5627" max="5627" width="7.4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54296875" style="21" customWidth="1"/>
    <col min="5881" max="5881" width="9.81640625" style="21" customWidth="1"/>
    <col min="5882" max="5882" width="14.453125" style="21" customWidth="1"/>
    <col min="5883" max="5883" width="7.4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54296875" style="21" customWidth="1"/>
    <col min="6137" max="6137" width="9.81640625" style="21" customWidth="1"/>
    <col min="6138" max="6138" width="14.453125" style="21" customWidth="1"/>
    <col min="6139" max="6139" width="7.4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54296875" style="21" customWidth="1"/>
    <col min="6393" max="6393" width="9.81640625" style="21" customWidth="1"/>
    <col min="6394" max="6394" width="14.453125" style="21" customWidth="1"/>
    <col min="6395" max="6395" width="7.4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54296875" style="21" customWidth="1"/>
    <col min="6649" max="6649" width="9.81640625" style="21" customWidth="1"/>
    <col min="6650" max="6650" width="14.453125" style="21" customWidth="1"/>
    <col min="6651" max="6651" width="7.4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54296875" style="21" customWidth="1"/>
    <col min="6905" max="6905" width="9.81640625" style="21" customWidth="1"/>
    <col min="6906" max="6906" width="14.453125" style="21" customWidth="1"/>
    <col min="6907" max="6907" width="7.4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54296875" style="21" customWidth="1"/>
    <col min="7161" max="7161" width="9.81640625" style="21" customWidth="1"/>
    <col min="7162" max="7162" width="14.453125" style="21" customWidth="1"/>
    <col min="7163" max="7163" width="7.4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54296875" style="21" customWidth="1"/>
    <col min="7417" max="7417" width="9.81640625" style="21" customWidth="1"/>
    <col min="7418" max="7418" width="14.453125" style="21" customWidth="1"/>
    <col min="7419" max="7419" width="7.4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54296875" style="21" customWidth="1"/>
    <col min="7673" max="7673" width="9.81640625" style="21" customWidth="1"/>
    <col min="7674" max="7674" width="14.453125" style="21" customWidth="1"/>
    <col min="7675" max="7675" width="7.4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54296875" style="21" customWidth="1"/>
    <col min="7929" max="7929" width="9.81640625" style="21" customWidth="1"/>
    <col min="7930" max="7930" width="14.453125" style="21" customWidth="1"/>
    <col min="7931" max="7931" width="7.4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54296875" style="21" customWidth="1"/>
    <col min="8185" max="8185" width="9.81640625" style="21" customWidth="1"/>
    <col min="8186" max="8186" width="14.453125" style="21" customWidth="1"/>
    <col min="8187" max="8187" width="7.4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54296875" style="21" customWidth="1"/>
    <col min="8441" max="8441" width="9.81640625" style="21" customWidth="1"/>
    <col min="8442" max="8442" width="14.453125" style="21" customWidth="1"/>
    <col min="8443" max="8443" width="7.4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54296875" style="21" customWidth="1"/>
    <col min="8697" max="8697" width="9.81640625" style="21" customWidth="1"/>
    <col min="8698" max="8698" width="14.453125" style="21" customWidth="1"/>
    <col min="8699" max="8699" width="7.4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54296875" style="21" customWidth="1"/>
    <col min="8953" max="8953" width="9.81640625" style="21" customWidth="1"/>
    <col min="8954" max="8954" width="14.453125" style="21" customWidth="1"/>
    <col min="8955" max="8955" width="7.4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54296875" style="21" customWidth="1"/>
    <col min="9209" max="9209" width="9.81640625" style="21" customWidth="1"/>
    <col min="9210" max="9210" width="14.453125" style="21" customWidth="1"/>
    <col min="9211" max="9211" width="7.4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54296875" style="21" customWidth="1"/>
    <col min="9465" max="9465" width="9.81640625" style="21" customWidth="1"/>
    <col min="9466" max="9466" width="14.453125" style="21" customWidth="1"/>
    <col min="9467" max="9467" width="7.4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54296875" style="21" customWidth="1"/>
    <col min="9721" max="9721" width="9.81640625" style="21" customWidth="1"/>
    <col min="9722" max="9722" width="14.453125" style="21" customWidth="1"/>
    <col min="9723" max="9723" width="7.4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54296875" style="21" customWidth="1"/>
    <col min="9977" max="9977" width="9.81640625" style="21" customWidth="1"/>
    <col min="9978" max="9978" width="14.453125" style="21" customWidth="1"/>
    <col min="9979" max="9979" width="7.4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54296875" style="21" customWidth="1"/>
    <col min="10233" max="10233" width="9.81640625" style="21" customWidth="1"/>
    <col min="10234" max="10234" width="14.453125" style="21" customWidth="1"/>
    <col min="10235" max="10235" width="7.4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54296875" style="21" customWidth="1"/>
    <col min="10489" max="10489" width="9.81640625" style="21" customWidth="1"/>
    <col min="10490" max="10490" width="14.453125" style="21" customWidth="1"/>
    <col min="10491" max="10491" width="7.4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54296875" style="21" customWidth="1"/>
    <col min="10745" max="10745" width="9.81640625" style="21" customWidth="1"/>
    <col min="10746" max="10746" width="14.453125" style="21" customWidth="1"/>
    <col min="10747" max="10747" width="7.4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54296875" style="21" customWidth="1"/>
    <col min="11001" max="11001" width="9.81640625" style="21" customWidth="1"/>
    <col min="11002" max="11002" width="14.453125" style="21" customWidth="1"/>
    <col min="11003" max="11003" width="7.4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54296875" style="21" customWidth="1"/>
    <col min="11257" max="11257" width="9.81640625" style="21" customWidth="1"/>
    <col min="11258" max="11258" width="14.453125" style="21" customWidth="1"/>
    <col min="11259" max="11259" width="7.4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54296875" style="21" customWidth="1"/>
    <col min="11513" max="11513" width="9.81640625" style="21" customWidth="1"/>
    <col min="11514" max="11514" width="14.453125" style="21" customWidth="1"/>
    <col min="11515" max="11515" width="7.4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54296875" style="21" customWidth="1"/>
    <col min="11769" max="11769" width="9.81640625" style="21" customWidth="1"/>
    <col min="11770" max="11770" width="14.453125" style="21" customWidth="1"/>
    <col min="11771" max="11771" width="7.4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54296875" style="21" customWidth="1"/>
    <col min="12025" max="12025" width="9.81640625" style="21" customWidth="1"/>
    <col min="12026" max="12026" width="14.453125" style="21" customWidth="1"/>
    <col min="12027" max="12027" width="7.4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54296875" style="21" customWidth="1"/>
    <col min="12281" max="12281" width="9.81640625" style="21" customWidth="1"/>
    <col min="12282" max="12282" width="14.453125" style="21" customWidth="1"/>
    <col min="12283" max="12283" width="7.4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54296875" style="21" customWidth="1"/>
    <col min="12537" max="12537" width="9.81640625" style="21" customWidth="1"/>
    <col min="12538" max="12538" width="14.453125" style="21" customWidth="1"/>
    <col min="12539" max="12539" width="7.4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54296875" style="21" customWidth="1"/>
    <col min="12793" max="12793" width="9.81640625" style="21" customWidth="1"/>
    <col min="12794" max="12794" width="14.453125" style="21" customWidth="1"/>
    <col min="12795" max="12795" width="7.4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54296875" style="21" customWidth="1"/>
    <col min="13049" max="13049" width="9.81640625" style="21" customWidth="1"/>
    <col min="13050" max="13050" width="14.453125" style="21" customWidth="1"/>
    <col min="13051" max="13051" width="7.4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54296875" style="21" customWidth="1"/>
    <col min="13305" max="13305" width="9.81640625" style="21" customWidth="1"/>
    <col min="13306" max="13306" width="14.453125" style="21" customWidth="1"/>
    <col min="13307" max="13307" width="7.4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54296875" style="21" customWidth="1"/>
    <col min="13561" max="13561" width="9.81640625" style="21" customWidth="1"/>
    <col min="13562" max="13562" width="14.453125" style="21" customWidth="1"/>
    <col min="13563" max="13563" width="7.4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54296875" style="21" customWidth="1"/>
    <col min="13817" max="13817" width="9.81640625" style="21" customWidth="1"/>
    <col min="13818" max="13818" width="14.453125" style="21" customWidth="1"/>
    <col min="13819" max="13819" width="7.4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54296875" style="21" customWidth="1"/>
    <col min="14073" max="14073" width="9.81640625" style="21" customWidth="1"/>
    <col min="14074" max="14074" width="14.453125" style="21" customWidth="1"/>
    <col min="14075" max="14075" width="7.4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54296875" style="21" customWidth="1"/>
    <col min="14329" max="14329" width="9.81640625" style="21" customWidth="1"/>
    <col min="14330" max="14330" width="14.453125" style="21" customWidth="1"/>
    <col min="14331" max="14331" width="7.4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54296875" style="21" customWidth="1"/>
    <col min="14585" max="14585" width="9.81640625" style="21" customWidth="1"/>
    <col min="14586" max="14586" width="14.453125" style="21" customWidth="1"/>
    <col min="14587" max="14587" width="7.4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54296875" style="21" customWidth="1"/>
    <col min="14841" max="14841" width="9.81640625" style="21" customWidth="1"/>
    <col min="14842" max="14842" width="14.453125" style="21" customWidth="1"/>
    <col min="14843" max="14843" width="7.4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54296875" style="21" customWidth="1"/>
    <col min="15097" max="15097" width="9.81640625" style="21" customWidth="1"/>
    <col min="15098" max="15098" width="14.453125" style="21" customWidth="1"/>
    <col min="15099" max="15099" width="7.4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54296875" style="21" customWidth="1"/>
    <col min="15353" max="15353" width="9.81640625" style="21" customWidth="1"/>
    <col min="15354" max="15354" width="14.453125" style="21" customWidth="1"/>
    <col min="15355" max="15355" width="7.4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54296875" style="21" customWidth="1"/>
    <col min="15609" max="15609" width="9.81640625" style="21" customWidth="1"/>
    <col min="15610" max="15610" width="14.453125" style="21" customWidth="1"/>
    <col min="15611" max="15611" width="7.4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54296875" style="21" customWidth="1"/>
    <col min="15865" max="15865" width="9.81640625" style="21" customWidth="1"/>
    <col min="15866" max="15866" width="14.453125" style="21" customWidth="1"/>
    <col min="15867" max="15867" width="7.4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54296875" style="21" customWidth="1"/>
    <col min="16121" max="16121" width="9.81640625" style="21" customWidth="1"/>
    <col min="16122" max="16122" width="14.453125" style="21" customWidth="1"/>
    <col min="16123" max="16123" width="7.4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36" t="s">
        <v>225</v>
      </c>
      <c r="B1" s="136"/>
      <c r="C1" s="136"/>
      <c r="D1" s="136"/>
      <c r="E1" s="136"/>
      <c r="F1" s="136"/>
      <c r="G1" s="136"/>
      <c r="H1" s="136"/>
    </row>
    <row r="2" spans="1:8" ht="16.5" customHeight="1" x14ac:dyDescent="0.35">
      <c r="A2" s="122" t="s">
        <v>0</v>
      </c>
      <c r="B2" s="122"/>
      <c r="C2" s="122"/>
      <c r="D2" s="122"/>
      <c r="E2" s="122"/>
      <c r="F2" s="122"/>
      <c r="G2" s="122"/>
      <c r="H2" s="122"/>
    </row>
    <row r="3" spans="1:8" x14ac:dyDescent="0.35">
      <c r="A3" s="105" t="s">
        <v>1</v>
      </c>
      <c r="B3" s="105"/>
      <c r="C3" s="105"/>
      <c r="D3" s="105"/>
      <c r="E3" s="105" t="str">
        <f ca="1">TEXT(TODAY(),"DD/MM/YYYY")</f>
        <v>14/07/2025</v>
      </c>
      <c r="F3" s="105"/>
      <c r="G3" s="105"/>
      <c r="H3" s="105"/>
    </row>
    <row r="4" spans="1:8" ht="15" customHeight="1" x14ac:dyDescent="0.35">
      <c r="A4" s="105" t="s">
        <v>2</v>
      </c>
      <c r="B4" s="105"/>
      <c r="C4" s="105"/>
      <c r="D4" s="105"/>
      <c r="E4" s="105" t="s">
        <v>172</v>
      </c>
      <c r="F4" s="105"/>
      <c r="G4" s="105"/>
      <c r="H4" s="105"/>
    </row>
    <row r="5" spans="1:8" x14ac:dyDescent="0.35">
      <c r="A5" s="105" t="s">
        <v>3</v>
      </c>
      <c r="B5" s="105"/>
      <c r="C5" s="105"/>
      <c r="D5" s="105"/>
      <c r="E5" s="138">
        <v>45849</v>
      </c>
      <c r="F5" s="105"/>
      <c r="G5" s="105"/>
      <c r="H5" s="105"/>
    </row>
    <row r="6" spans="1:8" ht="16.5" customHeight="1" x14ac:dyDescent="0.35">
      <c r="A6" s="105" t="s">
        <v>4</v>
      </c>
      <c r="B6" s="105"/>
      <c r="C6" s="105"/>
      <c r="D6" s="105"/>
      <c r="E6" s="105" t="s">
        <v>173</v>
      </c>
      <c r="F6" s="105"/>
      <c r="G6" s="105"/>
      <c r="H6" s="105"/>
    </row>
    <row r="7" spans="1:8" ht="15" customHeight="1" x14ac:dyDescent="0.35">
      <c r="A7" s="105" t="s">
        <v>5</v>
      </c>
      <c r="B7" s="105"/>
      <c r="C7" s="105"/>
      <c r="D7" s="105"/>
      <c r="E7" s="105" t="str">
        <f>E6</f>
        <v>Vishesh Greenscape LLP</v>
      </c>
      <c r="F7" s="105"/>
      <c r="G7" s="105"/>
      <c r="H7" s="105"/>
    </row>
    <row r="8" spans="1:8" x14ac:dyDescent="0.35">
      <c r="A8" s="105" t="s">
        <v>6</v>
      </c>
      <c r="B8" s="105"/>
      <c r="C8" s="105"/>
      <c r="D8" s="105"/>
      <c r="E8" s="137" t="s">
        <v>174</v>
      </c>
      <c r="F8" s="137"/>
      <c r="G8" s="137"/>
      <c r="H8" s="137"/>
    </row>
    <row r="9" spans="1:8" x14ac:dyDescent="0.35">
      <c r="A9" s="105" t="s">
        <v>175</v>
      </c>
      <c r="B9" s="105"/>
      <c r="C9" s="105"/>
      <c r="D9" s="105"/>
      <c r="E9" s="105" t="s">
        <v>176</v>
      </c>
      <c r="F9" s="105"/>
      <c r="G9" s="105"/>
      <c r="H9" s="105"/>
    </row>
    <row r="10" spans="1:8" x14ac:dyDescent="0.35">
      <c r="A10" s="105" t="s">
        <v>169</v>
      </c>
      <c r="B10" s="105"/>
      <c r="C10" s="105"/>
      <c r="D10" s="105"/>
      <c r="E10" s="105">
        <v>9167252497</v>
      </c>
      <c r="F10" s="105"/>
      <c r="G10" s="105"/>
      <c r="H10" s="105"/>
    </row>
    <row r="11" spans="1:8" x14ac:dyDescent="0.35">
      <c r="A11" s="105" t="s">
        <v>170</v>
      </c>
      <c r="B11" s="105"/>
      <c r="C11" s="105"/>
      <c r="D11" s="105"/>
      <c r="E11" s="105" t="s">
        <v>30</v>
      </c>
      <c r="F11" s="105"/>
      <c r="G11" s="105"/>
      <c r="H11" s="105"/>
    </row>
    <row r="12" spans="1:8" ht="34.5" customHeight="1" x14ac:dyDescent="0.35">
      <c r="A12" s="105" t="s">
        <v>7</v>
      </c>
      <c r="B12" s="105"/>
      <c r="C12" s="105"/>
      <c r="D12" s="105"/>
      <c r="E12" s="81" t="s">
        <v>204</v>
      </c>
      <c r="F12" s="105"/>
      <c r="G12" s="105"/>
      <c r="H12" s="105"/>
    </row>
    <row r="13" spans="1:8" ht="32.25" customHeight="1" x14ac:dyDescent="0.35">
      <c r="A13" s="80" t="s">
        <v>8</v>
      </c>
      <c r="B13" s="80"/>
      <c r="C13" s="80"/>
      <c r="D13" s="80"/>
      <c r="E13" s="81" t="s">
        <v>104</v>
      </c>
      <c r="F13" s="81"/>
      <c r="G13" s="81"/>
      <c r="H13" s="81"/>
    </row>
    <row r="14" spans="1:8" x14ac:dyDescent="0.35">
      <c r="A14" s="80" t="s">
        <v>9</v>
      </c>
      <c r="B14" s="80"/>
      <c r="C14" s="80"/>
      <c r="D14" s="80"/>
      <c r="E14" s="81" t="s">
        <v>177</v>
      </c>
      <c r="F14" s="105"/>
      <c r="G14" s="105"/>
      <c r="H14" s="105"/>
    </row>
    <row r="15" spans="1:8" ht="51" customHeight="1" x14ac:dyDescent="0.35">
      <c r="A15" s="82" t="s">
        <v>10</v>
      </c>
      <c r="B15" s="82"/>
      <c r="C15" s="8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Balaji Avvante, Gut No.139/3, 139/6, 139/7, 139/10, 139/12, 139/14A, 139/14B, 140/1(2), 140/1(4), 140/2, 141, 142, 143 &amp; 146/2, near Vastusiddhi Alps CHS, Swapna Nagari Road, , Wakadi, Panvel East, Panvel, Raigad - 410206.</v>
      </c>
      <c r="D15" s="82"/>
      <c r="E15" s="82"/>
      <c r="F15" s="82"/>
      <c r="G15" s="82"/>
      <c r="H15" s="82"/>
    </row>
    <row r="16" spans="1:8" ht="31.5" customHeight="1" x14ac:dyDescent="0.35">
      <c r="A16" s="81" t="s">
        <v>179</v>
      </c>
      <c r="B16" s="81"/>
      <c r="C16" s="81" t="s">
        <v>178</v>
      </c>
      <c r="D16" s="81"/>
      <c r="E16" s="81"/>
      <c r="F16" s="81"/>
      <c r="G16" s="81"/>
      <c r="H16" s="81"/>
    </row>
    <row r="17" spans="1:8" ht="15.75" hidden="1" customHeight="1" x14ac:dyDescent="0.35">
      <c r="A17" s="81" t="s">
        <v>168</v>
      </c>
      <c r="B17" s="81"/>
      <c r="C17" s="81"/>
      <c r="D17" s="81"/>
      <c r="E17" s="81"/>
      <c r="F17" s="81"/>
      <c r="G17" s="81"/>
      <c r="H17" s="81"/>
    </row>
    <row r="18" spans="1:8" ht="15.75" customHeight="1" x14ac:dyDescent="0.35">
      <c r="A18" s="82" t="s">
        <v>11</v>
      </c>
      <c r="B18" s="82"/>
      <c r="C18" s="105" t="s">
        <v>180</v>
      </c>
      <c r="D18" s="105"/>
      <c r="E18" s="82" t="s">
        <v>75</v>
      </c>
      <c r="F18" s="82"/>
      <c r="G18" s="81" t="s">
        <v>212</v>
      </c>
      <c r="H18" s="81"/>
    </row>
    <row r="19" spans="1:8" x14ac:dyDescent="0.35">
      <c r="A19" s="80" t="s">
        <v>13</v>
      </c>
      <c r="B19" s="80"/>
      <c r="C19" s="139" t="s">
        <v>182</v>
      </c>
      <c r="D19" s="139"/>
      <c r="E19" s="82" t="s">
        <v>12</v>
      </c>
      <c r="F19" s="82"/>
      <c r="G19" s="139" t="s">
        <v>213</v>
      </c>
      <c r="H19" s="139"/>
    </row>
    <row r="20" spans="1:8" x14ac:dyDescent="0.35">
      <c r="A20" s="80" t="s">
        <v>76</v>
      </c>
      <c r="B20" s="80"/>
      <c r="C20" s="139" t="s">
        <v>181</v>
      </c>
      <c r="D20" s="139"/>
      <c r="E20" s="82" t="s">
        <v>14</v>
      </c>
      <c r="F20" s="82"/>
      <c r="G20" s="81">
        <v>410206</v>
      </c>
      <c r="H20" s="81"/>
    </row>
    <row r="21" spans="1:8" ht="32.25" customHeight="1" x14ac:dyDescent="0.35">
      <c r="A21" s="80" t="s">
        <v>125</v>
      </c>
      <c r="B21" s="80"/>
      <c r="C21" s="81" t="s">
        <v>183</v>
      </c>
      <c r="D21" s="81"/>
      <c r="E21" s="82" t="s">
        <v>15</v>
      </c>
      <c r="F21" s="82"/>
      <c r="G21" s="81" t="s">
        <v>184</v>
      </c>
      <c r="H21" s="81"/>
    </row>
    <row r="22" spans="1:8" ht="15" customHeight="1" x14ac:dyDescent="0.35">
      <c r="A22" s="82" t="s">
        <v>79</v>
      </c>
      <c r="B22" s="82"/>
      <c r="C22" s="82"/>
      <c r="D22" s="82"/>
      <c r="E22" s="105" t="s">
        <v>16</v>
      </c>
      <c r="F22" s="105"/>
      <c r="G22" s="105"/>
      <c r="H22" s="105"/>
    </row>
    <row r="23" spans="1:8" ht="18.75" customHeight="1" x14ac:dyDescent="0.35">
      <c r="A23" s="82"/>
      <c r="B23" s="82"/>
      <c r="C23" s="82"/>
      <c r="D23" s="82"/>
      <c r="E23" s="105"/>
      <c r="F23" s="105"/>
      <c r="G23" s="105"/>
      <c r="H23" s="105"/>
    </row>
    <row r="24" spans="1:8" ht="15" customHeight="1" x14ac:dyDescent="0.35">
      <c r="A24" s="82" t="s">
        <v>17</v>
      </c>
      <c r="B24" s="82"/>
      <c r="C24" s="82"/>
      <c r="D24" s="82"/>
      <c r="E24" s="81" t="s">
        <v>18</v>
      </c>
      <c r="F24" s="81"/>
      <c r="G24" s="81"/>
      <c r="H24" s="81"/>
    </row>
    <row r="25" spans="1:8" ht="15" customHeight="1" x14ac:dyDescent="0.35">
      <c r="A25" s="80" t="s">
        <v>19</v>
      </c>
      <c r="B25" s="80"/>
      <c r="C25" s="80"/>
      <c r="D25" s="80"/>
      <c r="E25" s="81" t="str">
        <f>IF(AND(G19="Mumbai"),"Upper Class","Middle Class")</f>
        <v>Middle Class</v>
      </c>
      <c r="F25" s="81"/>
      <c r="G25" s="81"/>
      <c r="H25" s="81"/>
    </row>
    <row r="26" spans="1:8" x14ac:dyDescent="0.35">
      <c r="A26" s="80" t="s">
        <v>20</v>
      </c>
      <c r="B26" s="80"/>
      <c r="C26" s="80"/>
      <c r="D26" s="80"/>
      <c r="E26" s="81" t="s">
        <v>21</v>
      </c>
      <c r="F26" s="81"/>
      <c r="G26" s="81"/>
      <c r="H26" s="81"/>
    </row>
    <row r="27" spans="1:8" ht="15.75" customHeight="1" x14ac:dyDescent="0.35">
      <c r="A27" s="80" t="s">
        <v>22</v>
      </c>
      <c r="B27" s="80"/>
      <c r="C27" s="80"/>
      <c r="D27" s="80"/>
      <c r="E27" s="81" t="str">
        <f>IF(AND(G19="Mumbai"),"Developed","Developing")</f>
        <v>Developing</v>
      </c>
      <c r="F27" s="81"/>
      <c r="G27" s="81"/>
      <c r="H27" s="81"/>
    </row>
    <row r="28" spans="1:8" x14ac:dyDescent="0.35">
      <c r="A28" s="80" t="s">
        <v>23</v>
      </c>
      <c r="B28" s="80"/>
      <c r="C28" s="80"/>
      <c r="D28" s="80"/>
      <c r="E28" s="81" t="s">
        <v>24</v>
      </c>
      <c r="F28" s="81"/>
      <c r="G28" s="81"/>
      <c r="H28" s="81"/>
    </row>
    <row r="29" spans="1:8" ht="15.75" customHeight="1" x14ac:dyDescent="0.35">
      <c r="A29" s="80" t="s">
        <v>84</v>
      </c>
      <c r="B29" s="80"/>
      <c r="C29" s="80"/>
      <c r="D29" s="80"/>
      <c r="E29" s="81" t="s">
        <v>85</v>
      </c>
      <c r="F29" s="81"/>
      <c r="G29" s="81"/>
      <c r="H29" s="81"/>
    </row>
    <row r="30" spans="1:8" ht="15" customHeight="1" x14ac:dyDescent="0.35">
      <c r="A30" s="80" t="s">
        <v>33</v>
      </c>
      <c r="B30" s="80"/>
      <c r="C30" s="80"/>
      <c r="D30" s="80"/>
      <c r="E30" s="81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81"/>
      <c r="G30" s="81"/>
      <c r="H30" s="81"/>
    </row>
    <row r="31" spans="1:8" ht="15.75" customHeight="1" x14ac:dyDescent="0.35">
      <c r="A31" s="80" t="s">
        <v>96</v>
      </c>
      <c r="B31" s="80"/>
      <c r="C31" s="80"/>
      <c r="D31" s="80"/>
      <c r="E31" s="81" t="s">
        <v>34</v>
      </c>
      <c r="F31" s="81"/>
      <c r="G31" s="81"/>
      <c r="H31" s="81"/>
    </row>
    <row r="32" spans="1:8" s="22" customFormat="1" x14ac:dyDescent="0.35">
      <c r="A32" s="143" t="s">
        <v>97</v>
      </c>
      <c r="B32" s="143"/>
      <c r="C32" s="142" t="s">
        <v>29</v>
      </c>
      <c r="D32" s="142"/>
      <c r="E32" s="142"/>
      <c r="F32" s="142" t="s">
        <v>31</v>
      </c>
      <c r="G32" s="142"/>
      <c r="H32" s="142"/>
    </row>
    <row r="33" spans="1:8" s="22" customFormat="1" x14ac:dyDescent="0.35">
      <c r="A33" s="140" t="s">
        <v>25</v>
      </c>
      <c r="B33" s="140" t="s">
        <v>30</v>
      </c>
      <c r="C33" s="141" t="s">
        <v>30</v>
      </c>
      <c r="D33" s="141"/>
      <c r="E33" s="141"/>
      <c r="F33" s="141" t="s">
        <v>180</v>
      </c>
      <c r="G33" s="141"/>
      <c r="H33" s="141"/>
    </row>
    <row r="34" spans="1:8" x14ac:dyDescent="0.35">
      <c r="A34" s="140" t="s">
        <v>26</v>
      </c>
      <c r="B34" s="140" t="s">
        <v>30</v>
      </c>
      <c r="C34" s="141" t="s">
        <v>30</v>
      </c>
      <c r="D34" s="141"/>
      <c r="E34" s="141"/>
      <c r="F34" s="141" t="s">
        <v>185</v>
      </c>
      <c r="G34" s="141"/>
      <c r="H34" s="141"/>
    </row>
    <row r="35" spans="1:8" s="22" customFormat="1" x14ac:dyDescent="0.35">
      <c r="A35" s="140" t="s">
        <v>28</v>
      </c>
      <c r="B35" s="140" t="s">
        <v>30</v>
      </c>
      <c r="C35" s="141" t="s">
        <v>30</v>
      </c>
      <c r="D35" s="141"/>
      <c r="E35" s="141"/>
      <c r="F35" s="141" t="s">
        <v>185</v>
      </c>
      <c r="G35" s="141"/>
      <c r="H35" s="141"/>
    </row>
    <row r="36" spans="1:8" x14ac:dyDescent="0.35">
      <c r="A36" s="140" t="s">
        <v>27</v>
      </c>
      <c r="B36" s="140" t="s">
        <v>30</v>
      </c>
      <c r="C36" s="141" t="s">
        <v>30</v>
      </c>
      <c r="D36" s="141"/>
      <c r="E36" s="141"/>
      <c r="F36" s="141" t="s">
        <v>180</v>
      </c>
      <c r="G36" s="141"/>
      <c r="H36" s="141"/>
    </row>
    <row r="37" spans="1:8" x14ac:dyDescent="0.35">
      <c r="A37" s="80" t="s">
        <v>32</v>
      </c>
      <c r="B37" s="80"/>
      <c r="C37" s="80"/>
      <c r="D37" s="80"/>
      <c r="E37" s="80"/>
      <c r="F37" s="80"/>
      <c r="G37" s="80"/>
      <c r="H37" s="80"/>
    </row>
    <row r="38" spans="1:8" ht="15.75" customHeight="1" x14ac:dyDescent="0.35">
      <c r="A38" s="80" t="s">
        <v>226</v>
      </c>
      <c r="B38" s="80"/>
      <c r="C38" s="84" t="s">
        <v>227</v>
      </c>
      <c r="D38" s="84"/>
      <c r="E38" s="84"/>
      <c r="F38" s="84"/>
      <c r="G38" s="84"/>
      <c r="H38" s="84"/>
    </row>
    <row r="39" spans="1:8" x14ac:dyDescent="0.35">
      <c r="A39" s="80" t="s">
        <v>167</v>
      </c>
      <c r="B39" s="80"/>
      <c r="C39" s="154" t="s">
        <v>186</v>
      </c>
      <c r="D39" s="81"/>
      <c r="E39" s="81"/>
      <c r="F39" s="81"/>
      <c r="G39" s="81"/>
      <c r="H39" s="81"/>
    </row>
    <row r="40" spans="1:8" x14ac:dyDescent="0.35">
      <c r="A40" s="145" t="s">
        <v>35</v>
      </c>
      <c r="B40" s="145"/>
      <c r="C40" s="145"/>
      <c r="D40" s="145"/>
      <c r="E40" s="145"/>
      <c r="F40" s="145"/>
      <c r="G40" s="145"/>
      <c r="H40" s="145"/>
    </row>
    <row r="41" spans="1:8" x14ac:dyDescent="0.35">
      <c r="A41" s="80" t="s">
        <v>36</v>
      </c>
      <c r="B41" s="80"/>
      <c r="C41" s="80"/>
      <c r="D41" s="80"/>
      <c r="E41" s="144">
        <v>35644.28</v>
      </c>
      <c r="F41" s="144"/>
      <c r="G41" s="144"/>
      <c r="H41" s="144"/>
    </row>
    <row r="42" spans="1:8" x14ac:dyDescent="0.35">
      <c r="A42" s="80" t="s">
        <v>37</v>
      </c>
      <c r="B42" s="80"/>
      <c r="C42" s="80"/>
      <c r="D42" s="80"/>
      <c r="E42" s="108">
        <v>1</v>
      </c>
      <c r="F42" s="108"/>
      <c r="G42" s="108"/>
      <c r="H42" s="108"/>
    </row>
    <row r="43" spans="1:8" x14ac:dyDescent="0.35">
      <c r="A43" s="80" t="s">
        <v>38</v>
      </c>
      <c r="B43" s="80"/>
      <c r="C43" s="80"/>
      <c r="D43" s="80"/>
      <c r="E43" s="108">
        <f>E45/E41-E42</f>
        <v>-4.5870754017194315E-2</v>
      </c>
      <c r="F43" s="108"/>
      <c r="G43" s="108"/>
      <c r="H43" s="108"/>
    </row>
    <row r="44" spans="1:8" x14ac:dyDescent="0.35">
      <c r="A44" s="80" t="s">
        <v>39</v>
      </c>
      <c r="B44" s="80"/>
      <c r="C44" s="80"/>
      <c r="D44" s="80"/>
      <c r="E44" s="108">
        <f>E42+E43</f>
        <v>0.95412924598280568</v>
      </c>
      <c r="F44" s="108"/>
      <c r="G44" s="108"/>
      <c r="H44" s="108"/>
    </row>
    <row r="45" spans="1:8" x14ac:dyDescent="0.35">
      <c r="A45" s="80" t="s">
        <v>95</v>
      </c>
      <c r="B45" s="80"/>
      <c r="C45" s="80"/>
      <c r="D45" s="80"/>
      <c r="E45" s="168">
        <v>34009.25</v>
      </c>
      <c r="F45" s="168"/>
      <c r="G45" s="168"/>
      <c r="H45" s="168"/>
    </row>
    <row r="46" spans="1:8" x14ac:dyDescent="0.35">
      <c r="A46" s="105" t="s">
        <v>40</v>
      </c>
      <c r="B46" s="105"/>
      <c r="C46" s="105"/>
      <c r="D46" s="105"/>
      <c r="E46" s="105" t="s">
        <v>217</v>
      </c>
      <c r="F46" s="105"/>
      <c r="G46" s="105"/>
      <c r="H46" s="105"/>
    </row>
    <row r="47" spans="1:8" x14ac:dyDescent="0.35">
      <c r="A47" s="137" t="s">
        <v>41</v>
      </c>
      <c r="B47" s="137"/>
      <c r="C47" s="137"/>
      <c r="D47" s="137"/>
      <c r="E47" s="137"/>
      <c r="F47" s="137"/>
      <c r="G47" s="137"/>
      <c r="H47" s="137"/>
    </row>
    <row r="48" spans="1:8" ht="33.75" customHeight="1" x14ac:dyDescent="0.35">
      <c r="A48" s="187" t="s">
        <v>157</v>
      </c>
      <c r="B48" s="188"/>
      <c r="C48" s="189" t="s">
        <v>187</v>
      </c>
      <c r="D48" s="190"/>
      <c r="E48" s="190"/>
      <c r="F48" s="190"/>
      <c r="G48" s="190"/>
      <c r="H48" s="191"/>
    </row>
    <row r="49" spans="1:14" ht="35.25" customHeight="1" x14ac:dyDescent="0.35">
      <c r="A49" s="69" t="s">
        <v>42</v>
      </c>
      <c r="B49" s="71"/>
      <c r="C49" s="69" t="s">
        <v>188</v>
      </c>
      <c r="D49" s="70"/>
      <c r="E49" s="71"/>
      <c r="F49" s="18" t="s">
        <v>43</v>
      </c>
      <c r="G49" s="148">
        <v>44806</v>
      </c>
      <c r="H49" s="71"/>
    </row>
    <row r="50" spans="1:14" ht="35.25" customHeight="1" x14ac:dyDescent="0.35">
      <c r="A50" s="69" t="s">
        <v>44</v>
      </c>
      <c r="B50" s="71"/>
      <c r="C50" s="69" t="str">
        <f>C49</f>
        <v>CIDCO/NAINA/PANVEL/Vakadi/BP-00223/ACC 2022/0236</v>
      </c>
      <c r="D50" s="70"/>
      <c r="E50" s="71"/>
      <c r="F50" s="18" t="s">
        <v>43</v>
      </c>
      <c r="G50" s="148">
        <f>G49</f>
        <v>44806</v>
      </c>
      <c r="H50" s="149"/>
    </row>
    <row r="51" spans="1:14" s="23" customFormat="1" ht="33.75" customHeight="1" x14ac:dyDescent="0.35">
      <c r="A51" s="150" t="s">
        <v>161</v>
      </c>
      <c r="B51" s="151"/>
      <c r="C51" s="69" t="str">
        <f>C50</f>
        <v>CIDCO/NAINA/PANVEL/Vakadi/BP-00223/ACC 2022/0236</v>
      </c>
      <c r="D51" s="70"/>
      <c r="E51" s="71"/>
      <c r="F51" s="18" t="s">
        <v>43</v>
      </c>
      <c r="G51" s="148">
        <f>G50</f>
        <v>44806</v>
      </c>
      <c r="H51" s="149"/>
    </row>
    <row r="52" spans="1:14" s="23" customFormat="1" ht="33.75" customHeight="1" x14ac:dyDescent="0.35">
      <c r="A52" s="152"/>
      <c r="B52" s="153"/>
      <c r="C52" s="69" t="s">
        <v>201</v>
      </c>
      <c r="D52" s="70"/>
      <c r="E52" s="70"/>
      <c r="F52" s="70"/>
      <c r="G52" s="70"/>
      <c r="H52" s="71"/>
    </row>
    <row r="53" spans="1:14" x14ac:dyDescent="0.35">
      <c r="A53" s="101" t="s">
        <v>45</v>
      </c>
      <c r="B53" s="102"/>
      <c r="C53" s="101" t="s">
        <v>105</v>
      </c>
      <c r="D53" s="103"/>
      <c r="E53" s="102"/>
      <c r="F53" s="46" t="s">
        <v>43</v>
      </c>
      <c r="G53" s="67" t="s">
        <v>30</v>
      </c>
      <c r="H53" s="68"/>
    </row>
    <row r="54" spans="1:14" x14ac:dyDescent="0.35">
      <c r="A54" s="104" t="s">
        <v>47</v>
      </c>
      <c r="B54" s="104"/>
      <c r="C54" s="104"/>
      <c r="D54" s="104"/>
      <c r="E54" s="104"/>
      <c r="F54" s="104"/>
      <c r="G54" s="104"/>
      <c r="H54" s="104"/>
    </row>
    <row r="55" spans="1:14" x14ac:dyDescent="0.35">
      <c r="A55" s="82" t="s">
        <v>94</v>
      </c>
      <c r="B55" s="82"/>
      <c r="C55" s="82"/>
      <c r="D55" s="80">
        <f>E45</f>
        <v>34009.25</v>
      </c>
      <c r="E55" s="80"/>
      <c r="F55" s="80"/>
      <c r="G55" s="80"/>
      <c r="H55" s="80"/>
    </row>
    <row r="56" spans="1:14" x14ac:dyDescent="0.35">
      <c r="A56" s="81" t="s">
        <v>48</v>
      </c>
      <c r="B56" s="105"/>
      <c r="C56" s="105"/>
      <c r="D56" s="105" t="s">
        <v>210</v>
      </c>
      <c r="E56" s="105"/>
      <c r="F56" s="105"/>
      <c r="G56" s="105"/>
      <c r="H56" s="105"/>
      <c r="I56" s="24"/>
    </row>
    <row r="57" spans="1:14" ht="35.25" customHeight="1" x14ac:dyDescent="0.35">
      <c r="A57" s="91" t="s">
        <v>49</v>
      </c>
      <c r="B57" s="92"/>
      <c r="C57" s="147"/>
      <c r="D57" s="83" t="s">
        <v>201</v>
      </c>
      <c r="E57" s="146"/>
      <c r="F57" s="146"/>
      <c r="G57" s="146"/>
      <c r="H57" s="146"/>
    </row>
    <row r="58" spans="1:14" ht="15.75" customHeight="1" x14ac:dyDescent="0.35">
      <c r="A58" s="91" t="s">
        <v>92</v>
      </c>
      <c r="B58" s="92"/>
      <c r="C58" s="92"/>
      <c r="D58" s="95" t="s">
        <v>202</v>
      </c>
      <c r="E58" s="96"/>
      <c r="F58" s="96"/>
      <c r="G58" s="96"/>
      <c r="H58" s="97"/>
    </row>
    <row r="59" spans="1:14" ht="15.75" customHeight="1" x14ac:dyDescent="0.35">
      <c r="A59" s="93"/>
      <c r="B59" s="94"/>
      <c r="C59" s="94"/>
      <c r="D59" s="98" t="s">
        <v>203</v>
      </c>
      <c r="E59" s="99"/>
      <c r="F59" s="99"/>
      <c r="G59" s="99"/>
      <c r="H59" s="100"/>
    </row>
    <row r="60" spans="1:14" ht="15.75" customHeight="1" x14ac:dyDescent="0.35">
      <c r="A60" s="80" t="s">
        <v>46</v>
      </c>
      <c r="B60" s="80"/>
      <c r="C60" s="80"/>
      <c r="D60" s="155" t="s">
        <v>189</v>
      </c>
      <c r="E60" s="155"/>
      <c r="F60" s="155"/>
      <c r="G60" s="155"/>
      <c r="H60" s="155"/>
      <c r="J60" s="25"/>
      <c r="K60" s="24"/>
      <c r="N60" s="24"/>
    </row>
    <row r="61" spans="1:14" ht="15.75" customHeight="1" x14ac:dyDescent="0.35">
      <c r="A61" s="80" t="s">
        <v>90</v>
      </c>
      <c r="B61" s="80"/>
      <c r="C61" s="80"/>
      <c r="D61" s="167" t="str">
        <f>(IF(G53="NA","60 Years After Completion",IF(G53&lt;&gt;"NA",""&amp;60-ROUNDDOWN((E3-G53)/360,0)&amp;" Years"," ")))</f>
        <v>60 Years After Completion</v>
      </c>
      <c r="E61" s="167"/>
      <c r="F61" s="167"/>
      <c r="G61" s="167"/>
      <c r="H61" s="167"/>
      <c r="N61" s="24"/>
    </row>
    <row r="62" spans="1:14" ht="15.75" customHeight="1" x14ac:dyDescent="0.35">
      <c r="A62" s="80" t="s">
        <v>91</v>
      </c>
      <c r="B62" s="80"/>
      <c r="C62" s="80"/>
      <c r="D62" s="82" t="s">
        <v>24</v>
      </c>
      <c r="E62" s="82"/>
      <c r="F62" s="82"/>
      <c r="G62" s="82"/>
      <c r="H62" s="82"/>
      <c r="J62" s="26"/>
      <c r="K62" s="26"/>
    </row>
    <row r="63" spans="1:14" ht="33" customHeight="1" x14ac:dyDescent="0.35">
      <c r="A63" s="80" t="s">
        <v>77</v>
      </c>
      <c r="B63" s="80"/>
      <c r="C63" s="80"/>
      <c r="D63" s="81" t="s">
        <v>219</v>
      </c>
      <c r="E63" s="82"/>
      <c r="F63" s="82"/>
      <c r="G63" s="82"/>
      <c r="H63" s="82"/>
    </row>
    <row r="64" spans="1:14" x14ac:dyDescent="0.35">
      <c r="A64" s="82" t="s">
        <v>153</v>
      </c>
      <c r="B64" s="82"/>
      <c r="C64" s="82"/>
      <c r="D64" s="82" t="s">
        <v>30</v>
      </c>
      <c r="E64" s="82"/>
      <c r="F64" s="82"/>
      <c r="G64" s="82"/>
      <c r="H64" s="82"/>
      <c r="I64" s="27"/>
      <c r="J64" s="27"/>
      <c r="K64" s="27"/>
      <c r="L64" s="27"/>
      <c r="M64" s="27"/>
      <c r="N64" s="27"/>
    </row>
    <row r="65" spans="1:10" ht="15.75" customHeight="1" x14ac:dyDescent="0.35">
      <c r="A65" s="80" t="s">
        <v>89</v>
      </c>
      <c r="B65" s="80"/>
      <c r="C65" s="80"/>
      <c r="D65" s="81" t="str">
        <f ca="1">(IF(G71&gt;95%,"Nothing",IF(G71&gt;0%,"Cement, Aggregate, Steel, etc",IF(G71=0%,"Work not yet Started"))))</f>
        <v>Cement, Aggregate, Steel, etc</v>
      </c>
      <c r="E65" s="81"/>
      <c r="F65" s="81"/>
      <c r="G65" s="81"/>
      <c r="H65" s="81"/>
      <c r="J65" s="26"/>
    </row>
    <row r="66" spans="1:10" ht="33.75" customHeight="1" thickBot="1" x14ac:dyDescent="0.4">
      <c r="A66" s="82" t="s">
        <v>118</v>
      </c>
      <c r="B66" s="82"/>
      <c r="C66" s="82"/>
      <c r="D66" s="81" t="str">
        <f ca="1">(IF(D65="Nothing","Yes",IF(D65="Cement, Aggregate, Steel, etc","Under Construction",IF(D65="Work not yet Started","Work not yet Started"))))</f>
        <v>Under Construction</v>
      </c>
      <c r="E66" s="81"/>
      <c r="F66" s="81" t="str">
        <f ca="1">(IF(D65="Nothing","Yes",IF(D65="Cement, Aggregate, Steel, etc","Under Construction",IF(D65="Work not yet Started","Work not yet Started"))))</f>
        <v>Under Construction</v>
      </c>
      <c r="G66" s="81"/>
      <c r="H66" s="81"/>
    </row>
    <row r="67" spans="1:10" ht="15.75" customHeight="1" x14ac:dyDescent="0.35">
      <c r="A67" s="175" t="s">
        <v>143</v>
      </c>
      <c r="B67" s="175"/>
      <c r="C67" s="175" t="s">
        <v>202</v>
      </c>
      <c r="D67" s="175"/>
      <c r="E67" s="175"/>
      <c r="F67" s="175"/>
      <c r="G67" s="175"/>
      <c r="H67" s="175"/>
      <c r="I67" s="205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 Completed, Painting upto 3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Painting upto 3 Floor</v>
      </c>
    </row>
    <row r="68" spans="1:10" x14ac:dyDescent="0.35">
      <c r="A68" s="66" t="s">
        <v>145</v>
      </c>
      <c r="B68" s="66">
        <v>0</v>
      </c>
      <c r="C68" s="66" t="s">
        <v>74</v>
      </c>
      <c r="D68" s="66">
        <v>1</v>
      </c>
      <c r="E68" s="66" t="s">
        <v>73</v>
      </c>
      <c r="F68" s="66">
        <v>0</v>
      </c>
      <c r="G68" s="66" t="s">
        <v>83</v>
      </c>
      <c r="H68" s="66">
        <f ca="1">--TRIM(RIGHT(SUBSTITUTE(LEFT(C67,_xlfn.AGGREGATE(16,6,FIND({0,1,2,3,4,5,6,7,8,9},C67,ROW(INDIRECT("1:"&amp;LEN(C67)))),1))," ",REPT(" ",LEN(C67))),LEN(C67)))</f>
        <v>4</v>
      </c>
      <c r="I68" s="206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" customHeight="1" x14ac:dyDescent="0.35">
      <c r="A69" s="137" t="s">
        <v>93</v>
      </c>
      <c r="B69" s="137"/>
      <c r="C69" s="175" t="str">
        <f ca="1">I67</f>
        <v>Excavation, Plinth, RCC Slab, Brickwork, Internal Plaster, External Plaster, Flooring Completed, Painting upto 3 Floor Completed</v>
      </c>
      <c r="D69" s="175"/>
      <c r="E69" s="175"/>
      <c r="F69" s="175"/>
      <c r="G69" s="175"/>
      <c r="H69" s="175"/>
      <c r="I69" s="206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ht="15.75" customHeight="1" x14ac:dyDescent="0.35">
      <c r="A70" s="73" t="s">
        <v>50</v>
      </c>
      <c r="B70" s="73"/>
      <c r="C70" s="64" t="s">
        <v>142</v>
      </c>
      <c r="D70" s="64" t="s">
        <v>86</v>
      </c>
      <c r="E70" s="73" t="s">
        <v>88</v>
      </c>
      <c r="F70" s="73"/>
      <c r="G70" s="73" t="s">
        <v>87</v>
      </c>
      <c r="H70" s="73"/>
      <c r="I70" s="14" t="s">
        <v>144</v>
      </c>
      <c r="J70" s="28">
        <f ca="1">H68*25%</f>
        <v>1</v>
      </c>
    </row>
    <row r="71" spans="1:10" x14ac:dyDescent="0.35">
      <c r="A71" s="72" t="s">
        <v>131</v>
      </c>
      <c r="B71" s="73"/>
      <c r="C71" s="44">
        <f ca="1">J72</f>
        <v>4</v>
      </c>
      <c r="D71" s="19">
        <f ca="1">((100/H68)*C71)/100</f>
        <v>1</v>
      </c>
      <c r="E71" s="156">
        <f ca="1">(((C72/H68*10)+(40/(D68+F68+H68)*C73)+(7.5/(H68)*C74)+(7.5/(H68)*C75)+(10/H68*C76)+(10/H68*C77)+(5/H68*C78)+(5/H68*C79)+(5/H68*C80))/100)</f>
        <v>0.88749999999999996</v>
      </c>
      <c r="F71" s="157"/>
      <c r="G71" s="156">
        <f ca="1">((((C71/H68)*20)+((C72/H68)*25)+(30/(H68+F68+D68)*C73)+(5/H68*C74)+(5/H68*C75)+(5/H68*C76)+(5/H68*C77)+(0/H68*C78)+(0/H68*C79)+(5/H68*C80))/100)</f>
        <v>0.95</v>
      </c>
      <c r="H71" s="162"/>
      <c r="I71" s="14" t="s">
        <v>99</v>
      </c>
      <c r="J71" s="29">
        <f ca="1">H68*50%</f>
        <v>2</v>
      </c>
    </row>
    <row r="72" spans="1:10" x14ac:dyDescent="0.35">
      <c r="A72" s="72" t="s">
        <v>51</v>
      </c>
      <c r="B72" s="73"/>
      <c r="C72" s="59">
        <f ca="1">J80</f>
        <v>4</v>
      </c>
      <c r="D72" s="19">
        <f ca="1">((100/H68)*C72)/100</f>
        <v>1</v>
      </c>
      <c r="E72" s="158"/>
      <c r="F72" s="159"/>
      <c r="G72" s="158"/>
      <c r="H72" s="163"/>
      <c r="I72" s="14" t="s">
        <v>100</v>
      </c>
      <c r="J72" s="29">
        <f ca="1">H68</f>
        <v>4</v>
      </c>
    </row>
    <row r="73" spans="1:10" ht="15.75" customHeight="1" x14ac:dyDescent="0.35">
      <c r="A73" s="72" t="s">
        <v>132</v>
      </c>
      <c r="B73" s="73"/>
      <c r="C73" s="44">
        <v>5</v>
      </c>
      <c r="D73" s="19">
        <f ca="1">((100/(D68+F68+H68))*C73)/100</f>
        <v>1</v>
      </c>
      <c r="E73" s="158"/>
      <c r="F73" s="159"/>
      <c r="G73" s="158"/>
      <c r="H73" s="163"/>
      <c r="I73" s="14" t="s">
        <v>101</v>
      </c>
      <c r="J73" s="30">
        <f ca="1">(IF(B68&gt;1,(H68/(B68+2)),H68/4))</f>
        <v>1</v>
      </c>
    </row>
    <row r="74" spans="1:10" ht="15.75" customHeight="1" x14ac:dyDescent="0.35">
      <c r="A74" s="72" t="s">
        <v>139</v>
      </c>
      <c r="B74" s="73" t="s">
        <v>133</v>
      </c>
      <c r="C74" s="44">
        <v>4</v>
      </c>
      <c r="D74" s="19">
        <f ca="1">((100/H68)*C74)/100</f>
        <v>1</v>
      </c>
      <c r="E74" s="158"/>
      <c r="F74" s="159"/>
      <c r="G74" s="158"/>
      <c r="H74" s="163"/>
      <c r="I74" s="14" t="s">
        <v>102</v>
      </c>
      <c r="J74" s="30">
        <f ca="1">(IF(B68&gt;1,(H68/(B68+2)+J73),H68/4+J73))</f>
        <v>2</v>
      </c>
    </row>
    <row r="75" spans="1:10" ht="15.75" customHeight="1" x14ac:dyDescent="0.35">
      <c r="A75" s="72" t="s">
        <v>140</v>
      </c>
      <c r="B75" s="73" t="s">
        <v>133</v>
      </c>
      <c r="C75" s="44">
        <v>4</v>
      </c>
      <c r="D75" s="19">
        <f ca="1">((100/H68)*C75)/100</f>
        <v>1</v>
      </c>
      <c r="E75" s="158"/>
      <c r="F75" s="159"/>
      <c r="G75" s="158"/>
      <c r="H75" s="163"/>
      <c r="I75" s="14" t="s">
        <v>151</v>
      </c>
      <c r="J75" s="30">
        <f>(IF(B68&gt;1,(H68/(B68+2)+J74),0))</f>
        <v>0</v>
      </c>
    </row>
    <row r="76" spans="1:10" ht="15" customHeight="1" x14ac:dyDescent="0.35">
      <c r="A76" s="72" t="s">
        <v>138</v>
      </c>
      <c r="B76" s="73" t="s">
        <v>135</v>
      </c>
      <c r="C76" s="44">
        <v>4</v>
      </c>
      <c r="D76" s="19">
        <f ca="1">((100/(H68))*C76)/100</f>
        <v>1</v>
      </c>
      <c r="E76" s="158"/>
      <c r="F76" s="159"/>
      <c r="G76" s="158"/>
      <c r="H76" s="163"/>
      <c r="I76" s="14" t="s">
        <v>146</v>
      </c>
      <c r="J76" s="30">
        <f>(IF(B68&gt;2,(H68/(B68+2)+J75),0))</f>
        <v>0</v>
      </c>
    </row>
    <row r="77" spans="1:10" ht="15.75" customHeight="1" x14ac:dyDescent="0.35">
      <c r="A77" s="72" t="s">
        <v>134</v>
      </c>
      <c r="B77" s="73" t="s">
        <v>134</v>
      </c>
      <c r="C77" s="44">
        <v>4</v>
      </c>
      <c r="D77" s="19">
        <f ca="1">((100/H68)*C77)/100</f>
        <v>1</v>
      </c>
      <c r="E77" s="158"/>
      <c r="F77" s="159"/>
      <c r="G77" s="158"/>
      <c r="H77" s="163"/>
      <c r="I77" s="14" t="s">
        <v>147</v>
      </c>
      <c r="J77" s="31">
        <f>(IF(B68&gt;3,(H68/(B68+2)+J76),0))</f>
        <v>0</v>
      </c>
    </row>
    <row r="78" spans="1:10" ht="15.75" customHeight="1" x14ac:dyDescent="0.35">
      <c r="A78" s="72" t="s">
        <v>141</v>
      </c>
      <c r="B78" s="73"/>
      <c r="C78" s="44">
        <v>3</v>
      </c>
      <c r="D78" s="19">
        <f ca="1">((100/H68)*C78)/100</f>
        <v>0.75</v>
      </c>
      <c r="E78" s="158"/>
      <c r="F78" s="159"/>
      <c r="G78" s="158"/>
      <c r="H78" s="163"/>
      <c r="I78" s="14" t="s">
        <v>148</v>
      </c>
      <c r="J78" s="30">
        <f>(IF(B68&gt;4,(H68/(B68+2)+J77),0))</f>
        <v>0</v>
      </c>
    </row>
    <row r="79" spans="1:10" ht="15.75" customHeight="1" x14ac:dyDescent="0.35">
      <c r="A79" s="72" t="s">
        <v>136</v>
      </c>
      <c r="B79" s="73" t="s">
        <v>136</v>
      </c>
      <c r="C79" s="44">
        <v>0</v>
      </c>
      <c r="D79" s="19">
        <f ca="1">((100/(H68))*C79)/100</f>
        <v>0</v>
      </c>
      <c r="E79" s="158"/>
      <c r="F79" s="159"/>
      <c r="G79" s="158"/>
      <c r="H79" s="163"/>
      <c r="I79" s="14" t="s">
        <v>152</v>
      </c>
      <c r="J79" s="30">
        <f ca="1">(IF(B68=1,(H68/(B68+3)+J74),IF(B68=0,(H68/4+J74),IF(B68&gt;1,0))))</f>
        <v>3</v>
      </c>
    </row>
    <row r="80" spans="1:10" ht="16" thickBot="1" x14ac:dyDescent="0.4">
      <c r="A80" s="165" t="s">
        <v>137</v>
      </c>
      <c r="B80" s="166"/>
      <c r="C80" s="45">
        <v>0</v>
      </c>
      <c r="D80" s="20">
        <f ca="1">((100/(H68))*C80)/100</f>
        <v>0</v>
      </c>
      <c r="E80" s="160"/>
      <c r="F80" s="161"/>
      <c r="G80" s="160"/>
      <c r="H80" s="164"/>
      <c r="I80" s="15" t="s">
        <v>103</v>
      </c>
      <c r="J80" s="32">
        <f ca="1">(IF(B68&gt;1.5,(H68/(B68+2)+J74+MAX(0,J75-J74)+MAX(0,J76-J75)+MAX(0,J77-J76)+MAX(0,J78-J77)+MAX(0,J79-J78)),IF(B68=1,(H68/(B68+3)+J79),IF(B68=0,H68/4+J79))))</f>
        <v>4</v>
      </c>
    </row>
    <row r="81" spans="1:10" ht="15.75" hidden="1" customHeight="1" x14ac:dyDescent="0.35">
      <c r="A81" s="170" t="s">
        <v>143</v>
      </c>
      <c r="B81" s="171"/>
      <c r="C81" s="172" t="s">
        <v>223</v>
      </c>
      <c r="D81" s="173"/>
      <c r="E81" s="173"/>
      <c r="F81" s="173"/>
      <c r="G81" s="173"/>
      <c r="H81" s="174"/>
      <c r="I81" s="48" t="str">
        <f ca="1">IF(D94=100%,"All work Completed. Possession granted to the Building.",IF(D93=100%,"All work Completed, Waiting for OC",I82&amp;""&amp;I83&amp;""&amp;J82&amp;""&amp;J81&amp;" "&amp;J83))</f>
        <v xml:space="preserve">Excavation, Plinth Completed 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hidden="1" x14ac:dyDescent="0.35">
      <c r="A82" s="16" t="s">
        <v>145</v>
      </c>
      <c r="B82" s="55">
        <v>0</v>
      </c>
      <c r="C82" s="55" t="s">
        <v>74</v>
      </c>
      <c r="D82" s="55">
        <v>1</v>
      </c>
      <c r="E82" s="55" t="s">
        <v>73</v>
      </c>
      <c r="F82" s="55">
        <v>0</v>
      </c>
      <c r="G82" s="55" t="s">
        <v>83</v>
      </c>
      <c r="H82" s="17">
        <f ca="1">--TRIM(RIGHT(SUBSTITUTE(LEFT(C81,_xlfn.AGGREGATE(16,6,FIND({0,1,2,3,4,5,6,7,8,9},C81,ROW(INDIRECT("1:"&amp;LEN(C81)))),1))," ",REPT(" ",LEN(C81))),LEN(C81)))</f>
        <v>4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idden="1" x14ac:dyDescent="0.35">
      <c r="A83" s="169" t="s">
        <v>93</v>
      </c>
      <c r="B83" s="137"/>
      <c r="C83" s="175" t="str">
        <f ca="1">I81</f>
        <v xml:space="preserve">Excavation, Plinth Completed </v>
      </c>
      <c r="D83" s="175"/>
      <c r="E83" s="175"/>
      <c r="F83" s="175"/>
      <c r="G83" s="175"/>
      <c r="H83" s="176"/>
      <c r="I83" s="50" t="str">
        <f ca="1">IF(I82&lt;&gt;""," Completed","")</f>
        <v xml:space="preserve"> Completed</v>
      </c>
      <c r="J83" s="51" t="str">
        <f ca="1">IF(J81&lt;&gt;"","Completed","")</f>
        <v/>
      </c>
    </row>
    <row r="84" spans="1:10" ht="15.75" hidden="1" customHeight="1" x14ac:dyDescent="0.35">
      <c r="A84" s="72" t="s">
        <v>50</v>
      </c>
      <c r="B84" s="73"/>
      <c r="C84" s="44" t="s">
        <v>142</v>
      </c>
      <c r="D84" s="44" t="s">
        <v>86</v>
      </c>
      <c r="E84" s="73" t="s">
        <v>88</v>
      </c>
      <c r="F84" s="73"/>
      <c r="G84" s="73" t="s">
        <v>87</v>
      </c>
      <c r="H84" s="135"/>
      <c r="I84" s="14" t="s">
        <v>144</v>
      </c>
      <c r="J84" s="28">
        <f ca="1">H82*25%</f>
        <v>1</v>
      </c>
    </row>
    <row r="85" spans="1:10" hidden="1" x14ac:dyDescent="0.35">
      <c r="A85" s="72" t="s">
        <v>131</v>
      </c>
      <c r="B85" s="73"/>
      <c r="C85" s="44">
        <f ca="1">J86</f>
        <v>4</v>
      </c>
      <c r="D85" s="19">
        <f ca="1">((100/H82)*C85)/100</f>
        <v>1</v>
      </c>
      <c r="E85" s="156">
        <f ca="1">(((C86/H82*10)+(40/(D82+F82+H82)*C87)+(7.5/(H82)*C88)+(7.5/(H82)*C89)+(10/H82*C90)+(10/H82*C91)+(5/H82*C92)+(5/H82*C93)+(5/H82*C94))/100)</f>
        <v>0.1</v>
      </c>
      <c r="F85" s="157"/>
      <c r="G85" s="156">
        <f ca="1">((((C85/H82)*20)+((C86/H82)*25)+(30/(H82+F82+D82)*C87)+(5/H82*C88)+(5/H82*C89)+(5/H82*C90)+(5/H82*C91)+(0/H82*C92)+(0/H82*C93)+(5/H82*C94))/100)</f>
        <v>0.45</v>
      </c>
      <c r="H85" s="162"/>
      <c r="I85" s="14" t="s">
        <v>99</v>
      </c>
      <c r="J85" s="29">
        <f ca="1">H82*50%</f>
        <v>2</v>
      </c>
    </row>
    <row r="86" spans="1:10" hidden="1" x14ac:dyDescent="0.35">
      <c r="A86" s="72" t="s">
        <v>51</v>
      </c>
      <c r="B86" s="73"/>
      <c r="C86" s="59">
        <f ca="1">J86</f>
        <v>4</v>
      </c>
      <c r="D86" s="19">
        <f ca="1">((100/H82)*C86)/100</f>
        <v>1</v>
      </c>
      <c r="E86" s="158"/>
      <c r="F86" s="159"/>
      <c r="G86" s="158"/>
      <c r="H86" s="163"/>
      <c r="I86" s="14" t="s">
        <v>100</v>
      </c>
      <c r="J86" s="29">
        <f ca="1">H82</f>
        <v>4</v>
      </c>
    </row>
    <row r="87" spans="1:10" ht="15.75" hidden="1" customHeight="1" x14ac:dyDescent="0.35">
      <c r="A87" s="72" t="s">
        <v>132</v>
      </c>
      <c r="B87" s="73"/>
      <c r="C87" s="44">
        <v>0</v>
      </c>
      <c r="D87" s="19">
        <f ca="1">((100/(D82+F82+H82))*C87)/100</f>
        <v>0</v>
      </c>
      <c r="E87" s="158"/>
      <c r="F87" s="159"/>
      <c r="G87" s="158"/>
      <c r="H87" s="163"/>
      <c r="I87" s="14" t="s">
        <v>101</v>
      </c>
      <c r="J87" s="30">
        <f ca="1">(IF(B82&gt;1,(H82/(B82+2)),H82/4))</f>
        <v>1</v>
      </c>
    </row>
    <row r="88" spans="1:10" ht="15.75" hidden="1" customHeight="1" x14ac:dyDescent="0.35">
      <c r="A88" s="72" t="s">
        <v>139</v>
      </c>
      <c r="B88" s="73" t="s">
        <v>133</v>
      </c>
      <c r="C88" s="44">
        <v>0</v>
      </c>
      <c r="D88" s="19">
        <f ca="1">((100/H82)*C88)/100</f>
        <v>0</v>
      </c>
      <c r="E88" s="158"/>
      <c r="F88" s="159"/>
      <c r="G88" s="158"/>
      <c r="H88" s="163"/>
      <c r="I88" s="14" t="s">
        <v>102</v>
      </c>
      <c r="J88" s="30">
        <f ca="1">(IF(B82&gt;1,(H82/(B82+2)+J87),H82/4+J87))</f>
        <v>2</v>
      </c>
    </row>
    <row r="89" spans="1:10" ht="15.75" hidden="1" customHeight="1" x14ac:dyDescent="0.35">
      <c r="A89" s="72" t="s">
        <v>140</v>
      </c>
      <c r="B89" s="73" t="s">
        <v>133</v>
      </c>
      <c r="C89" s="44">
        <v>0</v>
      </c>
      <c r="D89" s="19">
        <f ca="1">((100/H82)*C89)/100</f>
        <v>0</v>
      </c>
      <c r="E89" s="158"/>
      <c r="F89" s="159"/>
      <c r="G89" s="158"/>
      <c r="H89" s="163"/>
      <c r="I89" s="14" t="s">
        <v>151</v>
      </c>
      <c r="J89" s="30">
        <f>(IF(B82&gt;1,(H82/(B82+2)+J88),0))</f>
        <v>0</v>
      </c>
    </row>
    <row r="90" spans="1:10" ht="15" hidden="1" customHeight="1" x14ac:dyDescent="0.35">
      <c r="A90" s="72" t="s">
        <v>138</v>
      </c>
      <c r="B90" s="73" t="s">
        <v>135</v>
      </c>
      <c r="C90" s="44">
        <v>0</v>
      </c>
      <c r="D90" s="19">
        <f ca="1">((100/(H82))*C90)/100</f>
        <v>0</v>
      </c>
      <c r="E90" s="158"/>
      <c r="F90" s="159"/>
      <c r="G90" s="158"/>
      <c r="H90" s="163"/>
      <c r="I90" s="14" t="s">
        <v>146</v>
      </c>
      <c r="J90" s="30">
        <f>(IF(B82&gt;2,(H82/(B82+2)+J89),0))</f>
        <v>0</v>
      </c>
    </row>
    <row r="91" spans="1:10" ht="15.75" hidden="1" customHeight="1" x14ac:dyDescent="0.35">
      <c r="A91" s="72" t="s">
        <v>134</v>
      </c>
      <c r="B91" s="73" t="s">
        <v>134</v>
      </c>
      <c r="C91" s="44">
        <v>0</v>
      </c>
      <c r="D91" s="19">
        <f ca="1">((100/H82)*C91)/100</f>
        <v>0</v>
      </c>
      <c r="E91" s="158"/>
      <c r="F91" s="159"/>
      <c r="G91" s="158"/>
      <c r="H91" s="163"/>
      <c r="I91" s="14" t="s">
        <v>147</v>
      </c>
      <c r="J91" s="31">
        <f>(IF(B82&gt;3,(H82/(B82+2)+J90),0))</f>
        <v>0</v>
      </c>
    </row>
    <row r="92" spans="1:10" ht="15.75" hidden="1" customHeight="1" x14ac:dyDescent="0.35">
      <c r="A92" s="72" t="s">
        <v>141</v>
      </c>
      <c r="B92" s="73"/>
      <c r="C92" s="44">
        <v>0</v>
      </c>
      <c r="D92" s="19">
        <f ca="1">((100/H82)*C92)/100</f>
        <v>0</v>
      </c>
      <c r="E92" s="158"/>
      <c r="F92" s="159"/>
      <c r="G92" s="158"/>
      <c r="H92" s="163"/>
      <c r="I92" s="14" t="s">
        <v>148</v>
      </c>
      <c r="J92" s="30">
        <f>(IF(B82&gt;4,(H82/(B82+2)+J91),0))</f>
        <v>0</v>
      </c>
    </row>
    <row r="93" spans="1:10" ht="15.75" hidden="1" customHeight="1" x14ac:dyDescent="0.35">
      <c r="A93" s="72" t="s">
        <v>136</v>
      </c>
      <c r="B93" s="73" t="s">
        <v>136</v>
      </c>
      <c r="C93" s="44">
        <v>0</v>
      </c>
      <c r="D93" s="19">
        <f ca="1">((100/(H82))*C93)/100</f>
        <v>0</v>
      </c>
      <c r="E93" s="158"/>
      <c r="F93" s="159"/>
      <c r="G93" s="158"/>
      <c r="H93" s="163"/>
      <c r="I93" s="14" t="s">
        <v>152</v>
      </c>
      <c r="J93" s="30">
        <f ca="1">(IF(B82=1,(H82/(B82+3)+J88),IF(B82=0,(H82/4+J88),IF(B82&gt;1,0))))</f>
        <v>3</v>
      </c>
    </row>
    <row r="94" spans="1:10" ht="16" hidden="1" thickBot="1" x14ac:dyDescent="0.4">
      <c r="A94" s="194" t="s">
        <v>137</v>
      </c>
      <c r="B94" s="195"/>
      <c r="C94" s="60">
        <v>0</v>
      </c>
      <c r="D94" s="61">
        <f ca="1">((100/(H82))*C94)/100</f>
        <v>0</v>
      </c>
      <c r="E94" s="158"/>
      <c r="F94" s="159"/>
      <c r="G94" s="158"/>
      <c r="H94" s="163"/>
      <c r="I94" s="15" t="s">
        <v>103</v>
      </c>
      <c r="J94" s="32">
        <f ca="1">(IF(B82&gt;1.5,(H82/(B82+2)+J88+MAX(0,J89-J88)+MAX(0,J90-J89)+MAX(0,J91-J90)+MAX(0,J92-J91)+MAX(0,J93-J92)),IF(B82=1,(H82/(B82+3)+J93),IF(B82=0,H82/4+J93))))</f>
        <v>4</v>
      </c>
    </row>
    <row r="95" spans="1:10" ht="33.75" hidden="1" customHeight="1" thickBot="1" x14ac:dyDescent="0.4">
      <c r="A95" s="196" t="s">
        <v>220</v>
      </c>
      <c r="B95" s="197"/>
      <c r="C95" s="200">
        <f ca="1">AVERAGE(E71,E85)</f>
        <v>0.49374999999999997</v>
      </c>
      <c r="D95" s="200"/>
      <c r="E95" s="196" t="s">
        <v>221</v>
      </c>
      <c r="F95" s="197"/>
      <c r="G95" s="198">
        <f ca="1">AVERAGE(G71,G85)</f>
        <v>0.7</v>
      </c>
      <c r="H95" s="199"/>
      <c r="I95" s="15" t="s">
        <v>103</v>
      </c>
      <c r="J95" s="32">
        <f ca="1">(IF(B83&gt;1.5,(H83/(B83+2)+J89+MAX(0,J90-J89)+MAX(0,J91-J90)+MAX(0,J92-J91)+MAX(0,J93-J92)+MAX(0,J94-J93)),IF(B83=1,(H83/(B83+3)+J94),IF(B83=0,H83/4+J94))))</f>
        <v>4</v>
      </c>
    </row>
    <row r="96" spans="1:10" ht="15.75" customHeight="1" x14ac:dyDescent="0.35">
      <c r="A96" s="113" t="s">
        <v>143</v>
      </c>
      <c r="B96" s="114"/>
      <c r="C96" s="115" t="str">
        <f>D59</f>
        <v>(Building No. 12) Wing A, B, C &amp; D = G + 1st to 4th Floor</v>
      </c>
      <c r="D96" s="116"/>
      <c r="E96" s="116"/>
      <c r="F96" s="116"/>
      <c r="G96" s="116"/>
      <c r="H96" s="117"/>
      <c r="I96" s="48" t="str">
        <f ca="1">IF(D109=100%,"All work Completed. Possession granted to the Building.",IF(D108=100%,"All work Completed, Waiting for OC",I97&amp;""&amp;I98&amp;""&amp;J97&amp;""&amp;J96&amp;" "&amp;J98))</f>
        <v>Excavation, Plinth, RCC Slab, Brickwork, Internal Plaster, External Plaster, Flooring Completed, Painting upto 3 Floor Completed</v>
      </c>
      <c r="J96" s="49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Painting upto 3 Floor</v>
      </c>
    </row>
    <row r="97" spans="1:10" x14ac:dyDescent="0.35">
      <c r="A97" s="16" t="s">
        <v>145</v>
      </c>
      <c r="B97" s="55">
        <v>0</v>
      </c>
      <c r="C97" s="55" t="s">
        <v>74</v>
      </c>
      <c r="D97" s="55">
        <v>1</v>
      </c>
      <c r="E97" s="55" t="s">
        <v>73</v>
      </c>
      <c r="F97" s="55">
        <v>0</v>
      </c>
      <c r="G97" s="55" t="s">
        <v>83</v>
      </c>
      <c r="H97" s="17">
        <f ca="1">--TRIM(RIGHT(SUBSTITUTE(LEFT(C96,_xlfn.AGGREGATE(16,6,FIND({0,1,2,3,4,5,6,7,8,9},C96,ROW(INDIRECT("1:"&amp;LEN(C96)))),1))," ",REPT(" ",LEN(C96))),LEN(C96)))</f>
        <v>4</v>
      </c>
      <c r="I97" s="50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Brickwork, Internal Plaster, External Plaster, Flooring</v>
      </c>
      <c r="J97" s="51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1" customHeight="1" x14ac:dyDescent="0.35">
      <c r="A98" s="169" t="s">
        <v>93</v>
      </c>
      <c r="B98" s="137"/>
      <c r="C98" s="175" t="str">
        <f ca="1">(IF($G$53="NA",I96,"All work Completed. OC Received."))</f>
        <v>Excavation, Plinth, RCC Slab, Brickwork, Internal Plaster, External Plaster, Flooring Completed, Painting upto 3 Floor Completed</v>
      </c>
      <c r="D98" s="175"/>
      <c r="E98" s="175"/>
      <c r="F98" s="175"/>
      <c r="G98" s="175"/>
      <c r="H98" s="176"/>
      <c r="I98" s="50" t="str">
        <f ca="1">IF(I97&lt;&gt;""," Completed","")</f>
        <v xml:space="preserve"> Completed</v>
      </c>
      <c r="J98" s="51" t="str">
        <f ca="1">IF(J96&lt;&gt;"","Completed","")</f>
        <v>Completed</v>
      </c>
    </row>
    <row r="99" spans="1:10" ht="15.75" customHeight="1" x14ac:dyDescent="0.35">
      <c r="A99" s="72" t="s">
        <v>50</v>
      </c>
      <c r="B99" s="73"/>
      <c r="C99" s="44" t="s">
        <v>142</v>
      </c>
      <c r="D99" s="44" t="s">
        <v>86</v>
      </c>
      <c r="E99" s="73" t="s">
        <v>88</v>
      </c>
      <c r="F99" s="73"/>
      <c r="G99" s="73" t="s">
        <v>87</v>
      </c>
      <c r="H99" s="135"/>
      <c r="I99" s="14" t="s">
        <v>144</v>
      </c>
      <c r="J99" s="28">
        <f ca="1">H97*25%</f>
        <v>1</v>
      </c>
    </row>
    <row r="100" spans="1:10" x14ac:dyDescent="0.35">
      <c r="A100" s="72" t="s">
        <v>131</v>
      </c>
      <c r="B100" s="73"/>
      <c r="C100" s="44">
        <v>4</v>
      </c>
      <c r="D100" s="19">
        <f ca="1">((100/H97)*C100)/100</f>
        <v>1</v>
      </c>
      <c r="E100" s="156">
        <f ca="1">(((C101/H97*10)+(40/(D97+F97+H97)*C102)+(7.5/(H97)*C103)+(7.5/(H97)*C104)+(10/H97*C105)+(10/H97*C106)+(5/H97*C107)+(5/H97*C108)+(5/H97*C109))/100)</f>
        <v>0.88749999999999996</v>
      </c>
      <c r="F100" s="157"/>
      <c r="G100" s="156">
        <f ca="1">((((C100/H97)*20)+((C101/H97)*25)+(30/(H97+F97+D97)*C102)+(5/H97*C103)+(5/H97*C104)+(5/H97*C105)+(5/H97*C106)+(0/H97*C107)+(0/H97*C108)+(5/H97*C109))/100)</f>
        <v>0.95</v>
      </c>
      <c r="H100" s="162"/>
      <c r="I100" s="14" t="s">
        <v>99</v>
      </c>
      <c r="J100" s="29">
        <f ca="1">H97*50%</f>
        <v>2</v>
      </c>
    </row>
    <row r="101" spans="1:10" x14ac:dyDescent="0.35">
      <c r="A101" s="72" t="s">
        <v>51</v>
      </c>
      <c r="B101" s="73"/>
      <c r="C101" s="59">
        <f ca="1">J109</f>
        <v>4</v>
      </c>
      <c r="D101" s="19">
        <f ca="1">((100/H97)*C101)/100</f>
        <v>1</v>
      </c>
      <c r="E101" s="158"/>
      <c r="F101" s="159"/>
      <c r="G101" s="158"/>
      <c r="H101" s="163"/>
      <c r="I101" s="14" t="s">
        <v>100</v>
      </c>
      <c r="J101" s="29">
        <f ca="1">H97</f>
        <v>4</v>
      </c>
    </row>
    <row r="102" spans="1:10" ht="15.75" customHeight="1" x14ac:dyDescent="0.35">
      <c r="A102" s="72" t="s">
        <v>132</v>
      </c>
      <c r="B102" s="73"/>
      <c r="C102" s="44">
        <v>5</v>
      </c>
      <c r="D102" s="19">
        <f ca="1">((100/(D97+F97+H97))*C102)/100</f>
        <v>1</v>
      </c>
      <c r="E102" s="158"/>
      <c r="F102" s="159"/>
      <c r="G102" s="158"/>
      <c r="H102" s="163"/>
      <c r="I102" s="14" t="s">
        <v>101</v>
      </c>
      <c r="J102" s="30">
        <f ca="1">(IF(B97&gt;1,(H97/(B97+2)),H97/4))</f>
        <v>1</v>
      </c>
    </row>
    <row r="103" spans="1:10" ht="15.75" customHeight="1" x14ac:dyDescent="0.35">
      <c r="A103" s="72" t="s">
        <v>139</v>
      </c>
      <c r="B103" s="73" t="s">
        <v>133</v>
      </c>
      <c r="C103" s="44">
        <v>4</v>
      </c>
      <c r="D103" s="19">
        <f ca="1">((100/H97)*C103)/100</f>
        <v>1</v>
      </c>
      <c r="E103" s="158"/>
      <c r="F103" s="159"/>
      <c r="G103" s="158"/>
      <c r="H103" s="163"/>
      <c r="I103" s="14" t="s">
        <v>102</v>
      </c>
      <c r="J103" s="30">
        <f ca="1">(IF(B97&gt;1,(H97/(B97+2)+J102),H97/4+J102))</f>
        <v>2</v>
      </c>
    </row>
    <row r="104" spans="1:10" ht="15.75" customHeight="1" x14ac:dyDescent="0.35">
      <c r="A104" s="72" t="s">
        <v>140</v>
      </c>
      <c r="B104" s="73" t="s">
        <v>133</v>
      </c>
      <c r="C104" s="44">
        <v>4</v>
      </c>
      <c r="D104" s="19">
        <f ca="1">((100/H97)*C104)/100</f>
        <v>1</v>
      </c>
      <c r="E104" s="158"/>
      <c r="F104" s="159"/>
      <c r="G104" s="158"/>
      <c r="H104" s="163"/>
      <c r="I104" s="14" t="s">
        <v>151</v>
      </c>
      <c r="J104" s="30">
        <f>(IF(B97&gt;1,(H97/(B97+2)+J103),0))</f>
        <v>0</v>
      </c>
    </row>
    <row r="105" spans="1:10" ht="15" customHeight="1" x14ac:dyDescent="0.35">
      <c r="A105" s="72" t="s">
        <v>138</v>
      </c>
      <c r="B105" s="73" t="s">
        <v>135</v>
      </c>
      <c r="C105" s="44">
        <v>4</v>
      </c>
      <c r="D105" s="19">
        <f ca="1">((100/(H97))*C105)/100</f>
        <v>1</v>
      </c>
      <c r="E105" s="158"/>
      <c r="F105" s="159"/>
      <c r="G105" s="158"/>
      <c r="H105" s="163"/>
      <c r="I105" s="14" t="s">
        <v>146</v>
      </c>
      <c r="J105" s="30">
        <f>(IF(B97&gt;2,(H97/(B97+2)+J104),0))</f>
        <v>0</v>
      </c>
    </row>
    <row r="106" spans="1:10" ht="15.75" customHeight="1" x14ac:dyDescent="0.35">
      <c r="A106" s="72" t="s">
        <v>134</v>
      </c>
      <c r="B106" s="73" t="s">
        <v>134</v>
      </c>
      <c r="C106" s="44">
        <v>4</v>
      </c>
      <c r="D106" s="19">
        <f ca="1">((100/H97)*C106)/100</f>
        <v>1</v>
      </c>
      <c r="E106" s="158"/>
      <c r="F106" s="159"/>
      <c r="G106" s="158"/>
      <c r="H106" s="163"/>
      <c r="I106" s="14" t="s">
        <v>147</v>
      </c>
      <c r="J106" s="31">
        <f>(IF(B97&gt;3,(H97/(B97+2)+J105),0))</f>
        <v>0</v>
      </c>
    </row>
    <row r="107" spans="1:10" ht="15.75" customHeight="1" x14ac:dyDescent="0.35">
      <c r="A107" s="72" t="s">
        <v>141</v>
      </c>
      <c r="B107" s="73"/>
      <c r="C107" s="44">
        <v>3</v>
      </c>
      <c r="D107" s="19">
        <f ca="1">((100/H97)*C107)/100</f>
        <v>0.75</v>
      </c>
      <c r="E107" s="158"/>
      <c r="F107" s="159"/>
      <c r="G107" s="158"/>
      <c r="H107" s="163"/>
      <c r="I107" s="14" t="s">
        <v>148</v>
      </c>
      <c r="J107" s="30">
        <f>(IF(B97&gt;4,(H97/(B97+2)+J106),0))</f>
        <v>0</v>
      </c>
    </row>
    <row r="108" spans="1:10" ht="15.75" customHeight="1" x14ac:dyDescent="0.35">
      <c r="A108" s="72" t="s">
        <v>136</v>
      </c>
      <c r="B108" s="73" t="s">
        <v>136</v>
      </c>
      <c r="C108" s="44">
        <v>0</v>
      </c>
      <c r="D108" s="19">
        <f ca="1">((100/(H97))*C108)/100</f>
        <v>0</v>
      </c>
      <c r="E108" s="158"/>
      <c r="F108" s="159"/>
      <c r="G108" s="158"/>
      <c r="H108" s="163"/>
      <c r="I108" s="14" t="s">
        <v>152</v>
      </c>
      <c r="J108" s="30">
        <f ca="1">(IF(B97=1,(H97/(B97+3)+J103),IF(B97=0,(H97/4+J103),IF(B97&gt;1,0))))</f>
        <v>3</v>
      </c>
    </row>
    <row r="109" spans="1:10" ht="16" thickBot="1" x14ac:dyDescent="0.4">
      <c r="A109" s="165" t="s">
        <v>137</v>
      </c>
      <c r="B109" s="166"/>
      <c r="C109" s="45">
        <v>0</v>
      </c>
      <c r="D109" s="20">
        <f ca="1">((100/(H97))*C109)/100</f>
        <v>0</v>
      </c>
      <c r="E109" s="160"/>
      <c r="F109" s="161"/>
      <c r="G109" s="160"/>
      <c r="H109" s="164"/>
      <c r="I109" s="15" t="s">
        <v>103</v>
      </c>
      <c r="J109" s="32">
        <f ca="1">(IF(B97&gt;1.5,(H97/(B97+2)+J103+MAX(0,J104-J103)+MAX(0,J105-J104)+MAX(0,J106-J105)+MAX(0,J107-J106)+MAX(0,J108-J107)),IF(B97=1,(H97/(B97+3)+J108),IF(B97=0,H97/4+J108))))</f>
        <v>4</v>
      </c>
    </row>
    <row r="110" spans="1:10" x14ac:dyDescent="0.35">
      <c r="A110" s="185" t="s">
        <v>163</v>
      </c>
      <c r="B110" s="185"/>
      <c r="C110" s="185"/>
      <c r="D110" s="185"/>
      <c r="E110" s="185"/>
      <c r="F110" s="182" t="s">
        <v>166</v>
      </c>
      <c r="G110" s="182"/>
      <c r="H110" s="182"/>
    </row>
    <row r="111" spans="1:10" x14ac:dyDescent="0.35">
      <c r="A111" s="80" t="s">
        <v>165</v>
      </c>
      <c r="B111" s="80"/>
      <c r="C111" s="80"/>
      <c r="D111" s="80"/>
      <c r="E111" s="80"/>
      <c r="F111" s="118">
        <v>5000</v>
      </c>
      <c r="G111" s="118"/>
      <c r="H111" s="118"/>
    </row>
    <row r="112" spans="1:10" x14ac:dyDescent="0.35">
      <c r="A112" s="80" t="s">
        <v>164</v>
      </c>
      <c r="B112" s="80"/>
      <c r="C112" s="80"/>
      <c r="D112" s="80"/>
      <c r="E112" s="80"/>
      <c r="F112" s="183">
        <v>9000</v>
      </c>
      <c r="G112" s="183"/>
      <c r="H112" s="183"/>
    </row>
    <row r="113" spans="1:8" s="33" customFormat="1" x14ac:dyDescent="0.3">
      <c r="A113" s="80" t="s">
        <v>211</v>
      </c>
      <c r="B113" s="80"/>
      <c r="C113" s="80"/>
      <c r="D113" s="80"/>
      <c r="E113" s="80"/>
      <c r="F113" s="183">
        <v>400000</v>
      </c>
      <c r="G113" s="183"/>
      <c r="H113" s="183"/>
    </row>
    <row r="114" spans="1:8" s="33" customFormat="1" x14ac:dyDescent="0.3">
      <c r="A114" s="80" t="s">
        <v>98</v>
      </c>
      <c r="B114" s="80"/>
      <c r="C114" s="80"/>
      <c r="D114" s="80"/>
      <c r="E114" s="80"/>
      <c r="F114" s="183">
        <v>25600</v>
      </c>
      <c r="G114" s="183"/>
      <c r="H114" s="183"/>
    </row>
    <row r="115" spans="1:8" s="33" customFormat="1" x14ac:dyDescent="0.3">
      <c r="A115" s="80" t="s">
        <v>215</v>
      </c>
      <c r="B115" s="80"/>
      <c r="C115" s="80"/>
      <c r="D115" s="80"/>
      <c r="E115" s="80"/>
      <c r="F115" s="183">
        <v>100000</v>
      </c>
      <c r="G115" s="183"/>
      <c r="H115" s="183"/>
    </row>
    <row r="116" spans="1:8" s="33" customFormat="1" x14ac:dyDescent="0.3">
      <c r="A116" s="80" t="s">
        <v>216</v>
      </c>
      <c r="B116" s="80"/>
      <c r="C116" s="80"/>
      <c r="D116" s="80"/>
      <c r="E116" s="80"/>
      <c r="F116" s="183">
        <v>30000</v>
      </c>
      <c r="G116" s="183"/>
      <c r="H116" s="183"/>
    </row>
    <row r="117" spans="1:8" x14ac:dyDescent="0.35">
      <c r="A117" s="80" t="s">
        <v>52</v>
      </c>
      <c r="B117" s="80"/>
      <c r="C117" s="80"/>
      <c r="D117" s="80"/>
      <c r="E117" s="80"/>
      <c r="F117" s="183">
        <v>150000</v>
      </c>
      <c r="G117" s="183"/>
      <c r="H117" s="183"/>
    </row>
    <row r="118" spans="1:8" s="34" customFormat="1" x14ac:dyDescent="0.35">
      <c r="A118" s="145" t="s">
        <v>53</v>
      </c>
      <c r="B118" s="145"/>
      <c r="C118" s="145"/>
      <c r="D118" s="145"/>
      <c r="E118" s="145"/>
      <c r="F118" s="183">
        <f>F111*0.8</f>
        <v>4000</v>
      </c>
      <c r="G118" s="183"/>
      <c r="H118" s="183"/>
    </row>
    <row r="119" spans="1:8" s="35" customFormat="1" ht="15.75" customHeight="1" x14ac:dyDescent="0.35">
      <c r="A119" s="132" t="s">
        <v>78</v>
      </c>
      <c r="B119" s="132"/>
      <c r="C119" s="132"/>
      <c r="D119" s="132"/>
      <c r="E119" s="132"/>
      <c r="F119" s="132"/>
      <c r="G119" s="132"/>
      <c r="H119" s="132"/>
    </row>
    <row r="120" spans="1:8" s="35" customFormat="1" ht="15.75" customHeight="1" x14ac:dyDescent="0.35">
      <c r="A120" s="110" t="s">
        <v>54</v>
      </c>
      <c r="B120" s="110"/>
      <c r="C120" s="127" t="s">
        <v>81</v>
      </c>
      <c r="D120" s="127"/>
      <c r="E120" s="133" t="s">
        <v>55</v>
      </c>
      <c r="F120" s="133"/>
      <c r="G120" s="110" t="s">
        <v>56</v>
      </c>
      <c r="H120" s="110"/>
    </row>
    <row r="121" spans="1:8" s="35" customFormat="1" ht="33.75" customHeight="1" x14ac:dyDescent="0.35">
      <c r="A121" s="131" t="s">
        <v>207</v>
      </c>
      <c r="B121" s="131"/>
      <c r="C121" s="123">
        <f>COUNT(D142:D149)</f>
        <v>8</v>
      </c>
      <c r="D121" s="124"/>
      <c r="E121" s="119">
        <f>SUM(D142:D149)</f>
        <v>785.23379999999997</v>
      </c>
      <c r="F121" s="120"/>
      <c r="G121" s="119">
        <f>SUM(F142:F149)</f>
        <v>1177.8507</v>
      </c>
      <c r="H121" s="120"/>
    </row>
    <row r="122" spans="1:8" s="35" customFormat="1" ht="33.75" customHeight="1" x14ac:dyDescent="0.35">
      <c r="A122" s="131" t="s">
        <v>208</v>
      </c>
      <c r="B122" s="131"/>
      <c r="C122" s="123">
        <f>COUNT(D153:D173)</f>
        <v>21</v>
      </c>
      <c r="D122" s="124"/>
      <c r="E122" s="119">
        <f t="shared" ref="E122" si="0">SUM(D153:D173)</f>
        <v>1932.7838399999996</v>
      </c>
      <c r="F122" s="120"/>
      <c r="G122" s="119">
        <f>SUM(F153:F173)</f>
        <v>2899.1757599999996</v>
      </c>
      <c r="H122" s="120"/>
    </row>
    <row r="123" spans="1:8" s="35" customFormat="1" x14ac:dyDescent="0.35">
      <c r="A123" s="132" t="s">
        <v>156</v>
      </c>
      <c r="B123" s="132"/>
      <c r="C123" s="186">
        <f>SUM(C121:D122)</f>
        <v>29</v>
      </c>
      <c r="D123" s="127"/>
      <c r="E123" s="186">
        <f t="shared" ref="E123" si="1">SUM(E121:F122)</f>
        <v>2718.0176399999996</v>
      </c>
      <c r="F123" s="127"/>
      <c r="G123" s="186">
        <f t="shared" ref="G123" si="2">SUM(G121:H122)</f>
        <v>4077.0264599999996</v>
      </c>
      <c r="H123" s="127"/>
    </row>
    <row r="124" spans="1:8" s="35" customFormat="1" x14ac:dyDescent="0.35">
      <c r="A124" s="132" t="s">
        <v>72</v>
      </c>
      <c r="B124" s="132"/>
      <c r="C124" s="132"/>
      <c r="D124" s="132"/>
      <c r="E124" s="132"/>
      <c r="F124" s="132"/>
      <c r="G124" s="132"/>
      <c r="H124" s="132"/>
    </row>
    <row r="125" spans="1:8" s="35" customFormat="1" ht="15.75" customHeight="1" x14ac:dyDescent="0.35">
      <c r="A125" s="110" t="s">
        <v>54</v>
      </c>
      <c r="B125" s="110"/>
      <c r="C125" s="127" t="s">
        <v>81</v>
      </c>
      <c r="D125" s="127"/>
      <c r="E125" s="133" t="s">
        <v>55</v>
      </c>
      <c r="F125" s="133"/>
      <c r="G125" s="110" t="s">
        <v>56</v>
      </c>
      <c r="H125" s="110"/>
    </row>
    <row r="126" spans="1:8" s="35" customFormat="1" x14ac:dyDescent="0.35">
      <c r="A126" s="131" t="s">
        <v>205</v>
      </c>
      <c r="B126" s="63" t="s">
        <v>196</v>
      </c>
      <c r="C126" s="124">
        <f>COUNT(D179:D184)*2+COUNT(D186:D191)*2</f>
        <v>24</v>
      </c>
      <c r="D126" s="124"/>
      <c r="E126" s="177">
        <f t="shared" ref="E126" si="3">SUM(D179:D184)*2+SUM(D186:D191)*2</f>
        <v>8411.6354399999982</v>
      </c>
      <c r="F126" s="177"/>
      <c r="G126" s="177">
        <f>SUM(F179:F184)*2+SUM(F186:F191)*2</f>
        <v>14060</v>
      </c>
      <c r="H126" s="177"/>
    </row>
    <row r="127" spans="1:8" s="35" customFormat="1" x14ac:dyDescent="0.35">
      <c r="A127" s="131"/>
      <c r="B127" s="63" t="s">
        <v>197</v>
      </c>
      <c r="C127" s="124">
        <f>COUNT(D194:D199)*2+COUNT(D201:D206)*2</f>
        <v>24</v>
      </c>
      <c r="D127" s="124"/>
      <c r="E127" s="177">
        <f t="shared" ref="E127" si="4">SUM(D194:D199)*2+SUM(D201:D206)*2</f>
        <v>6899.9392799999987</v>
      </c>
      <c r="F127" s="177"/>
      <c r="G127" s="177">
        <f>SUM(F194:F199)*2+SUM(F201:F206)*2</f>
        <v>11470</v>
      </c>
      <c r="H127" s="177"/>
    </row>
    <row r="128" spans="1:8" s="35" customFormat="1" x14ac:dyDescent="0.35">
      <c r="A128" s="131"/>
      <c r="B128" s="63" t="s">
        <v>198</v>
      </c>
      <c r="C128" s="124">
        <f>COUNT(D209:D214)*2+COUNT(D216:D221)*2</f>
        <v>24</v>
      </c>
      <c r="D128" s="124"/>
      <c r="E128" s="177">
        <f t="shared" ref="E128" si="5">SUM(D209:D214)*2+SUM(D216:D221)*2</f>
        <v>9200.6366399999988</v>
      </c>
      <c r="F128" s="177"/>
      <c r="G128" s="177">
        <f>SUM(F209:F214)*2+SUM(F216:F221)*2</f>
        <v>15350</v>
      </c>
      <c r="H128" s="177"/>
    </row>
    <row r="129" spans="1:14" s="35" customFormat="1" x14ac:dyDescent="0.35">
      <c r="A129" s="131"/>
      <c r="B129" s="63" t="s">
        <v>199</v>
      </c>
      <c r="C129" s="124">
        <f>COUNT(D224:D230)*2+COUNT(D232:D238)*2</f>
        <v>28</v>
      </c>
      <c r="D129" s="124"/>
      <c r="E129" s="177">
        <f t="shared" ref="E129" si="6">SUM(D224:D230)*2+SUM(D232:D238)*2</f>
        <v>11068.621200000001</v>
      </c>
      <c r="F129" s="177"/>
      <c r="G129" s="177">
        <f>SUM(F224:F230)*2+SUM(F232:F238)*2</f>
        <v>18380</v>
      </c>
      <c r="H129" s="177"/>
    </row>
    <row r="130" spans="1:14" s="35" customFormat="1" x14ac:dyDescent="0.35">
      <c r="A130" s="201" t="s">
        <v>206</v>
      </c>
      <c r="B130" s="47" t="s">
        <v>196</v>
      </c>
      <c r="C130" s="124">
        <f>COUNT(D242:D247)*2+COUNT(D249:D254)*2</f>
        <v>24</v>
      </c>
      <c r="D130" s="124"/>
      <c r="E130" s="177">
        <f t="shared" ref="E130" si="7">SUM(D242:D247)*2+SUM(D249:D254)*2</f>
        <v>11062.765584000001</v>
      </c>
      <c r="F130" s="177"/>
      <c r="G130" s="177">
        <f>SUM(F242:F247)*2+SUM(F249:F254)*2</f>
        <v>18128</v>
      </c>
      <c r="H130" s="177"/>
    </row>
    <row r="131" spans="1:14" s="35" customFormat="1" x14ac:dyDescent="0.35">
      <c r="A131" s="202"/>
      <c r="B131" s="47" t="s">
        <v>197</v>
      </c>
      <c r="C131" s="124">
        <f>COUNT(D257:D262)*2+COUNT(D264:D269)*2</f>
        <v>24</v>
      </c>
      <c r="D131" s="124"/>
      <c r="E131" s="177">
        <f>SUM(D257:D262)*2+SUM(D264:D269)*2</f>
        <v>11808.107999999998</v>
      </c>
      <c r="F131" s="177"/>
      <c r="G131" s="177">
        <f>SUM(F257:F262)*2+SUM(F264:F269)*2</f>
        <v>19478</v>
      </c>
      <c r="H131" s="177"/>
    </row>
    <row r="132" spans="1:14" s="35" customFormat="1" x14ac:dyDescent="0.35">
      <c r="A132" s="202"/>
      <c r="B132" s="47" t="s">
        <v>198</v>
      </c>
      <c r="C132" s="124">
        <f>COUNT(D272:D275)*2+COUNT(D277:D280)*2</f>
        <v>16</v>
      </c>
      <c r="D132" s="124"/>
      <c r="E132" s="177">
        <f t="shared" ref="E132" si="8">SUM(D272:D275)*2+SUM(D277:D280)*2</f>
        <v>6873.6751199999999</v>
      </c>
      <c r="F132" s="177"/>
      <c r="G132" s="177">
        <f>SUM(F272:F275)*2+SUM(F277:F280)*2</f>
        <v>11360</v>
      </c>
      <c r="H132" s="177"/>
    </row>
    <row r="133" spans="1:14" s="35" customFormat="1" x14ac:dyDescent="0.35">
      <c r="A133" s="203"/>
      <c r="B133" s="47" t="s">
        <v>199</v>
      </c>
      <c r="C133" s="124">
        <f>COUNT(D283:D288)*2+COUNT(D290:D295)*2</f>
        <v>24</v>
      </c>
      <c r="D133" s="124"/>
      <c r="E133" s="177">
        <f>SUM(D283:D288)*2+SUM(D290:D295)*2</f>
        <v>12720.464639999998</v>
      </c>
      <c r="F133" s="177"/>
      <c r="G133" s="177">
        <f>SUM(F283:F288)*2+SUM(F290:F295)*2</f>
        <v>21428</v>
      </c>
      <c r="H133" s="177"/>
    </row>
    <row r="134" spans="1:14" s="35" customFormat="1" x14ac:dyDescent="0.35">
      <c r="A134" s="192" t="s">
        <v>156</v>
      </c>
      <c r="B134" s="193"/>
      <c r="C134" s="127">
        <f>SUM(C126:D133)</f>
        <v>188</v>
      </c>
      <c r="D134" s="127"/>
      <c r="E134" s="186">
        <f t="shared" ref="E134" si="9">SUM(E126:F133)</f>
        <v>78045.845903999987</v>
      </c>
      <c r="F134" s="186"/>
      <c r="G134" s="186">
        <f t="shared" ref="G134" si="10">SUM(G126:H133)</f>
        <v>129654</v>
      </c>
      <c r="H134" s="186"/>
    </row>
    <row r="135" spans="1:14" s="34" customFormat="1" x14ac:dyDescent="0.35">
      <c r="A135" s="122" t="s">
        <v>57</v>
      </c>
      <c r="B135" s="122"/>
      <c r="C135" s="122"/>
      <c r="D135" s="122"/>
      <c r="E135" s="122"/>
      <c r="F135" s="122"/>
      <c r="G135" s="122"/>
      <c r="H135" s="122"/>
    </row>
    <row r="136" spans="1:14" x14ac:dyDescent="0.35">
      <c r="A136" s="122" t="s">
        <v>58</v>
      </c>
      <c r="B136" s="122"/>
      <c r="C136" s="122"/>
      <c r="D136" s="122"/>
      <c r="E136" s="122"/>
      <c r="F136" s="122"/>
      <c r="G136" s="122"/>
      <c r="H136" s="122"/>
      <c r="K136" s="56">
        <f>10.764</f>
        <v>10.763999999999999</v>
      </c>
    </row>
    <row r="137" spans="1:14" ht="47.25" customHeight="1" x14ac:dyDescent="0.35">
      <c r="A137" s="125" t="s">
        <v>122</v>
      </c>
      <c r="B137" s="125" t="s">
        <v>121</v>
      </c>
      <c r="C137" s="125" t="s">
        <v>59</v>
      </c>
      <c r="D137" s="125" t="s">
        <v>60</v>
      </c>
      <c r="E137" s="178" t="s">
        <v>162</v>
      </c>
      <c r="F137" s="43" t="s">
        <v>154</v>
      </c>
      <c r="G137" s="111" t="s">
        <v>62</v>
      </c>
      <c r="H137" s="112"/>
    </row>
    <row r="138" spans="1:14" s="37" customFormat="1" x14ac:dyDescent="0.35">
      <c r="A138" s="126"/>
      <c r="B138" s="126"/>
      <c r="C138" s="126"/>
      <c r="D138" s="126"/>
      <c r="E138" s="179"/>
      <c r="F138" s="13">
        <v>0.5</v>
      </c>
      <c r="G138" s="180"/>
      <c r="H138" s="181"/>
    </row>
    <row r="139" spans="1:14" s="37" customFormat="1" x14ac:dyDescent="0.35">
      <c r="A139" s="74" t="s">
        <v>190</v>
      </c>
      <c r="B139" s="75"/>
      <c r="C139" s="75"/>
      <c r="D139" s="75"/>
      <c r="E139" s="75"/>
      <c r="F139" s="75"/>
      <c r="G139" s="75"/>
      <c r="H139" s="76"/>
      <c r="J139" s="36"/>
    </row>
    <row r="140" spans="1:14" s="37" customFormat="1" x14ac:dyDescent="0.35">
      <c r="A140" s="74" t="s">
        <v>214</v>
      </c>
      <c r="B140" s="75"/>
      <c r="C140" s="75"/>
      <c r="D140" s="75"/>
      <c r="E140" s="75"/>
      <c r="F140" s="75"/>
      <c r="G140" s="75"/>
      <c r="H140" s="76"/>
      <c r="J140" s="36"/>
    </row>
    <row r="141" spans="1:14" s="37" customFormat="1" x14ac:dyDescent="0.35">
      <c r="A141" s="74" t="s">
        <v>191</v>
      </c>
      <c r="B141" s="75"/>
      <c r="C141" s="75"/>
      <c r="D141" s="75"/>
      <c r="E141" s="75"/>
      <c r="F141" s="75"/>
      <c r="G141" s="75"/>
      <c r="H141" s="76"/>
      <c r="J141" s="36"/>
    </row>
    <row r="142" spans="1:14" s="37" customFormat="1" ht="15.75" customHeight="1" x14ac:dyDescent="0.35">
      <c r="A142" s="77">
        <v>1</v>
      </c>
      <c r="B142" s="78"/>
      <c r="C142" s="42" t="s">
        <v>192</v>
      </c>
      <c r="D142" s="56">
        <f>(9.01)*(10.764)</f>
        <v>96.983639999999994</v>
      </c>
      <c r="E142" s="42">
        <v>0</v>
      </c>
      <c r="F142" s="42">
        <f>(D142+E142)*(($F$138)+1)</f>
        <v>145.47546</v>
      </c>
      <c r="G142" s="85" t="str">
        <f>A141</f>
        <v>Ground Floor For Commercial &amp; Part Parking</v>
      </c>
      <c r="H142" s="86"/>
      <c r="I142" s="36"/>
      <c r="L142" s="107"/>
      <c r="M142" s="107"/>
      <c r="N142" s="36"/>
    </row>
    <row r="143" spans="1:14" s="37" customFormat="1" ht="15.75" customHeight="1" x14ac:dyDescent="0.35">
      <c r="A143" s="77">
        <f t="shared" ref="A143:A149" si="11">A142+1</f>
        <v>2</v>
      </c>
      <c r="B143" s="78"/>
      <c r="C143" s="42" t="s">
        <v>192</v>
      </c>
      <c r="D143" s="56">
        <f>(8.1)*(10.764)</f>
        <v>87.188399999999987</v>
      </c>
      <c r="E143" s="42">
        <v>0</v>
      </c>
      <c r="F143" s="42">
        <f t="shared" ref="F143:F149" si="12">(D143+E143)*(($F$138)+1)</f>
        <v>130.78259999999997</v>
      </c>
      <c r="G143" s="87"/>
      <c r="H143" s="88"/>
      <c r="I143" s="36"/>
      <c r="L143" s="107"/>
      <c r="M143" s="107"/>
      <c r="N143" s="36"/>
    </row>
    <row r="144" spans="1:14" s="37" customFormat="1" ht="15.75" customHeight="1" x14ac:dyDescent="0.35">
      <c r="A144" s="77">
        <f t="shared" si="11"/>
        <v>3</v>
      </c>
      <c r="B144" s="78"/>
      <c r="C144" s="42" t="s">
        <v>192</v>
      </c>
      <c r="D144" s="56">
        <f>(9.45)*(10.764)</f>
        <v>101.71979999999999</v>
      </c>
      <c r="E144" s="42">
        <v>0</v>
      </c>
      <c r="F144" s="42">
        <f t="shared" si="12"/>
        <v>152.5797</v>
      </c>
      <c r="G144" s="87"/>
      <c r="H144" s="88"/>
      <c r="I144" s="36"/>
      <c r="L144" s="107"/>
      <c r="M144" s="107"/>
      <c r="N144" s="36"/>
    </row>
    <row r="145" spans="1:14" s="37" customFormat="1" ht="15.75" customHeight="1" x14ac:dyDescent="0.35">
      <c r="A145" s="77">
        <f t="shared" si="11"/>
        <v>4</v>
      </c>
      <c r="B145" s="78"/>
      <c r="C145" s="42" t="s">
        <v>192</v>
      </c>
      <c r="D145" s="56">
        <f>(9.19)*(10.764)</f>
        <v>98.921159999999986</v>
      </c>
      <c r="E145" s="42">
        <v>0</v>
      </c>
      <c r="F145" s="42">
        <f t="shared" si="12"/>
        <v>148.38173999999998</v>
      </c>
      <c r="G145" s="87"/>
      <c r="H145" s="88"/>
      <c r="I145" s="36"/>
      <c r="L145" s="107"/>
      <c r="M145" s="107"/>
      <c r="N145" s="36"/>
    </row>
    <row r="146" spans="1:14" s="37" customFormat="1" ht="15.75" customHeight="1" x14ac:dyDescent="0.35">
      <c r="A146" s="77">
        <f t="shared" si="11"/>
        <v>5</v>
      </c>
      <c r="B146" s="78"/>
      <c r="C146" s="42" t="s">
        <v>192</v>
      </c>
      <c r="D146" s="56">
        <f>(8.87)*(10.764)</f>
        <v>95.476679999999988</v>
      </c>
      <c r="E146" s="42">
        <v>0</v>
      </c>
      <c r="F146" s="42">
        <f t="shared" si="12"/>
        <v>143.21501999999998</v>
      </c>
      <c r="G146" s="87"/>
      <c r="H146" s="88"/>
      <c r="I146" s="36"/>
      <c r="L146" s="107"/>
      <c r="M146" s="107"/>
      <c r="N146" s="36"/>
    </row>
    <row r="147" spans="1:14" s="37" customFormat="1" ht="15.75" customHeight="1" x14ac:dyDescent="0.35">
      <c r="A147" s="77">
        <f t="shared" si="11"/>
        <v>6</v>
      </c>
      <c r="B147" s="78"/>
      <c r="C147" s="42" t="s">
        <v>192</v>
      </c>
      <c r="D147" s="56">
        <f>(9.5)*(10.764)</f>
        <v>102.258</v>
      </c>
      <c r="E147" s="42">
        <v>0</v>
      </c>
      <c r="F147" s="42">
        <f t="shared" si="12"/>
        <v>153.387</v>
      </c>
      <c r="G147" s="87"/>
      <c r="H147" s="88"/>
      <c r="I147" s="36"/>
      <c r="L147" s="107"/>
      <c r="M147" s="107"/>
      <c r="N147" s="36"/>
    </row>
    <row r="148" spans="1:14" s="37" customFormat="1" ht="15.75" customHeight="1" x14ac:dyDescent="0.35">
      <c r="A148" s="77">
        <f t="shared" si="11"/>
        <v>7</v>
      </c>
      <c r="B148" s="78"/>
      <c r="C148" s="42" t="s">
        <v>192</v>
      </c>
      <c r="D148" s="56">
        <f>(9.68)*(10.764)</f>
        <v>104.19551999999999</v>
      </c>
      <c r="E148" s="42">
        <v>0</v>
      </c>
      <c r="F148" s="42">
        <f t="shared" si="12"/>
        <v>156.29327999999998</v>
      </c>
      <c r="G148" s="87"/>
      <c r="H148" s="88"/>
      <c r="I148" s="36"/>
      <c r="L148" s="107"/>
      <c r="M148" s="107"/>
      <c r="N148" s="36"/>
    </row>
    <row r="149" spans="1:14" s="37" customFormat="1" ht="15.75" customHeight="1" x14ac:dyDescent="0.35">
      <c r="A149" s="77">
        <f t="shared" si="11"/>
        <v>8</v>
      </c>
      <c r="B149" s="78"/>
      <c r="C149" s="42" t="s">
        <v>192</v>
      </c>
      <c r="D149" s="56">
        <f>(9.15)*(10.764)</f>
        <v>98.490600000000001</v>
      </c>
      <c r="E149" s="42">
        <v>0</v>
      </c>
      <c r="F149" s="42">
        <f t="shared" si="12"/>
        <v>147.73590000000002</v>
      </c>
      <c r="G149" s="89"/>
      <c r="H149" s="90"/>
      <c r="I149" s="36"/>
      <c r="L149" s="107"/>
      <c r="M149" s="107"/>
      <c r="N149" s="36"/>
    </row>
    <row r="150" spans="1:14" s="37" customFormat="1" x14ac:dyDescent="0.35">
      <c r="A150" s="74" t="s">
        <v>193</v>
      </c>
      <c r="B150" s="75"/>
      <c r="C150" s="75"/>
      <c r="D150" s="75"/>
      <c r="E150" s="75"/>
      <c r="F150" s="75"/>
      <c r="G150" s="75"/>
      <c r="H150" s="76"/>
      <c r="J150" s="36"/>
    </row>
    <row r="151" spans="1:14" s="37" customFormat="1" x14ac:dyDescent="0.35">
      <c r="A151" s="74" t="s">
        <v>209</v>
      </c>
      <c r="B151" s="75"/>
      <c r="C151" s="75"/>
      <c r="D151" s="75"/>
      <c r="E151" s="75"/>
      <c r="F151" s="75"/>
      <c r="G151" s="75"/>
      <c r="H151" s="76"/>
      <c r="J151" s="36"/>
    </row>
    <row r="152" spans="1:14" s="37" customFormat="1" ht="15.75" customHeight="1" x14ac:dyDescent="0.35">
      <c r="A152" s="106" t="s">
        <v>191</v>
      </c>
      <c r="B152" s="106"/>
      <c r="C152" s="106"/>
      <c r="D152" s="106"/>
      <c r="E152" s="106"/>
      <c r="F152" s="106"/>
      <c r="G152" s="106"/>
      <c r="H152" s="106"/>
      <c r="J152" s="36"/>
    </row>
    <row r="153" spans="1:14" s="37" customFormat="1" ht="15.75" customHeight="1" x14ac:dyDescent="0.35">
      <c r="A153" s="79">
        <v>1</v>
      </c>
      <c r="B153" s="79"/>
      <c r="C153" s="62" t="s">
        <v>192</v>
      </c>
      <c r="D153" s="56">
        <f>(8.44)*(10.764)</f>
        <v>90.848159999999993</v>
      </c>
      <c r="E153" s="62">
        <v>0</v>
      </c>
      <c r="F153" s="62">
        <f>(D153+E153)*(($F$138)+1)</f>
        <v>136.27223999999998</v>
      </c>
      <c r="G153" s="79" t="str">
        <f>A152</f>
        <v>Ground Floor For Commercial &amp; Part Parking</v>
      </c>
      <c r="H153" s="79"/>
      <c r="I153" s="36"/>
      <c r="L153" s="107"/>
      <c r="M153" s="107"/>
      <c r="N153" s="36"/>
    </row>
    <row r="154" spans="1:14" s="37" customFormat="1" ht="15.75" customHeight="1" x14ac:dyDescent="0.35">
      <c r="A154" s="79">
        <f t="shared" ref="A154:A173" si="13">A153+1</f>
        <v>2</v>
      </c>
      <c r="B154" s="79"/>
      <c r="C154" s="62" t="s">
        <v>192</v>
      </c>
      <c r="D154" s="56">
        <f>(8.77)*(10.764)</f>
        <v>94.400279999999995</v>
      </c>
      <c r="E154" s="62">
        <v>0</v>
      </c>
      <c r="F154" s="62">
        <f t="shared" ref="F154:F156" si="14">(D154+E154)*(($F$138)+1)</f>
        <v>141.60041999999999</v>
      </c>
      <c r="G154" s="79"/>
      <c r="H154" s="79"/>
      <c r="I154" s="36"/>
      <c r="L154" s="107"/>
      <c r="M154" s="107"/>
      <c r="N154" s="36"/>
    </row>
    <row r="155" spans="1:14" s="37" customFormat="1" ht="15.75" customHeight="1" x14ac:dyDescent="0.35">
      <c r="A155" s="79">
        <f t="shared" si="13"/>
        <v>3</v>
      </c>
      <c r="B155" s="79"/>
      <c r="C155" s="62" t="s">
        <v>192</v>
      </c>
      <c r="D155" s="56">
        <f>(9.51)*(10.764)</f>
        <v>102.36563999999998</v>
      </c>
      <c r="E155" s="62">
        <v>0</v>
      </c>
      <c r="F155" s="62">
        <f t="shared" si="14"/>
        <v>153.54845999999998</v>
      </c>
      <c r="G155" s="79"/>
      <c r="H155" s="79"/>
      <c r="I155" s="36"/>
      <c r="L155" s="107"/>
      <c r="M155" s="107"/>
      <c r="N155" s="36"/>
    </row>
    <row r="156" spans="1:14" s="37" customFormat="1" ht="15.75" customHeight="1" x14ac:dyDescent="0.35">
      <c r="A156" s="79">
        <f t="shared" si="13"/>
        <v>4</v>
      </c>
      <c r="B156" s="79"/>
      <c r="C156" s="62" t="s">
        <v>192</v>
      </c>
      <c r="D156" s="56">
        <f>(5.14)*(10.764)</f>
        <v>55.326959999999993</v>
      </c>
      <c r="E156" s="62">
        <v>0</v>
      </c>
      <c r="F156" s="62">
        <f t="shared" si="14"/>
        <v>82.990439999999992</v>
      </c>
      <c r="G156" s="79"/>
      <c r="H156" s="79"/>
      <c r="I156" s="36"/>
      <c r="L156" s="107"/>
      <c r="M156" s="107"/>
      <c r="N156" s="36"/>
    </row>
    <row r="157" spans="1:14" s="37" customFormat="1" ht="15.75" customHeight="1" x14ac:dyDescent="0.35">
      <c r="A157" s="79">
        <f t="shared" si="13"/>
        <v>5</v>
      </c>
      <c r="B157" s="79"/>
      <c r="C157" s="62" t="s">
        <v>192</v>
      </c>
      <c r="D157" s="56">
        <f>(9.04)*(10.764)</f>
        <v>97.30655999999999</v>
      </c>
      <c r="E157" s="62">
        <v>0</v>
      </c>
      <c r="F157" s="62">
        <f t="shared" ref="F157:F159" si="15">(D157+E157)*(($F$138)+1)</f>
        <v>145.95983999999999</v>
      </c>
      <c r="G157" s="79"/>
      <c r="H157" s="79"/>
      <c r="I157" s="36"/>
      <c r="L157" s="107"/>
      <c r="M157" s="107"/>
      <c r="N157" s="36"/>
    </row>
    <row r="158" spans="1:14" s="37" customFormat="1" ht="15.75" customHeight="1" x14ac:dyDescent="0.35">
      <c r="A158" s="79">
        <f t="shared" si="13"/>
        <v>6</v>
      </c>
      <c r="B158" s="79"/>
      <c r="C158" s="62" t="s">
        <v>192</v>
      </c>
      <c r="D158" s="56">
        <f>(7.89)*(10.764)</f>
        <v>84.927959999999985</v>
      </c>
      <c r="E158" s="62">
        <v>0</v>
      </c>
      <c r="F158" s="62">
        <f t="shared" si="15"/>
        <v>127.39193999999998</v>
      </c>
      <c r="G158" s="79"/>
      <c r="H158" s="79"/>
      <c r="I158" s="36"/>
      <c r="L158" s="107"/>
      <c r="M158" s="107"/>
      <c r="N158" s="36"/>
    </row>
    <row r="159" spans="1:14" s="37" customFormat="1" ht="15.75" customHeight="1" x14ac:dyDescent="0.35">
      <c r="A159" s="79">
        <f t="shared" si="13"/>
        <v>7</v>
      </c>
      <c r="B159" s="79"/>
      <c r="C159" s="62" t="s">
        <v>192</v>
      </c>
      <c r="D159" s="56">
        <f>(9.55)*(10.764)</f>
        <v>102.7962</v>
      </c>
      <c r="E159" s="62">
        <v>0</v>
      </c>
      <c r="F159" s="62">
        <f t="shared" si="15"/>
        <v>154.1943</v>
      </c>
      <c r="G159" s="79"/>
      <c r="H159" s="79"/>
      <c r="I159" s="36"/>
      <c r="L159" s="107"/>
      <c r="M159" s="107"/>
      <c r="N159" s="36"/>
    </row>
    <row r="160" spans="1:14" s="37" customFormat="1" ht="15.75" customHeight="1" x14ac:dyDescent="0.35">
      <c r="A160" s="79">
        <f t="shared" si="13"/>
        <v>8</v>
      </c>
      <c r="B160" s="79"/>
      <c r="C160" s="62" t="s">
        <v>192</v>
      </c>
      <c r="D160" s="56">
        <f>(9.57)*(10.764)</f>
        <v>103.01147999999999</v>
      </c>
      <c r="E160" s="62">
        <v>0</v>
      </c>
      <c r="F160" s="62">
        <f t="shared" ref="F160:F166" si="16">(D160+E160)*(($F$138)+1)</f>
        <v>154.51721999999998</v>
      </c>
      <c r="G160" s="79"/>
      <c r="H160" s="79"/>
      <c r="I160" s="36"/>
      <c r="L160" s="107"/>
      <c r="M160" s="107"/>
      <c r="N160" s="36"/>
    </row>
    <row r="161" spans="1:14" s="37" customFormat="1" ht="15.75" customHeight="1" x14ac:dyDescent="0.35">
      <c r="A161" s="79">
        <f t="shared" si="13"/>
        <v>9</v>
      </c>
      <c r="B161" s="79"/>
      <c r="C161" s="62" t="s">
        <v>192</v>
      </c>
      <c r="D161" s="56">
        <f>(8.01)*(10.764)</f>
        <v>86.219639999999998</v>
      </c>
      <c r="E161" s="62">
        <v>0</v>
      </c>
      <c r="F161" s="62">
        <f t="shared" si="16"/>
        <v>129.32945999999998</v>
      </c>
      <c r="G161" s="79"/>
      <c r="H161" s="79"/>
      <c r="I161" s="36"/>
      <c r="L161" s="107"/>
      <c r="M161" s="107"/>
      <c r="N161" s="36"/>
    </row>
    <row r="162" spans="1:14" s="37" customFormat="1" ht="15.75" customHeight="1" x14ac:dyDescent="0.35">
      <c r="A162" s="79">
        <f t="shared" si="13"/>
        <v>10</v>
      </c>
      <c r="B162" s="79"/>
      <c r="C162" s="62" t="s">
        <v>192</v>
      </c>
      <c r="D162" s="56">
        <f>(6.47)*(10.764)</f>
        <v>69.643079999999998</v>
      </c>
      <c r="E162" s="62">
        <v>0</v>
      </c>
      <c r="F162" s="62">
        <f t="shared" si="16"/>
        <v>104.46462</v>
      </c>
      <c r="G162" s="79"/>
      <c r="H162" s="79"/>
      <c r="I162" s="36"/>
      <c r="L162" s="107"/>
      <c r="M162" s="107"/>
      <c r="N162" s="36"/>
    </row>
    <row r="163" spans="1:14" s="37" customFormat="1" ht="15.75" customHeight="1" x14ac:dyDescent="0.35">
      <c r="A163" s="79">
        <f t="shared" si="13"/>
        <v>11</v>
      </c>
      <c r="B163" s="79"/>
      <c r="C163" s="62" t="s">
        <v>192</v>
      </c>
      <c r="D163" s="56">
        <f>(6.44)*(10.764)</f>
        <v>69.320160000000001</v>
      </c>
      <c r="E163" s="62">
        <v>0</v>
      </c>
      <c r="F163" s="62">
        <f t="shared" si="16"/>
        <v>103.98024000000001</v>
      </c>
      <c r="G163" s="79"/>
      <c r="H163" s="79"/>
      <c r="I163" s="36"/>
      <c r="L163" s="107"/>
      <c r="M163" s="107"/>
      <c r="N163" s="36"/>
    </row>
    <row r="164" spans="1:14" s="37" customFormat="1" ht="15.75" customHeight="1" x14ac:dyDescent="0.35">
      <c r="A164" s="79">
        <f t="shared" si="13"/>
        <v>12</v>
      </c>
      <c r="B164" s="79"/>
      <c r="C164" s="62" t="s">
        <v>192</v>
      </c>
      <c r="D164" s="56">
        <f>(9.05)*(10.764)</f>
        <v>97.414200000000008</v>
      </c>
      <c r="E164" s="62">
        <v>0</v>
      </c>
      <c r="F164" s="62">
        <f t="shared" si="16"/>
        <v>146.12130000000002</v>
      </c>
      <c r="G164" s="79"/>
      <c r="H164" s="79"/>
      <c r="I164" s="36"/>
      <c r="L164" s="107"/>
      <c r="M164" s="107"/>
      <c r="N164" s="36"/>
    </row>
    <row r="165" spans="1:14" s="37" customFormat="1" ht="15.75" customHeight="1" x14ac:dyDescent="0.35">
      <c r="A165" s="79">
        <f t="shared" si="13"/>
        <v>13</v>
      </c>
      <c r="B165" s="79"/>
      <c r="C165" s="62" t="s">
        <v>192</v>
      </c>
      <c r="D165" s="56">
        <f>(8.52)*(10.764)</f>
        <v>91.709279999999993</v>
      </c>
      <c r="E165" s="62">
        <v>0</v>
      </c>
      <c r="F165" s="62">
        <f t="shared" si="16"/>
        <v>137.56392</v>
      </c>
      <c r="G165" s="79"/>
      <c r="H165" s="79"/>
      <c r="I165" s="36"/>
      <c r="L165" s="107"/>
      <c r="M165" s="107"/>
      <c r="N165" s="36"/>
    </row>
    <row r="166" spans="1:14" s="37" customFormat="1" ht="15.75" customHeight="1" x14ac:dyDescent="0.35">
      <c r="A166" s="79">
        <f t="shared" si="13"/>
        <v>14</v>
      </c>
      <c r="B166" s="79"/>
      <c r="C166" s="62" t="s">
        <v>192</v>
      </c>
      <c r="D166" s="56">
        <f>(9.99)*(10.764)</f>
        <v>107.53236</v>
      </c>
      <c r="E166" s="62">
        <v>0</v>
      </c>
      <c r="F166" s="62">
        <f t="shared" si="16"/>
        <v>161.29854</v>
      </c>
      <c r="G166" s="79"/>
      <c r="H166" s="79"/>
      <c r="I166" s="36"/>
      <c r="L166" s="107"/>
      <c r="M166" s="107"/>
      <c r="N166" s="36"/>
    </row>
    <row r="167" spans="1:14" s="37" customFormat="1" ht="15.75" customHeight="1" x14ac:dyDescent="0.35">
      <c r="A167" s="79">
        <f t="shared" si="13"/>
        <v>15</v>
      </c>
      <c r="B167" s="79"/>
      <c r="C167" s="62" t="s">
        <v>192</v>
      </c>
      <c r="D167" s="56">
        <f>(8.51)*(10.764)</f>
        <v>91.601639999999989</v>
      </c>
      <c r="E167" s="62">
        <v>0</v>
      </c>
      <c r="F167" s="62">
        <f t="shared" ref="F167:F172" si="17">(D167+E167)*(($F$138)+1)</f>
        <v>137.40245999999999</v>
      </c>
      <c r="G167" s="79"/>
      <c r="H167" s="79"/>
      <c r="I167" s="36"/>
      <c r="L167" s="107"/>
      <c r="M167" s="107"/>
      <c r="N167" s="36"/>
    </row>
    <row r="168" spans="1:14" s="37" customFormat="1" ht="15.75" customHeight="1" x14ac:dyDescent="0.35">
      <c r="A168" s="79">
        <f t="shared" si="13"/>
        <v>16</v>
      </c>
      <c r="B168" s="79"/>
      <c r="C168" s="62" t="s">
        <v>192</v>
      </c>
      <c r="D168" s="56">
        <f>(8.97)*(10.764)</f>
        <v>96.553079999999994</v>
      </c>
      <c r="E168" s="62">
        <v>0</v>
      </c>
      <c r="F168" s="62">
        <f t="shared" si="17"/>
        <v>144.82961999999998</v>
      </c>
      <c r="G168" s="79"/>
      <c r="H168" s="79"/>
      <c r="I168" s="36"/>
      <c r="L168" s="107"/>
      <c r="M168" s="107"/>
      <c r="N168" s="36"/>
    </row>
    <row r="169" spans="1:14" s="37" customFormat="1" ht="15.75" customHeight="1" x14ac:dyDescent="0.35">
      <c r="A169" s="79">
        <f t="shared" si="13"/>
        <v>17</v>
      </c>
      <c r="B169" s="79"/>
      <c r="C169" s="62" t="s">
        <v>192</v>
      </c>
      <c r="D169" s="56">
        <f>(9.14)*(10.764)</f>
        <v>98.382959999999997</v>
      </c>
      <c r="E169" s="62">
        <v>0</v>
      </c>
      <c r="F169" s="62">
        <f t="shared" si="17"/>
        <v>147.57443999999998</v>
      </c>
      <c r="G169" s="79"/>
      <c r="H169" s="79"/>
      <c r="I169" s="36"/>
      <c r="L169" s="107"/>
      <c r="M169" s="107"/>
      <c r="N169" s="36"/>
    </row>
    <row r="170" spans="1:14" s="37" customFormat="1" ht="15.75" customHeight="1" x14ac:dyDescent="0.35">
      <c r="A170" s="79">
        <f t="shared" si="13"/>
        <v>18</v>
      </c>
      <c r="B170" s="79"/>
      <c r="C170" s="62" t="s">
        <v>192</v>
      </c>
      <c r="D170" s="56">
        <f>(8.98)*(10.764)</f>
        <v>96.660719999999998</v>
      </c>
      <c r="E170" s="62">
        <v>0</v>
      </c>
      <c r="F170" s="62">
        <f t="shared" si="17"/>
        <v>144.99108000000001</v>
      </c>
      <c r="G170" s="79"/>
      <c r="H170" s="79"/>
      <c r="I170" s="36"/>
      <c r="L170" s="107"/>
      <c r="M170" s="107"/>
      <c r="N170" s="36"/>
    </row>
    <row r="171" spans="1:14" s="37" customFormat="1" ht="15.75" customHeight="1" x14ac:dyDescent="0.35">
      <c r="A171" s="79">
        <f t="shared" si="13"/>
        <v>19</v>
      </c>
      <c r="B171" s="79"/>
      <c r="C171" s="62" t="s">
        <v>192</v>
      </c>
      <c r="D171" s="56">
        <f>(9.18)*(10.764)</f>
        <v>98.813519999999997</v>
      </c>
      <c r="E171" s="62">
        <v>0</v>
      </c>
      <c r="F171" s="62">
        <f t="shared" si="17"/>
        <v>148.22028</v>
      </c>
      <c r="G171" s="79"/>
      <c r="H171" s="79"/>
      <c r="I171" s="36"/>
      <c r="L171" s="107"/>
      <c r="M171" s="107"/>
      <c r="N171" s="36"/>
    </row>
    <row r="172" spans="1:14" s="37" customFormat="1" ht="15.75" customHeight="1" x14ac:dyDescent="0.35">
      <c r="A172" s="79">
        <f t="shared" si="13"/>
        <v>20</v>
      </c>
      <c r="B172" s="79"/>
      <c r="C172" s="62" t="s">
        <v>192</v>
      </c>
      <c r="D172" s="56">
        <f>(9.21)*(10.764)</f>
        <v>99.136440000000007</v>
      </c>
      <c r="E172" s="62">
        <v>0</v>
      </c>
      <c r="F172" s="62">
        <f t="shared" si="17"/>
        <v>148.70466000000002</v>
      </c>
      <c r="G172" s="79"/>
      <c r="H172" s="79"/>
      <c r="I172" s="36"/>
      <c r="L172" s="107"/>
      <c r="M172" s="107"/>
      <c r="N172" s="36"/>
    </row>
    <row r="173" spans="1:14" s="37" customFormat="1" ht="15.75" customHeight="1" x14ac:dyDescent="0.35">
      <c r="A173" s="79">
        <f t="shared" si="13"/>
        <v>21</v>
      </c>
      <c r="B173" s="79"/>
      <c r="C173" s="62" t="s">
        <v>192</v>
      </c>
      <c r="D173" s="56">
        <f>(9.18)*(10.764)</f>
        <v>98.813519999999997</v>
      </c>
      <c r="E173" s="62">
        <v>0</v>
      </c>
      <c r="F173" s="62">
        <f t="shared" ref="F173" si="18">(D173+E173)*(($F$138)+1)</f>
        <v>148.22028</v>
      </c>
      <c r="G173" s="79"/>
      <c r="H173" s="79"/>
      <c r="I173" s="36"/>
      <c r="L173" s="107"/>
      <c r="M173" s="107"/>
      <c r="N173" s="36"/>
    </row>
    <row r="174" spans="1:14" s="37" customFormat="1" x14ac:dyDescent="0.35">
      <c r="A174" s="77"/>
      <c r="B174" s="184"/>
      <c r="C174" s="184"/>
      <c r="D174" s="184"/>
      <c r="E174" s="184"/>
      <c r="F174" s="184"/>
      <c r="G174" s="184"/>
      <c r="H174" s="78"/>
      <c r="I174" s="36"/>
      <c r="N174" s="36"/>
    </row>
    <row r="175" spans="1:14" ht="47.25" customHeight="1" x14ac:dyDescent="0.35">
      <c r="A175" s="53" t="s">
        <v>123</v>
      </c>
      <c r="B175" s="53" t="s">
        <v>124</v>
      </c>
      <c r="C175" s="43" t="s">
        <v>59</v>
      </c>
      <c r="D175" s="43" t="s">
        <v>60</v>
      </c>
      <c r="E175" s="54" t="s">
        <v>61</v>
      </c>
      <c r="F175" s="43" t="s">
        <v>200</v>
      </c>
      <c r="G175" s="111" t="s">
        <v>62</v>
      </c>
      <c r="H175" s="112"/>
      <c r="I175" s="36"/>
    </row>
    <row r="176" spans="1:14" s="37" customFormat="1" x14ac:dyDescent="0.35">
      <c r="A176" s="74" t="s">
        <v>190</v>
      </c>
      <c r="B176" s="75"/>
      <c r="C176" s="75"/>
      <c r="D176" s="75"/>
      <c r="E176" s="75"/>
      <c r="F176" s="75"/>
      <c r="G176" s="75"/>
      <c r="H176" s="76"/>
      <c r="J176" s="36"/>
    </row>
    <row r="177" spans="1:13" s="37" customFormat="1" x14ac:dyDescent="0.35">
      <c r="A177" s="74" t="s">
        <v>196</v>
      </c>
      <c r="B177" s="75"/>
      <c r="C177" s="75"/>
      <c r="D177" s="75"/>
      <c r="E177" s="75"/>
      <c r="F177" s="75"/>
      <c r="G177" s="75"/>
      <c r="H177" s="76"/>
      <c r="J177" s="36"/>
    </row>
    <row r="178" spans="1:13" s="37" customFormat="1" x14ac:dyDescent="0.35">
      <c r="A178" s="74" t="s">
        <v>194</v>
      </c>
      <c r="B178" s="75"/>
      <c r="C178" s="75"/>
      <c r="D178" s="75"/>
      <c r="E178" s="75"/>
      <c r="F178" s="75"/>
      <c r="G178" s="75"/>
      <c r="H178" s="76"/>
      <c r="I178" s="36"/>
    </row>
    <row r="179" spans="1:13" s="37" customFormat="1" ht="15.75" customHeight="1" x14ac:dyDescent="0.35">
      <c r="A179" s="77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10^ROW(INDIRECT("1:"&amp;LEN((LEFT(A178,SUM(LEN(A178)-LEN(SUBSTITUTE(A178,{"0","1","2"},""))))))))/10))*100+1&amp;""&amp;" &amp;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",LEN(A178))),LEN(A178)))))))/10))*100+1</f>
        <v>101 &amp; 301</v>
      </c>
      <c r="B179" s="78"/>
      <c r="C179" s="52">
        <v>1</v>
      </c>
      <c r="D179" s="56">
        <f>(32.84+1.08)*(10.764)</f>
        <v>365.11487999999997</v>
      </c>
      <c r="E179" s="56">
        <f>(4.2)*(10.764)</f>
        <v>45.208799999999997</v>
      </c>
      <c r="F179" s="42">
        <v>660</v>
      </c>
      <c r="G179" s="85" t="str">
        <f>A178</f>
        <v>1st &amp; 3rd Floor</v>
      </c>
      <c r="H179" s="86"/>
      <c r="I179" s="36">
        <f>500*F179</f>
        <v>330000</v>
      </c>
      <c r="L179" s="37">
        <f>4900*F179</f>
        <v>3234000</v>
      </c>
      <c r="M179" s="37">
        <f>5000*F179</f>
        <v>3300000</v>
      </c>
    </row>
    <row r="180" spans="1:13" s="37" customFormat="1" ht="15.75" customHeight="1" x14ac:dyDescent="0.35">
      <c r="A180" s="77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&amp;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102 &amp; 302</v>
      </c>
      <c r="B180" s="78"/>
      <c r="C180" s="52">
        <v>1</v>
      </c>
      <c r="D180" s="56">
        <f>(32.01+2.5+1.08)*(10.764)</f>
        <v>383.09075999999993</v>
      </c>
      <c r="E180" s="56">
        <f>(7.65)*(10.764)</f>
        <v>82.3446</v>
      </c>
      <c r="F180" s="42">
        <v>730</v>
      </c>
      <c r="G180" s="87"/>
      <c r="H180" s="88"/>
      <c r="I180" s="36">
        <f t="shared" ref="I180:I184" si="19">500*F180</f>
        <v>365000</v>
      </c>
      <c r="L180" s="37">
        <f t="shared" ref="L180:L184" si="20">4900*F180</f>
        <v>3577000</v>
      </c>
      <c r="M180" s="37">
        <f t="shared" ref="M180:M184" si="21">5000*F180</f>
        <v>3650000</v>
      </c>
    </row>
    <row r="181" spans="1:13" s="37" customFormat="1" ht="15.75" customHeight="1" x14ac:dyDescent="0.35">
      <c r="A181" s="77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&amp;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103 &amp; 303</v>
      </c>
      <c r="B181" s="78"/>
      <c r="C181" s="52">
        <v>1</v>
      </c>
      <c r="D181" s="56">
        <f>(29.51+2.5+3.56)*(10.764)</f>
        <v>382.87548000000004</v>
      </c>
      <c r="E181" s="42">
        <v>0</v>
      </c>
      <c r="F181" s="42">
        <v>615</v>
      </c>
      <c r="G181" s="87"/>
      <c r="H181" s="88"/>
      <c r="I181" s="36">
        <f t="shared" si="19"/>
        <v>307500</v>
      </c>
      <c r="J181" s="37">
        <f>3400000/F181</f>
        <v>5528.4552845528451</v>
      </c>
      <c r="L181" s="37">
        <f t="shared" si="20"/>
        <v>3013500</v>
      </c>
      <c r="M181" s="37">
        <f t="shared" si="21"/>
        <v>3075000</v>
      </c>
    </row>
    <row r="182" spans="1:13" s="37" customFormat="1" ht="15.75" customHeight="1" x14ac:dyDescent="0.35">
      <c r="A182" s="77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&amp;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104 &amp; 304</v>
      </c>
      <c r="B182" s="78"/>
      <c r="C182" s="52">
        <v>1</v>
      </c>
      <c r="D182" s="56">
        <f>(32.6+8.25)*(10.764)</f>
        <v>439.70940000000002</v>
      </c>
      <c r="E182" s="42">
        <v>0</v>
      </c>
      <c r="F182" s="42">
        <v>710</v>
      </c>
      <c r="G182" s="87"/>
      <c r="H182" s="88"/>
      <c r="I182" s="36">
        <f t="shared" si="19"/>
        <v>355000</v>
      </c>
      <c r="L182" s="37">
        <f t="shared" si="20"/>
        <v>3479000</v>
      </c>
      <c r="M182" s="37">
        <f t="shared" si="21"/>
        <v>3550000</v>
      </c>
    </row>
    <row r="183" spans="1:13" s="37" customFormat="1" ht="15.75" customHeight="1" x14ac:dyDescent="0.35">
      <c r="A183" s="77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&amp;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105 &amp; 305</v>
      </c>
      <c r="B183" s="78"/>
      <c r="C183" s="52">
        <v>0</v>
      </c>
      <c r="D183" s="56">
        <f>(20.72+2.4)*(10.764)</f>
        <v>248.86367999999996</v>
      </c>
      <c r="E183" s="42">
        <v>0</v>
      </c>
      <c r="F183" s="42">
        <v>395</v>
      </c>
      <c r="G183" s="87"/>
      <c r="H183" s="88"/>
      <c r="I183" s="36">
        <f t="shared" si="19"/>
        <v>197500</v>
      </c>
      <c r="L183" s="37">
        <f t="shared" si="20"/>
        <v>1935500</v>
      </c>
      <c r="M183" s="37">
        <f t="shared" si="21"/>
        <v>1975000</v>
      </c>
    </row>
    <row r="184" spans="1:13" s="37" customFormat="1" ht="15.75" customHeight="1" x14ac:dyDescent="0.35">
      <c r="A184" s="77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&amp;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106 &amp; 306</v>
      </c>
      <c r="B184" s="78"/>
      <c r="C184" s="52">
        <v>0</v>
      </c>
      <c r="D184" s="56">
        <f>(21.19+2.4+3)*(10.764)</f>
        <v>286.21475999999996</v>
      </c>
      <c r="E184" s="42">
        <v>0</v>
      </c>
      <c r="F184" s="42">
        <v>460</v>
      </c>
      <c r="G184" s="89"/>
      <c r="H184" s="90"/>
      <c r="I184" s="36">
        <f t="shared" si="19"/>
        <v>230000</v>
      </c>
      <c r="L184" s="37">
        <f t="shared" si="20"/>
        <v>2254000</v>
      </c>
      <c r="M184" s="37">
        <f t="shared" si="21"/>
        <v>2300000</v>
      </c>
    </row>
    <row r="185" spans="1:13" s="37" customFormat="1" x14ac:dyDescent="0.35">
      <c r="A185" s="74" t="s">
        <v>195</v>
      </c>
      <c r="B185" s="75"/>
      <c r="C185" s="75"/>
      <c r="D185" s="75"/>
      <c r="E185" s="75"/>
      <c r="F185" s="75"/>
      <c r="G185" s="75"/>
      <c r="H185" s="76"/>
      <c r="I185" s="36"/>
    </row>
    <row r="186" spans="1:13" s="37" customFormat="1" ht="15.75" customHeight="1" x14ac:dyDescent="0.35">
      <c r="A186" s="77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10^ROW(INDIRECT("1:"&amp;LEN((LEFT(A185,SUM(LEN(A185)-LEN(SUBSTITUTE(A185,{"0","1","2"},""))))))))/10))*100+1&amp;""&amp;" &amp;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",LEN(A185))),LEN(A185)))))))/10))*100+1</f>
        <v>201 &amp; 401</v>
      </c>
      <c r="B186" s="78"/>
      <c r="C186" s="52">
        <v>1</v>
      </c>
      <c r="D186" s="56">
        <f>(32.42+1.08)*(10.764)</f>
        <v>360.59399999999999</v>
      </c>
      <c r="E186" s="42">
        <v>0</v>
      </c>
      <c r="F186" s="42">
        <v>585</v>
      </c>
      <c r="G186" s="85" t="str">
        <f>A185</f>
        <v>2nd &amp; 4th Floor</v>
      </c>
      <c r="H186" s="86"/>
      <c r="I186" s="36"/>
      <c r="J186" s="37">
        <f>3400000/F186</f>
        <v>5811.9658119658116</v>
      </c>
      <c r="M186" s="37">
        <f>5200*F186</f>
        <v>3042000</v>
      </c>
    </row>
    <row r="187" spans="1:13" s="37" customFormat="1" ht="15.75" customHeight="1" x14ac:dyDescent="0.35">
      <c r="A187" s="77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&amp;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202 &amp; 402</v>
      </c>
      <c r="B187" s="78"/>
      <c r="C187" s="52">
        <v>1</v>
      </c>
      <c r="D187" s="56">
        <f>(31.43+2.5+1.08)*(10.764)</f>
        <v>376.84763999999996</v>
      </c>
      <c r="E187" s="42">
        <v>0</v>
      </c>
      <c r="F187" s="42">
        <v>585</v>
      </c>
      <c r="G187" s="87"/>
      <c r="H187" s="88"/>
      <c r="I187" s="36"/>
      <c r="M187" s="37">
        <f t="shared" ref="M187:M191" si="22">5200*F187</f>
        <v>3042000</v>
      </c>
    </row>
    <row r="188" spans="1:13" s="37" customFormat="1" ht="15.75" customHeight="1" x14ac:dyDescent="0.35">
      <c r="A188" s="77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&amp;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203 &amp; 403</v>
      </c>
      <c r="B188" s="78"/>
      <c r="C188" s="52">
        <v>1</v>
      </c>
      <c r="D188" s="56">
        <f>(29.51+2.5+3.56)*(10.764)</f>
        <v>382.87548000000004</v>
      </c>
      <c r="E188" s="42">
        <v>0</v>
      </c>
      <c r="F188" s="42">
        <v>610</v>
      </c>
      <c r="G188" s="87"/>
      <c r="H188" s="88"/>
      <c r="I188" s="36"/>
      <c r="M188" s="37">
        <f t="shared" si="22"/>
        <v>3172000</v>
      </c>
    </row>
    <row r="189" spans="1:13" s="37" customFormat="1" ht="15.75" customHeight="1" x14ac:dyDescent="0.35">
      <c r="A189" s="77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&amp;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204 &amp; 404</v>
      </c>
      <c r="B189" s="78"/>
      <c r="C189" s="52">
        <v>1</v>
      </c>
      <c r="D189" s="56">
        <f>(33.05+8.25)*(10.764)</f>
        <v>444.55319999999995</v>
      </c>
      <c r="E189" s="56">
        <f>(6.15)*(10.764)</f>
        <v>66.198599999999999</v>
      </c>
      <c r="F189" s="42">
        <v>825</v>
      </c>
      <c r="G189" s="87"/>
      <c r="H189" s="88"/>
      <c r="I189" s="36"/>
      <c r="M189" s="37">
        <f t="shared" si="22"/>
        <v>4290000</v>
      </c>
    </row>
    <row r="190" spans="1:13" s="37" customFormat="1" ht="15.75" customHeight="1" x14ac:dyDescent="0.35">
      <c r="A190" s="77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&amp;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205 &amp; 405</v>
      </c>
      <c r="B190" s="78"/>
      <c r="C190" s="52">
        <v>0</v>
      </c>
      <c r="D190" s="56">
        <f>(20.72+2.4)*(10.764)</f>
        <v>248.86367999999996</v>
      </c>
      <c r="E190" s="42">
        <v>0</v>
      </c>
      <c r="F190" s="42">
        <v>395</v>
      </c>
      <c r="G190" s="87"/>
      <c r="H190" s="88"/>
      <c r="I190" s="36"/>
      <c r="M190" s="37">
        <f t="shared" si="22"/>
        <v>2054000</v>
      </c>
    </row>
    <row r="191" spans="1:13" s="37" customFormat="1" ht="15.75" customHeight="1" x14ac:dyDescent="0.35">
      <c r="A191" s="77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10^ROW(INDIRECT("1:"&amp;LEN((LEFT(A190,SUM(LEN(A190)-LEN(SUBSTITUTE(A190,{"0","1","2"},""))))))))/10))*1+1&amp;""&amp;" &amp;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",LEN(A190))),LEN(A190)))))))/10))*1+1</f>
        <v>206 &amp; 406</v>
      </c>
      <c r="B191" s="78"/>
      <c r="C191" s="52">
        <v>0</v>
      </c>
      <c r="D191" s="56">
        <f>(21.19+2.4+3)*(10.764)</f>
        <v>286.21475999999996</v>
      </c>
      <c r="E191" s="42">
        <v>0</v>
      </c>
      <c r="F191" s="42">
        <v>460</v>
      </c>
      <c r="G191" s="89"/>
      <c r="H191" s="90"/>
      <c r="I191" s="36"/>
      <c r="M191" s="37">
        <f t="shared" si="22"/>
        <v>2392000</v>
      </c>
    </row>
    <row r="192" spans="1:13" s="37" customFormat="1" x14ac:dyDescent="0.35">
      <c r="A192" s="74" t="s">
        <v>197</v>
      </c>
      <c r="B192" s="75"/>
      <c r="C192" s="75"/>
      <c r="D192" s="75"/>
      <c r="E192" s="75"/>
      <c r="F192" s="75"/>
      <c r="G192" s="75"/>
      <c r="H192" s="76"/>
      <c r="J192" s="36"/>
    </row>
    <row r="193" spans="1:10" s="37" customFormat="1" x14ac:dyDescent="0.35">
      <c r="A193" s="74" t="s">
        <v>194</v>
      </c>
      <c r="B193" s="75"/>
      <c r="C193" s="75"/>
      <c r="D193" s="75"/>
      <c r="E193" s="75"/>
      <c r="F193" s="75"/>
      <c r="G193" s="75"/>
      <c r="H193" s="76"/>
      <c r="I193" s="36"/>
    </row>
    <row r="194" spans="1:10" s="37" customFormat="1" ht="15.75" customHeight="1" x14ac:dyDescent="0.35">
      <c r="A194" s="77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10^ROW(INDIRECT("1:"&amp;LEN((LEFT(A193,SUM(LEN(A193)-LEN(SUBSTITUTE(A193,{"0","1","2"},""))))))))/10))*100+1&amp;""&amp;" &amp;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",LEN(A193))),LEN(A193)))))))/10))*100+1</f>
        <v>101 &amp; 301</v>
      </c>
      <c r="B194" s="78"/>
      <c r="C194" s="52">
        <v>1</v>
      </c>
      <c r="D194" s="56">
        <f>(20.76+2.4+3.87)*(10.764)</f>
        <v>290.95092</v>
      </c>
      <c r="E194" s="42">
        <v>0</v>
      </c>
      <c r="F194" s="42">
        <v>460</v>
      </c>
      <c r="G194" s="85" t="str">
        <f>A193</f>
        <v>1st &amp; 3rd Floor</v>
      </c>
      <c r="H194" s="86"/>
      <c r="I194" s="36"/>
    </row>
    <row r="195" spans="1:10" s="37" customFormat="1" ht="15.75" customHeight="1" x14ac:dyDescent="0.35">
      <c r="A195" s="77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&amp;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102 &amp; 302</v>
      </c>
      <c r="B195" s="78"/>
      <c r="C195" s="52">
        <v>0</v>
      </c>
      <c r="D195" s="56">
        <f>(19.72+2.4)*(10.764)</f>
        <v>238.09967999999995</v>
      </c>
      <c r="E195" s="56">
        <f>(4.64)*(10.764)</f>
        <v>49.944959999999995</v>
      </c>
      <c r="F195" s="42">
        <v>460</v>
      </c>
      <c r="G195" s="87"/>
      <c r="H195" s="88"/>
      <c r="I195" s="36"/>
    </row>
    <row r="196" spans="1:10" s="37" customFormat="1" ht="15.75" customHeight="1" x14ac:dyDescent="0.35">
      <c r="A196" s="77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&amp;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103 &amp; 303</v>
      </c>
      <c r="B196" s="78"/>
      <c r="C196" s="52">
        <v>0</v>
      </c>
      <c r="D196" s="56">
        <f>(21.88+5.9)*(10.764)</f>
        <v>299.02391999999998</v>
      </c>
      <c r="E196" s="42">
        <v>0</v>
      </c>
      <c r="F196" s="42">
        <v>480</v>
      </c>
      <c r="G196" s="87"/>
      <c r="H196" s="88"/>
      <c r="I196" s="36"/>
    </row>
    <row r="197" spans="1:10" s="37" customFormat="1" ht="15.75" customHeight="1" x14ac:dyDescent="0.35">
      <c r="A197" s="77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&amp;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104 &amp; 304</v>
      </c>
      <c r="B197" s="78"/>
      <c r="C197" s="52">
        <v>0</v>
      </c>
      <c r="D197" s="56">
        <f>(20.22+5.16)*(10.764)</f>
        <v>273.19031999999999</v>
      </c>
      <c r="E197" s="42">
        <v>0</v>
      </c>
      <c r="F197" s="42">
        <v>445</v>
      </c>
      <c r="G197" s="87"/>
      <c r="H197" s="88"/>
      <c r="I197" s="36"/>
    </row>
    <row r="198" spans="1:10" s="37" customFormat="1" ht="15.75" customHeight="1" x14ac:dyDescent="0.35">
      <c r="A198" s="77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&amp;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105 &amp; 305</v>
      </c>
      <c r="B198" s="78"/>
      <c r="C198" s="52">
        <v>0</v>
      </c>
      <c r="D198" s="56">
        <f>(22.38+2.59)*(10.764)</f>
        <v>268.77707999999996</v>
      </c>
      <c r="E198" s="56">
        <f>(6.5)*(10.764)</f>
        <v>69.965999999999994</v>
      </c>
      <c r="F198" s="42">
        <v>545</v>
      </c>
      <c r="G198" s="87"/>
      <c r="H198" s="88"/>
      <c r="I198" s="36"/>
    </row>
    <row r="199" spans="1:10" s="37" customFormat="1" ht="15.75" customHeight="1" x14ac:dyDescent="0.35">
      <c r="A199" s="77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&amp;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106 &amp; 306</v>
      </c>
      <c r="B199" s="78"/>
      <c r="C199" s="52">
        <v>1</v>
      </c>
      <c r="D199" s="56">
        <f>(28.88+4.6)*(10.764)</f>
        <v>360.37871999999993</v>
      </c>
      <c r="E199" s="42">
        <v>0</v>
      </c>
      <c r="F199" s="42">
        <v>585</v>
      </c>
      <c r="G199" s="89"/>
      <c r="H199" s="90"/>
      <c r="I199" s="36"/>
    </row>
    <row r="200" spans="1:10" s="37" customFormat="1" x14ac:dyDescent="0.35">
      <c r="A200" s="74" t="s">
        <v>195</v>
      </c>
      <c r="B200" s="75"/>
      <c r="C200" s="75"/>
      <c r="D200" s="75"/>
      <c r="E200" s="75"/>
      <c r="F200" s="75"/>
      <c r="G200" s="75"/>
      <c r="H200" s="76"/>
      <c r="I200" s="36"/>
    </row>
    <row r="201" spans="1:10" s="37" customFormat="1" ht="15.75" customHeight="1" x14ac:dyDescent="0.35">
      <c r="A201" s="77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10^ROW(INDIRECT("1:"&amp;LEN((LEFT(A200,SUM(LEN(A200)-LEN(SUBSTITUTE(A200,{"0","1","2"},""))))))))/10))*100+1&amp;""&amp;" &amp;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",LEN(A200))),LEN(A200)))))))/10))*100+1</f>
        <v>201 &amp; 401</v>
      </c>
      <c r="B201" s="78"/>
      <c r="C201" s="52">
        <v>1</v>
      </c>
      <c r="D201" s="56">
        <f>(20.76+2.4+3.87)*(10.764)</f>
        <v>290.95092</v>
      </c>
      <c r="E201" s="42">
        <v>0</v>
      </c>
      <c r="F201" s="42">
        <v>460</v>
      </c>
      <c r="G201" s="85" t="str">
        <f>A200</f>
        <v>2nd &amp; 4th Floor</v>
      </c>
      <c r="H201" s="86"/>
      <c r="I201" s="36"/>
    </row>
    <row r="202" spans="1:10" s="37" customFormat="1" ht="15.75" customHeight="1" x14ac:dyDescent="0.35">
      <c r="A202" s="77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&amp;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202 &amp; 402</v>
      </c>
      <c r="B202" s="78"/>
      <c r="C202" s="52">
        <v>0</v>
      </c>
      <c r="D202" s="56">
        <f>(19.3+2.4)*(10.764)</f>
        <v>233.57879999999997</v>
      </c>
      <c r="E202" s="42">
        <v>0</v>
      </c>
      <c r="F202" s="42">
        <v>370</v>
      </c>
      <c r="G202" s="87"/>
      <c r="H202" s="88"/>
      <c r="I202" s="36"/>
    </row>
    <row r="203" spans="1:10" s="37" customFormat="1" ht="15.75" customHeight="1" x14ac:dyDescent="0.35">
      <c r="A203" s="77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&amp;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203 &amp; 403</v>
      </c>
      <c r="B203" s="78"/>
      <c r="C203" s="52">
        <v>0</v>
      </c>
      <c r="D203" s="56">
        <f>(21.88+5.9)*(10.764)</f>
        <v>299.02391999999998</v>
      </c>
      <c r="E203" s="42">
        <v>0</v>
      </c>
      <c r="F203" s="42">
        <v>480</v>
      </c>
      <c r="G203" s="87"/>
      <c r="H203" s="88"/>
      <c r="I203" s="36"/>
    </row>
    <row r="204" spans="1:10" s="37" customFormat="1" ht="15.75" customHeight="1" x14ac:dyDescent="0.35">
      <c r="A204" s="77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&amp;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204 &amp; 404</v>
      </c>
      <c r="B204" s="78"/>
      <c r="C204" s="52">
        <v>0</v>
      </c>
      <c r="D204" s="56">
        <f>(20.22+5.16)*(10.764)</f>
        <v>273.19031999999999</v>
      </c>
      <c r="E204" s="42">
        <v>0</v>
      </c>
      <c r="F204" s="42">
        <v>445</v>
      </c>
      <c r="G204" s="87"/>
      <c r="H204" s="88"/>
      <c r="I204" s="36"/>
    </row>
    <row r="205" spans="1:10" s="37" customFormat="1" ht="15.75" customHeight="1" x14ac:dyDescent="0.35">
      <c r="A205" s="77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&amp;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205 &amp; 405</v>
      </c>
      <c r="B205" s="78"/>
      <c r="C205" s="52">
        <v>0</v>
      </c>
      <c r="D205" s="56">
        <f>(21.79+2.59)*(10.764)</f>
        <v>262.42631999999998</v>
      </c>
      <c r="E205" s="42">
        <v>0</v>
      </c>
      <c r="F205" s="42">
        <v>425</v>
      </c>
      <c r="G205" s="87"/>
      <c r="H205" s="88"/>
      <c r="I205" s="36"/>
    </row>
    <row r="206" spans="1:10" s="37" customFormat="1" ht="15.75" customHeight="1" x14ac:dyDescent="0.35">
      <c r="A206" s="77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206 &amp; 406</v>
      </c>
      <c r="B206" s="78"/>
      <c r="C206" s="52">
        <v>1</v>
      </c>
      <c r="D206" s="56">
        <f>(28.88+4.6)*(10.764)</f>
        <v>360.37871999999993</v>
      </c>
      <c r="E206" s="42">
        <v>0</v>
      </c>
      <c r="F206" s="42">
        <v>580</v>
      </c>
      <c r="G206" s="89"/>
      <c r="H206" s="90"/>
      <c r="I206" s="36"/>
    </row>
    <row r="207" spans="1:10" s="37" customFormat="1" x14ac:dyDescent="0.35">
      <c r="A207" s="106" t="s">
        <v>198</v>
      </c>
      <c r="B207" s="106"/>
      <c r="C207" s="106"/>
      <c r="D207" s="106"/>
      <c r="E207" s="106"/>
      <c r="F207" s="106"/>
      <c r="G207" s="106"/>
      <c r="H207" s="106"/>
      <c r="J207" s="36"/>
    </row>
    <row r="208" spans="1:10" s="37" customFormat="1" x14ac:dyDescent="0.35">
      <c r="A208" s="106" t="s">
        <v>194</v>
      </c>
      <c r="B208" s="106"/>
      <c r="C208" s="106"/>
      <c r="D208" s="106"/>
      <c r="E208" s="106"/>
      <c r="F208" s="106"/>
      <c r="G208" s="106"/>
      <c r="H208" s="106"/>
      <c r="I208" s="36"/>
    </row>
    <row r="209" spans="1:11" s="37" customFormat="1" ht="15.75" customHeight="1" x14ac:dyDescent="0.35">
      <c r="A209" s="79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10^ROW(INDIRECT("1:"&amp;LEN((LEFT(A208,SUM(LEN(A208)-LEN(SUBSTITUTE(A208,{"0","1","2"},""))))))))/10))*100+1&amp;""&amp;" &amp;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101 &amp; 301</v>
      </c>
      <c r="B209" s="79"/>
      <c r="C209" s="52">
        <v>0</v>
      </c>
      <c r="D209" s="56">
        <f>(20.36+2.1)*(10.764)</f>
        <v>241.75943999999998</v>
      </c>
      <c r="E209" s="62">
        <v>0</v>
      </c>
      <c r="F209" s="62">
        <v>395</v>
      </c>
      <c r="G209" s="79" t="str">
        <f>A208</f>
        <v>1st &amp; 3rd Floor</v>
      </c>
      <c r="H209" s="79"/>
      <c r="I209" s="36"/>
    </row>
    <row r="210" spans="1:11" s="37" customFormat="1" ht="15.75" customHeight="1" x14ac:dyDescent="0.35">
      <c r="A210" s="79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102 &amp; 302</v>
      </c>
      <c r="B210" s="79"/>
      <c r="C210" s="52">
        <v>0</v>
      </c>
      <c r="D210" s="56">
        <f>(23.54+2.6)*(10.764)</f>
        <v>281.37095999999997</v>
      </c>
      <c r="E210" s="56">
        <f>(4.58)*(10.764)</f>
        <v>49.299119999999995</v>
      </c>
      <c r="F210" s="62">
        <v>530</v>
      </c>
      <c r="G210" s="79"/>
      <c r="H210" s="79"/>
      <c r="I210" s="36"/>
    </row>
    <row r="211" spans="1:11" s="37" customFormat="1" ht="15.75" customHeight="1" x14ac:dyDescent="0.35">
      <c r="A211" s="79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103 &amp; 303</v>
      </c>
      <c r="B211" s="79"/>
      <c r="C211" s="52">
        <v>2</v>
      </c>
      <c r="D211" s="56">
        <f>(50.8+10.87)*(10.764)</f>
        <v>663.81587999999988</v>
      </c>
      <c r="E211" s="62">
        <v>0</v>
      </c>
      <c r="F211" s="62">
        <v>1080</v>
      </c>
      <c r="G211" s="79"/>
      <c r="H211" s="79"/>
      <c r="I211" s="58">
        <f>500*F211</f>
        <v>540000</v>
      </c>
      <c r="J211" s="37">
        <f>3*12*F211</f>
        <v>38880</v>
      </c>
      <c r="K211" s="37">
        <f>5300000/F211</f>
        <v>4907.4074074074078</v>
      </c>
    </row>
    <row r="212" spans="1:11" s="37" customFormat="1" ht="15.75" customHeight="1" x14ac:dyDescent="0.35">
      <c r="A212" s="79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&amp;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104 &amp; 304</v>
      </c>
      <c r="B212" s="79"/>
      <c r="C212" s="52">
        <v>1</v>
      </c>
      <c r="D212" s="56">
        <f>(32.17)*(10.764)</f>
        <v>346.27787999999998</v>
      </c>
      <c r="E212" s="62">
        <v>0</v>
      </c>
      <c r="F212" s="62">
        <v>565</v>
      </c>
      <c r="G212" s="79"/>
      <c r="H212" s="79"/>
      <c r="I212" s="36">
        <f>2900000/F212</f>
        <v>5132.7433628318586</v>
      </c>
    </row>
    <row r="213" spans="1:11" s="37" customFormat="1" ht="15.75" customHeight="1" x14ac:dyDescent="0.35">
      <c r="A213" s="79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&amp;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105 &amp; 305</v>
      </c>
      <c r="B213" s="79"/>
      <c r="C213" s="52">
        <v>1</v>
      </c>
      <c r="D213" s="56">
        <f>(32.54+2.5+1.08)*(10.764)</f>
        <v>388.79567999999995</v>
      </c>
      <c r="E213" s="56">
        <f>(7.1)*(10.764)</f>
        <v>76.424399999999991</v>
      </c>
      <c r="F213" s="62">
        <v>740</v>
      </c>
      <c r="G213" s="79"/>
      <c r="H213" s="79"/>
      <c r="I213" s="36"/>
    </row>
    <row r="214" spans="1:11" s="37" customFormat="1" ht="15.75" customHeight="1" x14ac:dyDescent="0.35">
      <c r="A214" s="79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&amp;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106 &amp; 306</v>
      </c>
      <c r="B214" s="79"/>
      <c r="C214" s="52">
        <v>1</v>
      </c>
      <c r="D214" s="56">
        <f>(32.3+2.5+1.08)*(10.764)</f>
        <v>386.21231999999992</v>
      </c>
      <c r="E214" s="56">
        <f>(4.32)*(10.764)</f>
        <v>46.500480000000003</v>
      </c>
      <c r="F214" s="62">
        <v>680</v>
      </c>
      <c r="G214" s="79"/>
      <c r="H214" s="79"/>
      <c r="I214" s="36"/>
    </row>
    <row r="215" spans="1:11" s="37" customFormat="1" x14ac:dyDescent="0.35">
      <c r="A215" s="74" t="s">
        <v>195</v>
      </c>
      <c r="B215" s="75"/>
      <c r="C215" s="75"/>
      <c r="D215" s="75"/>
      <c r="E215" s="75"/>
      <c r="F215" s="75"/>
      <c r="G215" s="75"/>
      <c r="H215" s="76"/>
      <c r="I215" s="36"/>
    </row>
    <row r="216" spans="1:11" s="37" customFormat="1" ht="15.75" customHeight="1" x14ac:dyDescent="0.35">
      <c r="A216" s="77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10^ROW(INDIRECT("1:"&amp;LEN((LEFT(A215,SUM(LEN(A215)-LEN(SUBSTITUTE(A215,{"0","1","2"},""))))))))/10))*100+1&amp;""&amp;" &amp;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",LEN(A215))),LEN(A215)))))))/10))*100+1</f>
        <v>201 &amp; 401</v>
      </c>
      <c r="B216" s="78"/>
      <c r="C216" s="52">
        <v>0</v>
      </c>
      <c r="D216" s="56">
        <f>(20.36+2.1)*(10.764)</f>
        <v>241.75943999999998</v>
      </c>
      <c r="E216" s="42">
        <v>0</v>
      </c>
      <c r="F216" s="42">
        <v>395</v>
      </c>
      <c r="G216" s="85" t="str">
        <f>A215</f>
        <v>2nd &amp; 4th Floor</v>
      </c>
      <c r="H216" s="86"/>
      <c r="I216" s="36"/>
    </row>
    <row r="217" spans="1:11" s="37" customFormat="1" ht="15.75" customHeight="1" x14ac:dyDescent="0.35">
      <c r="A217" s="77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&amp;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202 &amp; 402</v>
      </c>
      <c r="B217" s="78"/>
      <c r="C217" s="52">
        <v>0</v>
      </c>
      <c r="D217" s="56">
        <f>(23.14+2.6)*(10.764)</f>
        <v>277.06536</v>
      </c>
      <c r="E217" s="42">
        <v>0</v>
      </c>
      <c r="F217" s="42">
        <v>445</v>
      </c>
      <c r="G217" s="87"/>
      <c r="H217" s="88"/>
      <c r="I217" s="36"/>
    </row>
    <row r="218" spans="1:11" s="37" customFormat="1" ht="15.75" customHeight="1" x14ac:dyDescent="0.35">
      <c r="A218" s="77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&amp;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203 &amp; 403</v>
      </c>
      <c r="B218" s="78"/>
      <c r="C218" s="52">
        <v>2</v>
      </c>
      <c r="D218" s="56">
        <f>(50.97+10.87)*(10.764)</f>
        <v>665.64575999999988</v>
      </c>
      <c r="E218" s="42">
        <v>0</v>
      </c>
      <c r="F218" s="42">
        <v>1080</v>
      </c>
      <c r="G218" s="87"/>
      <c r="H218" s="88"/>
      <c r="I218" s="36"/>
    </row>
    <row r="219" spans="1:11" s="37" customFormat="1" ht="15.75" customHeight="1" x14ac:dyDescent="0.35">
      <c r="A219" s="77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&amp;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204 &amp; 404</v>
      </c>
      <c r="B219" s="78"/>
      <c r="C219" s="52">
        <v>1</v>
      </c>
      <c r="D219" s="56">
        <f>(32.17)*(10.764)</f>
        <v>346.27787999999998</v>
      </c>
      <c r="E219" s="42">
        <v>0</v>
      </c>
      <c r="F219" s="42">
        <v>565</v>
      </c>
      <c r="G219" s="87"/>
      <c r="H219" s="88"/>
      <c r="I219" s="36"/>
    </row>
    <row r="220" spans="1:11" s="37" customFormat="1" ht="15.75" customHeight="1" x14ac:dyDescent="0.35">
      <c r="A220" s="77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&amp;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205 &amp; 405</v>
      </c>
      <c r="B220" s="78"/>
      <c r="C220" s="52">
        <v>1</v>
      </c>
      <c r="D220" s="56">
        <f>(31.73+2.5+1.08)*(10.764)</f>
        <v>380.07684</v>
      </c>
      <c r="E220" s="42">
        <v>0</v>
      </c>
      <c r="F220" s="42">
        <v>600</v>
      </c>
      <c r="G220" s="87"/>
      <c r="H220" s="88"/>
      <c r="I220" s="36"/>
    </row>
    <row r="221" spans="1:11" s="37" customFormat="1" ht="15.75" customHeight="1" x14ac:dyDescent="0.35">
      <c r="A221" s="77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&amp;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206 &amp; 406</v>
      </c>
      <c r="B221" s="78"/>
      <c r="C221" s="52">
        <v>1</v>
      </c>
      <c r="D221" s="56">
        <f>(31.84+2.5+1.08)*(10.764)</f>
        <v>381.26087999999999</v>
      </c>
      <c r="E221" s="42">
        <v>0</v>
      </c>
      <c r="F221" s="42">
        <v>600</v>
      </c>
      <c r="G221" s="89"/>
      <c r="H221" s="90"/>
      <c r="I221" s="36"/>
    </row>
    <row r="222" spans="1:11" s="37" customFormat="1" x14ac:dyDescent="0.35">
      <c r="A222" s="74" t="s">
        <v>199</v>
      </c>
      <c r="B222" s="75"/>
      <c r="C222" s="75"/>
      <c r="D222" s="75"/>
      <c r="E222" s="75"/>
      <c r="F222" s="75"/>
      <c r="G222" s="75"/>
      <c r="H222" s="76"/>
      <c r="J222" s="36"/>
    </row>
    <row r="223" spans="1:11" s="37" customFormat="1" x14ac:dyDescent="0.35">
      <c r="A223" s="74" t="s">
        <v>194</v>
      </c>
      <c r="B223" s="75"/>
      <c r="C223" s="75"/>
      <c r="D223" s="75"/>
      <c r="E223" s="75"/>
      <c r="F223" s="75"/>
      <c r="G223" s="75"/>
      <c r="H223" s="76"/>
      <c r="I223" s="36"/>
    </row>
    <row r="224" spans="1:11" s="37" customFormat="1" ht="15.75" customHeight="1" x14ac:dyDescent="0.35">
      <c r="A224" s="77" t="str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10^ROW(INDIRECT("1:"&amp;LEN((LEFT(A223,SUM(LEN(A223)-LEN(SUBSTITUTE(A223,{"0","1","2"},""))))))))/10))*100+1&amp;""&amp;" &amp; "&amp;""&amp;(SUMPRODUCT(MID(0&amp;(--TRIM(RIGHT(SUBSTITUTE(LEFT(A223,_xlfn.AGGREGATE(16,6,FIND({0,1,2,3,4,5,6,7,8,9},A223,ROW(INDIRECT("1:"&amp;LEN(A223)))),1)),"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",LEN(A223))),LEN(A223)))))))/10))*100+1</f>
        <v>101 &amp; 301</v>
      </c>
      <c r="B224" s="78"/>
      <c r="C224" s="52">
        <v>1</v>
      </c>
      <c r="D224" s="56">
        <f>(31.84+1.08)*(10.764)</f>
        <v>354.35088000000002</v>
      </c>
      <c r="E224" s="42">
        <v>0</v>
      </c>
      <c r="F224" s="42">
        <v>565</v>
      </c>
      <c r="G224" s="85" t="str">
        <f>A223</f>
        <v>1st &amp; 3rd Floor</v>
      </c>
      <c r="H224" s="86"/>
      <c r="I224" s="36"/>
    </row>
    <row r="225" spans="1:10" s="37" customFormat="1" ht="15.75" customHeight="1" x14ac:dyDescent="0.35">
      <c r="A225" s="77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10^ROW(INDIRECT("1:"&amp;LEN((LEFT(A224,SUM(LEN(A224)-LEN(SUBSTITUTE(A224,{"0","1","2"},""))))))))/10))*1+1&amp;""&amp;" &amp;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",LEN(A224))),LEN(A224)))))))/10))*1+1</f>
        <v>102 &amp; 302</v>
      </c>
      <c r="B225" s="78"/>
      <c r="C225" s="52">
        <v>1</v>
      </c>
      <c r="D225" s="56">
        <f>(32.34+2.5+1.08)*(10.764)</f>
        <v>386.64287999999999</v>
      </c>
      <c r="E225" s="56">
        <f>(8.04)*(10.764)</f>
        <v>86.54255999999998</v>
      </c>
      <c r="F225" s="42">
        <v>755</v>
      </c>
      <c r="G225" s="87"/>
      <c r="H225" s="88"/>
      <c r="I225" s="36"/>
    </row>
    <row r="226" spans="1:10" s="37" customFormat="1" ht="15.75" customHeight="1" x14ac:dyDescent="0.35">
      <c r="A226" s="77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&amp;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103 &amp; 303</v>
      </c>
      <c r="B226" s="78"/>
      <c r="C226" s="52">
        <v>1</v>
      </c>
      <c r="D226" s="56">
        <f>(33.05+5.27+0.95)*(10.764)</f>
        <v>422.70227999999992</v>
      </c>
      <c r="E226" s="56">
        <f>(2.85)*(10.764)</f>
        <v>30.677399999999999</v>
      </c>
      <c r="F226" s="42">
        <v>720</v>
      </c>
      <c r="G226" s="87"/>
      <c r="H226" s="88"/>
      <c r="I226" s="36"/>
    </row>
    <row r="227" spans="1:10" s="37" customFormat="1" ht="15.75" customHeight="1" x14ac:dyDescent="0.35">
      <c r="A227" s="77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&amp;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104 &amp; 304</v>
      </c>
      <c r="B227" s="78"/>
      <c r="C227" s="52">
        <v>2</v>
      </c>
      <c r="D227" s="56">
        <f>(45.47+2.88+7.93+1.01)*(10.764)</f>
        <v>616.66955999999993</v>
      </c>
      <c r="E227" s="42">
        <v>0</v>
      </c>
      <c r="F227" s="42">
        <v>980</v>
      </c>
      <c r="G227" s="87"/>
      <c r="H227" s="88"/>
      <c r="I227" s="36"/>
    </row>
    <row r="228" spans="1:10" s="37" customFormat="1" ht="15.75" customHeight="1" x14ac:dyDescent="0.35">
      <c r="A228" s="77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&amp;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105 &amp; 305</v>
      </c>
      <c r="B228" s="78"/>
      <c r="C228" s="52">
        <v>0</v>
      </c>
      <c r="D228" s="56">
        <f>(19.37+3.05)*(10.764)</f>
        <v>241.32888</v>
      </c>
      <c r="E228" s="42">
        <v>0</v>
      </c>
      <c r="F228" s="42">
        <v>395</v>
      </c>
      <c r="G228" s="87"/>
      <c r="H228" s="88"/>
      <c r="I228" s="36"/>
    </row>
    <row r="229" spans="1:10" s="37" customFormat="1" ht="15.75" customHeight="1" x14ac:dyDescent="0.35">
      <c r="A229" s="77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&amp;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106 &amp; 306</v>
      </c>
      <c r="B229" s="78"/>
      <c r="C229" s="52">
        <v>1</v>
      </c>
      <c r="D229" s="56">
        <f>(32.19+2.65+1.08)*(10.764)</f>
        <v>386.64287999999993</v>
      </c>
      <c r="E229" s="56">
        <f>(3.46)*(10.764)</f>
        <v>37.24344</v>
      </c>
      <c r="F229" s="42">
        <v>680</v>
      </c>
      <c r="G229" s="87"/>
      <c r="H229" s="88"/>
      <c r="I229" s="36"/>
    </row>
    <row r="230" spans="1:10" s="37" customFormat="1" ht="15.75" customHeight="1" x14ac:dyDescent="0.35">
      <c r="A230" s="77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10^ROW(INDIRECT("1:"&amp;LEN((LEFT(A229,SUM(LEN(A229)-LEN(SUBSTITUTE(A229,{"0","1","2"},""))))))))/10))*1+1&amp;""&amp;" &amp;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",LEN(A229))),LEN(A229)))))))/10))*1+1</f>
        <v>107 &amp; 307</v>
      </c>
      <c r="B230" s="78"/>
      <c r="C230" s="52">
        <v>1</v>
      </c>
      <c r="D230" s="56">
        <f>(29.7+3.04+1.08)*(10.764)</f>
        <v>364.03847999999999</v>
      </c>
      <c r="E230" s="42">
        <v>0</v>
      </c>
      <c r="F230" s="42">
        <v>595</v>
      </c>
      <c r="G230" s="89"/>
      <c r="H230" s="90"/>
      <c r="I230" s="36"/>
    </row>
    <row r="231" spans="1:10" s="37" customFormat="1" x14ac:dyDescent="0.35">
      <c r="A231" s="74" t="s">
        <v>195</v>
      </c>
      <c r="B231" s="75"/>
      <c r="C231" s="75"/>
      <c r="D231" s="75"/>
      <c r="E231" s="75"/>
      <c r="F231" s="75"/>
      <c r="G231" s="75"/>
      <c r="H231" s="76"/>
      <c r="I231" s="36"/>
    </row>
    <row r="232" spans="1:10" s="37" customFormat="1" ht="15.75" customHeight="1" x14ac:dyDescent="0.35">
      <c r="A232" s="77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10^ROW(INDIRECT("1:"&amp;LEN((LEFT(A231,SUM(LEN(A231)-LEN(SUBSTITUTE(A231,{"0","1","2"},""))))))))/10))*100+1&amp;""&amp;" &amp;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",LEN(A231))),LEN(A231)))))))/10))*100+1</f>
        <v>201 &amp; 401</v>
      </c>
      <c r="B232" s="78"/>
      <c r="C232" s="52">
        <v>1</v>
      </c>
      <c r="D232" s="56">
        <f>(32.26+1.08)*(10.764)</f>
        <v>358.87175999999994</v>
      </c>
      <c r="E232" s="56">
        <f>(4.39)*(10.764)</f>
        <v>47.253959999999992</v>
      </c>
      <c r="F232" s="42">
        <v>645</v>
      </c>
      <c r="G232" s="85" t="str">
        <f>A231</f>
        <v>2nd &amp; 4th Floor</v>
      </c>
      <c r="H232" s="86"/>
      <c r="I232" s="36"/>
    </row>
    <row r="233" spans="1:10" s="37" customFormat="1" ht="15.75" customHeight="1" x14ac:dyDescent="0.35">
      <c r="A233" s="77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&amp;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202 &amp; 402</v>
      </c>
      <c r="B233" s="78"/>
      <c r="C233" s="52">
        <v>1</v>
      </c>
      <c r="D233" s="56">
        <f>(31.5+2.5+1.08)*(10.764)</f>
        <v>377.60111999999998</v>
      </c>
      <c r="E233" s="42">
        <v>0</v>
      </c>
      <c r="F233" s="42">
        <v>600</v>
      </c>
      <c r="G233" s="87"/>
      <c r="H233" s="88"/>
      <c r="I233" s="36"/>
    </row>
    <row r="234" spans="1:10" s="37" customFormat="1" ht="15.75" customHeight="1" x14ac:dyDescent="0.35">
      <c r="A234" s="77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&amp;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203 &amp; 403</v>
      </c>
      <c r="B234" s="78"/>
      <c r="C234" s="52">
        <v>1</v>
      </c>
      <c r="D234" s="56">
        <f>(32.63+5.27+0.95)*(10.764)</f>
        <v>418.18140000000005</v>
      </c>
      <c r="E234" s="42">
        <v>0</v>
      </c>
      <c r="F234" s="42">
        <v>670</v>
      </c>
      <c r="G234" s="87"/>
      <c r="H234" s="88"/>
      <c r="I234" s="36"/>
    </row>
    <row r="235" spans="1:10" s="37" customFormat="1" ht="15.75" customHeight="1" x14ac:dyDescent="0.35">
      <c r="A235" s="77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&amp;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204 &amp; 404</v>
      </c>
      <c r="B235" s="78"/>
      <c r="C235" s="52">
        <v>2</v>
      </c>
      <c r="D235" s="56">
        <f>(45.47+2.88+7.93+1.01)*(10.764)</f>
        <v>616.66955999999993</v>
      </c>
      <c r="E235" s="42">
        <v>0</v>
      </c>
      <c r="F235" s="42">
        <v>980</v>
      </c>
      <c r="G235" s="87"/>
      <c r="H235" s="88"/>
      <c r="I235" s="36"/>
    </row>
    <row r="236" spans="1:10" s="37" customFormat="1" ht="15.75" customHeight="1" x14ac:dyDescent="0.35">
      <c r="A236" s="77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&amp;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205 &amp; 405</v>
      </c>
      <c r="B236" s="78"/>
      <c r="C236" s="52">
        <v>0</v>
      </c>
      <c r="D236" s="56">
        <f>(19.37+3.05)*(10.764)</f>
        <v>241.32888</v>
      </c>
      <c r="E236" s="42">
        <v>0</v>
      </c>
      <c r="F236" s="42">
        <v>395</v>
      </c>
      <c r="G236" s="87"/>
      <c r="H236" s="88"/>
      <c r="I236" s="36"/>
    </row>
    <row r="237" spans="1:10" s="37" customFormat="1" ht="15.75" customHeight="1" x14ac:dyDescent="0.35">
      <c r="A237" s="77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&amp;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206 &amp; 406</v>
      </c>
      <c r="B237" s="78"/>
      <c r="C237" s="52">
        <v>1</v>
      </c>
      <c r="D237" s="56">
        <f>(31.63+2.65+1.08)*(10.764)</f>
        <v>380.61503999999996</v>
      </c>
      <c r="E237" s="42">
        <v>0</v>
      </c>
      <c r="F237" s="42">
        <v>615</v>
      </c>
      <c r="G237" s="87"/>
      <c r="H237" s="88"/>
      <c r="I237" s="36"/>
    </row>
    <row r="238" spans="1:10" s="37" customFormat="1" ht="15.75" customHeight="1" x14ac:dyDescent="0.35">
      <c r="A238" s="77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&amp;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207 &amp; 407</v>
      </c>
      <c r="B238" s="78"/>
      <c r="C238" s="52">
        <v>1</v>
      </c>
      <c r="D238" s="56">
        <f>(30.13+3.04+1.08)*(10.764)</f>
        <v>368.66699999999997</v>
      </c>
      <c r="E238" s="42">
        <v>0</v>
      </c>
      <c r="F238" s="42">
        <v>595</v>
      </c>
      <c r="G238" s="89"/>
      <c r="H238" s="90"/>
      <c r="I238" s="36"/>
    </row>
    <row r="239" spans="1:10" s="37" customFormat="1" x14ac:dyDescent="0.35">
      <c r="A239" s="74" t="s">
        <v>193</v>
      </c>
      <c r="B239" s="75"/>
      <c r="C239" s="75"/>
      <c r="D239" s="75"/>
      <c r="E239" s="75"/>
      <c r="F239" s="75"/>
      <c r="G239" s="75"/>
      <c r="H239" s="76"/>
      <c r="J239" s="36"/>
    </row>
    <row r="240" spans="1:10" s="37" customFormat="1" x14ac:dyDescent="0.35">
      <c r="A240" s="74" t="s">
        <v>196</v>
      </c>
      <c r="B240" s="75"/>
      <c r="C240" s="75"/>
      <c r="D240" s="75"/>
      <c r="E240" s="75"/>
      <c r="F240" s="75"/>
      <c r="G240" s="75"/>
      <c r="H240" s="76"/>
      <c r="J240" s="36"/>
    </row>
    <row r="241" spans="1:12" s="37" customFormat="1" x14ac:dyDescent="0.35">
      <c r="A241" s="74" t="s">
        <v>194</v>
      </c>
      <c r="B241" s="75"/>
      <c r="C241" s="75"/>
      <c r="D241" s="75"/>
      <c r="E241" s="75"/>
      <c r="F241" s="75"/>
      <c r="G241" s="75"/>
      <c r="H241" s="76"/>
      <c r="I241" s="36"/>
    </row>
    <row r="242" spans="1:12" s="37" customFormat="1" ht="15.75" customHeight="1" x14ac:dyDescent="0.35">
      <c r="A242" s="77" t="str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10^ROW(INDIRECT("1:"&amp;LEN((LEFT(A241,SUM(LEN(A241)-LEN(SUBSTITUTE(A241,{"0","1","2"},""))))))))/10))*100+1&amp;""&amp;" &amp; "&amp;""&amp;(SUMPRODUCT(MID(0&amp;(--TRIM(RIGHT(SUBSTITUTE(LEFT(A241,_xlfn.AGGREGATE(16,6,FIND({0,1,2,3,4,5,6,7,8,9},A241,ROW(INDIRECT("1:"&amp;LEN(A241)))),1)),"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",LEN(A241))),LEN(A241)))))))/10))*100+1</f>
        <v>101 &amp; 301</v>
      </c>
      <c r="B242" s="78"/>
      <c r="C242" s="52">
        <v>1</v>
      </c>
      <c r="D242" s="56">
        <f>(32.95+5.25+0.887)*(10.764)</f>
        <v>420.73246799999998</v>
      </c>
      <c r="E242" s="42">
        <v>0</v>
      </c>
      <c r="F242" s="42">
        <v>675</v>
      </c>
      <c r="G242" s="85" t="str">
        <f>A241</f>
        <v>1st &amp; 3rd Floor</v>
      </c>
      <c r="H242" s="86"/>
      <c r="I242" s="36"/>
      <c r="J242" s="37">
        <f>F242/D242</f>
        <v>1.6043449254313313</v>
      </c>
    </row>
    <row r="243" spans="1:12" s="37" customFormat="1" ht="15.75" customHeight="1" x14ac:dyDescent="0.35">
      <c r="A243" s="77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10^ROW(INDIRECT("1:"&amp;LEN((LEFT(A242,SUM(LEN(A242)-LEN(SUBSTITUTE(A242,{"0","1","2"},""))))))))/10))*1+1&amp;""&amp;" &amp;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",LEN(A242))),LEN(A242)))))))/10))*1+1</f>
        <v>102 &amp; 302</v>
      </c>
      <c r="B243" s="78"/>
      <c r="C243" s="52">
        <v>1</v>
      </c>
      <c r="D243" s="56">
        <f>(33.79+5.25+0.887)*(10.764)</f>
        <v>429.77422799999999</v>
      </c>
      <c r="E243" s="56">
        <f>(4.59)*(10.764)</f>
        <v>49.406759999999998</v>
      </c>
      <c r="F243" s="42">
        <v>765</v>
      </c>
      <c r="G243" s="87"/>
      <c r="H243" s="88"/>
      <c r="I243" s="36"/>
      <c r="J243" s="37">
        <f t="shared" ref="J243:J247" si="23">F243/D243</f>
        <v>1.7800043608012717</v>
      </c>
    </row>
    <row r="244" spans="1:12" s="37" customFormat="1" ht="15.75" customHeight="1" x14ac:dyDescent="0.35">
      <c r="A244" s="77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&amp;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103 &amp; 303</v>
      </c>
      <c r="B244" s="78"/>
      <c r="C244" s="52">
        <v>2</v>
      </c>
      <c r="D244" s="56">
        <f>(46.22+8.15)*(10.764)</f>
        <v>585.23867999999993</v>
      </c>
      <c r="E244" s="42">
        <v>0</v>
      </c>
      <c r="F244" s="42">
        <v>1000</v>
      </c>
      <c r="G244" s="87"/>
      <c r="H244" s="88"/>
      <c r="I244" s="36"/>
      <c r="J244" s="37">
        <f t="shared" si="23"/>
        <v>1.7087045579420692</v>
      </c>
    </row>
    <row r="245" spans="1:12" s="37" customFormat="1" ht="15.75" customHeight="1" x14ac:dyDescent="0.35">
      <c r="A245" s="77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&amp;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104 &amp; 304</v>
      </c>
      <c r="B245" s="78"/>
      <c r="C245" s="52">
        <v>1</v>
      </c>
      <c r="D245" s="56">
        <f>(32.92+11.25)*(10.764)</f>
        <v>475.44587999999999</v>
      </c>
      <c r="E245" s="42">
        <v>0</v>
      </c>
      <c r="F245" s="42">
        <v>712</v>
      </c>
      <c r="G245" s="87"/>
      <c r="H245" s="88"/>
      <c r="I245" s="36"/>
      <c r="J245" s="37">
        <f t="shared" si="23"/>
        <v>1.4975416339710421</v>
      </c>
    </row>
    <row r="246" spans="1:12" s="37" customFormat="1" ht="15.75" customHeight="1" x14ac:dyDescent="0.35">
      <c r="A246" s="77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&amp;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105 &amp; 305</v>
      </c>
      <c r="B246" s="78"/>
      <c r="C246" s="52">
        <v>1</v>
      </c>
      <c r="D246" s="56">
        <f>(33.43+5.1+0.99)*(10.764)</f>
        <v>425.39328</v>
      </c>
      <c r="E246" s="56">
        <f>(3.19)*(10.764)</f>
        <v>34.337159999999997</v>
      </c>
      <c r="F246" s="42">
        <v>740</v>
      </c>
      <c r="G246" s="87"/>
      <c r="H246" s="88"/>
      <c r="I246" s="36"/>
      <c r="J246" s="37">
        <f t="shared" si="23"/>
        <v>1.7395667369263568</v>
      </c>
    </row>
    <row r="247" spans="1:12" s="37" customFormat="1" ht="15.75" customHeight="1" x14ac:dyDescent="0.35">
      <c r="A247" s="77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&amp;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106 &amp; 306</v>
      </c>
      <c r="B247" s="78"/>
      <c r="C247" s="52">
        <v>1</v>
      </c>
      <c r="D247" s="56">
        <f>(33.76+5.75+0.99)*(10.764)</f>
        <v>435.94199999999995</v>
      </c>
      <c r="E247" s="56">
        <f>(3.48)*(10.764)</f>
        <v>37.45872</v>
      </c>
      <c r="F247" s="42">
        <v>755</v>
      </c>
      <c r="G247" s="89"/>
      <c r="H247" s="90"/>
      <c r="I247" s="36"/>
      <c r="J247" s="37">
        <f t="shared" si="23"/>
        <v>1.7318817640878834</v>
      </c>
    </row>
    <row r="248" spans="1:12" s="37" customFormat="1" x14ac:dyDescent="0.35">
      <c r="A248" s="74" t="s">
        <v>195</v>
      </c>
      <c r="B248" s="75"/>
      <c r="C248" s="75"/>
      <c r="D248" s="75"/>
      <c r="E248" s="75"/>
      <c r="F248" s="75"/>
      <c r="G248" s="75"/>
      <c r="H248" s="76"/>
      <c r="I248" s="36"/>
    </row>
    <row r="249" spans="1:12" s="37" customFormat="1" ht="15.75" customHeight="1" x14ac:dyDescent="0.35">
      <c r="A249" s="77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10^ROW(INDIRECT("1:"&amp;LEN((LEFT(A248,SUM(LEN(A248)-LEN(SUBSTITUTE(A248,{"0","1","2"},""))))))))/10))*100+1&amp;""&amp;" &amp;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",LEN(A248))),LEN(A248)))))))/10))*100+1</f>
        <v>201 &amp; 401</v>
      </c>
      <c r="B249" s="78"/>
      <c r="C249" s="52">
        <v>1</v>
      </c>
      <c r="D249" s="56">
        <f>(32.96+5.25+0.887)*(10.764)</f>
        <v>420.84010799999999</v>
      </c>
      <c r="E249" s="42">
        <v>0</v>
      </c>
      <c r="F249" s="42">
        <v>675</v>
      </c>
      <c r="G249" s="85" t="str">
        <f>A248</f>
        <v>2nd &amp; 4th Floor</v>
      </c>
      <c r="H249" s="86"/>
      <c r="I249" s="36"/>
      <c r="J249" s="37">
        <f>F249/D249</f>
        <v>1.6039345755514349</v>
      </c>
    </row>
    <row r="250" spans="1:12" s="37" customFormat="1" ht="15.75" customHeight="1" x14ac:dyDescent="0.35">
      <c r="A250" s="77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10^ROW(INDIRECT("1:"&amp;LEN((LEFT(A249,SUM(LEN(A249)-LEN(SUBSTITUTE(A249,{"0","1","2"},""))))))))/10))*1+1&amp;""&amp;" &amp;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",LEN(A249))),LEN(A249)))))))/10))*1+1</f>
        <v>202 &amp; 402</v>
      </c>
      <c r="B250" s="78"/>
      <c r="C250" s="52">
        <v>1</v>
      </c>
      <c r="D250" s="56">
        <f>(33.38+5.25+0.887)*(10.764)</f>
        <v>425.36098800000002</v>
      </c>
      <c r="E250" s="42">
        <v>0</v>
      </c>
      <c r="F250" s="42">
        <v>675</v>
      </c>
      <c r="G250" s="87"/>
      <c r="H250" s="88"/>
      <c r="I250" s="36"/>
      <c r="J250" s="37">
        <f t="shared" ref="J250:J313" si="24">F250/D250</f>
        <v>1.5868874180816976</v>
      </c>
      <c r="L250" s="56">
        <f>10.764</f>
        <v>10.763999999999999</v>
      </c>
    </row>
    <row r="251" spans="1:12" s="37" customFormat="1" ht="15.75" customHeight="1" x14ac:dyDescent="0.35">
      <c r="A251" s="77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10^ROW(INDIRECT("1:"&amp;LEN((LEFT(A250,SUM(LEN(A250)-LEN(SUBSTITUTE(A250,{"0","1","2"},""))))))))/10))*1+1&amp;""&amp;" &amp;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",LEN(A250))),LEN(A250)))))))/10))*1+1</f>
        <v>203 &amp; 403</v>
      </c>
      <c r="B251" s="78"/>
      <c r="C251" s="52">
        <v>2</v>
      </c>
      <c r="D251" s="56">
        <f>(46.22+8.15)*(10.764)</f>
        <v>585.23867999999993</v>
      </c>
      <c r="E251" s="42">
        <v>0</v>
      </c>
      <c r="F251" s="42">
        <v>1000</v>
      </c>
      <c r="G251" s="87"/>
      <c r="H251" s="88"/>
      <c r="I251" s="36"/>
      <c r="J251" s="37">
        <f t="shared" si="24"/>
        <v>1.7087045579420692</v>
      </c>
    </row>
    <row r="252" spans="1:12" s="37" customFormat="1" ht="15.75" customHeight="1" x14ac:dyDescent="0.35">
      <c r="A252" s="77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10^ROW(INDIRECT("1:"&amp;LEN((LEFT(A251,SUM(LEN(A251)-LEN(SUBSTITUTE(A251,{"0","1","2"},""))))))))/10))*1+1&amp;""&amp;" &amp;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",LEN(A251))),LEN(A251)))))))/10))*1+1</f>
        <v>204 &amp; 404</v>
      </c>
      <c r="B252" s="78"/>
      <c r="C252" s="52">
        <v>1</v>
      </c>
      <c r="D252" s="56">
        <f>(32.92+11.25)*(10.764)</f>
        <v>475.44587999999999</v>
      </c>
      <c r="E252" s="42">
        <v>0</v>
      </c>
      <c r="F252" s="42">
        <v>712</v>
      </c>
      <c r="G252" s="87"/>
      <c r="H252" s="88"/>
      <c r="I252" s="36"/>
      <c r="J252" s="37">
        <f t="shared" si="24"/>
        <v>1.4975416339710421</v>
      </c>
    </row>
    <row r="253" spans="1:12" s="37" customFormat="1" ht="15.75" customHeight="1" x14ac:dyDescent="0.35">
      <c r="A253" s="77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&amp;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205 &amp; 405</v>
      </c>
      <c r="B253" s="78"/>
      <c r="C253" s="52">
        <v>1</v>
      </c>
      <c r="D253" s="56">
        <f>(33+5.1+0.99)*(10.764)</f>
        <v>420.76476000000002</v>
      </c>
      <c r="E253" s="42">
        <v>0</v>
      </c>
      <c r="F253" s="42">
        <v>670</v>
      </c>
      <c r="G253" s="87"/>
      <c r="H253" s="88"/>
      <c r="I253" s="36"/>
      <c r="J253" s="37">
        <f t="shared" si="24"/>
        <v>1.5923386739897134</v>
      </c>
    </row>
    <row r="254" spans="1:12" s="37" customFormat="1" ht="15.75" customHeight="1" x14ac:dyDescent="0.35">
      <c r="A254" s="77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&amp;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206 &amp; 406</v>
      </c>
      <c r="B254" s="78"/>
      <c r="C254" s="52">
        <v>1</v>
      </c>
      <c r="D254" s="56">
        <f>(33.32+5.75+0.99)*(10.764)</f>
        <v>431.20584000000002</v>
      </c>
      <c r="E254" s="42">
        <v>0</v>
      </c>
      <c r="F254" s="42">
        <v>685</v>
      </c>
      <c r="G254" s="89"/>
      <c r="H254" s="90"/>
      <c r="I254" s="36"/>
      <c r="J254" s="37">
        <f t="shared" si="24"/>
        <v>1.58856846651242</v>
      </c>
    </row>
    <row r="255" spans="1:12" s="37" customFormat="1" x14ac:dyDescent="0.35">
      <c r="A255" s="106" t="s">
        <v>197</v>
      </c>
      <c r="B255" s="106"/>
      <c r="C255" s="106"/>
      <c r="D255" s="106"/>
      <c r="E255" s="106"/>
      <c r="F255" s="106"/>
      <c r="G255" s="106"/>
      <c r="H255" s="106"/>
      <c r="J255" s="37" t="e">
        <f t="shared" si="24"/>
        <v>#DIV/0!</v>
      </c>
    </row>
    <row r="256" spans="1:12" s="37" customFormat="1" x14ac:dyDescent="0.35">
      <c r="A256" s="106" t="s">
        <v>194</v>
      </c>
      <c r="B256" s="106"/>
      <c r="C256" s="106"/>
      <c r="D256" s="106"/>
      <c r="E256" s="106"/>
      <c r="F256" s="106"/>
      <c r="G256" s="106"/>
      <c r="H256" s="106"/>
      <c r="I256" s="36"/>
      <c r="J256" s="37" t="e">
        <f t="shared" si="24"/>
        <v>#DIV/0!</v>
      </c>
    </row>
    <row r="257" spans="1:10" s="37" customFormat="1" ht="15.75" customHeight="1" x14ac:dyDescent="0.35">
      <c r="A257" s="79" t="str">
        <f ca="1">(SUMPRODUCT(MID(0&amp;(LEFT(A256,SUM(LEN(A256)-LEN(SUBSTITUTE(A256,{"0","1","2"},""))))), LARGE(INDEX(ISNUMBER(--MID((LEFT(A256,SUM(LEN(A256)-LEN(SUBSTITUTE(A256,{"0","1","2"},""))))), ROW(INDIRECT("1:"&amp;LEN((LEFT(A256,SUM(LEN(A256)-LEN(SUBSTITUTE(A256,{"0","1","2"},"")))))))), 1)) * ROW(INDIRECT("1:"&amp;LEN((LEFT(A256,SUM(LEN(A256)-LEN(SUBSTITUTE(A256,{"0","1","2"},"")))))))), 0), ROW(INDIRECT("1:"&amp;LEN((LEFT(A256,SUM(LEN(A256)-LEN(SUBSTITUTE(A256,{"0","1","2"},"")))))))))+1, 1) * 10^ROW(INDIRECT("1:"&amp;LEN((LEFT(A256,SUM(LEN(A256)-LEN(SUBSTITUTE(A256,{"0","1","2"},""))))))))/10))*100+1&amp;""&amp;" &amp; "&amp;""&amp;(SUMPRODUCT(MID(0&amp;(--TRIM(RIGHT(SUBSTITUTE(LEFT(A256,_xlfn.AGGREGATE(16,6,FIND({0,1,2,3,4,5,6,7,8,9},A256,ROW(INDIRECT("1:"&amp;LEN(A256)))),1))," ",REPT(" ",LEN(A256))),LEN(A256)))), LARGE(INDEX(ISNUMBER(--MID((--TRIM(RIGHT(SUBSTITUTE(LEFT(A256,_xlfn.AGGREGATE(16,6,FIND({0,1,2,3,4,5,6,7,8,9},A256,ROW(INDIRECT("1:"&amp;LEN(A256)))),1))," ",REPT(" ",LEN(A256))),LEN(A256)))), ROW(INDIRECT("1:"&amp;LEN((--TRIM(RIGHT(SUBSTITUTE(LEFT(A256,_xlfn.AGGREGATE(16,6,FIND({0,1,2,3,4,5,6,7,8,9},A256,ROW(INDIRECT("1:"&amp;LEN(A256)))),1))," ",REPT(" ",LEN(A256))),LEN(A256))))))), 1)) * ROW(INDIRECT("1:"&amp;LEN((--TRIM(RIGHT(SUBSTITUTE(LEFT(A256,_xlfn.AGGREGATE(16,6,FIND({0,1,2,3,4,5,6,7,8,9},A256,ROW(INDIRECT("1:"&amp;LEN(A256)))),1))," ",REPT(" ",LEN(A256))),LEN(A256))))))), 0), ROW(INDIRECT("1:"&amp;LEN((--TRIM(RIGHT(SUBSTITUTE(LEFT(A256,_xlfn.AGGREGATE(16,6,FIND({0,1,2,3,4,5,6,7,8,9},A256,ROW(INDIRECT("1:"&amp;LEN(A256)))),1))," ",REPT(" ",LEN(A256))),LEN(A256))))))))+1, 1) * 10^ROW(INDIRECT("1:"&amp;LEN((--TRIM(RIGHT(SUBSTITUTE(LEFT(A256,_xlfn.AGGREGATE(16,6,FIND({0,1,2,3,4,5,6,7,8,9},A256,ROW(INDIRECT("1:"&amp;LEN(A256)))),1))," ",REPT(" ",LEN(A256))),LEN(A256)))))))/10))*100+1</f>
        <v>101 &amp; 301</v>
      </c>
      <c r="B257" s="79"/>
      <c r="C257" s="52">
        <v>2</v>
      </c>
      <c r="D257" s="56">
        <f>(48.08+6.2)*(10.764)</f>
        <v>584.26991999999996</v>
      </c>
      <c r="E257" s="62">
        <v>0</v>
      </c>
      <c r="F257" s="62">
        <v>950</v>
      </c>
      <c r="G257" s="79" t="str">
        <f>A256</f>
        <v>1st &amp; 3rd Floor</v>
      </c>
      <c r="H257" s="79"/>
      <c r="I257" s="36"/>
      <c r="J257" s="37">
        <f t="shared" si="24"/>
        <v>1.6259608230387765</v>
      </c>
    </row>
    <row r="258" spans="1:10" s="37" customFormat="1" ht="15.75" customHeight="1" x14ac:dyDescent="0.35">
      <c r="A258" s="79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10^ROW(INDIRECT("1:"&amp;LEN((LEFT(A257,SUM(LEN(A257)-LEN(SUBSTITUTE(A257,{"0","1","2"},""))))))))/10))*1+1&amp;""&amp;" &amp;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",LEN(A257))),LEN(A257)))))))/10))*1+1</f>
        <v>102 &amp; 302</v>
      </c>
      <c r="B258" s="79"/>
      <c r="C258" s="52">
        <v>2</v>
      </c>
      <c r="D258" s="56">
        <f>(48.12+8.46)*(10.764)</f>
        <v>609.02711999999997</v>
      </c>
      <c r="E258" s="56">
        <f>(3.6)*(10.764)</f>
        <v>38.750399999999999</v>
      </c>
      <c r="F258" s="62">
        <v>1050</v>
      </c>
      <c r="G258" s="79"/>
      <c r="H258" s="79"/>
      <c r="I258" s="36"/>
      <c r="J258" s="37">
        <f t="shared" si="24"/>
        <v>1.7240611551091518</v>
      </c>
    </row>
    <row r="259" spans="1:10" s="37" customFormat="1" ht="15.75" customHeight="1" x14ac:dyDescent="0.35">
      <c r="A259" s="79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&amp;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103 &amp; 303</v>
      </c>
      <c r="B259" s="79"/>
      <c r="C259" s="52">
        <v>1</v>
      </c>
      <c r="D259" s="56">
        <f>(32.92+8.15)*(10.764)</f>
        <v>442.07747999999998</v>
      </c>
      <c r="E259" s="62">
        <v>0</v>
      </c>
      <c r="F259" s="62">
        <v>712</v>
      </c>
      <c r="G259" s="79"/>
      <c r="H259" s="79"/>
      <c r="I259" s="36"/>
      <c r="J259" s="37">
        <f t="shared" si="24"/>
        <v>1.6105774037618927</v>
      </c>
    </row>
    <row r="260" spans="1:10" s="37" customFormat="1" ht="15.75" customHeight="1" x14ac:dyDescent="0.35">
      <c r="A260" s="79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&amp;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104 &amp; 304</v>
      </c>
      <c r="B260" s="79"/>
      <c r="C260" s="52">
        <v>2</v>
      </c>
      <c r="D260" s="56">
        <f>(47.43+6.2)*(10.764)</f>
        <v>577.27332000000001</v>
      </c>
      <c r="E260" s="56">
        <f>(3.972)*(10.764)</f>
        <v>42.754607999999998</v>
      </c>
      <c r="F260" s="57">
        <v>950</v>
      </c>
      <c r="G260" s="79"/>
      <c r="H260" s="79"/>
      <c r="I260" s="36"/>
      <c r="J260" s="37">
        <f t="shared" si="24"/>
        <v>1.6456676016137382</v>
      </c>
    </row>
    <row r="261" spans="1:10" s="37" customFormat="1" ht="15.75" customHeight="1" x14ac:dyDescent="0.35">
      <c r="A261" s="79" t="str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10^ROW(INDIRECT("1:"&amp;LEN((LEFT(A260,SUM(LEN(A260)-LEN(SUBSTITUTE(A260,{"0","1","2"},""))))))))/10))*1+1&amp;""&amp;" &amp; "&amp;""&amp;(SUMPRODUCT(MID(0&amp;(--TRIM(RIGHT(SUBSTITUTE(LEFT(A260,_xlfn.AGGREGATE(16,6,FIND({0,1,2,3,4,5,6,7,8,9},A260,ROW(INDIRECT("1:"&amp;LEN(A260)))),1)),"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",LEN(A260))),LEN(A260)))))))/10))*1+1</f>
        <v>105 &amp; 305</v>
      </c>
      <c r="B261" s="79"/>
      <c r="C261" s="52">
        <v>1</v>
      </c>
      <c r="D261" s="56">
        <f>(37.48)*(10.764)</f>
        <v>403.43471999999997</v>
      </c>
      <c r="E261" s="56">
        <f>(8.461)*(10.764)</f>
        <v>91.074203999999995</v>
      </c>
      <c r="F261" s="57">
        <v>745</v>
      </c>
      <c r="G261" s="79"/>
      <c r="H261" s="79"/>
      <c r="I261" s="36"/>
      <c r="J261" s="37">
        <f t="shared" si="24"/>
        <v>1.8466432437941882</v>
      </c>
    </row>
    <row r="262" spans="1:10" s="37" customFormat="1" ht="15.75" customHeight="1" x14ac:dyDescent="0.35">
      <c r="A262" s="79" t="str">
        <f ca="1">(SUMPRODUCT(MID(0&amp;(LEFT(A261,SUM(LEN(A261)-LEN(SUBSTITUTE(A261,{"0","1","2"},""))))), LARGE(INDEX(ISNUMBER(--MID((LEFT(A261,SUM(LEN(A261)-LEN(SUBSTITUTE(A261,{"0","1","2"},""))))), ROW(INDIRECT("1:"&amp;LEN((LEFT(A261,SUM(LEN(A261)-LEN(SUBSTITUTE(A261,{"0","1","2"},"")))))))), 1)) * ROW(INDIRECT("1:"&amp;LEN((LEFT(A261,SUM(LEN(A261)-LEN(SUBSTITUTE(A261,{"0","1","2"},"")))))))), 0), ROW(INDIRECT("1:"&amp;LEN((LEFT(A261,SUM(LEN(A261)-LEN(SUBSTITUTE(A261,{"0","1","2"},"")))))))))+1, 1) * 10^ROW(INDIRECT("1:"&amp;LEN((LEFT(A261,SUM(LEN(A261)-LEN(SUBSTITUTE(A261,{"0","1","2"},""))))))))/10))*1+1&amp;""&amp;" &amp; "&amp;""&amp;(SUMPRODUCT(MID(0&amp;(--TRIM(RIGHT(SUBSTITUTE(LEFT(A261,_xlfn.AGGREGATE(16,6,FIND({0,1,2,3,4,5,6,7,8,9},A261,ROW(INDIRECT("1:"&amp;LEN(A261)))),1))," ",REPT(" ",LEN(A261))),LEN(A261)))), LARGE(INDEX(ISNUMBER(--MID((--TRIM(RIGHT(SUBSTITUTE(LEFT(A261,_xlfn.AGGREGATE(16,6,FIND({0,1,2,3,4,5,6,7,8,9},A261,ROW(INDIRECT("1:"&amp;LEN(A261)))),1))," ",REPT(" ",LEN(A261))),LEN(A261)))), ROW(INDIRECT("1:"&amp;LEN((--TRIM(RIGHT(SUBSTITUTE(LEFT(A261,_xlfn.AGGREGATE(16,6,FIND({0,1,2,3,4,5,6,7,8,9},A261,ROW(INDIRECT("1:"&amp;LEN(A261)))),1))," ",REPT(" ",LEN(A261))),LEN(A261))))))), 1)) * ROW(INDIRECT("1:"&amp;LEN((--TRIM(RIGHT(SUBSTITUTE(LEFT(A261,_xlfn.AGGREGATE(16,6,FIND({0,1,2,3,4,5,6,7,8,9},A261,ROW(INDIRECT("1:"&amp;LEN(A261)))),1))," ",REPT(" ",LEN(A261))),LEN(A261))))))), 0), ROW(INDIRECT("1:"&amp;LEN((--TRIM(RIGHT(SUBSTITUTE(LEFT(A261,_xlfn.AGGREGATE(16,6,FIND({0,1,2,3,4,5,6,7,8,9},A261,ROW(INDIRECT("1:"&amp;LEN(A261)))),1))," ",REPT(" ",LEN(A261))),LEN(A261))))))))+1, 1) * 10^ROW(INDIRECT("1:"&amp;LEN((--TRIM(RIGHT(SUBSTITUTE(LEFT(A261,_xlfn.AGGREGATE(16,6,FIND({0,1,2,3,4,5,6,7,8,9},A261,ROW(INDIRECT("1:"&amp;LEN(A261)))),1))," ",REPT(" ",LEN(A261))),LEN(A261)))))))/10))*1+1</f>
        <v>106 &amp; 306</v>
      </c>
      <c r="B262" s="79"/>
      <c r="C262" s="52">
        <v>1</v>
      </c>
      <c r="D262" s="56">
        <f>(32.16)*(10.764)</f>
        <v>346.17023999999992</v>
      </c>
      <c r="E262" s="62">
        <v>0</v>
      </c>
      <c r="F262" s="62">
        <v>565</v>
      </c>
      <c r="G262" s="79"/>
      <c r="H262" s="79"/>
      <c r="I262" s="36"/>
      <c r="J262" s="37">
        <f t="shared" si="24"/>
        <v>1.6321449238386296</v>
      </c>
    </row>
    <row r="263" spans="1:10" s="37" customFormat="1" x14ac:dyDescent="0.35">
      <c r="A263" s="74" t="s">
        <v>195</v>
      </c>
      <c r="B263" s="75"/>
      <c r="C263" s="75"/>
      <c r="D263" s="75"/>
      <c r="E263" s="75"/>
      <c r="F263" s="75"/>
      <c r="G263" s="75"/>
      <c r="H263" s="76"/>
      <c r="I263" s="36"/>
      <c r="J263" s="37" t="e">
        <f t="shared" si="24"/>
        <v>#DIV/0!</v>
      </c>
    </row>
    <row r="264" spans="1:10" s="37" customFormat="1" ht="15.75" customHeight="1" x14ac:dyDescent="0.35">
      <c r="A264" s="77" t="str">
        <f ca="1">(SUMPRODUCT(MID(0&amp;(LEFT(A263,SUM(LEN(A263)-LEN(SUBSTITUTE(A263,{"0","1","2"},""))))), LARGE(INDEX(ISNUMBER(--MID((LEFT(A263,SUM(LEN(A263)-LEN(SUBSTITUTE(A263,{"0","1","2"},""))))), ROW(INDIRECT("1:"&amp;LEN((LEFT(A263,SUM(LEN(A263)-LEN(SUBSTITUTE(A263,{"0","1","2"},"")))))))), 1)) * ROW(INDIRECT("1:"&amp;LEN((LEFT(A263,SUM(LEN(A263)-LEN(SUBSTITUTE(A263,{"0","1","2"},"")))))))), 0), ROW(INDIRECT("1:"&amp;LEN((LEFT(A263,SUM(LEN(A263)-LEN(SUBSTITUTE(A263,{"0","1","2"},"")))))))))+1, 1) * 10^ROW(INDIRECT("1:"&amp;LEN((LEFT(A263,SUM(LEN(A263)-LEN(SUBSTITUTE(A263,{"0","1","2"},""))))))))/10))*100+1&amp;""&amp;" &amp; "&amp;""&amp;(SUMPRODUCT(MID(0&amp;(--TRIM(RIGHT(SUBSTITUTE(LEFT(A263,_xlfn.AGGREGATE(16,6,FIND({0,1,2,3,4,5,6,7,8,9},A263,ROW(INDIRECT("1:"&amp;LEN(A263)))),1))," ",REPT(" ",LEN(A263))),LEN(A263)))), LARGE(INDEX(ISNUMBER(--MID((--TRIM(RIGHT(SUBSTITUTE(LEFT(A263,_xlfn.AGGREGATE(16,6,FIND({0,1,2,3,4,5,6,7,8,9},A263,ROW(INDIRECT("1:"&amp;LEN(A263)))),1))," ",REPT(" ",LEN(A263))),LEN(A263)))), ROW(INDIRECT("1:"&amp;LEN((--TRIM(RIGHT(SUBSTITUTE(LEFT(A263,_xlfn.AGGREGATE(16,6,FIND({0,1,2,3,4,5,6,7,8,9},A263,ROW(INDIRECT("1:"&amp;LEN(A263)))),1))," ",REPT(" ",LEN(A263))),LEN(A263))))))), 1)) * ROW(INDIRECT("1:"&amp;LEN((--TRIM(RIGHT(SUBSTITUTE(LEFT(A263,_xlfn.AGGREGATE(16,6,FIND({0,1,2,3,4,5,6,7,8,9},A263,ROW(INDIRECT("1:"&amp;LEN(A263)))),1))," ",REPT(" ",LEN(A263))),LEN(A263))))))), 0), ROW(INDIRECT("1:"&amp;LEN((--TRIM(RIGHT(SUBSTITUTE(LEFT(A263,_xlfn.AGGREGATE(16,6,FIND({0,1,2,3,4,5,6,7,8,9},A263,ROW(INDIRECT("1:"&amp;LEN(A263)))),1))," ",REPT(" ",LEN(A263))),LEN(A263))))))))+1, 1) * 10^ROW(INDIRECT("1:"&amp;LEN((--TRIM(RIGHT(SUBSTITUTE(LEFT(A263,_xlfn.AGGREGATE(16,6,FIND({0,1,2,3,4,5,6,7,8,9},A263,ROW(INDIRECT("1:"&amp;LEN(A263)))),1))," ",REPT(" ",LEN(A263))),LEN(A263)))))))/10))*100+1</f>
        <v>201 &amp; 401</v>
      </c>
      <c r="B264" s="78"/>
      <c r="C264" s="52">
        <v>2</v>
      </c>
      <c r="D264" s="56">
        <f>(48.08+6.2)*(10.764)</f>
        <v>584.26991999999996</v>
      </c>
      <c r="E264" s="42">
        <v>0</v>
      </c>
      <c r="F264" s="42">
        <v>950</v>
      </c>
      <c r="G264" s="85" t="str">
        <f>A263</f>
        <v>2nd &amp; 4th Floor</v>
      </c>
      <c r="H264" s="86"/>
      <c r="I264" s="36"/>
      <c r="J264" s="37">
        <f t="shared" si="24"/>
        <v>1.6259608230387765</v>
      </c>
    </row>
    <row r="265" spans="1:10" s="37" customFormat="1" ht="15.75" customHeight="1" x14ac:dyDescent="0.35">
      <c r="A265" s="77" t="str">
        <f ca="1">(SUMPRODUCT(MID(0&amp;(LEFT(A264,SUM(LEN(A264)-LEN(SUBSTITUTE(A264,{"0","1","2"},""))))), LARGE(INDEX(ISNUMBER(--MID((LEFT(A264,SUM(LEN(A264)-LEN(SUBSTITUTE(A264,{"0","1","2"},""))))), ROW(INDIRECT("1:"&amp;LEN((LEFT(A264,SUM(LEN(A264)-LEN(SUBSTITUTE(A264,{"0","1","2"},"")))))))), 1)) * ROW(INDIRECT("1:"&amp;LEN((LEFT(A264,SUM(LEN(A264)-LEN(SUBSTITUTE(A264,{"0","1","2"},"")))))))), 0), ROW(INDIRECT("1:"&amp;LEN((LEFT(A264,SUM(LEN(A264)-LEN(SUBSTITUTE(A264,{"0","1","2"},"")))))))))+1, 1) * 10^ROW(INDIRECT("1:"&amp;LEN((LEFT(A264,SUM(LEN(A264)-LEN(SUBSTITUTE(A264,{"0","1","2"},""))))))))/10))*1+1&amp;""&amp;" &amp; "&amp;""&amp;(SUMPRODUCT(MID(0&amp;(--TRIM(RIGHT(SUBSTITUTE(LEFT(A264,_xlfn.AGGREGATE(16,6,FIND({0,1,2,3,4,5,6,7,8,9},A264,ROW(INDIRECT("1:"&amp;LEN(A264)))),1))," ",REPT(" ",LEN(A264))),LEN(A264)))), LARGE(INDEX(ISNUMBER(--MID((--TRIM(RIGHT(SUBSTITUTE(LEFT(A264,_xlfn.AGGREGATE(16,6,FIND({0,1,2,3,4,5,6,7,8,9},A264,ROW(INDIRECT("1:"&amp;LEN(A264)))),1))," ",REPT(" ",LEN(A264))),LEN(A264)))), ROW(INDIRECT("1:"&amp;LEN((--TRIM(RIGHT(SUBSTITUTE(LEFT(A264,_xlfn.AGGREGATE(16,6,FIND({0,1,2,3,4,5,6,7,8,9},A264,ROW(INDIRECT("1:"&amp;LEN(A264)))),1))," ",REPT(" ",LEN(A264))),LEN(A264))))))), 1)) * ROW(INDIRECT("1:"&amp;LEN((--TRIM(RIGHT(SUBSTITUTE(LEFT(A264,_xlfn.AGGREGATE(16,6,FIND({0,1,2,3,4,5,6,7,8,9},A264,ROW(INDIRECT("1:"&amp;LEN(A264)))),1))," ",REPT(" ",LEN(A264))),LEN(A264))))))), 0), ROW(INDIRECT("1:"&amp;LEN((--TRIM(RIGHT(SUBSTITUTE(LEFT(A264,_xlfn.AGGREGATE(16,6,FIND({0,1,2,3,4,5,6,7,8,9},A264,ROW(INDIRECT("1:"&amp;LEN(A264)))),1))," ",REPT(" ",LEN(A264))),LEN(A264))))))))+1, 1) * 10^ROW(INDIRECT("1:"&amp;LEN((--TRIM(RIGHT(SUBSTITUTE(LEFT(A264,_xlfn.AGGREGATE(16,6,FIND({0,1,2,3,4,5,6,7,8,9},A264,ROW(INDIRECT("1:"&amp;LEN(A264)))),1))," ",REPT(" ",LEN(A264))),LEN(A264)))))))/10))*1+1</f>
        <v>202 &amp; 402</v>
      </c>
      <c r="B265" s="78"/>
      <c r="C265" s="52">
        <v>2</v>
      </c>
      <c r="D265" s="56">
        <f>(47.67+8.46)*(10.764)</f>
        <v>604.18331999999998</v>
      </c>
      <c r="E265" s="42">
        <v>0</v>
      </c>
      <c r="F265" s="42">
        <v>975</v>
      </c>
      <c r="G265" s="87"/>
      <c r="H265" s="88"/>
      <c r="I265" s="36"/>
      <c r="J265" s="37">
        <f t="shared" si="24"/>
        <v>1.613748621858677</v>
      </c>
    </row>
    <row r="266" spans="1:10" s="37" customFormat="1" ht="15.75" customHeight="1" x14ac:dyDescent="0.35">
      <c r="A266" s="77" t="str">
        <f ca="1">(SUMPRODUCT(MID(0&amp;(LEFT(A265,SUM(LEN(A265)-LEN(SUBSTITUTE(A265,{"0","1","2"},""))))), LARGE(INDEX(ISNUMBER(--MID((LEFT(A265,SUM(LEN(A265)-LEN(SUBSTITUTE(A265,{"0","1","2"},""))))), ROW(INDIRECT("1:"&amp;LEN((LEFT(A265,SUM(LEN(A265)-LEN(SUBSTITUTE(A265,{"0","1","2"},"")))))))), 1)) * ROW(INDIRECT("1:"&amp;LEN((LEFT(A265,SUM(LEN(A265)-LEN(SUBSTITUTE(A265,{"0","1","2"},"")))))))), 0), ROW(INDIRECT("1:"&amp;LEN((LEFT(A265,SUM(LEN(A265)-LEN(SUBSTITUTE(A265,{"0","1","2"},"")))))))))+1, 1) * 10^ROW(INDIRECT("1:"&amp;LEN((LEFT(A265,SUM(LEN(A265)-LEN(SUBSTITUTE(A265,{"0","1","2"},""))))))))/10))*1+1&amp;""&amp;" &amp; "&amp;""&amp;(SUMPRODUCT(MID(0&amp;(--TRIM(RIGHT(SUBSTITUTE(LEFT(A265,_xlfn.AGGREGATE(16,6,FIND({0,1,2,3,4,5,6,7,8,9},A265,ROW(INDIRECT("1:"&amp;LEN(A265)))),1))," ",REPT(" ",LEN(A265))),LEN(A265)))), LARGE(INDEX(ISNUMBER(--MID((--TRIM(RIGHT(SUBSTITUTE(LEFT(A265,_xlfn.AGGREGATE(16,6,FIND({0,1,2,3,4,5,6,7,8,9},A265,ROW(INDIRECT("1:"&amp;LEN(A265)))),1))," ",REPT(" ",LEN(A265))),LEN(A265)))), ROW(INDIRECT("1:"&amp;LEN((--TRIM(RIGHT(SUBSTITUTE(LEFT(A265,_xlfn.AGGREGATE(16,6,FIND({0,1,2,3,4,5,6,7,8,9},A265,ROW(INDIRECT("1:"&amp;LEN(A265)))),1))," ",REPT(" ",LEN(A265))),LEN(A265))))))), 1)) * ROW(INDIRECT("1:"&amp;LEN((--TRIM(RIGHT(SUBSTITUTE(LEFT(A265,_xlfn.AGGREGATE(16,6,FIND({0,1,2,3,4,5,6,7,8,9},A265,ROW(INDIRECT("1:"&amp;LEN(A265)))),1))," ",REPT(" ",LEN(A265))),LEN(A265))))))), 0), ROW(INDIRECT("1:"&amp;LEN((--TRIM(RIGHT(SUBSTITUTE(LEFT(A265,_xlfn.AGGREGATE(16,6,FIND({0,1,2,3,4,5,6,7,8,9},A265,ROW(INDIRECT("1:"&amp;LEN(A265)))),1))," ",REPT(" ",LEN(A265))),LEN(A265))))))))+1, 1) * 10^ROW(INDIRECT("1:"&amp;LEN((--TRIM(RIGHT(SUBSTITUTE(LEFT(A265,_xlfn.AGGREGATE(16,6,FIND({0,1,2,3,4,5,6,7,8,9},A265,ROW(INDIRECT("1:"&amp;LEN(A265)))),1))," ",REPT(" ",LEN(A265))),LEN(A265)))))))/10))*1+1</f>
        <v>203 &amp; 403</v>
      </c>
      <c r="B266" s="78"/>
      <c r="C266" s="52">
        <v>1</v>
      </c>
      <c r="D266" s="56">
        <f>(32.92+8.15)*(10.764)</f>
        <v>442.07747999999998</v>
      </c>
      <c r="E266" s="42">
        <v>0</v>
      </c>
      <c r="F266" s="42">
        <v>712</v>
      </c>
      <c r="G266" s="87"/>
      <c r="H266" s="88"/>
      <c r="I266" s="36"/>
      <c r="J266" s="37">
        <f t="shared" si="24"/>
        <v>1.6105774037618927</v>
      </c>
    </row>
    <row r="267" spans="1:10" s="37" customFormat="1" ht="15.75" customHeight="1" x14ac:dyDescent="0.35">
      <c r="A267" s="77" t="str">
        <f ca="1">(SUMPRODUCT(MID(0&amp;(LEFT(A266,SUM(LEN(A266)-LEN(SUBSTITUTE(A266,{"0","1","2"},""))))), LARGE(INDEX(ISNUMBER(--MID((LEFT(A266,SUM(LEN(A266)-LEN(SUBSTITUTE(A266,{"0","1","2"},""))))), ROW(INDIRECT("1:"&amp;LEN((LEFT(A266,SUM(LEN(A266)-LEN(SUBSTITUTE(A266,{"0","1","2"},"")))))))), 1)) * ROW(INDIRECT("1:"&amp;LEN((LEFT(A266,SUM(LEN(A266)-LEN(SUBSTITUTE(A266,{"0","1","2"},"")))))))), 0), ROW(INDIRECT("1:"&amp;LEN((LEFT(A266,SUM(LEN(A266)-LEN(SUBSTITUTE(A266,{"0","1","2"},"")))))))))+1, 1) * 10^ROW(INDIRECT("1:"&amp;LEN((LEFT(A266,SUM(LEN(A266)-LEN(SUBSTITUTE(A266,{"0","1","2"},""))))))))/10))*1+1&amp;""&amp;" &amp; "&amp;""&amp;(SUMPRODUCT(MID(0&amp;(--TRIM(RIGHT(SUBSTITUTE(LEFT(A266,_xlfn.AGGREGATE(16,6,FIND({0,1,2,3,4,5,6,7,8,9},A266,ROW(INDIRECT("1:"&amp;LEN(A266)))),1))," ",REPT(" ",LEN(A266))),LEN(A266)))), LARGE(INDEX(ISNUMBER(--MID((--TRIM(RIGHT(SUBSTITUTE(LEFT(A266,_xlfn.AGGREGATE(16,6,FIND({0,1,2,3,4,5,6,7,8,9},A266,ROW(INDIRECT("1:"&amp;LEN(A266)))),1))," ",REPT(" ",LEN(A266))),LEN(A266)))), ROW(INDIRECT("1:"&amp;LEN((--TRIM(RIGHT(SUBSTITUTE(LEFT(A266,_xlfn.AGGREGATE(16,6,FIND({0,1,2,3,4,5,6,7,8,9},A266,ROW(INDIRECT("1:"&amp;LEN(A266)))),1))," ",REPT(" ",LEN(A266))),LEN(A266))))))), 1)) * ROW(INDIRECT("1:"&amp;LEN((--TRIM(RIGHT(SUBSTITUTE(LEFT(A266,_xlfn.AGGREGATE(16,6,FIND({0,1,2,3,4,5,6,7,8,9},A266,ROW(INDIRECT("1:"&amp;LEN(A266)))),1))," ",REPT(" ",LEN(A266))),LEN(A266))))))), 0), ROW(INDIRECT("1:"&amp;LEN((--TRIM(RIGHT(SUBSTITUTE(LEFT(A266,_xlfn.AGGREGATE(16,6,FIND({0,1,2,3,4,5,6,7,8,9},A266,ROW(INDIRECT("1:"&amp;LEN(A266)))),1))," ",REPT(" ",LEN(A266))),LEN(A266))))))))+1, 1) * 10^ROW(INDIRECT("1:"&amp;LEN((--TRIM(RIGHT(SUBSTITUTE(LEFT(A266,_xlfn.AGGREGATE(16,6,FIND({0,1,2,3,4,5,6,7,8,9},A266,ROW(INDIRECT("1:"&amp;LEN(A266)))),1))," ",REPT(" ",LEN(A266))),LEN(A266)))))))/10))*1+1</f>
        <v>204 &amp; 404</v>
      </c>
      <c r="B267" s="78"/>
      <c r="C267" s="52">
        <v>2</v>
      </c>
      <c r="D267" s="56">
        <f>(45.98+6.2)*(10.764)</f>
        <v>561.66552000000001</v>
      </c>
      <c r="E267" s="42">
        <v>0</v>
      </c>
      <c r="F267" s="42">
        <v>910</v>
      </c>
      <c r="G267" s="87"/>
      <c r="H267" s="88"/>
      <c r="I267" s="36"/>
      <c r="J267" s="37">
        <f t="shared" si="24"/>
        <v>1.6201813492129622</v>
      </c>
    </row>
    <row r="268" spans="1:10" s="37" customFormat="1" ht="15.75" customHeight="1" x14ac:dyDescent="0.35">
      <c r="A268" s="77" t="str">
        <f ca="1">(SUMPRODUCT(MID(0&amp;(LEFT(A267,SUM(LEN(A267)-LEN(SUBSTITUTE(A267,{"0","1","2"},""))))), LARGE(INDEX(ISNUMBER(--MID((LEFT(A267,SUM(LEN(A267)-LEN(SUBSTITUTE(A267,{"0","1","2"},""))))), ROW(INDIRECT("1:"&amp;LEN((LEFT(A267,SUM(LEN(A267)-LEN(SUBSTITUTE(A267,{"0","1","2"},"")))))))), 1)) * ROW(INDIRECT("1:"&amp;LEN((LEFT(A267,SUM(LEN(A267)-LEN(SUBSTITUTE(A267,{"0","1","2"},"")))))))), 0), ROW(INDIRECT("1:"&amp;LEN((LEFT(A267,SUM(LEN(A267)-LEN(SUBSTITUTE(A267,{"0","1","2"},"")))))))))+1, 1) * 10^ROW(INDIRECT("1:"&amp;LEN((LEFT(A267,SUM(LEN(A267)-LEN(SUBSTITUTE(A267,{"0","1","2"},""))))))))/10))*1+1&amp;""&amp;" &amp; "&amp;""&amp;(SUMPRODUCT(MID(0&amp;(--TRIM(RIGHT(SUBSTITUTE(LEFT(A267,_xlfn.AGGREGATE(16,6,FIND({0,1,2,3,4,5,6,7,8,9},A267,ROW(INDIRECT("1:"&amp;LEN(A267)))),1))," ",REPT(" ",LEN(A267))),LEN(A267)))), LARGE(INDEX(ISNUMBER(--MID((--TRIM(RIGHT(SUBSTITUTE(LEFT(A267,_xlfn.AGGREGATE(16,6,FIND({0,1,2,3,4,5,6,7,8,9},A267,ROW(INDIRECT("1:"&amp;LEN(A267)))),1))," ",REPT(" ",LEN(A267))),LEN(A267)))), ROW(INDIRECT("1:"&amp;LEN((--TRIM(RIGHT(SUBSTITUTE(LEFT(A267,_xlfn.AGGREGATE(16,6,FIND({0,1,2,3,4,5,6,7,8,9},A267,ROW(INDIRECT("1:"&amp;LEN(A267)))),1))," ",REPT(" ",LEN(A267))),LEN(A267))))))), 1)) * ROW(INDIRECT("1:"&amp;LEN((--TRIM(RIGHT(SUBSTITUTE(LEFT(A267,_xlfn.AGGREGATE(16,6,FIND({0,1,2,3,4,5,6,7,8,9},A267,ROW(INDIRECT("1:"&amp;LEN(A267)))),1))," ",REPT(" ",LEN(A267))),LEN(A267))))))), 0), ROW(INDIRECT("1:"&amp;LEN((--TRIM(RIGHT(SUBSTITUTE(LEFT(A267,_xlfn.AGGREGATE(16,6,FIND({0,1,2,3,4,5,6,7,8,9},A267,ROW(INDIRECT("1:"&amp;LEN(A267)))),1))," ",REPT(" ",LEN(A267))),LEN(A267))))))))+1, 1) * 10^ROW(INDIRECT("1:"&amp;LEN((--TRIM(RIGHT(SUBSTITUTE(LEFT(A267,_xlfn.AGGREGATE(16,6,FIND({0,1,2,3,4,5,6,7,8,9},A267,ROW(INDIRECT("1:"&amp;LEN(A267)))),1))," ",REPT(" ",LEN(A267))),LEN(A267)))))))/10))*1+1</f>
        <v>205 &amp; 405</v>
      </c>
      <c r="B268" s="78"/>
      <c r="C268" s="52">
        <v>1</v>
      </c>
      <c r="D268" s="56">
        <f>(37.48)*(10.764)</f>
        <v>403.43471999999997</v>
      </c>
      <c r="E268" s="42">
        <v>0</v>
      </c>
      <c r="F268" s="42">
        <v>655</v>
      </c>
      <c r="G268" s="87"/>
      <c r="H268" s="88"/>
      <c r="I268" s="36"/>
      <c r="J268" s="37">
        <f t="shared" si="24"/>
        <v>1.6235588250807964</v>
      </c>
    </row>
    <row r="269" spans="1:10" s="37" customFormat="1" ht="15.75" customHeight="1" x14ac:dyDescent="0.35">
      <c r="A269" s="77" t="str">
        <f ca="1">(SUMPRODUCT(MID(0&amp;(LEFT(A268,SUM(LEN(A268)-LEN(SUBSTITUTE(A268,{"0","1","2"},""))))), LARGE(INDEX(ISNUMBER(--MID((LEFT(A268,SUM(LEN(A268)-LEN(SUBSTITUTE(A268,{"0","1","2"},""))))), ROW(INDIRECT("1:"&amp;LEN((LEFT(A268,SUM(LEN(A268)-LEN(SUBSTITUTE(A268,{"0","1","2"},"")))))))), 1)) * ROW(INDIRECT("1:"&amp;LEN((LEFT(A268,SUM(LEN(A268)-LEN(SUBSTITUTE(A268,{"0","1","2"},"")))))))), 0), ROW(INDIRECT("1:"&amp;LEN((LEFT(A268,SUM(LEN(A268)-LEN(SUBSTITUTE(A268,{"0","1","2"},"")))))))))+1, 1) * 10^ROW(INDIRECT("1:"&amp;LEN((LEFT(A268,SUM(LEN(A268)-LEN(SUBSTITUTE(A268,{"0","1","2"},""))))))))/10))*1+1&amp;""&amp;" &amp; "&amp;""&amp;(SUMPRODUCT(MID(0&amp;(--TRIM(RIGHT(SUBSTITUTE(LEFT(A268,_xlfn.AGGREGATE(16,6,FIND({0,1,2,3,4,5,6,7,8,9},A268,ROW(INDIRECT("1:"&amp;LEN(A268)))),1))," ",REPT(" ",LEN(A268))),LEN(A268)))), LARGE(INDEX(ISNUMBER(--MID((--TRIM(RIGHT(SUBSTITUTE(LEFT(A268,_xlfn.AGGREGATE(16,6,FIND({0,1,2,3,4,5,6,7,8,9},A268,ROW(INDIRECT("1:"&amp;LEN(A268)))),1))," ",REPT(" ",LEN(A268))),LEN(A268)))), ROW(INDIRECT("1:"&amp;LEN((--TRIM(RIGHT(SUBSTITUTE(LEFT(A268,_xlfn.AGGREGATE(16,6,FIND({0,1,2,3,4,5,6,7,8,9},A268,ROW(INDIRECT("1:"&amp;LEN(A268)))),1))," ",REPT(" ",LEN(A268))),LEN(A268))))))), 1)) * ROW(INDIRECT("1:"&amp;LEN((--TRIM(RIGHT(SUBSTITUTE(LEFT(A268,_xlfn.AGGREGATE(16,6,FIND({0,1,2,3,4,5,6,7,8,9},A268,ROW(INDIRECT("1:"&amp;LEN(A268)))),1))," ",REPT(" ",LEN(A268))),LEN(A268))))))), 0), ROW(INDIRECT("1:"&amp;LEN((--TRIM(RIGHT(SUBSTITUTE(LEFT(A268,_xlfn.AGGREGATE(16,6,FIND({0,1,2,3,4,5,6,7,8,9},A268,ROW(INDIRECT("1:"&amp;LEN(A268)))),1))," ",REPT(" ",LEN(A268))),LEN(A268))))))))+1, 1) * 10^ROW(INDIRECT("1:"&amp;LEN((--TRIM(RIGHT(SUBSTITUTE(LEFT(A268,_xlfn.AGGREGATE(16,6,FIND({0,1,2,3,4,5,6,7,8,9},A268,ROW(INDIRECT("1:"&amp;LEN(A268)))),1))," ",REPT(" ",LEN(A268))),LEN(A268)))))))/10))*1+1</f>
        <v>206 &amp; 406</v>
      </c>
      <c r="B269" s="78"/>
      <c r="C269" s="52">
        <v>1</v>
      </c>
      <c r="D269" s="56">
        <f>(32.16)*(10.764)</f>
        <v>346.17023999999992</v>
      </c>
      <c r="E269" s="42">
        <v>0</v>
      </c>
      <c r="F269" s="42">
        <v>565</v>
      </c>
      <c r="G269" s="89"/>
      <c r="H269" s="90"/>
      <c r="I269" s="36"/>
      <c r="J269" s="37">
        <f t="shared" si="24"/>
        <v>1.6321449238386296</v>
      </c>
    </row>
    <row r="270" spans="1:10" s="37" customFormat="1" x14ac:dyDescent="0.35">
      <c r="A270" s="74" t="s">
        <v>198</v>
      </c>
      <c r="B270" s="75"/>
      <c r="C270" s="75"/>
      <c r="D270" s="75"/>
      <c r="E270" s="75"/>
      <c r="F270" s="75"/>
      <c r="G270" s="75"/>
      <c r="H270" s="76"/>
      <c r="J270" s="37" t="e">
        <f t="shared" si="24"/>
        <v>#DIV/0!</v>
      </c>
    </row>
    <row r="271" spans="1:10" s="37" customFormat="1" x14ac:dyDescent="0.35">
      <c r="A271" s="74" t="s">
        <v>194</v>
      </c>
      <c r="B271" s="75"/>
      <c r="C271" s="75"/>
      <c r="D271" s="75"/>
      <c r="E271" s="75"/>
      <c r="F271" s="75"/>
      <c r="G271" s="75"/>
      <c r="H271" s="76"/>
      <c r="I271" s="36"/>
      <c r="J271" s="37" t="e">
        <f t="shared" si="24"/>
        <v>#DIV/0!</v>
      </c>
    </row>
    <row r="272" spans="1:10" s="37" customFormat="1" ht="15.75" customHeight="1" x14ac:dyDescent="0.35">
      <c r="A272" s="77" t="str">
        <f ca="1">(SUMPRODUCT(MID(0&amp;(LEFT(A271,SUM(LEN(A271)-LEN(SUBSTITUTE(A271,{"0","1","2"},""))))), LARGE(INDEX(ISNUMBER(--MID((LEFT(A271,SUM(LEN(A271)-LEN(SUBSTITUTE(A271,{"0","1","2"},""))))), ROW(INDIRECT("1:"&amp;LEN((LEFT(A271,SUM(LEN(A271)-LEN(SUBSTITUTE(A271,{"0","1","2"},"")))))))), 1)) * ROW(INDIRECT("1:"&amp;LEN((LEFT(A271,SUM(LEN(A271)-LEN(SUBSTITUTE(A271,{"0","1","2"},"")))))))), 0), ROW(INDIRECT("1:"&amp;LEN((LEFT(A271,SUM(LEN(A271)-LEN(SUBSTITUTE(A271,{"0","1","2"},"")))))))))+1, 1) * 10^ROW(INDIRECT("1:"&amp;LEN((LEFT(A271,SUM(LEN(A271)-LEN(SUBSTITUTE(A271,{"0","1","2"},""))))))))/10))*100+1&amp;""&amp;" &amp; "&amp;""&amp;(SUMPRODUCT(MID(0&amp;(--TRIM(RIGHT(SUBSTITUTE(LEFT(A271,_xlfn.AGGREGATE(16,6,FIND({0,1,2,3,4,5,6,7,8,9},A271,ROW(INDIRECT("1:"&amp;LEN(A271)))),1))," ",REPT(" ",LEN(A271))),LEN(A271)))), LARGE(INDEX(ISNUMBER(--MID((--TRIM(RIGHT(SUBSTITUTE(LEFT(A271,_xlfn.AGGREGATE(16,6,FIND({0,1,2,3,4,5,6,7,8,9},A271,ROW(INDIRECT("1:"&amp;LEN(A271)))),1))," ",REPT(" ",LEN(A271))),LEN(A271)))), ROW(INDIRECT("1:"&amp;LEN((--TRIM(RIGHT(SUBSTITUTE(LEFT(A271,_xlfn.AGGREGATE(16,6,FIND({0,1,2,3,4,5,6,7,8,9},A271,ROW(INDIRECT("1:"&amp;LEN(A271)))),1))," ",REPT(" ",LEN(A271))),LEN(A271))))))), 1)) * ROW(INDIRECT("1:"&amp;LEN((--TRIM(RIGHT(SUBSTITUTE(LEFT(A271,_xlfn.AGGREGATE(16,6,FIND({0,1,2,3,4,5,6,7,8,9},A271,ROW(INDIRECT("1:"&amp;LEN(A271)))),1))," ",REPT(" ",LEN(A271))),LEN(A271))))))), 0), ROW(INDIRECT("1:"&amp;LEN((--TRIM(RIGHT(SUBSTITUTE(LEFT(A271,_xlfn.AGGREGATE(16,6,FIND({0,1,2,3,4,5,6,7,8,9},A271,ROW(INDIRECT("1:"&amp;LEN(A271)))),1))," ",REPT(" ",LEN(A271))),LEN(A271))))))))+1, 1) * 10^ROW(INDIRECT("1:"&amp;LEN((--TRIM(RIGHT(SUBSTITUTE(LEFT(A271,_xlfn.AGGREGATE(16,6,FIND({0,1,2,3,4,5,6,7,8,9},A271,ROW(INDIRECT("1:"&amp;LEN(A271)))),1))," ",REPT(" ",LEN(A271))),LEN(A271)))))))/10))*100+1</f>
        <v>101 &amp; 301</v>
      </c>
      <c r="B272" s="78"/>
      <c r="C272" s="52">
        <v>1</v>
      </c>
      <c r="D272" s="56">
        <f>(33.91+2.68)*(10.764)</f>
        <v>393.85475999999994</v>
      </c>
      <c r="E272" s="42">
        <v>0</v>
      </c>
      <c r="F272" s="42">
        <v>640</v>
      </c>
      <c r="G272" s="85" t="str">
        <f>A271</f>
        <v>1st &amp; 3rd Floor</v>
      </c>
      <c r="H272" s="86"/>
      <c r="I272" s="36"/>
      <c r="J272" s="37">
        <f t="shared" si="24"/>
        <v>1.6249644919868433</v>
      </c>
    </row>
    <row r="273" spans="1:10" s="37" customFormat="1" ht="15.75" customHeight="1" x14ac:dyDescent="0.35">
      <c r="A273" s="77" t="str">
        <f ca="1">(SUMPRODUCT(MID(0&amp;(LEFT(A272,SUM(LEN(A272)-LEN(SUBSTITUTE(A272,{"0","1","2"},""))))), LARGE(INDEX(ISNUMBER(--MID((LEFT(A272,SUM(LEN(A272)-LEN(SUBSTITUTE(A272,{"0","1","2"},""))))), ROW(INDIRECT("1:"&amp;LEN((LEFT(A272,SUM(LEN(A272)-LEN(SUBSTITUTE(A272,{"0","1","2"},"")))))))), 1)) * ROW(INDIRECT("1:"&amp;LEN((LEFT(A272,SUM(LEN(A272)-LEN(SUBSTITUTE(A272,{"0","1","2"},"")))))))), 0), ROW(INDIRECT("1:"&amp;LEN((LEFT(A272,SUM(LEN(A272)-LEN(SUBSTITUTE(A272,{"0","1","2"},"")))))))))+1, 1) * 10^ROW(INDIRECT("1:"&amp;LEN((LEFT(A272,SUM(LEN(A272)-LEN(SUBSTITUTE(A272,{"0","1","2"},""))))))))/10))*1+1&amp;""&amp;" &amp; "&amp;""&amp;(SUMPRODUCT(MID(0&amp;(--TRIM(RIGHT(SUBSTITUTE(LEFT(A272,_xlfn.AGGREGATE(16,6,FIND({0,1,2,3,4,5,6,7,8,9},A272,ROW(INDIRECT("1:"&amp;LEN(A272)))),1))," ",REPT(" ",LEN(A272))),LEN(A272)))), LARGE(INDEX(ISNUMBER(--MID((--TRIM(RIGHT(SUBSTITUTE(LEFT(A272,_xlfn.AGGREGATE(16,6,FIND({0,1,2,3,4,5,6,7,8,9},A272,ROW(INDIRECT("1:"&amp;LEN(A272)))),1))," ",REPT(" ",LEN(A272))),LEN(A272)))), ROW(INDIRECT("1:"&amp;LEN((--TRIM(RIGHT(SUBSTITUTE(LEFT(A272,_xlfn.AGGREGATE(16,6,FIND({0,1,2,3,4,5,6,7,8,9},A272,ROW(INDIRECT("1:"&amp;LEN(A272)))),1))," ",REPT(" ",LEN(A272))),LEN(A272))))))), 1)) * ROW(INDIRECT("1:"&amp;LEN((--TRIM(RIGHT(SUBSTITUTE(LEFT(A272,_xlfn.AGGREGATE(16,6,FIND({0,1,2,3,4,5,6,7,8,9},A272,ROW(INDIRECT("1:"&amp;LEN(A272)))),1))," ",REPT(" ",LEN(A272))),LEN(A272))))))), 0), ROW(INDIRECT("1:"&amp;LEN((--TRIM(RIGHT(SUBSTITUTE(LEFT(A272,_xlfn.AGGREGATE(16,6,FIND({0,1,2,3,4,5,6,7,8,9},A272,ROW(INDIRECT("1:"&amp;LEN(A272)))),1))," ",REPT(" ",LEN(A272))),LEN(A272))))))))+1, 1) * 10^ROW(INDIRECT("1:"&amp;LEN((--TRIM(RIGHT(SUBSTITUTE(LEFT(A272,_xlfn.AGGREGATE(16,6,FIND({0,1,2,3,4,5,6,7,8,9},A272,ROW(INDIRECT("1:"&amp;LEN(A272)))),1))," ",REPT(" ",LEN(A272))),LEN(A272)))))))/10))*1+1</f>
        <v>102 &amp; 302</v>
      </c>
      <c r="B273" s="78"/>
      <c r="C273" s="52">
        <v>1</v>
      </c>
      <c r="D273" s="56">
        <f>(35.37)*(10.764)</f>
        <v>380.72267999999997</v>
      </c>
      <c r="E273" s="56">
        <f>(6.546)*(10.764)</f>
        <v>70.461144000000004</v>
      </c>
      <c r="F273" s="57">
        <v>685</v>
      </c>
      <c r="G273" s="87"/>
      <c r="H273" s="88"/>
      <c r="I273" s="36"/>
      <c r="J273" s="37">
        <f t="shared" si="24"/>
        <v>1.7992098605735809</v>
      </c>
    </row>
    <row r="274" spans="1:10" s="37" customFormat="1" ht="15.75" customHeight="1" x14ac:dyDescent="0.35">
      <c r="A274" s="77" t="str">
        <f ca="1">(SUMPRODUCT(MID(0&amp;(LEFT(A273,SUM(LEN(A273)-LEN(SUBSTITUTE(A273,{"0","1","2"},""))))), LARGE(INDEX(ISNUMBER(--MID((LEFT(A273,SUM(LEN(A273)-LEN(SUBSTITUTE(A273,{"0","1","2"},""))))), ROW(INDIRECT("1:"&amp;LEN((LEFT(A273,SUM(LEN(A273)-LEN(SUBSTITUTE(A273,{"0","1","2"},"")))))))), 1)) * ROW(INDIRECT("1:"&amp;LEN((LEFT(A273,SUM(LEN(A273)-LEN(SUBSTITUTE(A273,{"0","1","2"},"")))))))), 0), ROW(INDIRECT("1:"&amp;LEN((LEFT(A273,SUM(LEN(A273)-LEN(SUBSTITUTE(A273,{"0","1","2"},"")))))))))+1, 1) * 10^ROW(INDIRECT("1:"&amp;LEN((LEFT(A273,SUM(LEN(A273)-LEN(SUBSTITUTE(A273,{"0","1","2"},""))))))))/10))*1+1&amp;""&amp;" &amp; "&amp;""&amp;(SUMPRODUCT(MID(0&amp;(--TRIM(RIGHT(SUBSTITUTE(LEFT(A273,_xlfn.AGGREGATE(16,6,FIND({0,1,2,3,4,5,6,7,8,9},A273,ROW(INDIRECT("1:"&amp;LEN(A273)))),1))," ",REPT(" ",LEN(A273))),LEN(A273)))), LARGE(INDEX(ISNUMBER(--MID((--TRIM(RIGHT(SUBSTITUTE(LEFT(A273,_xlfn.AGGREGATE(16,6,FIND({0,1,2,3,4,5,6,7,8,9},A273,ROW(INDIRECT("1:"&amp;LEN(A273)))),1))," ",REPT(" ",LEN(A273))),LEN(A273)))), ROW(INDIRECT("1:"&amp;LEN((--TRIM(RIGHT(SUBSTITUTE(LEFT(A273,_xlfn.AGGREGATE(16,6,FIND({0,1,2,3,4,5,6,7,8,9},A273,ROW(INDIRECT("1:"&amp;LEN(A273)))),1))," ",REPT(" ",LEN(A273))),LEN(A273))))))), 1)) * ROW(INDIRECT("1:"&amp;LEN((--TRIM(RIGHT(SUBSTITUTE(LEFT(A273,_xlfn.AGGREGATE(16,6,FIND({0,1,2,3,4,5,6,7,8,9},A273,ROW(INDIRECT("1:"&amp;LEN(A273)))),1))," ",REPT(" ",LEN(A273))),LEN(A273))))))), 0), ROW(INDIRECT("1:"&amp;LEN((--TRIM(RIGHT(SUBSTITUTE(LEFT(A273,_xlfn.AGGREGATE(16,6,FIND({0,1,2,3,4,5,6,7,8,9},A273,ROW(INDIRECT("1:"&amp;LEN(A273)))),1))," ",REPT(" ",LEN(A273))),LEN(A273))))))))+1, 1) * 10^ROW(INDIRECT("1:"&amp;LEN((--TRIM(RIGHT(SUBSTITUTE(LEFT(A273,_xlfn.AGGREGATE(16,6,FIND({0,1,2,3,4,5,6,7,8,9},A273,ROW(INDIRECT("1:"&amp;LEN(A273)))),1))," ",REPT(" ",LEN(A273))),LEN(A273)))))))/10))*1+1</f>
        <v>103 &amp; 303</v>
      </c>
      <c r="B274" s="78"/>
      <c r="C274" s="52">
        <v>2</v>
      </c>
      <c r="D274" s="56">
        <f>(46.88+3.55)*(10.764)</f>
        <v>542.82851999999991</v>
      </c>
      <c r="E274" s="56">
        <f>(7.042)*(10.764)</f>
        <v>75.800087999999988</v>
      </c>
      <c r="F274" s="57">
        <v>925</v>
      </c>
      <c r="G274" s="87"/>
      <c r="H274" s="88"/>
      <c r="I274" s="36"/>
      <c r="J274" s="37">
        <f t="shared" si="24"/>
        <v>1.704037216025422</v>
      </c>
    </row>
    <row r="275" spans="1:10" s="37" customFormat="1" ht="15.75" customHeight="1" x14ac:dyDescent="0.35">
      <c r="A275" s="77" t="str">
        <f ca="1">(SUMPRODUCT(MID(0&amp;(LEFT(A274,SUM(LEN(A274)-LEN(SUBSTITUTE(A274,{"0","1","2"},""))))), LARGE(INDEX(ISNUMBER(--MID((LEFT(A274,SUM(LEN(A274)-LEN(SUBSTITUTE(A274,{"0","1","2"},""))))), ROW(INDIRECT("1:"&amp;LEN((LEFT(A274,SUM(LEN(A274)-LEN(SUBSTITUTE(A274,{"0","1","2"},"")))))))), 1)) * ROW(INDIRECT("1:"&amp;LEN((LEFT(A274,SUM(LEN(A274)-LEN(SUBSTITUTE(A274,{"0","1","2"},"")))))))), 0), ROW(INDIRECT("1:"&amp;LEN((LEFT(A274,SUM(LEN(A274)-LEN(SUBSTITUTE(A274,{"0","1","2"},"")))))))))+1, 1) * 10^ROW(INDIRECT("1:"&amp;LEN((LEFT(A274,SUM(LEN(A274)-LEN(SUBSTITUTE(A274,{"0","1","2"},""))))))))/10))*1+1&amp;""&amp;" &amp; "&amp;""&amp;(SUMPRODUCT(MID(0&amp;(--TRIM(RIGHT(SUBSTITUTE(LEFT(A274,_xlfn.AGGREGATE(16,6,FIND({0,1,2,3,4,5,6,7,8,9},A274,ROW(INDIRECT("1:"&amp;LEN(A274)))),1))," ",REPT(" ",LEN(A274))),LEN(A274)))), LARGE(INDEX(ISNUMBER(--MID((--TRIM(RIGHT(SUBSTITUTE(LEFT(A274,_xlfn.AGGREGATE(16,6,FIND({0,1,2,3,4,5,6,7,8,9},A274,ROW(INDIRECT("1:"&amp;LEN(A274)))),1))," ",REPT(" ",LEN(A274))),LEN(A274)))), ROW(INDIRECT("1:"&amp;LEN((--TRIM(RIGHT(SUBSTITUTE(LEFT(A274,_xlfn.AGGREGATE(16,6,FIND({0,1,2,3,4,5,6,7,8,9},A274,ROW(INDIRECT("1:"&amp;LEN(A274)))),1))," ",REPT(" ",LEN(A274))),LEN(A274))))))), 1)) * ROW(INDIRECT("1:"&amp;LEN((--TRIM(RIGHT(SUBSTITUTE(LEFT(A274,_xlfn.AGGREGATE(16,6,FIND({0,1,2,3,4,5,6,7,8,9},A274,ROW(INDIRECT("1:"&amp;LEN(A274)))),1))," ",REPT(" ",LEN(A274))),LEN(A274))))))), 0), ROW(INDIRECT("1:"&amp;LEN((--TRIM(RIGHT(SUBSTITUTE(LEFT(A274,_xlfn.AGGREGATE(16,6,FIND({0,1,2,3,4,5,6,7,8,9},A274,ROW(INDIRECT("1:"&amp;LEN(A274)))),1))," ",REPT(" ",LEN(A274))),LEN(A274))))))))+1, 1) * 10^ROW(INDIRECT("1:"&amp;LEN((--TRIM(RIGHT(SUBSTITUTE(LEFT(A274,_xlfn.AGGREGATE(16,6,FIND({0,1,2,3,4,5,6,7,8,9},A274,ROW(INDIRECT("1:"&amp;LEN(A274)))),1))," ",REPT(" ",LEN(A274))),LEN(A274)))))))/10))*1+1</f>
        <v>104 &amp; 304</v>
      </c>
      <c r="B275" s="78"/>
      <c r="C275" s="52">
        <v>1</v>
      </c>
      <c r="D275" s="56">
        <f>(32.08+5.82)*(10.764)</f>
        <v>407.95559999999995</v>
      </c>
      <c r="E275" s="42">
        <v>0</v>
      </c>
      <c r="F275" s="42">
        <v>655</v>
      </c>
      <c r="G275" s="89"/>
      <c r="H275" s="90"/>
      <c r="I275" s="36"/>
      <c r="J275" s="37">
        <f t="shared" si="24"/>
        <v>1.6055668803173682</v>
      </c>
    </row>
    <row r="276" spans="1:10" s="37" customFormat="1" x14ac:dyDescent="0.35">
      <c r="A276" s="74" t="s">
        <v>195</v>
      </c>
      <c r="B276" s="75"/>
      <c r="C276" s="75"/>
      <c r="D276" s="75"/>
      <c r="E276" s="75"/>
      <c r="F276" s="75"/>
      <c r="G276" s="75"/>
      <c r="H276" s="76"/>
      <c r="I276" s="36"/>
      <c r="J276" s="37" t="e">
        <f t="shared" si="24"/>
        <v>#DIV/0!</v>
      </c>
    </row>
    <row r="277" spans="1:10" s="37" customFormat="1" ht="15.75" customHeight="1" x14ac:dyDescent="0.35">
      <c r="A277" s="77" t="str">
        <f ca="1">(SUMPRODUCT(MID(0&amp;(LEFT(A276,SUM(LEN(A276)-LEN(SUBSTITUTE(A276,{"0","1","2"},""))))), LARGE(INDEX(ISNUMBER(--MID((LEFT(A276,SUM(LEN(A276)-LEN(SUBSTITUTE(A276,{"0","1","2"},""))))), ROW(INDIRECT("1:"&amp;LEN((LEFT(A276,SUM(LEN(A276)-LEN(SUBSTITUTE(A276,{"0","1","2"},"")))))))), 1)) * ROW(INDIRECT("1:"&amp;LEN((LEFT(A276,SUM(LEN(A276)-LEN(SUBSTITUTE(A276,{"0","1","2"},"")))))))), 0), ROW(INDIRECT("1:"&amp;LEN((LEFT(A276,SUM(LEN(A276)-LEN(SUBSTITUTE(A276,{"0","1","2"},"")))))))))+1, 1) * 10^ROW(INDIRECT("1:"&amp;LEN((LEFT(A276,SUM(LEN(A276)-LEN(SUBSTITUTE(A276,{"0","1","2"},""))))))))/10))*100+1&amp;""&amp;" &amp; "&amp;""&amp;(SUMPRODUCT(MID(0&amp;(--TRIM(RIGHT(SUBSTITUTE(LEFT(A276,_xlfn.AGGREGATE(16,6,FIND({0,1,2,3,4,5,6,7,8,9},A276,ROW(INDIRECT("1:"&amp;LEN(A276)))),1))," ",REPT(" ",LEN(A276))),LEN(A276)))), LARGE(INDEX(ISNUMBER(--MID((--TRIM(RIGHT(SUBSTITUTE(LEFT(A276,_xlfn.AGGREGATE(16,6,FIND({0,1,2,3,4,5,6,7,8,9},A276,ROW(INDIRECT("1:"&amp;LEN(A276)))),1))," ",REPT(" ",LEN(A276))),LEN(A276)))), ROW(INDIRECT("1:"&amp;LEN((--TRIM(RIGHT(SUBSTITUTE(LEFT(A276,_xlfn.AGGREGATE(16,6,FIND({0,1,2,3,4,5,6,7,8,9},A276,ROW(INDIRECT("1:"&amp;LEN(A276)))),1))," ",REPT(" ",LEN(A276))),LEN(A276))))))), 1)) * ROW(INDIRECT("1:"&amp;LEN((--TRIM(RIGHT(SUBSTITUTE(LEFT(A276,_xlfn.AGGREGATE(16,6,FIND({0,1,2,3,4,5,6,7,8,9},A276,ROW(INDIRECT("1:"&amp;LEN(A276)))),1))," ",REPT(" ",LEN(A276))),LEN(A276))))))), 0), ROW(INDIRECT("1:"&amp;LEN((--TRIM(RIGHT(SUBSTITUTE(LEFT(A276,_xlfn.AGGREGATE(16,6,FIND({0,1,2,3,4,5,6,7,8,9},A276,ROW(INDIRECT("1:"&amp;LEN(A276)))),1))," ",REPT(" ",LEN(A276))),LEN(A276))))))))+1, 1) * 10^ROW(INDIRECT("1:"&amp;LEN((--TRIM(RIGHT(SUBSTITUTE(LEFT(A276,_xlfn.AGGREGATE(16,6,FIND({0,1,2,3,4,5,6,7,8,9},A276,ROW(INDIRECT("1:"&amp;LEN(A276)))),1))," ",REPT(" ",LEN(A276))),LEN(A276)))))))/10))*100+1</f>
        <v>201 &amp; 401</v>
      </c>
      <c r="B277" s="78"/>
      <c r="C277" s="52">
        <v>1</v>
      </c>
      <c r="D277" s="56">
        <f>(33.91+2.68)*(10.764)</f>
        <v>393.85475999999994</v>
      </c>
      <c r="E277" s="42">
        <v>0</v>
      </c>
      <c r="F277" s="42">
        <v>640</v>
      </c>
      <c r="G277" s="85" t="str">
        <f>A276</f>
        <v>2nd &amp; 4th Floor</v>
      </c>
      <c r="H277" s="86"/>
      <c r="I277" s="36"/>
      <c r="J277" s="37">
        <f t="shared" si="24"/>
        <v>1.6249644919868433</v>
      </c>
    </row>
    <row r="278" spans="1:10" s="37" customFormat="1" ht="15.75" customHeight="1" x14ac:dyDescent="0.35">
      <c r="A278" s="77" t="str">
        <f ca="1">(SUMPRODUCT(MID(0&amp;(LEFT(A277,SUM(LEN(A277)-LEN(SUBSTITUTE(A277,{"0","1","2"},""))))), LARGE(INDEX(ISNUMBER(--MID((LEFT(A277,SUM(LEN(A277)-LEN(SUBSTITUTE(A277,{"0","1","2"},""))))), ROW(INDIRECT("1:"&amp;LEN((LEFT(A277,SUM(LEN(A277)-LEN(SUBSTITUTE(A277,{"0","1","2"},"")))))))), 1)) * ROW(INDIRECT("1:"&amp;LEN((LEFT(A277,SUM(LEN(A277)-LEN(SUBSTITUTE(A277,{"0","1","2"},"")))))))), 0), ROW(INDIRECT("1:"&amp;LEN((LEFT(A277,SUM(LEN(A277)-LEN(SUBSTITUTE(A277,{"0","1","2"},"")))))))))+1, 1) * 10^ROW(INDIRECT("1:"&amp;LEN((LEFT(A277,SUM(LEN(A277)-LEN(SUBSTITUTE(A277,{"0","1","2"},""))))))))/10))*1+1&amp;""&amp;" &amp; "&amp;""&amp;(SUMPRODUCT(MID(0&amp;(--TRIM(RIGHT(SUBSTITUTE(LEFT(A277,_xlfn.AGGREGATE(16,6,FIND({0,1,2,3,4,5,6,7,8,9},A277,ROW(INDIRECT("1:"&amp;LEN(A277)))),1))," ",REPT(" ",LEN(A277))),LEN(A277)))), LARGE(INDEX(ISNUMBER(--MID((--TRIM(RIGHT(SUBSTITUTE(LEFT(A277,_xlfn.AGGREGATE(16,6,FIND({0,1,2,3,4,5,6,7,8,9},A277,ROW(INDIRECT("1:"&amp;LEN(A277)))),1))," ",REPT(" ",LEN(A277))),LEN(A277)))), ROW(INDIRECT("1:"&amp;LEN((--TRIM(RIGHT(SUBSTITUTE(LEFT(A277,_xlfn.AGGREGATE(16,6,FIND({0,1,2,3,4,5,6,7,8,9},A277,ROW(INDIRECT("1:"&amp;LEN(A277)))),1))," ",REPT(" ",LEN(A277))),LEN(A277))))))), 1)) * ROW(INDIRECT("1:"&amp;LEN((--TRIM(RIGHT(SUBSTITUTE(LEFT(A277,_xlfn.AGGREGATE(16,6,FIND({0,1,2,3,4,5,6,7,8,9},A277,ROW(INDIRECT("1:"&amp;LEN(A277)))),1))," ",REPT(" ",LEN(A277))),LEN(A277))))))), 0), ROW(INDIRECT("1:"&amp;LEN((--TRIM(RIGHT(SUBSTITUTE(LEFT(A277,_xlfn.AGGREGATE(16,6,FIND({0,1,2,3,4,5,6,7,8,9},A277,ROW(INDIRECT("1:"&amp;LEN(A277)))),1))," ",REPT(" ",LEN(A277))),LEN(A277))))))))+1, 1) * 10^ROW(INDIRECT("1:"&amp;LEN((--TRIM(RIGHT(SUBSTITUTE(LEFT(A277,_xlfn.AGGREGATE(16,6,FIND({0,1,2,3,4,5,6,7,8,9},A277,ROW(INDIRECT("1:"&amp;LEN(A277)))),1))," ",REPT(" ",LEN(A277))),LEN(A277)))))))/10))*1+1</f>
        <v>202 &amp; 402</v>
      </c>
      <c r="B278" s="78"/>
      <c r="C278" s="52">
        <v>1</v>
      </c>
      <c r="D278" s="56">
        <f>(35.37)*(10.764)</f>
        <v>380.72267999999997</v>
      </c>
      <c r="E278" s="42">
        <v>0</v>
      </c>
      <c r="F278" s="42">
        <v>620</v>
      </c>
      <c r="G278" s="87"/>
      <c r="H278" s="88"/>
      <c r="I278" s="36"/>
      <c r="J278" s="37">
        <f t="shared" si="24"/>
        <v>1.6284819175994454</v>
      </c>
    </row>
    <row r="279" spans="1:10" s="37" customFormat="1" ht="15.75" customHeight="1" x14ac:dyDescent="0.35">
      <c r="A279" s="77" t="str">
        <f ca="1">(SUMPRODUCT(MID(0&amp;(LEFT(A278,SUM(LEN(A278)-LEN(SUBSTITUTE(A278,{"0","1","2"},""))))), LARGE(INDEX(ISNUMBER(--MID((LEFT(A278,SUM(LEN(A278)-LEN(SUBSTITUTE(A278,{"0","1","2"},""))))), ROW(INDIRECT("1:"&amp;LEN((LEFT(A278,SUM(LEN(A278)-LEN(SUBSTITUTE(A278,{"0","1","2"},"")))))))), 1)) * ROW(INDIRECT("1:"&amp;LEN((LEFT(A278,SUM(LEN(A278)-LEN(SUBSTITUTE(A278,{"0","1","2"},"")))))))), 0), ROW(INDIRECT("1:"&amp;LEN((LEFT(A278,SUM(LEN(A278)-LEN(SUBSTITUTE(A278,{"0","1","2"},"")))))))))+1, 1) * 10^ROW(INDIRECT("1:"&amp;LEN((LEFT(A278,SUM(LEN(A278)-LEN(SUBSTITUTE(A278,{"0","1","2"},""))))))))/10))*1+1&amp;""&amp;" &amp; "&amp;""&amp;(SUMPRODUCT(MID(0&amp;(--TRIM(RIGHT(SUBSTITUTE(LEFT(A278,_xlfn.AGGREGATE(16,6,FIND({0,1,2,3,4,5,6,7,8,9},A278,ROW(INDIRECT("1:"&amp;LEN(A278)))),1))," ",REPT(" ",LEN(A278))),LEN(A278)))), LARGE(INDEX(ISNUMBER(--MID((--TRIM(RIGHT(SUBSTITUTE(LEFT(A278,_xlfn.AGGREGATE(16,6,FIND({0,1,2,3,4,5,6,7,8,9},A278,ROW(INDIRECT("1:"&amp;LEN(A278)))),1))," ",REPT(" ",LEN(A278))),LEN(A278)))), ROW(INDIRECT("1:"&amp;LEN((--TRIM(RIGHT(SUBSTITUTE(LEFT(A278,_xlfn.AGGREGATE(16,6,FIND({0,1,2,3,4,5,6,7,8,9},A278,ROW(INDIRECT("1:"&amp;LEN(A278)))),1))," ",REPT(" ",LEN(A278))),LEN(A278))))))), 1)) * ROW(INDIRECT("1:"&amp;LEN((--TRIM(RIGHT(SUBSTITUTE(LEFT(A278,_xlfn.AGGREGATE(16,6,FIND({0,1,2,3,4,5,6,7,8,9},A278,ROW(INDIRECT("1:"&amp;LEN(A278)))),1))," ",REPT(" ",LEN(A278))),LEN(A278))))))), 0), ROW(INDIRECT("1:"&amp;LEN((--TRIM(RIGHT(SUBSTITUTE(LEFT(A278,_xlfn.AGGREGATE(16,6,FIND({0,1,2,3,4,5,6,7,8,9},A278,ROW(INDIRECT("1:"&amp;LEN(A278)))),1))," ",REPT(" ",LEN(A278))),LEN(A278))))))))+1, 1) * 10^ROW(INDIRECT("1:"&amp;LEN((--TRIM(RIGHT(SUBSTITUTE(LEFT(A278,_xlfn.AGGREGATE(16,6,FIND({0,1,2,3,4,5,6,7,8,9},A278,ROW(INDIRECT("1:"&amp;LEN(A278)))),1))," ",REPT(" ",LEN(A278))),LEN(A278)))))))/10))*1+1</f>
        <v>203 &amp; 403</v>
      </c>
      <c r="B279" s="78"/>
      <c r="C279" s="52">
        <v>2</v>
      </c>
      <c r="D279" s="56">
        <f>(45.59+3.55)*(10.764)</f>
        <v>528.94295999999997</v>
      </c>
      <c r="E279" s="42">
        <v>0</v>
      </c>
      <c r="F279" s="42">
        <v>855</v>
      </c>
      <c r="G279" s="87"/>
      <c r="H279" s="88"/>
      <c r="I279" s="36"/>
      <c r="J279" s="37">
        <f t="shared" si="24"/>
        <v>1.6164313823176701</v>
      </c>
    </row>
    <row r="280" spans="1:10" s="37" customFormat="1" ht="15.75" customHeight="1" x14ac:dyDescent="0.35">
      <c r="A280" s="77" t="str">
        <f ca="1">(SUMPRODUCT(MID(0&amp;(LEFT(A279,SUM(LEN(A279)-LEN(SUBSTITUTE(A279,{"0","1","2"},""))))), LARGE(INDEX(ISNUMBER(--MID((LEFT(A279,SUM(LEN(A279)-LEN(SUBSTITUTE(A279,{"0","1","2"},""))))), ROW(INDIRECT("1:"&amp;LEN((LEFT(A279,SUM(LEN(A279)-LEN(SUBSTITUTE(A279,{"0","1","2"},"")))))))), 1)) * ROW(INDIRECT("1:"&amp;LEN((LEFT(A279,SUM(LEN(A279)-LEN(SUBSTITUTE(A279,{"0","1","2"},"")))))))), 0), ROW(INDIRECT("1:"&amp;LEN((LEFT(A279,SUM(LEN(A279)-LEN(SUBSTITUTE(A279,{"0","1","2"},"")))))))))+1, 1) * 10^ROW(INDIRECT("1:"&amp;LEN((LEFT(A279,SUM(LEN(A279)-LEN(SUBSTITUTE(A279,{"0","1","2"},""))))))))/10))*1+1&amp;""&amp;" &amp; "&amp;""&amp;(SUMPRODUCT(MID(0&amp;(--TRIM(RIGHT(SUBSTITUTE(LEFT(A279,_xlfn.AGGREGATE(16,6,FIND({0,1,2,3,4,5,6,7,8,9},A279,ROW(INDIRECT("1:"&amp;LEN(A279)))),1))," ",REPT(" ",LEN(A279))),LEN(A279)))), LARGE(INDEX(ISNUMBER(--MID((--TRIM(RIGHT(SUBSTITUTE(LEFT(A279,_xlfn.AGGREGATE(16,6,FIND({0,1,2,3,4,5,6,7,8,9},A279,ROW(INDIRECT("1:"&amp;LEN(A279)))),1))," ",REPT(" ",LEN(A279))),LEN(A279)))), ROW(INDIRECT("1:"&amp;LEN((--TRIM(RIGHT(SUBSTITUTE(LEFT(A279,_xlfn.AGGREGATE(16,6,FIND({0,1,2,3,4,5,6,7,8,9},A279,ROW(INDIRECT("1:"&amp;LEN(A279)))),1))," ",REPT(" ",LEN(A279))),LEN(A279))))))), 1)) * ROW(INDIRECT("1:"&amp;LEN((--TRIM(RIGHT(SUBSTITUTE(LEFT(A279,_xlfn.AGGREGATE(16,6,FIND({0,1,2,3,4,5,6,7,8,9},A279,ROW(INDIRECT("1:"&amp;LEN(A279)))),1))," ",REPT(" ",LEN(A279))),LEN(A279))))))), 0), ROW(INDIRECT("1:"&amp;LEN((--TRIM(RIGHT(SUBSTITUTE(LEFT(A279,_xlfn.AGGREGATE(16,6,FIND({0,1,2,3,4,5,6,7,8,9},A279,ROW(INDIRECT("1:"&amp;LEN(A279)))),1))," ",REPT(" ",LEN(A279))),LEN(A279))))))))+1, 1) * 10^ROW(INDIRECT("1:"&amp;LEN((--TRIM(RIGHT(SUBSTITUTE(LEFT(A279,_xlfn.AGGREGATE(16,6,FIND({0,1,2,3,4,5,6,7,8,9},A279,ROW(INDIRECT("1:"&amp;LEN(A279)))),1))," ",REPT(" ",LEN(A279))),LEN(A279)))))))/10))*1+1</f>
        <v>204 &amp; 404</v>
      </c>
      <c r="B280" s="78"/>
      <c r="C280" s="52">
        <v>1</v>
      </c>
      <c r="D280" s="56">
        <f>(32.08+5.82)*(10.764)</f>
        <v>407.95559999999995</v>
      </c>
      <c r="E280" s="42">
        <v>0</v>
      </c>
      <c r="F280" s="42">
        <v>660</v>
      </c>
      <c r="G280" s="89"/>
      <c r="H280" s="90"/>
      <c r="I280" s="36"/>
      <c r="J280" s="37">
        <f t="shared" si="24"/>
        <v>1.6178231160449816</v>
      </c>
    </row>
    <row r="281" spans="1:10" s="37" customFormat="1" x14ac:dyDescent="0.35">
      <c r="A281" s="74" t="s">
        <v>199</v>
      </c>
      <c r="B281" s="75"/>
      <c r="C281" s="75"/>
      <c r="D281" s="75"/>
      <c r="E281" s="75"/>
      <c r="F281" s="75"/>
      <c r="G281" s="75"/>
      <c r="H281" s="76"/>
      <c r="J281" s="37" t="e">
        <f t="shared" si="24"/>
        <v>#DIV/0!</v>
      </c>
    </row>
    <row r="282" spans="1:10" s="37" customFormat="1" x14ac:dyDescent="0.35">
      <c r="A282" s="74" t="s">
        <v>194</v>
      </c>
      <c r="B282" s="75"/>
      <c r="C282" s="75"/>
      <c r="D282" s="75"/>
      <c r="E282" s="75"/>
      <c r="F282" s="75"/>
      <c r="G282" s="75"/>
      <c r="H282" s="76"/>
      <c r="I282" s="36"/>
      <c r="J282" s="37" t="e">
        <f t="shared" si="24"/>
        <v>#DIV/0!</v>
      </c>
    </row>
    <row r="283" spans="1:10" s="37" customFormat="1" ht="15.75" customHeight="1" x14ac:dyDescent="0.35">
      <c r="A283" s="77" t="str">
        <f ca="1">(SUMPRODUCT(MID(0&amp;(LEFT(A282,SUM(LEN(A282)-LEN(SUBSTITUTE(A282,{"0","1","2"},""))))), LARGE(INDEX(ISNUMBER(--MID((LEFT(A282,SUM(LEN(A282)-LEN(SUBSTITUTE(A282,{"0","1","2"},""))))), ROW(INDIRECT("1:"&amp;LEN((LEFT(A282,SUM(LEN(A282)-LEN(SUBSTITUTE(A282,{"0","1","2"},"")))))))), 1)) * ROW(INDIRECT("1:"&amp;LEN((LEFT(A282,SUM(LEN(A282)-LEN(SUBSTITUTE(A282,{"0","1","2"},"")))))))), 0), ROW(INDIRECT("1:"&amp;LEN((LEFT(A282,SUM(LEN(A282)-LEN(SUBSTITUTE(A282,{"0","1","2"},"")))))))))+1, 1) * 10^ROW(INDIRECT("1:"&amp;LEN((LEFT(A282,SUM(LEN(A282)-LEN(SUBSTITUTE(A282,{"0","1","2"},""))))))))/10))*100+1&amp;""&amp;" &amp; "&amp;""&amp;(SUMPRODUCT(MID(0&amp;(--TRIM(RIGHT(SUBSTITUTE(LEFT(A282,_xlfn.AGGREGATE(16,6,FIND({0,1,2,3,4,5,6,7,8,9},A282,ROW(INDIRECT("1:"&amp;LEN(A282)))),1))," ",REPT(" ",LEN(A282))),LEN(A282)))), LARGE(INDEX(ISNUMBER(--MID((--TRIM(RIGHT(SUBSTITUTE(LEFT(A282,_xlfn.AGGREGATE(16,6,FIND({0,1,2,3,4,5,6,7,8,9},A282,ROW(INDIRECT("1:"&amp;LEN(A282)))),1))," ",REPT(" ",LEN(A282))),LEN(A282)))), ROW(INDIRECT("1:"&amp;LEN((--TRIM(RIGHT(SUBSTITUTE(LEFT(A282,_xlfn.AGGREGATE(16,6,FIND({0,1,2,3,4,5,6,7,8,9},A282,ROW(INDIRECT("1:"&amp;LEN(A282)))),1))," ",REPT(" ",LEN(A282))),LEN(A282))))))), 1)) * ROW(INDIRECT("1:"&amp;LEN((--TRIM(RIGHT(SUBSTITUTE(LEFT(A282,_xlfn.AGGREGATE(16,6,FIND({0,1,2,3,4,5,6,7,8,9},A282,ROW(INDIRECT("1:"&amp;LEN(A282)))),1))," ",REPT(" ",LEN(A282))),LEN(A282))))))), 0), ROW(INDIRECT("1:"&amp;LEN((--TRIM(RIGHT(SUBSTITUTE(LEFT(A282,_xlfn.AGGREGATE(16,6,FIND({0,1,2,3,4,5,6,7,8,9},A282,ROW(INDIRECT("1:"&amp;LEN(A282)))),1))," ",REPT(" ",LEN(A282))),LEN(A282))))))))+1, 1) * 10^ROW(INDIRECT("1:"&amp;LEN((--TRIM(RIGHT(SUBSTITUTE(LEFT(A282,_xlfn.AGGREGATE(16,6,FIND({0,1,2,3,4,5,6,7,8,9},A282,ROW(INDIRECT("1:"&amp;LEN(A282)))),1))," ",REPT(" ",LEN(A282))),LEN(A282)))))))/10))*100+1</f>
        <v>101 &amp; 301</v>
      </c>
      <c r="B283" s="78"/>
      <c r="C283" s="52">
        <v>1</v>
      </c>
      <c r="D283" s="56">
        <f>(33.46)*(10.764)</f>
        <v>360.16343999999998</v>
      </c>
      <c r="E283" s="42">
        <v>0</v>
      </c>
      <c r="F283" s="42">
        <v>585</v>
      </c>
      <c r="G283" s="85" t="str">
        <f>A282</f>
        <v>1st &amp; 3rd Floor</v>
      </c>
      <c r="H283" s="86"/>
      <c r="I283" s="36"/>
      <c r="J283" s="37">
        <f t="shared" si="24"/>
        <v>1.6242625847865071</v>
      </c>
    </row>
    <row r="284" spans="1:10" s="37" customFormat="1" ht="15.75" customHeight="1" x14ac:dyDescent="0.35">
      <c r="A284" s="77" t="str">
        <f ca="1">(SUMPRODUCT(MID(0&amp;(LEFT(A283,SUM(LEN(A283)-LEN(SUBSTITUTE(A283,{"0","1","2"},""))))), LARGE(INDEX(ISNUMBER(--MID((LEFT(A283,SUM(LEN(A283)-LEN(SUBSTITUTE(A283,{"0","1","2"},""))))), ROW(INDIRECT("1:"&amp;LEN((LEFT(A283,SUM(LEN(A283)-LEN(SUBSTITUTE(A283,{"0","1","2"},"")))))))), 1)) * ROW(INDIRECT("1:"&amp;LEN((LEFT(A283,SUM(LEN(A283)-LEN(SUBSTITUTE(A283,{"0","1","2"},"")))))))), 0), ROW(INDIRECT("1:"&amp;LEN((LEFT(A283,SUM(LEN(A283)-LEN(SUBSTITUTE(A283,{"0","1","2"},"")))))))))+1, 1) * 10^ROW(INDIRECT("1:"&amp;LEN((LEFT(A283,SUM(LEN(A283)-LEN(SUBSTITUTE(A283,{"0","1","2"},""))))))))/10))*1+1&amp;""&amp;" &amp; "&amp;""&amp;(SUMPRODUCT(MID(0&amp;(--TRIM(RIGHT(SUBSTITUTE(LEFT(A283,_xlfn.AGGREGATE(16,6,FIND({0,1,2,3,4,5,6,7,8,9},A283,ROW(INDIRECT("1:"&amp;LEN(A283)))),1))," ",REPT(" ",LEN(A283))),LEN(A283)))), LARGE(INDEX(ISNUMBER(--MID((--TRIM(RIGHT(SUBSTITUTE(LEFT(A283,_xlfn.AGGREGATE(16,6,FIND({0,1,2,3,4,5,6,7,8,9},A283,ROW(INDIRECT("1:"&amp;LEN(A283)))),1))," ",REPT(" ",LEN(A283))),LEN(A283)))), ROW(INDIRECT("1:"&amp;LEN((--TRIM(RIGHT(SUBSTITUTE(LEFT(A283,_xlfn.AGGREGATE(16,6,FIND({0,1,2,3,4,5,6,7,8,9},A283,ROW(INDIRECT("1:"&amp;LEN(A283)))),1))," ",REPT(" ",LEN(A283))),LEN(A283))))))), 1)) * ROW(INDIRECT("1:"&amp;LEN((--TRIM(RIGHT(SUBSTITUTE(LEFT(A283,_xlfn.AGGREGATE(16,6,FIND({0,1,2,3,4,5,6,7,8,9},A283,ROW(INDIRECT("1:"&amp;LEN(A283)))),1))," ",REPT(" ",LEN(A283))),LEN(A283))))))), 0), ROW(INDIRECT("1:"&amp;LEN((--TRIM(RIGHT(SUBSTITUTE(LEFT(A283,_xlfn.AGGREGATE(16,6,FIND({0,1,2,3,4,5,6,7,8,9},A283,ROW(INDIRECT("1:"&amp;LEN(A283)))),1))," ",REPT(" ",LEN(A283))),LEN(A283))))))))+1, 1) * 10^ROW(INDIRECT("1:"&amp;LEN((--TRIM(RIGHT(SUBSTITUTE(LEFT(A283,_xlfn.AGGREGATE(16,6,FIND({0,1,2,3,4,5,6,7,8,9},A283,ROW(INDIRECT("1:"&amp;LEN(A283)))),1))," ",REPT(" ",LEN(A283))),LEN(A283)))))))/10))*1+1</f>
        <v>102 &amp; 302</v>
      </c>
      <c r="B284" s="78"/>
      <c r="C284" s="52">
        <v>2</v>
      </c>
      <c r="D284" s="56">
        <f>(52.15+3.05)*(10.764)</f>
        <v>594.17279999999994</v>
      </c>
      <c r="E284" s="56">
        <f>(8.255)*(10.764)</f>
        <v>88.856819999999999</v>
      </c>
      <c r="F284" s="42">
        <v>1030</v>
      </c>
      <c r="G284" s="87"/>
      <c r="H284" s="88"/>
      <c r="I284" s="36"/>
      <c r="J284" s="37">
        <f t="shared" si="24"/>
        <v>1.7335024423871306</v>
      </c>
    </row>
    <row r="285" spans="1:10" s="37" customFormat="1" ht="15.75" customHeight="1" x14ac:dyDescent="0.35">
      <c r="A285" s="77" t="str">
        <f ca="1">(SUMPRODUCT(MID(0&amp;(LEFT(A284,SUM(LEN(A284)-LEN(SUBSTITUTE(A284,{"0","1","2"},""))))), LARGE(INDEX(ISNUMBER(--MID((LEFT(A284,SUM(LEN(A284)-LEN(SUBSTITUTE(A284,{"0","1","2"},""))))), ROW(INDIRECT("1:"&amp;LEN((LEFT(A284,SUM(LEN(A284)-LEN(SUBSTITUTE(A284,{"0","1","2"},"")))))))), 1)) * ROW(INDIRECT("1:"&amp;LEN((LEFT(A284,SUM(LEN(A284)-LEN(SUBSTITUTE(A284,{"0","1","2"},"")))))))), 0), ROW(INDIRECT("1:"&amp;LEN((LEFT(A284,SUM(LEN(A284)-LEN(SUBSTITUTE(A284,{"0","1","2"},"")))))))))+1, 1) * 10^ROW(INDIRECT("1:"&amp;LEN((LEFT(A284,SUM(LEN(A284)-LEN(SUBSTITUTE(A284,{"0","1","2"},""))))))))/10))*1+1&amp;""&amp;" &amp; "&amp;""&amp;(SUMPRODUCT(MID(0&amp;(--TRIM(RIGHT(SUBSTITUTE(LEFT(A284,_xlfn.AGGREGATE(16,6,FIND({0,1,2,3,4,5,6,7,8,9},A284,ROW(INDIRECT("1:"&amp;LEN(A284)))),1))," ",REPT(" ",LEN(A284))),LEN(A284)))), LARGE(INDEX(ISNUMBER(--MID((--TRIM(RIGHT(SUBSTITUTE(LEFT(A284,_xlfn.AGGREGATE(16,6,FIND({0,1,2,3,4,5,6,7,8,9},A284,ROW(INDIRECT("1:"&amp;LEN(A284)))),1))," ",REPT(" ",LEN(A284))),LEN(A284)))), ROW(INDIRECT("1:"&amp;LEN((--TRIM(RIGHT(SUBSTITUTE(LEFT(A284,_xlfn.AGGREGATE(16,6,FIND({0,1,2,3,4,5,6,7,8,9},A284,ROW(INDIRECT("1:"&amp;LEN(A284)))),1))," ",REPT(" ",LEN(A284))),LEN(A284))))))), 1)) * ROW(INDIRECT("1:"&amp;LEN((--TRIM(RIGHT(SUBSTITUTE(LEFT(A284,_xlfn.AGGREGATE(16,6,FIND({0,1,2,3,4,5,6,7,8,9},A284,ROW(INDIRECT("1:"&amp;LEN(A284)))),1))," ",REPT(" ",LEN(A284))),LEN(A284))))))), 0), ROW(INDIRECT("1:"&amp;LEN((--TRIM(RIGHT(SUBSTITUTE(LEFT(A284,_xlfn.AGGREGATE(16,6,FIND({0,1,2,3,4,5,6,7,8,9},A284,ROW(INDIRECT("1:"&amp;LEN(A284)))),1))," ",REPT(" ",LEN(A284))),LEN(A284))))))))+1, 1) * 10^ROW(INDIRECT("1:"&amp;LEN((--TRIM(RIGHT(SUBSTITUTE(LEFT(A284,_xlfn.AGGREGATE(16,6,FIND({0,1,2,3,4,5,6,7,8,9},A284,ROW(INDIRECT("1:"&amp;LEN(A284)))),1))," ",REPT(" ",LEN(A284))),LEN(A284)))))))/10))*1+1</f>
        <v>103 &amp; 303</v>
      </c>
      <c r="B285" s="78"/>
      <c r="C285" s="52">
        <v>2</v>
      </c>
      <c r="D285" s="56">
        <f>(49.9+3.55)*(10.764)</f>
        <v>575.33579999999995</v>
      </c>
      <c r="E285" s="56">
        <f>(16.414)*(10.764)</f>
        <v>176.680296</v>
      </c>
      <c r="F285" s="42">
        <v>1205</v>
      </c>
      <c r="G285" s="87"/>
      <c r="H285" s="88"/>
      <c r="I285" s="36"/>
      <c r="J285" s="37">
        <f t="shared" si="24"/>
        <v>2.0944290273610648</v>
      </c>
    </row>
    <row r="286" spans="1:10" s="37" customFormat="1" ht="15.75" customHeight="1" x14ac:dyDescent="0.35">
      <c r="A286" s="77" t="str">
        <f ca="1">(SUMPRODUCT(MID(0&amp;(LEFT(A285,SUM(LEN(A285)-LEN(SUBSTITUTE(A285,{"0","1","2"},""))))), LARGE(INDEX(ISNUMBER(--MID((LEFT(A285,SUM(LEN(A285)-LEN(SUBSTITUTE(A285,{"0","1","2"},""))))), ROW(INDIRECT("1:"&amp;LEN((LEFT(A285,SUM(LEN(A285)-LEN(SUBSTITUTE(A285,{"0","1","2"},"")))))))), 1)) * ROW(INDIRECT("1:"&amp;LEN((LEFT(A285,SUM(LEN(A285)-LEN(SUBSTITUTE(A285,{"0","1","2"},"")))))))), 0), ROW(INDIRECT("1:"&amp;LEN((LEFT(A285,SUM(LEN(A285)-LEN(SUBSTITUTE(A285,{"0","1","2"},"")))))))))+1, 1) * 10^ROW(INDIRECT("1:"&amp;LEN((LEFT(A285,SUM(LEN(A285)-LEN(SUBSTITUTE(A285,{"0","1","2"},""))))))))/10))*1+1&amp;""&amp;" &amp; "&amp;""&amp;(SUMPRODUCT(MID(0&amp;(--TRIM(RIGHT(SUBSTITUTE(LEFT(A285,_xlfn.AGGREGATE(16,6,FIND({0,1,2,3,4,5,6,7,8,9},A285,ROW(INDIRECT("1:"&amp;LEN(A285)))),1))," ",REPT(" ",LEN(A285))),LEN(A285)))), LARGE(INDEX(ISNUMBER(--MID((--TRIM(RIGHT(SUBSTITUTE(LEFT(A285,_xlfn.AGGREGATE(16,6,FIND({0,1,2,3,4,5,6,7,8,9},A285,ROW(INDIRECT("1:"&amp;LEN(A285)))),1))," ",REPT(" ",LEN(A285))),LEN(A285)))), ROW(INDIRECT("1:"&amp;LEN((--TRIM(RIGHT(SUBSTITUTE(LEFT(A285,_xlfn.AGGREGATE(16,6,FIND({0,1,2,3,4,5,6,7,8,9},A285,ROW(INDIRECT("1:"&amp;LEN(A285)))),1))," ",REPT(" ",LEN(A285))),LEN(A285))))))), 1)) * ROW(INDIRECT("1:"&amp;LEN((--TRIM(RIGHT(SUBSTITUTE(LEFT(A285,_xlfn.AGGREGATE(16,6,FIND({0,1,2,3,4,5,6,7,8,9},A285,ROW(INDIRECT("1:"&amp;LEN(A285)))),1))," ",REPT(" ",LEN(A285))),LEN(A285))))))), 0), ROW(INDIRECT("1:"&amp;LEN((--TRIM(RIGHT(SUBSTITUTE(LEFT(A285,_xlfn.AGGREGATE(16,6,FIND({0,1,2,3,4,5,6,7,8,9},A285,ROW(INDIRECT("1:"&amp;LEN(A285)))),1))," ",REPT(" ",LEN(A285))),LEN(A285))))))))+1, 1) * 10^ROW(INDIRECT("1:"&amp;LEN((--TRIM(RIGHT(SUBSTITUTE(LEFT(A285,_xlfn.AGGREGATE(16,6,FIND({0,1,2,3,4,5,6,7,8,9},A285,ROW(INDIRECT("1:"&amp;LEN(A285)))),1))," ",REPT(" ",LEN(A285))),LEN(A285)))))))/10))*1+1</f>
        <v>104 &amp; 304</v>
      </c>
      <c r="B286" s="78"/>
      <c r="C286" s="52">
        <v>1</v>
      </c>
      <c r="D286" s="56">
        <f>(32.8+8.1)*(10.764)</f>
        <v>440.24759999999998</v>
      </c>
      <c r="E286" s="42">
        <v>0</v>
      </c>
      <c r="F286" s="42">
        <v>712</v>
      </c>
      <c r="G286" s="87"/>
      <c r="H286" s="88"/>
      <c r="I286" s="36"/>
      <c r="J286" s="37">
        <f t="shared" si="24"/>
        <v>1.6172717352689714</v>
      </c>
    </row>
    <row r="287" spans="1:10" s="37" customFormat="1" ht="15.75" customHeight="1" x14ac:dyDescent="0.35">
      <c r="A287" s="77" t="str">
        <f ca="1">(SUMPRODUCT(MID(0&amp;(LEFT(A286,SUM(LEN(A286)-LEN(SUBSTITUTE(A286,{"0","1","2"},""))))), LARGE(INDEX(ISNUMBER(--MID((LEFT(A286,SUM(LEN(A286)-LEN(SUBSTITUTE(A286,{"0","1","2"},""))))), ROW(INDIRECT("1:"&amp;LEN((LEFT(A286,SUM(LEN(A286)-LEN(SUBSTITUTE(A286,{"0","1","2"},"")))))))), 1)) * ROW(INDIRECT("1:"&amp;LEN((LEFT(A286,SUM(LEN(A286)-LEN(SUBSTITUTE(A286,{"0","1","2"},"")))))))), 0), ROW(INDIRECT("1:"&amp;LEN((LEFT(A286,SUM(LEN(A286)-LEN(SUBSTITUTE(A286,{"0","1","2"},"")))))))))+1, 1) * 10^ROW(INDIRECT("1:"&amp;LEN((LEFT(A286,SUM(LEN(A286)-LEN(SUBSTITUTE(A286,{"0","1","2"},""))))))))/10))*1+1&amp;""&amp;" &amp; "&amp;""&amp;(SUMPRODUCT(MID(0&amp;(--TRIM(RIGHT(SUBSTITUTE(LEFT(A286,_xlfn.AGGREGATE(16,6,FIND({0,1,2,3,4,5,6,7,8,9},A286,ROW(INDIRECT("1:"&amp;LEN(A286)))),1))," ",REPT(" ",LEN(A286))),LEN(A286)))), LARGE(INDEX(ISNUMBER(--MID((--TRIM(RIGHT(SUBSTITUTE(LEFT(A286,_xlfn.AGGREGATE(16,6,FIND({0,1,2,3,4,5,6,7,8,9},A286,ROW(INDIRECT("1:"&amp;LEN(A286)))),1))," ",REPT(" ",LEN(A286))),LEN(A286)))), ROW(INDIRECT("1:"&amp;LEN((--TRIM(RIGHT(SUBSTITUTE(LEFT(A286,_xlfn.AGGREGATE(16,6,FIND({0,1,2,3,4,5,6,7,8,9},A286,ROW(INDIRECT("1:"&amp;LEN(A286)))),1))," ",REPT(" ",LEN(A286))),LEN(A286))))))), 1)) * ROW(INDIRECT("1:"&amp;LEN((--TRIM(RIGHT(SUBSTITUTE(LEFT(A286,_xlfn.AGGREGATE(16,6,FIND({0,1,2,3,4,5,6,7,8,9},A286,ROW(INDIRECT("1:"&amp;LEN(A286)))),1))," ",REPT(" ",LEN(A286))),LEN(A286))))))), 0), ROW(INDIRECT("1:"&amp;LEN((--TRIM(RIGHT(SUBSTITUTE(LEFT(A286,_xlfn.AGGREGATE(16,6,FIND({0,1,2,3,4,5,6,7,8,9},A286,ROW(INDIRECT("1:"&amp;LEN(A286)))),1))," ",REPT(" ",LEN(A286))),LEN(A286))))))))+1, 1) * 10^ROW(INDIRECT("1:"&amp;LEN((--TRIM(RIGHT(SUBSTITUTE(LEFT(A286,_xlfn.AGGREGATE(16,6,FIND({0,1,2,3,4,5,6,7,8,9},A286,ROW(INDIRECT("1:"&amp;LEN(A286)))),1))," ",REPT(" ",LEN(A286))),LEN(A286)))))))/10))*1+1</f>
        <v>105 &amp; 305</v>
      </c>
      <c r="B287" s="78"/>
      <c r="C287" s="52">
        <v>2</v>
      </c>
      <c r="D287" s="56">
        <f>(49+7.96)*(10.764)</f>
        <v>613.11743999999999</v>
      </c>
      <c r="E287" s="56">
        <f>(3.9)*(10.764)</f>
        <v>41.979599999999998</v>
      </c>
      <c r="F287" s="42">
        <v>1060</v>
      </c>
      <c r="G287" s="87"/>
      <c r="H287" s="88"/>
      <c r="I287" s="36"/>
      <c r="J287" s="37">
        <f t="shared" si="24"/>
        <v>1.7288694316051425</v>
      </c>
    </row>
    <row r="288" spans="1:10" s="37" customFormat="1" ht="15.75" customHeight="1" x14ac:dyDescent="0.35">
      <c r="A288" s="77" t="str">
        <f ca="1">(SUMPRODUCT(MID(0&amp;(LEFT(A287,SUM(LEN(A287)-LEN(SUBSTITUTE(A287,{"0","1","2"},""))))), LARGE(INDEX(ISNUMBER(--MID((LEFT(A287,SUM(LEN(A287)-LEN(SUBSTITUTE(A287,{"0","1","2"},""))))), ROW(INDIRECT("1:"&amp;LEN((LEFT(A287,SUM(LEN(A287)-LEN(SUBSTITUTE(A287,{"0","1","2"},"")))))))), 1)) * ROW(INDIRECT("1:"&amp;LEN((LEFT(A287,SUM(LEN(A287)-LEN(SUBSTITUTE(A287,{"0","1","2"},"")))))))), 0), ROW(INDIRECT("1:"&amp;LEN((LEFT(A287,SUM(LEN(A287)-LEN(SUBSTITUTE(A287,{"0","1","2"},"")))))))))+1, 1) * 10^ROW(INDIRECT("1:"&amp;LEN((LEFT(A287,SUM(LEN(A287)-LEN(SUBSTITUTE(A287,{"0","1","2"},""))))))))/10))*1+1&amp;""&amp;" &amp; "&amp;""&amp;(SUMPRODUCT(MID(0&amp;(--TRIM(RIGHT(SUBSTITUTE(LEFT(A287,_xlfn.AGGREGATE(16,6,FIND({0,1,2,3,4,5,6,7,8,9},A287,ROW(INDIRECT("1:"&amp;LEN(A287)))),1))," ",REPT(" ",LEN(A287))),LEN(A287)))), LARGE(INDEX(ISNUMBER(--MID((--TRIM(RIGHT(SUBSTITUTE(LEFT(A287,_xlfn.AGGREGATE(16,6,FIND({0,1,2,3,4,5,6,7,8,9},A287,ROW(INDIRECT("1:"&amp;LEN(A287)))),1))," ",REPT(" ",LEN(A287))),LEN(A287)))), ROW(INDIRECT("1:"&amp;LEN((--TRIM(RIGHT(SUBSTITUTE(LEFT(A287,_xlfn.AGGREGATE(16,6,FIND({0,1,2,3,4,5,6,7,8,9},A287,ROW(INDIRECT("1:"&amp;LEN(A287)))),1))," ",REPT(" ",LEN(A287))),LEN(A287))))))), 1)) * ROW(INDIRECT("1:"&amp;LEN((--TRIM(RIGHT(SUBSTITUTE(LEFT(A287,_xlfn.AGGREGATE(16,6,FIND({0,1,2,3,4,5,6,7,8,9},A287,ROW(INDIRECT("1:"&amp;LEN(A287)))),1))," ",REPT(" ",LEN(A287))),LEN(A287))))))), 0), ROW(INDIRECT("1:"&amp;LEN((--TRIM(RIGHT(SUBSTITUTE(LEFT(A287,_xlfn.AGGREGATE(16,6,FIND({0,1,2,3,4,5,6,7,8,9},A287,ROW(INDIRECT("1:"&amp;LEN(A287)))),1))," ",REPT(" ",LEN(A287))),LEN(A287))))))))+1, 1) * 10^ROW(INDIRECT("1:"&amp;LEN((--TRIM(RIGHT(SUBSTITUTE(LEFT(A287,_xlfn.AGGREGATE(16,6,FIND({0,1,2,3,4,5,6,7,8,9},A287,ROW(INDIRECT("1:"&amp;LEN(A287)))),1))," ",REPT(" ",LEN(A287))),LEN(A287)))))))/10))*1+1</f>
        <v>106 &amp; 306</v>
      </c>
      <c r="B288" s="78"/>
      <c r="C288" s="52">
        <v>2</v>
      </c>
      <c r="D288" s="56">
        <f>(49.18+7.96)*(10.764)</f>
        <v>615.05495999999994</v>
      </c>
      <c r="E288" s="42">
        <v>0</v>
      </c>
      <c r="F288" s="42">
        <v>995</v>
      </c>
      <c r="G288" s="89"/>
      <c r="H288" s="90"/>
      <c r="I288" s="36"/>
      <c r="J288" s="37">
        <f t="shared" si="24"/>
        <v>1.6177416080019908</v>
      </c>
    </row>
    <row r="289" spans="1:14" s="37" customFormat="1" x14ac:dyDescent="0.35">
      <c r="A289" s="74" t="s">
        <v>195</v>
      </c>
      <c r="B289" s="75"/>
      <c r="C289" s="75"/>
      <c r="D289" s="75"/>
      <c r="E289" s="75"/>
      <c r="F289" s="75"/>
      <c r="G289" s="75"/>
      <c r="H289" s="76"/>
      <c r="I289" s="36"/>
      <c r="J289" s="37" t="e">
        <f t="shared" si="24"/>
        <v>#DIV/0!</v>
      </c>
    </row>
    <row r="290" spans="1:14" s="37" customFormat="1" ht="15.75" customHeight="1" x14ac:dyDescent="0.35">
      <c r="A290" s="77" t="str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10^ROW(INDIRECT("1:"&amp;LEN((LEFT(A289,SUM(LEN(A289)-LEN(SUBSTITUTE(A289,{"0","1","2"},""))))))))/10))*100+1&amp;""&amp;" &amp; "&amp;""&amp;(SUMPRODUCT(MID(0&amp;(--TRIM(RIGHT(SUBSTITUTE(LEFT(A289,_xlfn.AGGREGATE(16,6,FIND({0,1,2,3,4,5,6,7,8,9},A289,ROW(INDIRECT("1:"&amp;LEN(A289)))),1)),"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",LEN(A289))),LEN(A289)))))))/10))*100+1</f>
        <v>201 &amp; 401</v>
      </c>
      <c r="B290" s="78"/>
      <c r="C290" s="52">
        <v>1</v>
      </c>
      <c r="D290" s="56">
        <f>(33.46)*(10.764)</f>
        <v>360.16343999999998</v>
      </c>
      <c r="E290" s="42">
        <v>0</v>
      </c>
      <c r="F290" s="42">
        <v>585</v>
      </c>
      <c r="G290" s="85" t="str">
        <f>A289</f>
        <v>2nd &amp; 4th Floor</v>
      </c>
      <c r="H290" s="86"/>
      <c r="I290" s="36"/>
      <c r="J290" s="37">
        <f t="shared" si="24"/>
        <v>1.6242625847865071</v>
      </c>
    </row>
    <row r="291" spans="1:14" s="37" customFormat="1" ht="15.75" customHeight="1" x14ac:dyDescent="0.35">
      <c r="A291" s="77" t="str">
        <f ca="1">(SUMPRODUCT(MID(0&amp;(LEFT(A290,SUM(LEN(A290)-LEN(SUBSTITUTE(A290,{"0","1","2"},""))))), LARGE(INDEX(ISNUMBER(--MID((LEFT(A290,SUM(LEN(A290)-LEN(SUBSTITUTE(A290,{"0","1","2"},""))))), ROW(INDIRECT("1:"&amp;LEN((LEFT(A290,SUM(LEN(A290)-LEN(SUBSTITUTE(A290,{"0","1","2"},"")))))))), 1)) * ROW(INDIRECT("1:"&amp;LEN((LEFT(A290,SUM(LEN(A290)-LEN(SUBSTITUTE(A290,{"0","1","2"},"")))))))), 0), ROW(INDIRECT("1:"&amp;LEN((LEFT(A290,SUM(LEN(A290)-LEN(SUBSTITUTE(A290,{"0","1","2"},"")))))))))+1, 1) * 10^ROW(INDIRECT("1:"&amp;LEN((LEFT(A290,SUM(LEN(A290)-LEN(SUBSTITUTE(A290,{"0","1","2"},""))))))))/10))*1+1&amp;""&amp;" &amp; "&amp;""&amp;(SUMPRODUCT(MID(0&amp;(--TRIM(RIGHT(SUBSTITUTE(LEFT(A290,_xlfn.AGGREGATE(16,6,FIND({0,1,2,3,4,5,6,7,8,9},A290,ROW(INDIRECT("1:"&amp;LEN(A290)))),1))," ",REPT(" ",LEN(A290))),LEN(A290)))), LARGE(INDEX(ISNUMBER(--MID((--TRIM(RIGHT(SUBSTITUTE(LEFT(A290,_xlfn.AGGREGATE(16,6,FIND({0,1,2,3,4,5,6,7,8,9},A290,ROW(INDIRECT("1:"&amp;LEN(A290)))),1))," ",REPT(" ",LEN(A290))),LEN(A290)))), ROW(INDIRECT("1:"&amp;LEN((--TRIM(RIGHT(SUBSTITUTE(LEFT(A290,_xlfn.AGGREGATE(16,6,FIND({0,1,2,3,4,5,6,7,8,9},A290,ROW(INDIRECT("1:"&amp;LEN(A290)))),1))," ",REPT(" ",LEN(A290))),LEN(A290))))))), 1)) * ROW(INDIRECT("1:"&amp;LEN((--TRIM(RIGHT(SUBSTITUTE(LEFT(A290,_xlfn.AGGREGATE(16,6,FIND({0,1,2,3,4,5,6,7,8,9},A290,ROW(INDIRECT("1:"&amp;LEN(A290)))),1))," ",REPT(" ",LEN(A290))),LEN(A290))))))), 0), ROW(INDIRECT("1:"&amp;LEN((--TRIM(RIGHT(SUBSTITUTE(LEFT(A290,_xlfn.AGGREGATE(16,6,FIND({0,1,2,3,4,5,6,7,8,9},A290,ROW(INDIRECT("1:"&amp;LEN(A290)))),1))," ",REPT(" ",LEN(A290))),LEN(A290))))))))+1, 1) * 10^ROW(INDIRECT("1:"&amp;LEN((--TRIM(RIGHT(SUBSTITUTE(LEFT(A290,_xlfn.AGGREGATE(16,6,FIND({0,1,2,3,4,5,6,7,8,9},A290,ROW(INDIRECT("1:"&amp;LEN(A290)))),1))," ",REPT(" ",LEN(A290))),LEN(A290)))))))/10))*1+1</f>
        <v>202 &amp; 402</v>
      </c>
      <c r="B291" s="78"/>
      <c r="C291" s="52">
        <v>2</v>
      </c>
      <c r="D291" s="56">
        <f>(51.17+3.05)*(10.764)</f>
        <v>583.62407999999994</v>
      </c>
      <c r="E291" s="42">
        <v>0</v>
      </c>
      <c r="F291" s="42">
        <v>950</v>
      </c>
      <c r="G291" s="87"/>
      <c r="H291" s="88"/>
      <c r="I291" s="36"/>
      <c r="J291" s="37">
        <f t="shared" si="24"/>
        <v>1.6277601157238064</v>
      </c>
    </row>
    <row r="292" spans="1:14" s="37" customFormat="1" ht="15.75" customHeight="1" x14ac:dyDescent="0.35">
      <c r="A292" s="77" t="str">
        <f ca="1">(SUMPRODUCT(MID(0&amp;(LEFT(A291,SUM(LEN(A291)-LEN(SUBSTITUTE(A291,{"0","1","2"},""))))), LARGE(INDEX(ISNUMBER(--MID((LEFT(A291,SUM(LEN(A291)-LEN(SUBSTITUTE(A291,{"0","1","2"},""))))), ROW(INDIRECT("1:"&amp;LEN((LEFT(A291,SUM(LEN(A291)-LEN(SUBSTITUTE(A291,{"0","1","2"},"")))))))), 1)) * ROW(INDIRECT("1:"&amp;LEN((LEFT(A291,SUM(LEN(A291)-LEN(SUBSTITUTE(A291,{"0","1","2"},"")))))))), 0), ROW(INDIRECT("1:"&amp;LEN((LEFT(A291,SUM(LEN(A291)-LEN(SUBSTITUTE(A291,{"0","1","2"},"")))))))))+1, 1) * 10^ROW(INDIRECT("1:"&amp;LEN((LEFT(A291,SUM(LEN(A291)-LEN(SUBSTITUTE(A291,{"0","1","2"},""))))))))/10))*1+1&amp;""&amp;" &amp; "&amp;""&amp;(SUMPRODUCT(MID(0&amp;(--TRIM(RIGHT(SUBSTITUTE(LEFT(A291,_xlfn.AGGREGATE(16,6,FIND({0,1,2,3,4,5,6,7,8,9},A291,ROW(INDIRECT("1:"&amp;LEN(A291)))),1))," ",REPT(" ",LEN(A291))),LEN(A291)))), LARGE(INDEX(ISNUMBER(--MID((--TRIM(RIGHT(SUBSTITUTE(LEFT(A291,_xlfn.AGGREGATE(16,6,FIND({0,1,2,3,4,5,6,7,8,9},A291,ROW(INDIRECT("1:"&amp;LEN(A291)))),1))," ",REPT(" ",LEN(A291))),LEN(A291)))), ROW(INDIRECT("1:"&amp;LEN((--TRIM(RIGHT(SUBSTITUTE(LEFT(A291,_xlfn.AGGREGATE(16,6,FIND({0,1,2,3,4,5,6,7,8,9},A291,ROW(INDIRECT("1:"&amp;LEN(A291)))),1))," ",REPT(" ",LEN(A291))),LEN(A291))))))), 1)) * ROW(INDIRECT("1:"&amp;LEN((--TRIM(RIGHT(SUBSTITUTE(LEFT(A291,_xlfn.AGGREGATE(16,6,FIND({0,1,2,3,4,5,6,7,8,9},A291,ROW(INDIRECT("1:"&amp;LEN(A291)))),1))," ",REPT(" ",LEN(A291))),LEN(A291))))))), 0), ROW(INDIRECT("1:"&amp;LEN((--TRIM(RIGHT(SUBSTITUTE(LEFT(A291,_xlfn.AGGREGATE(16,6,FIND({0,1,2,3,4,5,6,7,8,9},A291,ROW(INDIRECT("1:"&amp;LEN(A291)))),1))," ",REPT(" ",LEN(A291))),LEN(A291))))))))+1, 1) * 10^ROW(INDIRECT("1:"&amp;LEN((--TRIM(RIGHT(SUBSTITUTE(LEFT(A291,_xlfn.AGGREGATE(16,6,FIND({0,1,2,3,4,5,6,7,8,9},A291,ROW(INDIRECT("1:"&amp;LEN(A291)))),1))," ",REPT(" ",LEN(A291))),LEN(A291)))))))/10))*1+1</f>
        <v>203 &amp; 403</v>
      </c>
      <c r="B292" s="78"/>
      <c r="C292" s="52">
        <v>2</v>
      </c>
      <c r="D292" s="56">
        <f>(48.01+3.55)*(10.764)</f>
        <v>554.99183999999991</v>
      </c>
      <c r="E292" s="42">
        <v>0</v>
      </c>
      <c r="F292" s="42">
        <v>900</v>
      </c>
      <c r="G292" s="87"/>
      <c r="H292" s="88"/>
      <c r="I292" s="36"/>
      <c r="J292" s="37">
        <f t="shared" si="24"/>
        <v>1.6216454641927711</v>
      </c>
    </row>
    <row r="293" spans="1:14" s="37" customFormat="1" ht="15.75" customHeight="1" x14ac:dyDescent="0.35">
      <c r="A293" s="77" t="str">
        <f ca="1">(SUMPRODUCT(MID(0&amp;(LEFT(A292,SUM(LEN(A292)-LEN(SUBSTITUTE(A292,{"0","1","2"},""))))), LARGE(INDEX(ISNUMBER(--MID((LEFT(A292,SUM(LEN(A292)-LEN(SUBSTITUTE(A292,{"0","1","2"},""))))), ROW(INDIRECT("1:"&amp;LEN((LEFT(A292,SUM(LEN(A292)-LEN(SUBSTITUTE(A292,{"0","1","2"},"")))))))), 1)) * ROW(INDIRECT("1:"&amp;LEN((LEFT(A292,SUM(LEN(A292)-LEN(SUBSTITUTE(A292,{"0","1","2"},"")))))))), 0), ROW(INDIRECT("1:"&amp;LEN((LEFT(A292,SUM(LEN(A292)-LEN(SUBSTITUTE(A292,{"0","1","2"},"")))))))))+1, 1) * 10^ROW(INDIRECT("1:"&amp;LEN((LEFT(A292,SUM(LEN(A292)-LEN(SUBSTITUTE(A292,{"0","1","2"},""))))))))/10))*1+1&amp;""&amp;" &amp; "&amp;""&amp;(SUMPRODUCT(MID(0&amp;(--TRIM(RIGHT(SUBSTITUTE(LEFT(A292,_xlfn.AGGREGATE(16,6,FIND({0,1,2,3,4,5,6,7,8,9},A292,ROW(INDIRECT("1:"&amp;LEN(A292)))),1)),"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",LEN(A292))),LEN(A292)))))))/10))*1+1</f>
        <v>204 &amp; 404</v>
      </c>
      <c r="B293" s="78"/>
      <c r="C293" s="52">
        <v>1</v>
      </c>
      <c r="D293" s="56">
        <f>(32.8+8.1)*(10.764)</f>
        <v>440.24759999999998</v>
      </c>
      <c r="E293" s="42">
        <v>0</v>
      </c>
      <c r="F293" s="42">
        <v>712</v>
      </c>
      <c r="G293" s="87"/>
      <c r="H293" s="88"/>
      <c r="I293" s="36"/>
      <c r="J293" s="37">
        <f t="shared" si="24"/>
        <v>1.6172717352689714</v>
      </c>
    </row>
    <row r="294" spans="1:14" s="37" customFormat="1" ht="15.75" customHeight="1" x14ac:dyDescent="0.35">
      <c r="A294" s="77" t="str">
        <f ca="1">(SUMPRODUCT(MID(0&amp;(LEFT(A293,SUM(LEN(A293)-LEN(SUBSTITUTE(A293,{"0","1","2"},""))))), LARGE(INDEX(ISNUMBER(--MID((LEFT(A293,SUM(LEN(A293)-LEN(SUBSTITUTE(A293,{"0","1","2"},""))))), ROW(INDIRECT("1:"&amp;LEN((LEFT(A293,SUM(LEN(A293)-LEN(SUBSTITUTE(A293,{"0","1","2"},"")))))))), 1)) * ROW(INDIRECT("1:"&amp;LEN((LEFT(A293,SUM(LEN(A293)-LEN(SUBSTITUTE(A293,{"0","1","2"},"")))))))), 0), ROW(INDIRECT("1:"&amp;LEN((LEFT(A293,SUM(LEN(A293)-LEN(SUBSTITUTE(A293,{"0","1","2"},"")))))))))+1, 1) * 10^ROW(INDIRECT("1:"&amp;LEN((LEFT(A293,SUM(LEN(A293)-LEN(SUBSTITUTE(A293,{"0","1","2"},""))))))))/10))*1+1&amp;""&amp;" &amp; "&amp;""&amp;(SUMPRODUCT(MID(0&amp;(--TRIM(RIGHT(SUBSTITUTE(LEFT(A293,_xlfn.AGGREGATE(16,6,FIND({0,1,2,3,4,5,6,7,8,9},A293,ROW(INDIRECT("1:"&amp;LEN(A293)))),1))," ",REPT(" ",LEN(A293))),LEN(A293)))), LARGE(INDEX(ISNUMBER(--MID((--TRIM(RIGHT(SUBSTITUTE(LEFT(A293,_xlfn.AGGREGATE(16,6,FIND({0,1,2,3,4,5,6,7,8,9},A293,ROW(INDIRECT("1:"&amp;LEN(A293)))),1))," ",REPT(" ",LEN(A293))),LEN(A293)))), ROW(INDIRECT("1:"&amp;LEN((--TRIM(RIGHT(SUBSTITUTE(LEFT(A293,_xlfn.AGGREGATE(16,6,FIND({0,1,2,3,4,5,6,7,8,9},A293,ROW(INDIRECT("1:"&amp;LEN(A293)))),1))," ",REPT(" ",LEN(A293))),LEN(A293))))))), 1)) * ROW(INDIRECT("1:"&amp;LEN((--TRIM(RIGHT(SUBSTITUTE(LEFT(A293,_xlfn.AGGREGATE(16,6,FIND({0,1,2,3,4,5,6,7,8,9},A293,ROW(INDIRECT("1:"&amp;LEN(A293)))),1))," ",REPT(" ",LEN(A293))),LEN(A293))))))), 0), ROW(INDIRECT("1:"&amp;LEN((--TRIM(RIGHT(SUBSTITUTE(LEFT(A293,_xlfn.AGGREGATE(16,6,FIND({0,1,2,3,4,5,6,7,8,9},A293,ROW(INDIRECT("1:"&amp;LEN(A293)))),1))," ",REPT(" ",LEN(A293))),LEN(A293))))))))+1, 1) * 10^ROW(INDIRECT("1:"&amp;LEN((--TRIM(RIGHT(SUBSTITUTE(LEFT(A293,_xlfn.AGGREGATE(16,6,FIND({0,1,2,3,4,5,6,7,8,9},A293,ROW(INDIRECT("1:"&amp;LEN(A293)))),1))," ",REPT(" ",LEN(A293))),LEN(A293)))))))/10))*1+1</f>
        <v>205 &amp; 405</v>
      </c>
      <c r="B294" s="78"/>
      <c r="C294" s="52">
        <v>2</v>
      </c>
      <c r="D294" s="56">
        <f>(48.54+7.95)*(10.764)</f>
        <v>608.05835999999999</v>
      </c>
      <c r="E294" s="42">
        <v>0</v>
      </c>
      <c r="F294" s="42">
        <v>985</v>
      </c>
      <c r="G294" s="87"/>
      <c r="H294" s="88"/>
      <c r="I294" s="36"/>
      <c r="J294" s="37">
        <f t="shared" si="24"/>
        <v>1.6199102993995511</v>
      </c>
    </row>
    <row r="295" spans="1:14" s="37" customFormat="1" ht="15.75" customHeight="1" x14ac:dyDescent="0.35">
      <c r="A295" s="77" t="str">
        <f ca="1">(SUMPRODUCT(MID(0&amp;(LEFT(A294,SUM(LEN(A294)-LEN(SUBSTITUTE(A294,{"0","1","2"},""))))), LARGE(INDEX(ISNUMBER(--MID((LEFT(A294,SUM(LEN(A294)-LEN(SUBSTITUTE(A294,{"0","1","2"},""))))), ROW(INDIRECT("1:"&amp;LEN((LEFT(A294,SUM(LEN(A294)-LEN(SUBSTITUTE(A294,{"0","1","2"},"")))))))), 1)) * ROW(INDIRECT("1:"&amp;LEN((LEFT(A294,SUM(LEN(A294)-LEN(SUBSTITUTE(A294,{"0","1","2"},"")))))))), 0), ROW(INDIRECT("1:"&amp;LEN((LEFT(A294,SUM(LEN(A294)-LEN(SUBSTITUTE(A294,{"0","1","2"},"")))))))))+1, 1) * 10^ROW(INDIRECT("1:"&amp;LEN((LEFT(A294,SUM(LEN(A294)-LEN(SUBSTITUTE(A294,{"0","1","2"},""))))))))/10))*1+1&amp;""&amp;" &amp; "&amp;""&amp;(SUMPRODUCT(MID(0&amp;(--TRIM(RIGHT(SUBSTITUTE(LEFT(A294,_xlfn.AGGREGATE(16,6,FIND({0,1,2,3,4,5,6,7,8,9},A294,ROW(INDIRECT("1:"&amp;LEN(A294)))),1))," ",REPT(" ",LEN(A294))),LEN(A294)))), LARGE(INDEX(ISNUMBER(--MID((--TRIM(RIGHT(SUBSTITUTE(LEFT(A294,_xlfn.AGGREGATE(16,6,FIND({0,1,2,3,4,5,6,7,8,9},A294,ROW(INDIRECT("1:"&amp;LEN(A294)))),1))," ",REPT(" ",LEN(A294))),LEN(A294)))), ROW(INDIRECT("1:"&amp;LEN((--TRIM(RIGHT(SUBSTITUTE(LEFT(A294,_xlfn.AGGREGATE(16,6,FIND({0,1,2,3,4,5,6,7,8,9},A294,ROW(INDIRECT("1:"&amp;LEN(A294)))),1))," ",REPT(" ",LEN(A294))),LEN(A294))))))), 1)) * ROW(INDIRECT("1:"&amp;LEN((--TRIM(RIGHT(SUBSTITUTE(LEFT(A294,_xlfn.AGGREGATE(16,6,FIND({0,1,2,3,4,5,6,7,8,9},A294,ROW(INDIRECT("1:"&amp;LEN(A294)))),1))," ",REPT(" ",LEN(A294))),LEN(A294))))))), 0), ROW(INDIRECT("1:"&amp;LEN((--TRIM(RIGHT(SUBSTITUTE(LEFT(A294,_xlfn.AGGREGATE(16,6,FIND({0,1,2,3,4,5,6,7,8,9},A294,ROW(INDIRECT("1:"&amp;LEN(A294)))),1))," ",REPT(" ",LEN(A294))),LEN(A294))))))))+1, 1) * 10^ROW(INDIRECT("1:"&amp;LEN((--TRIM(RIGHT(SUBSTITUTE(LEFT(A294,_xlfn.AGGREGATE(16,6,FIND({0,1,2,3,4,5,6,7,8,9},A294,ROW(INDIRECT("1:"&amp;LEN(A294)))),1))," ",REPT(" ",LEN(A294))),LEN(A294)))))))/10))*1+1</f>
        <v>206 &amp; 406</v>
      </c>
      <c r="B295" s="78"/>
      <c r="C295" s="52">
        <v>2</v>
      </c>
      <c r="D295" s="56">
        <f>(49.18+7.96)*(10.764)</f>
        <v>615.05495999999994</v>
      </c>
      <c r="E295" s="42">
        <v>0</v>
      </c>
      <c r="F295" s="42">
        <v>995</v>
      </c>
      <c r="G295" s="89"/>
      <c r="H295" s="90"/>
      <c r="I295" s="36"/>
      <c r="J295" s="37">
        <f t="shared" si="24"/>
        <v>1.6177416080019908</v>
      </c>
    </row>
    <row r="296" spans="1:14" s="37" customFormat="1" hidden="1" x14ac:dyDescent="0.35">
      <c r="A296" s="74" t="s">
        <v>119</v>
      </c>
      <c r="B296" s="75"/>
      <c r="C296" s="75"/>
      <c r="D296" s="75"/>
      <c r="E296" s="75"/>
      <c r="F296" s="75"/>
      <c r="G296" s="75"/>
      <c r="H296" s="76"/>
      <c r="J296" s="37" t="e">
        <f t="shared" si="24"/>
        <v>#DIV/0!</v>
      </c>
    </row>
    <row r="297" spans="1:14" s="37" customFormat="1" hidden="1" x14ac:dyDescent="0.35">
      <c r="A297" s="77">
        <v>1</v>
      </c>
      <c r="B297" s="78"/>
      <c r="C297" s="52"/>
      <c r="D297" s="42">
        <f>3.8*2.75+1.23*1.2+0.88*1.2+1.2*0.9+0.9*2.4+2.05*2.2+2.9*2.75+2.4*0.45</f>
        <v>29.786999999999999</v>
      </c>
      <c r="E297" s="42">
        <v>0</v>
      </c>
      <c r="F297" s="42" t="e">
        <f>D297*((#REF!)+1)+(IF(E297&lt;101,E297,IF(E297&lt;201,E297/2,IF(E297&lt;=301,E297/3,E297/4))))</f>
        <v>#REF!</v>
      </c>
      <c r="G297" s="77" t="str">
        <f>A296</f>
        <v>Ground Floor</v>
      </c>
      <c r="H297" s="78"/>
      <c r="I297" s="36"/>
      <c r="J297" s="37" t="e">
        <f t="shared" si="24"/>
        <v>#REF!</v>
      </c>
      <c r="L297" s="107"/>
      <c r="M297" s="107"/>
      <c r="N297" s="36"/>
    </row>
    <row r="298" spans="1:14" s="37" customFormat="1" hidden="1" x14ac:dyDescent="0.35">
      <c r="A298" s="77">
        <f t="shared" ref="A298:A300" si="25">A297+1</f>
        <v>2</v>
      </c>
      <c r="B298" s="78"/>
      <c r="C298" s="52"/>
      <c r="D298" s="42"/>
      <c r="E298" s="42">
        <v>0</v>
      </c>
      <c r="F298" s="42" t="e">
        <f>D298*((#REF!)+1)+(IF(E298&lt;101,E298,IF(E298&lt;201,E298/2,IF(E298&lt;=301,E298/3,E298/4))))</f>
        <v>#REF!</v>
      </c>
      <c r="G298" s="77" t="str">
        <f t="shared" ref="G298:G300" si="26">G297</f>
        <v>Ground Floor</v>
      </c>
      <c r="H298" s="78"/>
      <c r="I298" s="36"/>
      <c r="J298" s="37" t="e">
        <f t="shared" si="24"/>
        <v>#REF!</v>
      </c>
      <c r="L298" s="107"/>
      <c r="M298" s="107"/>
      <c r="N298" s="36"/>
    </row>
    <row r="299" spans="1:14" s="37" customFormat="1" hidden="1" x14ac:dyDescent="0.35">
      <c r="A299" s="77">
        <f t="shared" si="25"/>
        <v>3</v>
      </c>
      <c r="B299" s="78"/>
      <c r="C299" s="52"/>
      <c r="D299" s="42"/>
      <c r="E299" s="42">
        <v>0</v>
      </c>
      <c r="F299" s="42" t="e">
        <f>D299*((#REF!)+1)+(IF(E299&lt;101,E299,IF(E299&lt;201,E299/2,IF(E299&lt;=301,E299/3,E299/4))))</f>
        <v>#REF!</v>
      </c>
      <c r="G299" s="77" t="str">
        <f t="shared" si="26"/>
        <v>Ground Floor</v>
      </c>
      <c r="H299" s="78"/>
      <c r="I299" s="36"/>
      <c r="J299" s="37" t="e">
        <f t="shared" si="24"/>
        <v>#REF!</v>
      </c>
      <c r="L299" s="107"/>
      <c r="M299" s="107"/>
      <c r="N299" s="36"/>
    </row>
    <row r="300" spans="1:14" s="37" customFormat="1" hidden="1" x14ac:dyDescent="0.35">
      <c r="A300" s="77">
        <f t="shared" si="25"/>
        <v>4</v>
      </c>
      <c r="B300" s="78"/>
      <c r="C300" s="52"/>
      <c r="D300" s="42"/>
      <c r="E300" s="42">
        <v>0</v>
      </c>
      <c r="F300" s="42" t="e">
        <f>D300*((#REF!)+1)+(IF(E300&lt;101,E300,IF(E300&lt;201,E300/2,IF(E300&lt;=301,E300/3,E300/4))))</f>
        <v>#REF!</v>
      </c>
      <c r="G300" s="77" t="str">
        <f t="shared" si="26"/>
        <v>Ground Floor</v>
      </c>
      <c r="H300" s="78"/>
      <c r="I300" s="36"/>
      <c r="J300" s="37" t="e">
        <f t="shared" si="24"/>
        <v>#REF!</v>
      </c>
      <c r="L300" s="107"/>
      <c r="M300" s="107"/>
      <c r="N300" s="36"/>
    </row>
    <row r="301" spans="1:14" s="37" customFormat="1" hidden="1" x14ac:dyDescent="0.35">
      <c r="A301" s="74" t="s">
        <v>119</v>
      </c>
      <c r="B301" s="75"/>
      <c r="C301" s="75"/>
      <c r="D301" s="75"/>
      <c r="E301" s="75"/>
      <c r="F301" s="75"/>
      <c r="G301" s="75"/>
      <c r="H301" s="76"/>
      <c r="J301" s="37" t="e">
        <f t="shared" si="24"/>
        <v>#DIV/0!</v>
      </c>
    </row>
    <row r="302" spans="1:14" s="37" customFormat="1" hidden="1" x14ac:dyDescent="0.35">
      <c r="A302" s="77">
        <v>1</v>
      </c>
      <c r="B302" s="78"/>
      <c r="C302" s="52"/>
      <c r="D302" s="42"/>
      <c r="E302" s="42">
        <v>0</v>
      </c>
      <c r="F302" s="42" t="e">
        <f>D302*((#REF!)+1)+(IF(E302&lt;101,E302,IF(E302&lt;201,E302/2,IF(E302&lt;=301,E302/3,E302/4))))</f>
        <v>#REF!</v>
      </c>
      <c r="G302" s="77" t="str">
        <f>A301</f>
        <v>Ground Floor</v>
      </c>
      <c r="H302" s="78"/>
      <c r="I302" s="36"/>
      <c r="J302" s="37" t="e">
        <f t="shared" si="24"/>
        <v>#REF!</v>
      </c>
      <c r="L302" s="107"/>
      <c r="M302" s="107"/>
      <c r="N302" s="36"/>
    </row>
    <row r="303" spans="1:14" s="37" customFormat="1" hidden="1" x14ac:dyDescent="0.35">
      <c r="A303" s="77">
        <f t="shared" ref="A303:A305" si="27">A302+1</f>
        <v>2</v>
      </c>
      <c r="B303" s="78"/>
      <c r="C303" s="52"/>
      <c r="D303" s="42"/>
      <c r="E303" s="42">
        <v>0</v>
      </c>
      <c r="F303" s="42" t="e">
        <f>D303*((#REF!)+1)+(IF(E303&lt;101,E303,IF(E303&lt;201,E303/2,IF(E303&lt;=301,E303/3,E303/4))))</f>
        <v>#REF!</v>
      </c>
      <c r="G303" s="77" t="str">
        <f t="shared" ref="G303:G305" si="28">G302</f>
        <v>Ground Floor</v>
      </c>
      <c r="H303" s="78"/>
      <c r="I303" s="36"/>
      <c r="J303" s="37" t="e">
        <f t="shared" si="24"/>
        <v>#REF!</v>
      </c>
      <c r="L303" s="107"/>
      <c r="M303" s="107"/>
      <c r="N303" s="36"/>
    </row>
    <row r="304" spans="1:14" s="37" customFormat="1" hidden="1" x14ac:dyDescent="0.35">
      <c r="A304" s="77">
        <f t="shared" si="27"/>
        <v>3</v>
      </c>
      <c r="B304" s="78"/>
      <c r="C304" s="52"/>
      <c r="D304" s="42"/>
      <c r="E304" s="42">
        <v>0</v>
      </c>
      <c r="F304" s="42" t="e">
        <f>D304*((#REF!)+1)+(IF(E304&lt;101,E304,IF(E304&lt;201,E304/2,IF(E304&lt;=301,E304/3,E304/4))))</f>
        <v>#REF!</v>
      </c>
      <c r="G304" s="77" t="str">
        <f t="shared" si="28"/>
        <v>Ground Floor</v>
      </c>
      <c r="H304" s="78"/>
      <c r="I304" s="36"/>
      <c r="J304" s="37" t="e">
        <f t="shared" si="24"/>
        <v>#REF!</v>
      </c>
      <c r="L304" s="107"/>
      <c r="M304" s="107"/>
      <c r="N304" s="36"/>
    </row>
    <row r="305" spans="1:14" s="37" customFormat="1" hidden="1" x14ac:dyDescent="0.35">
      <c r="A305" s="77">
        <f t="shared" si="27"/>
        <v>4</v>
      </c>
      <c r="B305" s="78"/>
      <c r="C305" s="52"/>
      <c r="D305" s="42"/>
      <c r="E305" s="42">
        <v>0</v>
      </c>
      <c r="F305" s="42" t="e">
        <f>D305*((#REF!)+1)+(IF(E305&lt;101,E305,IF(E305&lt;201,E305/2,IF(E305&lt;=301,E305/3,E305/4))))</f>
        <v>#REF!</v>
      </c>
      <c r="G305" s="77" t="str">
        <f t="shared" si="28"/>
        <v>Ground Floor</v>
      </c>
      <c r="H305" s="78"/>
      <c r="I305" s="36"/>
      <c r="J305" s="37" t="e">
        <f t="shared" si="24"/>
        <v>#REF!</v>
      </c>
      <c r="L305" s="107"/>
      <c r="M305" s="107"/>
      <c r="N305" s="36"/>
    </row>
    <row r="306" spans="1:14" s="37" customFormat="1" hidden="1" x14ac:dyDescent="0.35">
      <c r="A306" s="106" t="s">
        <v>120</v>
      </c>
      <c r="B306" s="106"/>
      <c r="C306" s="106"/>
      <c r="D306" s="106"/>
      <c r="E306" s="106"/>
      <c r="F306" s="106"/>
      <c r="G306" s="106"/>
      <c r="H306" s="106"/>
      <c r="I306" s="36"/>
      <c r="J306" s="37" t="e">
        <f t="shared" si="24"/>
        <v>#DIV/0!</v>
      </c>
      <c r="L306" s="107"/>
      <c r="M306" s="107"/>
    </row>
    <row r="307" spans="1:14" s="37" customFormat="1" hidden="1" x14ac:dyDescent="0.35">
      <c r="A307" s="79">
        <f>LEFT(A306,SUM(LEN(A306)-LEN(SUBSTITUTE(A306,{"0","1","2","3","4","5","6","7","8","9"},""))))*100+1</f>
        <v>201</v>
      </c>
      <c r="B307" s="79"/>
      <c r="C307" s="52"/>
      <c r="D307" s="42"/>
      <c r="E307" s="42">
        <v>0</v>
      </c>
      <c r="F307" s="42" t="e">
        <f>D307*((#REF!)+1)+(IF(E307&lt;101,E307,IF(E307&lt;201,E307/2,IF(E307&lt;=301,E307/3,E307/4))))</f>
        <v>#REF!</v>
      </c>
      <c r="G307" s="79" t="str">
        <f>A306</f>
        <v>2nd Floor</v>
      </c>
      <c r="H307" s="79"/>
      <c r="I307" s="36"/>
      <c r="J307" s="37" t="e">
        <f t="shared" si="24"/>
        <v>#REF!</v>
      </c>
      <c r="N307" s="36"/>
    </row>
    <row r="308" spans="1:14" s="37" customFormat="1" hidden="1" x14ac:dyDescent="0.35">
      <c r="A308" s="79">
        <f>A307+1</f>
        <v>202</v>
      </c>
      <c r="B308" s="79"/>
      <c r="C308" s="52"/>
      <c r="D308" s="42"/>
      <c r="E308" s="42">
        <v>0</v>
      </c>
      <c r="F308" s="42" t="e">
        <f>D308*((#REF!)+1)+(IF(E308&lt;101,E308,IF(E308&lt;201,E308/2,IF(E308&lt;=301,E308/3,E308/4))))</f>
        <v>#REF!</v>
      </c>
      <c r="G308" s="79" t="str">
        <f>G307</f>
        <v>2nd Floor</v>
      </c>
      <c r="H308" s="79"/>
      <c r="I308" s="36"/>
      <c r="J308" s="37" t="e">
        <f t="shared" si="24"/>
        <v>#REF!</v>
      </c>
      <c r="N308" s="36"/>
    </row>
    <row r="309" spans="1:14" s="37" customFormat="1" hidden="1" x14ac:dyDescent="0.35">
      <c r="A309" s="79">
        <f>A308+1</f>
        <v>203</v>
      </c>
      <c r="B309" s="79"/>
      <c r="C309" s="52"/>
      <c r="D309" s="42"/>
      <c r="E309" s="42">
        <v>0</v>
      </c>
      <c r="F309" s="42" t="e">
        <f>D309*((#REF!)+1)+(IF(E309&lt;101,E309,IF(E309&lt;201,E309/2,IF(E309&lt;=301,E309/3,E309/4))))</f>
        <v>#REF!</v>
      </c>
      <c r="G309" s="79" t="str">
        <f>G308</f>
        <v>2nd Floor</v>
      </c>
      <c r="H309" s="79"/>
      <c r="I309" s="36"/>
      <c r="J309" s="37" t="e">
        <f t="shared" si="24"/>
        <v>#REF!</v>
      </c>
      <c r="N309" s="36"/>
    </row>
    <row r="310" spans="1:14" s="37" customFormat="1" hidden="1" x14ac:dyDescent="0.35">
      <c r="A310" s="79">
        <f>A309+1</f>
        <v>204</v>
      </c>
      <c r="B310" s="79"/>
      <c r="C310" s="52"/>
      <c r="D310" s="42"/>
      <c r="E310" s="42">
        <v>0</v>
      </c>
      <c r="F310" s="42" t="e">
        <f>D310*((#REF!)+1)+(IF(E310&lt;101,E310,IF(E310&lt;201,E310/2,IF(E310&lt;=301,E310/3,E310/4))))</f>
        <v>#REF!</v>
      </c>
      <c r="G310" s="79" t="str">
        <f>G309</f>
        <v>2nd Floor</v>
      </c>
      <c r="H310" s="79"/>
      <c r="I310" s="36"/>
      <c r="J310" s="37" t="e">
        <f t="shared" si="24"/>
        <v>#REF!</v>
      </c>
      <c r="N310" s="36"/>
    </row>
    <row r="311" spans="1:14" s="37" customFormat="1" hidden="1" x14ac:dyDescent="0.35">
      <c r="A311" s="79">
        <f>A310+1</f>
        <v>205</v>
      </c>
      <c r="B311" s="79"/>
      <c r="C311" s="52"/>
      <c r="D311" s="42"/>
      <c r="E311" s="42">
        <v>0</v>
      </c>
      <c r="F311" s="42" t="e">
        <f>D311*((#REF!)+1)+(IF(E311&lt;101,E311,IF(E311&lt;201,E311/2,IF(E311&lt;=301,E311/3,E311/4))))</f>
        <v>#REF!</v>
      </c>
      <c r="G311" s="79" t="str">
        <f>G310</f>
        <v>2nd Floor</v>
      </c>
      <c r="H311" s="79"/>
      <c r="I311" s="36"/>
      <c r="J311" s="37" t="e">
        <f t="shared" si="24"/>
        <v>#REF!</v>
      </c>
      <c r="N311" s="36"/>
    </row>
    <row r="312" spans="1:14" s="37" customFormat="1" ht="15.75" hidden="1" customHeight="1" x14ac:dyDescent="0.35">
      <c r="A312" s="74" t="s">
        <v>155</v>
      </c>
      <c r="B312" s="75"/>
      <c r="C312" s="75"/>
      <c r="D312" s="75"/>
      <c r="E312" s="75"/>
      <c r="F312" s="75"/>
      <c r="G312" s="75"/>
      <c r="H312" s="76"/>
      <c r="I312" s="36"/>
      <c r="J312" s="37" t="e">
        <f t="shared" si="24"/>
        <v>#DIV/0!</v>
      </c>
    </row>
    <row r="313" spans="1:14" s="37" customFormat="1" hidden="1" x14ac:dyDescent="0.35">
      <c r="A313" s="77" t="str">
        <f ca="1">(SUMPRODUCT(MID(0&amp;(LEFT(A312,SUM(LEN(A312)-LEN(SUBSTITUTE(A312,{"0","1","2"},""))))), LARGE(INDEX(ISNUMBER(--MID((LEFT(A312,SUM(LEN(A312)-LEN(SUBSTITUTE(A312,{"0","1","2"},""))))), ROW(INDIRECT("1:"&amp;LEN((LEFT(A312,SUM(LEN(A312)-LEN(SUBSTITUTE(A312,{"0","1","2"},"")))))))), 1)) * ROW(INDIRECT("1:"&amp;LEN((LEFT(A312,SUM(LEN(A312)-LEN(SUBSTITUTE(A312,{"0","1","2"},"")))))))), 0), ROW(INDIRECT("1:"&amp;LEN((LEFT(A312,SUM(LEN(A312)-LEN(SUBSTITUTE(A312,{"0","1","2"},"")))))))))+1, 1) * 10^ROW(INDIRECT("1:"&amp;LEN((LEFT(A312,SUM(LEN(A312)-LEN(SUBSTITUTE(A312,{"0","1","2"},""))))))))/10))*100+1&amp;""&amp;" ,.., "&amp;""&amp;(SUMPRODUCT(MID(0&amp;(--TRIM(RIGHT(SUBSTITUTE(LEFT(A312,_xlfn.AGGREGATE(16,6,FIND({0,1,2,3,4,5,6,7,8,9},A312,ROW(INDIRECT("1:"&amp;LEN(A312)))),1))," ",REPT(" ",LEN(A312))),LEN(A312)))), LARGE(INDEX(ISNUMBER(--MID((--TRIM(RIGHT(SUBSTITUTE(LEFT(A312,_xlfn.AGGREGATE(16,6,FIND({0,1,2,3,4,5,6,7,8,9},A312,ROW(INDIRECT("1:"&amp;LEN(A312)))),1))," ",REPT(" ",LEN(A312))),LEN(A312)))), ROW(INDIRECT("1:"&amp;LEN((--TRIM(RIGHT(SUBSTITUTE(LEFT(A312,_xlfn.AGGREGATE(16,6,FIND({0,1,2,3,4,5,6,7,8,9},A312,ROW(INDIRECT("1:"&amp;LEN(A312)))),1))," ",REPT(" ",LEN(A312))),LEN(A312))))))), 1)) * ROW(INDIRECT("1:"&amp;LEN((--TRIM(RIGHT(SUBSTITUTE(LEFT(A312,_xlfn.AGGREGATE(16,6,FIND({0,1,2,3,4,5,6,7,8,9},A312,ROW(INDIRECT("1:"&amp;LEN(A312)))),1))," ",REPT(" ",LEN(A312))),LEN(A312))))))), 0), ROW(INDIRECT("1:"&amp;LEN((--TRIM(RIGHT(SUBSTITUTE(LEFT(A312,_xlfn.AGGREGATE(16,6,FIND({0,1,2,3,4,5,6,7,8,9},A312,ROW(INDIRECT("1:"&amp;LEN(A312)))),1))," ",REPT(" ",LEN(A312))),LEN(A312))))))))+1, 1) * 10^ROW(INDIRECT("1:"&amp;LEN((--TRIM(RIGHT(SUBSTITUTE(LEFT(A312,_xlfn.AGGREGATE(16,6,FIND({0,1,2,3,4,5,6,7,8,9},A312,ROW(INDIRECT("1:"&amp;LEN(A312)))),1))," ",REPT(" ",LEN(A312))),LEN(A312)))))))/10))*100+1</f>
        <v>301 ,.., 1501</v>
      </c>
      <c r="B313" s="78"/>
      <c r="C313" s="52"/>
      <c r="D313" s="42"/>
      <c r="E313" s="42">
        <v>0</v>
      </c>
      <c r="F313" s="42" t="e">
        <f>D313*((#REF!)+1)+(IF(E313&lt;101,E313,IF(E313&lt;201,E313/2,IF(E313&lt;=301,E313/3,E313/4))))</f>
        <v>#REF!</v>
      </c>
      <c r="G313" s="77" t="str">
        <f>A312</f>
        <v>3rd, 5th, 7th, 9th, 11th, 13th, 15th Floor</v>
      </c>
      <c r="H313" s="78"/>
      <c r="I313" s="36"/>
      <c r="J313" s="37" t="e">
        <f t="shared" si="24"/>
        <v>#REF!</v>
      </c>
    </row>
    <row r="314" spans="1:14" s="37" customFormat="1" hidden="1" x14ac:dyDescent="0.35">
      <c r="A314" s="77" t="str">
        <f ca="1">(SUMPRODUCT(MID(0&amp;(LEFT(A313,SUM(LEN(A313)-LEN(SUBSTITUTE(A313,{"0","1","2"},""))))), LARGE(INDEX(ISNUMBER(--MID((LEFT(A313,SUM(LEN(A313)-LEN(SUBSTITUTE(A313,{"0","1","2"},""))))), ROW(INDIRECT("1:"&amp;LEN((LEFT(A313,SUM(LEN(A313)-LEN(SUBSTITUTE(A313,{"0","1","2"},"")))))))), 1)) * ROW(INDIRECT("1:"&amp;LEN((LEFT(A313,SUM(LEN(A313)-LEN(SUBSTITUTE(A313,{"0","1","2"},"")))))))), 0), ROW(INDIRECT("1:"&amp;LEN((LEFT(A313,SUM(LEN(A313)-LEN(SUBSTITUTE(A313,{"0","1","2"},"")))))))))+1, 1) * 10^ROW(INDIRECT("1:"&amp;LEN((LEFT(A313,SUM(LEN(A313)-LEN(SUBSTITUTE(A313,{"0","1","2"},""))))))))/10))*1+1&amp;""&amp;" ,.., "&amp;""&amp;(SUMPRODUCT(MID(0&amp;(--TRIM(RIGHT(SUBSTITUTE(LEFT(A313,_xlfn.AGGREGATE(16,6,FIND({0,1,2,3,4,5,6,7,8,9},A313,ROW(INDIRECT("1:"&amp;LEN(A313)))),1))," ",REPT(" ",LEN(A313))),LEN(A313)))), LARGE(INDEX(ISNUMBER(--MID((--TRIM(RIGHT(SUBSTITUTE(LEFT(A313,_xlfn.AGGREGATE(16,6,FIND({0,1,2,3,4,5,6,7,8,9},A313,ROW(INDIRECT("1:"&amp;LEN(A313)))),1))," ",REPT(" ",LEN(A313))),LEN(A313)))), ROW(INDIRECT("1:"&amp;LEN((--TRIM(RIGHT(SUBSTITUTE(LEFT(A313,_xlfn.AGGREGATE(16,6,FIND({0,1,2,3,4,5,6,7,8,9},A313,ROW(INDIRECT("1:"&amp;LEN(A313)))),1))," ",REPT(" ",LEN(A313))),LEN(A313))))))), 1)) * ROW(INDIRECT("1:"&amp;LEN((--TRIM(RIGHT(SUBSTITUTE(LEFT(A313,_xlfn.AGGREGATE(16,6,FIND({0,1,2,3,4,5,6,7,8,9},A313,ROW(INDIRECT("1:"&amp;LEN(A313)))),1))," ",REPT(" ",LEN(A313))),LEN(A313))))))), 0), ROW(INDIRECT("1:"&amp;LEN((--TRIM(RIGHT(SUBSTITUTE(LEFT(A313,_xlfn.AGGREGATE(16,6,FIND({0,1,2,3,4,5,6,7,8,9},A313,ROW(INDIRECT("1:"&amp;LEN(A313)))),1))," ",REPT(" ",LEN(A313))),LEN(A313))))))))+1, 1) * 10^ROW(INDIRECT("1:"&amp;LEN((--TRIM(RIGHT(SUBSTITUTE(LEFT(A313,_xlfn.AGGREGATE(16,6,FIND({0,1,2,3,4,5,6,7,8,9},A313,ROW(INDIRECT("1:"&amp;LEN(A313)))),1))," ",REPT(" ",LEN(A313))),LEN(A313)))))))/10))*1+1</f>
        <v>302 ,.., 1502</v>
      </c>
      <c r="B314" s="78"/>
      <c r="C314" s="52"/>
      <c r="D314" s="42"/>
      <c r="E314" s="42">
        <v>0</v>
      </c>
      <c r="F314" s="42" t="e">
        <f>D314*((#REF!)+1)+(IF(E314&lt;101,E314,IF(E314&lt;201,E314/2,IF(E314&lt;=301,E314/3,E314/4))))</f>
        <v>#REF!</v>
      </c>
      <c r="G314" s="77" t="str">
        <f>G313</f>
        <v>3rd, 5th, 7th, 9th, 11th, 13th, 15th Floor</v>
      </c>
      <c r="H314" s="78"/>
      <c r="I314" s="36"/>
      <c r="J314" s="37" t="e">
        <f t="shared" ref="J314:J329" si="29">F314/D314</f>
        <v>#REF!</v>
      </c>
    </row>
    <row r="315" spans="1:14" s="37" customFormat="1" ht="15.75" hidden="1" customHeight="1" x14ac:dyDescent="0.35">
      <c r="A315" s="77" t="str">
        <f ca="1">(SUMPRODUCT(MID(0&amp;(LEFT(A314,SUM(LEN(A314)-LEN(SUBSTITUTE(A314,{"0","1","2"},""))))), LARGE(INDEX(ISNUMBER(--MID((LEFT(A314,SUM(LEN(A314)-LEN(SUBSTITUTE(A314,{"0","1","2"},""))))), ROW(INDIRECT("1:"&amp;LEN((LEFT(A314,SUM(LEN(A314)-LEN(SUBSTITUTE(A314,{"0","1","2"},"")))))))), 1)) * ROW(INDIRECT("1:"&amp;LEN((LEFT(A314,SUM(LEN(A314)-LEN(SUBSTITUTE(A314,{"0","1","2"},"")))))))), 0), ROW(INDIRECT("1:"&amp;LEN((LEFT(A314,SUM(LEN(A314)-LEN(SUBSTITUTE(A314,{"0","1","2"},"")))))))))+1, 1) * 10^ROW(INDIRECT("1:"&amp;LEN((LEFT(A314,SUM(LEN(A314)-LEN(SUBSTITUTE(A314,{"0","1","2"},""))))))))/10))*1+1&amp;""&amp;" ,.., "&amp;""&amp;(SUMPRODUCT(MID(0&amp;(--TRIM(RIGHT(SUBSTITUTE(LEFT(A314,_xlfn.AGGREGATE(16,6,FIND({0,1,2,3,4,5,6,7,8,9},A314,ROW(INDIRECT("1:"&amp;LEN(A314)))),1))," ",REPT(" ",LEN(A314))),LEN(A314)))), LARGE(INDEX(ISNUMBER(--MID((--TRIM(RIGHT(SUBSTITUTE(LEFT(A314,_xlfn.AGGREGATE(16,6,FIND({0,1,2,3,4,5,6,7,8,9},A314,ROW(INDIRECT("1:"&amp;LEN(A314)))),1))," ",REPT(" ",LEN(A314))),LEN(A314)))), ROW(INDIRECT("1:"&amp;LEN((--TRIM(RIGHT(SUBSTITUTE(LEFT(A314,_xlfn.AGGREGATE(16,6,FIND({0,1,2,3,4,5,6,7,8,9},A314,ROW(INDIRECT("1:"&amp;LEN(A314)))),1))," ",REPT(" ",LEN(A314))),LEN(A314))))))), 1)) * ROW(INDIRECT("1:"&amp;LEN((--TRIM(RIGHT(SUBSTITUTE(LEFT(A314,_xlfn.AGGREGATE(16,6,FIND({0,1,2,3,4,5,6,7,8,9},A314,ROW(INDIRECT("1:"&amp;LEN(A314)))),1))," ",REPT(" ",LEN(A314))),LEN(A314))))))), 0), ROW(INDIRECT("1:"&amp;LEN((--TRIM(RIGHT(SUBSTITUTE(LEFT(A314,_xlfn.AGGREGATE(16,6,FIND({0,1,2,3,4,5,6,7,8,9},A314,ROW(INDIRECT("1:"&amp;LEN(A314)))),1))," ",REPT(" ",LEN(A314))),LEN(A314))))))))+1, 1) * 10^ROW(INDIRECT("1:"&amp;LEN((--TRIM(RIGHT(SUBSTITUTE(LEFT(A314,_xlfn.AGGREGATE(16,6,FIND({0,1,2,3,4,5,6,7,8,9},A314,ROW(INDIRECT("1:"&amp;LEN(A314)))),1))," ",REPT(" ",LEN(A314))),LEN(A314)))))))/10))*1+1</f>
        <v>303 ,.., 1503</v>
      </c>
      <c r="B315" s="78"/>
      <c r="C315" s="52"/>
      <c r="D315" s="42"/>
      <c r="E315" s="42">
        <v>0</v>
      </c>
      <c r="F315" s="42" t="e">
        <f>D315*((#REF!)+1)+(IF(E315&lt;101,E315,IF(E315&lt;201,E315/2,IF(E315&lt;=301,E315/3,E315/4))))</f>
        <v>#REF!</v>
      </c>
      <c r="G315" s="77" t="str">
        <f>G314</f>
        <v>3rd, 5th, 7th, 9th, 11th, 13th, 15th Floor</v>
      </c>
      <c r="H315" s="78"/>
      <c r="I315" s="36"/>
      <c r="J315" s="37" t="e">
        <f t="shared" si="29"/>
        <v>#REF!</v>
      </c>
    </row>
    <row r="316" spans="1:14" s="37" customFormat="1" ht="15.75" hidden="1" customHeight="1" x14ac:dyDescent="0.35">
      <c r="A316" s="77" t="str">
        <f ca="1">(SUMPRODUCT(MID(0&amp;(LEFT(A315,SUM(LEN(A315)-LEN(SUBSTITUTE(A315,{"0","1","2"},""))))), LARGE(INDEX(ISNUMBER(--MID((LEFT(A315,SUM(LEN(A315)-LEN(SUBSTITUTE(A315,{"0","1","2"},""))))), ROW(INDIRECT("1:"&amp;LEN((LEFT(A315,SUM(LEN(A315)-LEN(SUBSTITUTE(A315,{"0","1","2"},"")))))))), 1)) * ROW(INDIRECT("1:"&amp;LEN((LEFT(A315,SUM(LEN(A315)-LEN(SUBSTITUTE(A315,{"0","1","2"},"")))))))), 0), ROW(INDIRECT("1:"&amp;LEN((LEFT(A315,SUM(LEN(A315)-LEN(SUBSTITUTE(A315,{"0","1","2"},"")))))))))+1, 1) * 10^ROW(INDIRECT("1:"&amp;LEN((LEFT(A315,SUM(LEN(A315)-LEN(SUBSTITUTE(A315,{"0","1","2"},""))))))))/10))*1+1&amp;""&amp;" ,.., "&amp;""&amp;(SUMPRODUCT(MID(0&amp;(--TRIM(RIGHT(SUBSTITUTE(LEFT(A315,_xlfn.AGGREGATE(16,6,FIND({0,1,2,3,4,5,6,7,8,9},A315,ROW(INDIRECT("1:"&amp;LEN(A315)))),1))," ",REPT(" ",LEN(A315))),LEN(A315)))), LARGE(INDEX(ISNUMBER(--MID((--TRIM(RIGHT(SUBSTITUTE(LEFT(A315,_xlfn.AGGREGATE(16,6,FIND({0,1,2,3,4,5,6,7,8,9},A315,ROW(INDIRECT("1:"&amp;LEN(A315)))),1))," ",REPT(" ",LEN(A315))),LEN(A315)))), ROW(INDIRECT("1:"&amp;LEN((--TRIM(RIGHT(SUBSTITUTE(LEFT(A315,_xlfn.AGGREGATE(16,6,FIND({0,1,2,3,4,5,6,7,8,9},A315,ROW(INDIRECT("1:"&amp;LEN(A315)))),1))," ",REPT(" ",LEN(A315))),LEN(A315))))))), 1)) * ROW(INDIRECT("1:"&amp;LEN((--TRIM(RIGHT(SUBSTITUTE(LEFT(A315,_xlfn.AGGREGATE(16,6,FIND({0,1,2,3,4,5,6,7,8,9},A315,ROW(INDIRECT("1:"&amp;LEN(A315)))),1))," ",REPT(" ",LEN(A315))),LEN(A315))))))), 0), ROW(INDIRECT("1:"&amp;LEN((--TRIM(RIGHT(SUBSTITUTE(LEFT(A315,_xlfn.AGGREGATE(16,6,FIND({0,1,2,3,4,5,6,7,8,9},A315,ROW(INDIRECT("1:"&amp;LEN(A315)))),1))," ",REPT(" ",LEN(A315))),LEN(A315))))))))+1, 1) * 10^ROW(INDIRECT("1:"&amp;LEN((--TRIM(RIGHT(SUBSTITUTE(LEFT(A315,_xlfn.AGGREGATE(16,6,FIND({0,1,2,3,4,5,6,7,8,9},A315,ROW(INDIRECT("1:"&amp;LEN(A315)))),1))," ",REPT(" ",LEN(A315))),LEN(A315)))))))/10))*1+1</f>
        <v>304 ,.., 1504</v>
      </c>
      <c r="B316" s="78"/>
      <c r="C316" s="52"/>
      <c r="D316" s="42"/>
      <c r="E316" s="42">
        <v>0</v>
      </c>
      <c r="F316" s="42" t="e">
        <f>D316*((#REF!)+1)+(IF(E316&lt;101,E316,IF(E316&lt;201,E316/2,IF(E316&lt;=301,E316/3,E316/4))))</f>
        <v>#REF!</v>
      </c>
      <c r="G316" s="77" t="str">
        <f>G315</f>
        <v>3rd, 5th, 7th, 9th, 11th, 13th, 15th Floor</v>
      </c>
      <c r="H316" s="78"/>
      <c r="I316" s="36"/>
      <c r="J316" s="37" t="e">
        <f t="shared" si="29"/>
        <v>#REF!</v>
      </c>
    </row>
    <row r="317" spans="1:14" s="37" customFormat="1" ht="15.75" hidden="1" customHeight="1" x14ac:dyDescent="0.35">
      <c r="A317" s="77" t="str">
        <f ca="1">(SUMPRODUCT(MID(0&amp;(LEFT(A316,SUM(LEN(A316)-LEN(SUBSTITUTE(A316,{"0","1","2"},""))))), LARGE(INDEX(ISNUMBER(--MID((LEFT(A316,SUM(LEN(A316)-LEN(SUBSTITUTE(A316,{"0","1","2"},""))))), ROW(INDIRECT("1:"&amp;LEN((LEFT(A316,SUM(LEN(A316)-LEN(SUBSTITUTE(A316,{"0","1","2"},"")))))))), 1)) * ROW(INDIRECT("1:"&amp;LEN((LEFT(A316,SUM(LEN(A316)-LEN(SUBSTITUTE(A316,{"0","1","2"},"")))))))), 0), ROW(INDIRECT("1:"&amp;LEN((LEFT(A316,SUM(LEN(A316)-LEN(SUBSTITUTE(A316,{"0","1","2"},"")))))))))+1, 1) * 10^ROW(INDIRECT("1:"&amp;LEN((LEFT(A316,SUM(LEN(A316)-LEN(SUBSTITUTE(A316,{"0","1","2"},""))))))))/10))*1+1&amp;""&amp;" ,.., "&amp;""&amp;(SUMPRODUCT(MID(0&amp;(--TRIM(RIGHT(SUBSTITUTE(LEFT(A316,_xlfn.AGGREGATE(16,6,FIND({0,1,2,3,4,5,6,7,8,9},A316,ROW(INDIRECT("1:"&amp;LEN(A316)))),1))," ",REPT(" ",LEN(A316))),LEN(A316)))), LARGE(INDEX(ISNUMBER(--MID((--TRIM(RIGHT(SUBSTITUTE(LEFT(A316,_xlfn.AGGREGATE(16,6,FIND({0,1,2,3,4,5,6,7,8,9},A316,ROW(INDIRECT("1:"&amp;LEN(A316)))),1))," ",REPT(" ",LEN(A316))),LEN(A316)))), ROW(INDIRECT("1:"&amp;LEN((--TRIM(RIGHT(SUBSTITUTE(LEFT(A316,_xlfn.AGGREGATE(16,6,FIND({0,1,2,3,4,5,6,7,8,9},A316,ROW(INDIRECT("1:"&amp;LEN(A316)))),1))," ",REPT(" ",LEN(A316))),LEN(A316))))))), 1)) * ROW(INDIRECT("1:"&amp;LEN((--TRIM(RIGHT(SUBSTITUTE(LEFT(A316,_xlfn.AGGREGATE(16,6,FIND({0,1,2,3,4,5,6,7,8,9},A316,ROW(INDIRECT("1:"&amp;LEN(A316)))),1))," ",REPT(" ",LEN(A316))),LEN(A316))))))), 0), ROW(INDIRECT("1:"&amp;LEN((--TRIM(RIGHT(SUBSTITUTE(LEFT(A316,_xlfn.AGGREGATE(16,6,FIND({0,1,2,3,4,5,6,7,8,9},A316,ROW(INDIRECT("1:"&amp;LEN(A316)))),1))," ",REPT(" ",LEN(A316))),LEN(A316))))))))+1, 1) * 10^ROW(INDIRECT("1:"&amp;LEN((--TRIM(RIGHT(SUBSTITUTE(LEFT(A316,_xlfn.AGGREGATE(16,6,FIND({0,1,2,3,4,5,6,7,8,9},A316,ROW(INDIRECT("1:"&amp;LEN(A316)))),1))," ",REPT(" ",LEN(A316))),LEN(A316)))))))/10))*1+1</f>
        <v>305 ,.., 1505</v>
      </c>
      <c r="B317" s="78"/>
      <c r="C317" s="52"/>
      <c r="D317" s="42"/>
      <c r="E317" s="42">
        <v>0</v>
      </c>
      <c r="F317" s="42" t="e">
        <f>D317*((#REF!)+1)+(IF(E317&lt;101,E317,IF(E317&lt;201,E317/2,IF(E317&lt;=301,E317/3,E317/4))))</f>
        <v>#REF!</v>
      </c>
      <c r="G317" s="77" t="str">
        <f>G316</f>
        <v>3rd, 5th, 7th, 9th, 11th, 13th, 15th Floor</v>
      </c>
      <c r="H317" s="78"/>
      <c r="I317" s="36"/>
      <c r="J317" s="37" t="e">
        <f t="shared" si="29"/>
        <v>#REF!</v>
      </c>
    </row>
    <row r="318" spans="1:14" s="37" customFormat="1" hidden="1" x14ac:dyDescent="0.35">
      <c r="A318" s="74" t="s">
        <v>149</v>
      </c>
      <c r="B318" s="75"/>
      <c r="C318" s="75"/>
      <c r="D318" s="75"/>
      <c r="E318" s="75"/>
      <c r="F318" s="75"/>
      <c r="G318" s="75"/>
      <c r="H318" s="76"/>
      <c r="I318" s="36"/>
      <c r="J318" s="37" t="e">
        <f t="shared" si="29"/>
        <v>#DIV/0!</v>
      </c>
    </row>
    <row r="319" spans="1:14" s="37" customFormat="1" hidden="1" x14ac:dyDescent="0.35">
      <c r="A319" s="77" t="str">
        <f ca="1">(SUMPRODUCT(MID(0&amp;(LEFT(A318,SUM(LEN(A318)-LEN(SUBSTITUTE(A318,{"0","1","2"},""))))), LARGE(INDEX(ISNUMBER(--MID((LEFT(A318,SUM(LEN(A318)-LEN(SUBSTITUTE(A318,{"0","1","2"},""))))), ROW(INDIRECT("1:"&amp;LEN((LEFT(A318,SUM(LEN(A318)-LEN(SUBSTITUTE(A318,{"0","1","2"},"")))))))), 1)) * ROW(INDIRECT("1:"&amp;LEN((LEFT(A318,SUM(LEN(A318)-LEN(SUBSTITUTE(A318,{"0","1","2"},"")))))))), 0), ROW(INDIRECT("1:"&amp;LEN((LEFT(A318,SUM(LEN(A318)-LEN(SUBSTITUTE(A318,{"0","1","2"},"")))))))))+1, 1) * 10^ROW(INDIRECT("1:"&amp;LEN((LEFT(A318,SUM(LEN(A318)-LEN(SUBSTITUTE(A318,{"0","1","2"},""))))))))/10))*100+1&amp;""&amp;" to "&amp;""&amp;(SUMPRODUCT(MID(0&amp;(--TRIM(RIGHT(SUBSTITUTE(LEFT(A318,_xlfn.AGGREGATE(16,6,FIND({0,1,2,3,4,5,6,7,8,9},A318,ROW(INDIRECT("1:"&amp;LEN(A318)))),1))," ",REPT(" ",LEN(A318))),LEN(A318)))), LARGE(INDEX(ISNUMBER(--MID((--TRIM(RIGHT(SUBSTITUTE(LEFT(A318,_xlfn.AGGREGATE(16,6,FIND({0,1,2,3,4,5,6,7,8,9},A318,ROW(INDIRECT("1:"&amp;LEN(A318)))),1))," ",REPT(" ",LEN(A318))),LEN(A318)))), ROW(INDIRECT("1:"&amp;LEN((--TRIM(RIGHT(SUBSTITUTE(LEFT(A318,_xlfn.AGGREGATE(16,6,FIND({0,1,2,3,4,5,6,7,8,9},A318,ROW(INDIRECT("1:"&amp;LEN(A318)))),1))," ",REPT(" ",LEN(A318))),LEN(A318))))))), 1)) * ROW(INDIRECT("1:"&amp;LEN((--TRIM(RIGHT(SUBSTITUTE(LEFT(A318,_xlfn.AGGREGATE(16,6,FIND({0,1,2,3,4,5,6,7,8,9},A318,ROW(INDIRECT("1:"&amp;LEN(A318)))),1))," ",REPT(" ",LEN(A318))),LEN(A318))))))), 0), ROW(INDIRECT("1:"&amp;LEN((--TRIM(RIGHT(SUBSTITUTE(LEFT(A318,_xlfn.AGGREGATE(16,6,FIND({0,1,2,3,4,5,6,7,8,9},A318,ROW(INDIRECT("1:"&amp;LEN(A318)))),1))," ",REPT(" ",LEN(A318))),LEN(A318))))))))+1, 1) * 10^ROW(INDIRECT("1:"&amp;LEN((--TRIM(RIGHT(SUBSTITUTE(LEFT(A318,_xlfn.AGGREGATE(16,6,FIND({0,1,2,3,4,5,6,7,8,9},A318,ROW(INDIRECT("1:"&amp;LEN(A318)))),1))," ",REPT(" ",LEN(A318))),LEN(A318)))))))/10))*100+1</f>
        <v>201 to 501</v>
      </c>
      <c r="B319" s="78"/>
      <c r="C319" s="52"/>
      <c r="D319" s="42"/>
      <c r="E319" s="42">
        <v>0</v>
      </c>
      <c r="F319" s="42" t="e">
        <f>D319*((#REF!)+1)+(IF(E319&lt;101,E319,IF(E319&lt;201,E319/2,IF(E319&lt;=301,E319/3,E319/4))))</f>
        <v>#REF!</v>
      </c>
      <c r="G319" s="77" t="str">
        <f>A318</f>
        <v>2nd to 5th Floor</v>
      </c>
      <c r="H319" s="78"/>
      <c r="I319" s="36"/>
      <c r="J319" s="37" t="e">
        <f t="shared" si="29"/>
        <v>#REF!</v>
      </c>
    </row>
    <row r="320" spans="1:14" s="37" customFormat="1" hidden="1" x14ac:dyDescent="0.35">
      <c r="A320" s="77" t="str">
        <f ca="1">(SUMPRODUCT(MID(0&amp;(LEFT(A319,SUM(LEN(A319)-LEN(SUBSTITUTE(A319,{"0","1","2"},""))))), LARGE(INDEX(ISNUMBER(--MID((LEFT(A319,SUM(LEN(A319)-LEN(SUBSTITUTE(A319,{"0","1","2"},""))))), ROW(INDIRECT("1:"&amp;LEN((LEFT(A319,SUM(LEN(A319)-LEN(SUBSTITUTE(A319,{"0","1","2"},"")))))))), 1)) * ROW(INDIRECT("1:"&amp;LEN((LEFT(A319,SUM(LEN(A319)-LEN(SUBSTITUTE(A319,{"0","1","2"},"")))))))), 0), ROW(INDIRECT("1:"&amp;LEN((LEFT(A319,SUM(LEN(A319)-LEN(SUBSTITUTE(A319,{"0","1","2"},"")))))))))+1, 1) * 10^ROW(INDIRECT("1:"&amp;LEN((LEFT(A319,SUM(LEN(A319)-LEN(SUBSTITUTE(A319,{"0","1","2"},""))))))))/10))*1+1&amp;""&amp;" to "&amp;""&amp;(SUMPRODUCT(MID(0&amp;(--TRIM(RIGHT(SUBSTITUTE(LEFT(A319,_xlfn.AGGREGATE(16,6,FIND({0,1,2,3,4,5,6,7,8,9},A319,ROW(INDIRECT("1:"&amp;LEN(A319)))),1))," ",REPT(" ",LEN(A319))),LEN(A319)))), LARGE(INDEX(ISNUMBER(--MID((--TRIM(RIGHT(SUBSTITUTE(LEFT(A319,_xlfn.AGGREGATE(16,6,FIND({0,1,2,3,4,5,6,7,8,9},A319,ROW(INDIRECT("1:"&amp;LEN(A319)))),1))," ",REPT(" ",LEN(A319))),LEN(A319)))), ROW(INDIRECT("1:"&amp;LEN((--TRIM(RIGHT(SUBSTITUTE(LEFT(A319,_xlfn.AGGREGATE(16,6,FIND({0,1,2,3,4,5,6,7,8,9},A319,ROW(INDIRECT("1:"&amp;LEN(A319)))),1))," ",REPT(" ",LEN(A319))),LEN(A319))))))), 1)) * ROW(INDIRECT("1:"&amp;LEN((--TRIM(RIGHT(SUBSTITUTE(LEFT(A319,_xlfn.AGGREGATE(16,6,FIND({0,1,2,3,4,5,6,7,8,9},A319,ROW(INDIRECT("1:"&amp;LEN(A319)))),1))," ",REPT(" ",LEN(A319))),LEN(A319))))))), 0), ROW(INDIRECT("1:"&amp;LEN((--TRIM(RIGHT(SUBSTITUTE(LEFT(A319,_xlfn.AGGREGATE(16,6,FIND({0,1,2,3,4,5,6,7,8,9},A319,ROW(INDIRECT("1:"&amp;LEN(A319)))),1))," ",REPT(" ",LEN(A319))),LEN(A319))))))))+1, 1) * 10^ROW(INDIRECT("1:"&amp;LEN((--TRIM(RIGHT(SUBSTITUTE(LEFT(A319,_xlfn.AGGREGATE(16,6,FIND({0,1,2,3,4,5,6,7,8,9},A319,ROW(INDIRECT("1:"&amp;LEN(A319)))),1))," ",REPT(" ",LEN(A319))),LEN(A319)))))))/10))*1+1</f>
        <v>202 to 502</v>
      </c>
      <c r="B320" s="78"/>
      <c r="C320" s="52"/>
      <c r="D320" s="42"/>
      <c r="E320" s="42">
        <v>0</v>
      </c>
      <c r="F320" s="42" t="e">
        <f>D320*((#REF!)+1)+(IF(E320&lt;101,E320,IF(E320&lt;201,E320/2,IF(E320&lt;=301,E320/3,E320/4))))</f>
        <v>#REF!</v>
      </c>
      <c r="G320" s="77" t="str">
        <f>G319</f>
        <v>2nd to 5th Floor</v>
      </c>
      <c r="H320" s="78"/>
      <c r="I320" s="36"/>
      <c r="J320" s="37" t="e">
        <f t="shared" si="29"/>
        <v>#REF!</v>
      </c>
    </row>
    <row r="321" spans="1:10" s="37" customFormat="1" hidden="1" x14ac:dyDescent="0.35">
      <c r="A321" s="77" t="str">
        <f ca="1">(SUMPRODUCT(MID(0&amp;(LEFT(A320,SUM(LEN(A320)-LEN(SUBSTITUTE(A320,{"0","1","2"},""))))), LARGE(INDEX(ISNUMBER(--MID((LEFT(A320,SUM(LEN(A320)-LEN(SUBSTITUTE(A320,{"0","1","2"},""))))), ROW(INDIRECT("1:"&amp;LEN((LEFT(A320,SUM(LEN(A320)-LEN(SUBSTITUTE(A320,{"0","1","2"},"")))))))), 1)) * ROW(INDIRECT("1:"&amp;LEN((LEFT(A320,SUM(LEN(A320)-LEN(SUBSTITUTE(A320,{"0","1","2"},"")))))))), 0), ROW(INDIRECT("1:"&amp;LEN((LEFT(A320,SUM(LEN(A320)-LEN(SUBSTITUTE(A320,{"0","1","2"},"")))))))))+1, 1) * 10^ROW(INDIRECT("1:"&amp;LEN((LEFT(A320,SUM(LEN(A320)-LEN(SUBSTITUTE(A320,{"0","1","2"},""))))))))/10))*1+1&amp;""&amp;" to "&amp;""&amp;(SUMPRODUCT(MID(0&amp;(--TRIM(RIGHT(SUBSTITUTE(LEFT(A320,_xlfn.AGGREGATE(16,6,FIND({0,1,2,3,4,5,6,7,8,9},A320,ROW(INDIRECT("1:"&amp;LEN(A320)))),1))," ",REPT(" ",LEN(A320))),LEN(A320)))), LARGE(INDEX(ISNUMBER(--MID((--TRIM(RIGHT(SUBSTITUTE(LEFT(A320,_xlfn.AGGREGATE(16,6,FIND({0,1,2,3,4,5,6,7,8,9},A320,ROW(INDIRECT("1:"&amp;LEN(A320)))),1))," ",REPT(" ",LEN(A320))),LEN(A320)))), ROW(INDIRECT("1:"&amp;LEN((--TRIM(RIGHT(SUBSTITUTE(LEFT(A320,_xlfn.AGGREGATE(16,6,FIND({0,1,2,3,4,5,6,7,8,9},A320,ROW(INDIRECT("1:"&amp;LEN(A320)))),1))," ",REPT(" ",LEN(A320))),LEN(A320))))))), 1)) * ROW(INDIRECT("1:"&amp;LEN((--TRIM(RIGHT(SUBSTITUTE(LEFT(A320,_xlfn.AGGREGATE(16,6,FIND({0,1,2,3,4,5,6,7,8,9},A320,ROW(INDIRECT("1:"&amp;LEN(A320)))),1))," ",REPT(" ",LEN(A320))),LEN(A320))))))), 0), ROW(INDIRECT("1:"&amp;LEN((--TRIM(RIGHT(SUBSTITUTE(LEFT(A320,_xlfn.AGGREGATE(16,6,FIND({0,1,2,3,4,5,6,7,8,9},A320,ROW(INDIRECT("1:"&amp;LEN(A320)))),1))," ",REPT(" ",LEN(A320))),LEN(A320))))))))+1, 1) * 10^ROW(INDIRECT("1:"&amp;LEN((--TRIM(RIGHT(SUBSTITUTE(LEFT(A320,_xlfn.AGGREGATE(16,6,FIND({0,1,2,3,4,5,6,7,8,9},A320,ROW(INDIRECT("1:"&amp;LEN(A320)))),1))," ",REPT(" ",LEN(A320))),LEN(A320)))))))/10))*1+1</f>
        <v>203 to 503</v>
      </c>
      <c r="B321" s="78"/>
      <c r="C321" s="52"/>
      <c r="D321" s="42"/>
      <c r="E321" s="42">
        <v>0</v>
      </c>
      <c r="F321" s="42" t="e">
        <f>D321*((#REF!)+1)+(IF(E321&lt;101,E321,IF(E321&lt;201,E321/2,IF(E321&lt;=301,E321/3,E321/4))))</f>
        <v>#REF!</v>
      </c>
      <c r="G321" s="77" t="str">
        <f>G320</f>
        <v>2nd to 5th Floor</v>
      </c>
      <c r="H321" s="78"/>
      <c r="I321" s="36"/>
      <c r="J321" s="37" t="e">
        <f t="shared" si="29"/>
        <v>#REF!</v>
      </c>
    </row>
    <row r="322" spans="1:10" s="37" customFormat="1" hidden="1" x14ac:dyDescent="0.35">
      <c r="A322" s="77" t="str">
        <f ca="1">(SUMPRODUCT(MID(0&amp;(LEFT(A321,SUM(LEN(A321)-LEN(SUBSTITUTE(A321,{"0","1","2"},""))))), LARGE(INDEX(ISNUMBER(--MID((LEFT(A321,SUM(LEN(A321)-LEN(SUBSTITUTE(A321,{"0","1","2"},""))))), ROW(INDIRECT("1:"&amp;LEN((LEFT(A321,SUM(LEN(A321)-LEN(SUBSTITUTE(A321,{"0","1","2"},"")))))))), 1)) * ROW(INDIRECT("1:"&amp;LEN((LEFT(A321,SUM(LEN(A321)-LEN(SUBSTITUTE(A321,{"0","1","2"},"")))))))), 0), ROW(INDIRECT("1:"&amp;LEN((LEFT(A321,SUM(LEN(A321)-LEN(SUBSTITUTE(A321,{"0","1","2"},"")))))))))+1, 1) * 10^ROW(INDIRECT("1:"&amp;LEN((LEFT(A321,SUM(LEN(A321)-LEN(SUBSTITUTE(A321,{"0","1","2"},""))))))))/10))*1+1&amp;""&amp;" to "&amp;""&amp;(SUMPRODUCT(MID(0&amp;(--TRIM(RIGHT(SUBSTITUTE(LEFT(A321,_xlfn.AGGREGATE(16,6,FIND({0,1,2,3,4,5,6,7,8,9},A321,ROW(INDIRECT("1:"&amp;LEN(A321)))),1))," ",REPT(" ",LEN(A321))),LEN(A321)))), LARGE(INDEX(ISNUMBER(--MID((--TRIM(RIGHT(SUBSTITUTE(LEFT(A321,_xlfn.AGGREGATE(16,6,FIND({0,1,2,3,4,5,6,7,8,9},A321,ROW(INDIRECT("1:"&amp;LEN(A321)))),1))," ",REPT(" ",LEN(A321))),LEN(A321)))), ROW(INDIRECT("1:"&amp;LEN((--TRIM(RIGHT(SUBSTITUTE(LEFT(A321,_xlfn.AGGREGATE(16,6,FIND({0,1,2,3,4,5,6,7,8,9},A321,ROW(INDIRECT("1:"&amp;LEN(A321)))),1))," ",REPT(" ",LEN(A321))),LEN(A321))))))), 1)) * ROW(INDIRECT("1:"&amp;LEN((--TRIM(RIGHT(SUBSTITUTE(LEFT(A321,_xlfn.AGGREGATE(16,6,FIND({0,1,2,3,4,5,6,7,8,9},A321,ROW(INDIRECT("1:"&amp;LEN(A321)))),1))," ",REPT(" ",LEN(A321))),LEN(A321))))))), 0), ROW(INDIRECT("1:"&amp;LEN((--TRIM(RIGHT(SUBSTITUTE(LEFT(A321,_xlfn.AGGREGATE(16,6,FIND({0,1,2,3,4,5,6,7,8,9},A321,ROW(INDIRECT("1:"&amp;LEN(A321)))),1))," ",REPT(" ",LEN(A321))),LEN(A321))))))))+1, 1) * 10^ROW(INDIRECT("1:"&amp;LEN((--TRIM(RIGHT(SUBSTITUTE(LEFT(A321,_xlfn.AGGREGATE(16,6,FIND({0,1,2,3,4,5,6,7,8,9},A321,ROW(INDIRECT("1:"&amp;LEN(A321)))),1))," ",REPT(" ",LEN(A321))),LEN(A321)))))))/10))*1+1</f>
        <v>204 to 504</v>
      </c>
      <c r="B322" s="78"/>
      <c r="C322" s="52"/>
      <c r="D322" s="42"/>
      <c r="E322" s="42">
        <v>0</v>
      </c>
      <c r="F322" s="42" t="e">
        <f>D322*((#REF!)+1)+(IF(E322&lt;101,E322,IF(E322&lt;201,E322/2,IF(E322&lt;=301,E322/3,E322/4))))</f>
        <v>#REF!</v>
      </c>
      <c r="G322" s="77" t="str">
        <f>G321</f>
        <v>2nd to 5th Floor</v>
      </c>
      <c r="H322" s="78"/>
      <c r="I322" s="36"/>
      <c r="J322" s="37" t="e">
        <f t="shared" si="29"/>
        <v>#REF!</v>
      </c>
    </row>
    <row r="323" spans="1:10" s="37" customFormat="1" hidden="1" x14ac:dyDescent="0.35">
      <c r="A323" s="77" t="str">
        <f ca="1">(SUMPRODUCT(MID(0&amp;(LEFT(A322,SUM(LEN(A322)-LEN(SUBSTITUTE(A322,{"0","1","2"},""))))), LARGE(INDEX(ISNUMBER(--MID((LEFT(A322,SUM(LEN(A322)-LEN(SUBSTITUTE(A322,{"0","1","2"},""))))), ROW(INDIRECT("1:"&amp;LEN((LEFT(A322,SUM(LEN(A322)-LEN(SUBSTITUTE(A322,{"0","1","2"},"")))))))), 1)) * ROW(INDIRECT("1:"&amp;LEN((LEFT(A322,SUM(LEN(A322)-LEN(SUBSTITUTE(A322,{"0","1","2"},"")))))))), 0), ROW(INDIRECT("1:"&amp;LEN((LEFT(A322,SUM(LEN(A322)-LEN(SUBSTITUTE(A322,{"0","1","2"},"")))))))))+1, 1) * 10^ROW(INDIRECT("1:"&amp;LEN((LEFT(A322,SUM(LEN(A322)-LEN(SUBSTITUTE(A322,{"0","1","2"},""))))))))/10))*1+1&amp;""&amp;" to "&amp;""&amp;(SUMPRODUCT(MID(0&amp;(--TRIM(RIGHT(SUBSTITUTE(LEFT(A322,_xlfn.AGGREGATE(16,6,FIND({0,1,2,3,4,5,6,7,8,9},A322,ROW(INDIRECT("1:"&amp;LEN(A322)))),1))," ",REPT(" ",LEN(A322))),LEN(A322)))), LARGE(INDEX(ISNUMBER(--MID((--TRIM(RIGHT(SUBSTITUTE(LEFT(A322,_xlfn.AGGREGATE(16,6,FIND({0,1,2,3,4,5,6,7,8,9},A322,ROW(INDIRECT("1:"&amp;LEN(A322)))),1))," ",REPT(" ",LEN(A322))),LEN(A322)))), ROW(INDIRECT("1:"&amp;LEN((--TRIM(RIGHT(SUBSTITUTE(LEFT(A322,_xlfn.AGGREGATE(16,6,FIND({0,1,2,3,4,5,6,7,8,9},A322,ROW(INDIRECT("1:"&amp;LEN(A322)))),1))," ",REPT(" ",LEN(A322))),LEN(A322))))))), 1)) * ROW(INDIRECT("1:"&amp;LEN((--TRIM(RIGHT(SUBSTITUTE(LEFT(A322,_xlfn.AGGREGATE(16,6,FIND({0,1,2,3,4,5,6,7,8,9},A322,ROW(INDIRECT("1:"&amp;LEN(A322)))),1))," ",REPT(" ",LEN(A322))),LEN(A322))))))), 0), ROW(INDIRECT("1:"&amp;LEN((--TRIM(RIGHT(SUBSTITUTE(LEFT(A322,_xlfn.AGGREGATE(16,6,FIND({0,1,2,3,4,5,6,7,8,9},A322,ROW(INDIRECT("1:"&amp;LEN(A322)))),1))," ",REPT(" ",LEN(A322))),LEN(A322))))))))+1, 1) * 10^ROW(INDIRECT("1:"&amp;LEN((--TRIM(RIGHT(SUBSTITUTE(LEFT(A322,_xlfn.AGGREGATE(16,6,FIND({0,1,2,3,4,5,6,7,8,9},A322,ROW(INDIRECT("1:"&amp;LEN(A322)))),1))," ",REPT(" ",LEN(A322))),LEN(A322)))))))/10))*1+1</f>
        <v>205 to 505</v>
      </c>
      <c r="B323" s="78"/>
      <c r="C323" s="52"/>
      <c r="D323" s="42"/>
      <c r="E323" s="42">
        <v>0</v>
      </c>
      <c r="F323" s="42" t="e">
        <f>D323*((#REF!)+1)+(IF(E323&lt;101,E323,IF(E323&lt;201,E323/2,IF(E323&lt;=301,E323/3,E323/4))))</f>
        <v>#REF!</v>
      </c>
      <c r="G323" s="77" t="str">
        <f>G322</f>
        <v>2nd to 5th Floor</v>
      </c>
      <c r="H323" s="78"/>
      <c r="I323" s="36"/>
      <c r="J323" s="37" t="e">
        <f t="shared" si="29"/>
        <v>#REF!</v>
      </c>
    </row>
    <row r="324" spans="1:10" s="37" customFormat="1" hidden="1" x14ac:dyDescent="0.35">
      <c r="A324" s="74" t="s">
        <v>150</v>
      </c>
      <c r="B324" s="75"/>
      <c r="C324" s="75"/>
      <c r="D324" s="75"/>
      <c r="E324" s="75"/>
      <c r="F324" s="75"/>
      <c r="G324" s="75"/>
      <c r="H324" s="76"/>
      <c r="I324" s="36"/>
      <c r="J324" s="37" t="e">
        <f t="shared" si="29"/>
        <v>#DIV/0!</v>
      </c>
    </row>
    <row r="325" spans="1:10" s="37" customFormat="1" hidden="1" x14ac:dyDescent="0.35">
      <c r="A325" s="77" t="str">
        <f ca="1">(SUMPRODUCT(MID(0&amp;(LEFT(A324,SUM(LEN(A324)-LEN(SUBSTITUTE(A324,{"0","1","2"},""))))), LARGE(INDEX(ISNUMBER(--MID((LEFT(A324,SUM(LEN(A324)-LEN(SUBSTITUTE(A324,{"0","1","2"},""))))), ROW(INDIRECT("1:"&amp;LEN((LEFT(A324,SUM(LEN(A324)-LEN(SUBSTITUTE(A324,{"0","1","2"},"")))))))), 1)) * ROW(INDIRECT("1:"&amp;LEN((LEFT(A324,SUM(LEN(A324)-LEN(SUBSTITUTE(A324,{"0","1","2"},"")))))))), 0), ROW(INDIRECT("1:"&amp;LEN((LEFT(A324,SUM(LEN(A324)-LEN(SUBSTITUTE(A324,{"0","1","2"},"")))))))))+1, 1) * 10^ROW(INDIRECT("1:"&amp;LEN((LEFT(A324,SUM(LEN(A324)-LEN(SUBSTITUTE(A324,{"0","1","2"},""))))))))/10))*100+1&amp;""&amp;" &amp; "&amp;""&amp;(SUMPRODUCT(MID(0&amp;(--TRIM(RIGHT(SUBSTITUTE(LEFT(A324,_xlfn.AGGREGATE(16,6,FIND({0,1,2,3,4,5,6,7,8,9},A324,ROW(INDIRECT("1:"&amp;LEN(A324)))),1))," ",REPT(" ",LEN(A324))),LEN(A324)))), LARGE(INDEX(ISNUMBER(--MID((--TRIM(RIGHT(SUBSTITUTE(LEFT(A324,_xlfn.AGGREGATE(16,6,FIND({0,1,2,3,4,5,6,7,8,9},A324,ROW(INDIRECT("1:"&amp;LEN(A324)))),1))," ",REPT(" ",LEN(A324))),LEN(A324)))), ROW(INDIRECT("1:"&amp;LEN((--TRIM(RIGHT(SUBSTITUTE(LEFT(A324,_xlfn.AGGREGATE(16,6,FIND({0,1,2,3,4,5,6,7,8,9},A324,ROW(INDIRECT("1:"&amp;LEN(A324)))),1))," ",REPT(" ",LEN(A324))),LEN(A324))))))), 1)) * ROW(INDIRECT("1:"&amp;LEN((--TRIM(RIGHT(SUBSTITUTE(LEFT(A324,_xlfn.AGGREGATE(16,6,FIND({0,1,2,3,4,5,6,7,8,9},A324,ROW(INDIRECT("1:"&amp;LEN(A324)))),1))," ",REPT(" ",LEN(A324))),LEN(A324))))))), 0), ROW(INDIRECT("1:"&amp;LEN((--TRIM(RIGHT(SUBSTITUTE(LEFT(A324,_xlfn.AGGREGATE(16,6,FIND({0,1,2,3,4,5,6,7,8,9},A324,ROW(INDIRECT("1:"&amp;LEN(A324)))),1))," ",REPT(" ",LEN(A324))),LEN(A324))))))))+1, 1) * 10^ROW(INDIRECT("1:"&amp;LEN((--TRIM(RIGHT(SUBSTITUTE(LEFT(A324,_xlfn.AGGREGATE(16,6,FIND({0,1,2,3,4,5,6,7,8,9},A324,ROW(INDIRECT("1:"&amp;LEN(A324)))),1))," ",REPT(" ",LEN(A324))),LEN(A324)))))))/10))*100+1</f>
        <v>201 &amp; 501</v>
      </c>
      <c r="B325" s="78"/>
      <c r="C325" s="52"/>
      <c r="D325" s="42"/>
      <c r="E325" s="42">
        <v>0</v>
      </c>
      <c r="F325" s="42" t="e">
        <f>D325*((#REF!)+1)+(IF(E325&lt;101,E325,IF(E325&lt;201,E325/2,IF(E325&lt;=301,E325/3,E325/4))))</f>
        <v>#REF!</v>
      </c>
      <c r="G325" s="77" t="str">
        <f>A324</f>
        <v>2nd &amp; 5th Floor</v>
      </c>
      <c r="H325" s="78"/>
      <c r="I325" s="36"/>
      <c r="J325" s="37" t="e">
        <f t="shared" si="29"/>
        <v>#REF!</v>
      </c>
    </row>
    <row r="326" spans="1:10" s="37" customFormat="1" hidden="1" x14ac:dyDescent="0.35">
      <c r="A326" s="77" t="str">
        <f ca="1">(SUMPRODUCT(MID(0&amp;(LEFT(A325,SUM(LEN(A325)-LEN(SUBSTITUTE(A325,{"0","1","2"},""))))), LARGE(INDEX(ISNUMBER(--MID((LEFT(A325,SUM(LEN(A325)-LEN(SUBSTITUTE(A325,{"0","1","2"},""))))), ROW(INDIRECT("1:"&amp;LEN((LEFT(A325,SUM(LEN(A325)-LEN(SUBSTITUTE(A325,{"0","1","2"},"")))))))), 1)) * ROW(INDIRECT("1:"&amp;LEN((LEFT(A325,SUM(LEN(A325)-LEN(SUBSTITUTE(A325,{"0","1","2"},"")))))))), 0), ROW(INDIRECT("1:"&amp;LEN((LEFT(A325,SUM(LEN(A325)-LEN(SUBSTITUTE(A325,{"0","1","2"},"")))))))))+1, 1) * 10^ROW(INDIRECT("1:"&amp;LEN((LEFT(A325,SUM(LEN(A325)-LEN(SUBSTITUTE(A325,{"0","1","2"},""))))))))/10))*1+1&amp;""&amp;" &amp; "&amp;""&amp;(SUMPRODUCT(MID(0&amp;(--TRIM(RIGHT(SUBSTITUTE(LEFT(A325,_xlfn.AGGREGATE(16,6,FIND({0,1,2,3,4,5,6,7,8,9},A325,ROW(INDIRECT("1:"&amp;LEN(A325)))),1))," ",REPT(" ",LEN(A325))),LEN(A325)))), LARGE(INDEX(ISNUMBER(--MID((--TRIM(RIGHT(SUBSTITUTE(LEFT(A325,_xlfn.AGGREGATE(16,6,FIND({0,1,2,3,4,5,6,7,8,9},A325,ROW(INDIRECT("1:"&amp;LEN(A325)))),1))," ",REPT(" ",LEN(A325))),LEN(A325)))), ROW(INDIRECT("1:"&amp;LEN((--TRIM(RIGHT(SUBSTITUTE(LEFT(A325,_xlfn.AGGREGATE(16,6,FIND({0,1,2,3,4,5,6,7,8,9},A325,ROW(INDIRECT("1:"&amp;LEN(A325)))),1))," ",REPT(" ",LEN(A325))),LEN(A325))))))), 1)) * ROW(INDIRECT("1:"&amp;LEN((--TRIM(RIGHT(SUBSTITUTE(LEFT(A325,_xlfn.AGGREGATE(16,6,FIND({0,1,2,3,4,5,6,7,8,9},A325,ROW(INDIRECT("1:"&amp;LEN(A325)))),1))," ",REPT(" ",LEN(A325))),LEN(A325))))))), 0), ROW(INDIRECT("1:"&amp;LEN((--TRIM(RIGHT(SUBSTITUTE(LEFT(A325,_xlfn.AGGREGATE(16,6,FIND({0,1,2,3,4,5,6,7,8,9},A325,ROW(INDIRECT("1:"&amp;LEN(A325)))),1))," ",REPT(" ",LEN(A325))),LEN(A325))))))))+1, 1) * 10^ROW(INDIRECT("1:"&amp;LEN((--TRIM(RIGHT(SUBSTITUTE(LEFT(A325,_xlfn.AGGREGATE(16,6,FIND({0,1,2,3,4,5,6,7,8,9},A325,ROW(INDIRECT("1:"&amp;LEN(A325)))),1))," ",REPT(" ",LEN(A325))),LEN(A325)))))))/10))*1+1</f>
        <v>202 &amp; 502</v>
      </c>
      <c r="B326" s="78"/>
      <c r="C326" s="52"/>
      <c r="D326" s="42"/>
      <c r="E326" s="42">
        <v>0</v>
      </c>
      <c r="F326" s="42" t="e">
        <f>D326*((#REF!)+1)+(IF(E326&lt;101,E326,IF(E326&lt;201,E326/2,IF(E326&lt;=301,E326/3,E326/4))))</f>
        <v>#REF!</v>
      </c>
      <c r="G326" s="77" t="str">
        <f t="shared" ref="G326:G329" si="30">G325</f>
        <v>2nd &amp; 5th Floor</v>
      </c>
      <c r="H326" s="78"/>
      <c r="I326" s="36"/>
      <c r="J326" s="37" t="e">
        <f t="shared" si="29"/>
        <v>#REF!</v>
      </c>
    </row>
    <row r="327" spans="1:10" s="37" customFormat="1" hidden="1" x14ac:dyDescent="0.35">
      <c r="A327" s="77" t="str">
        <f ca="1">(SUMPRODUCT(MID(0&amp;(LEFT(A326,SUM(LEN(A326)-LEN(SUBSTITUTE(A326,{"0","1","2"},""))))), LARGE(INDEX(ISNUMBER(--MID((LEFT(A326,SUM(LEN(A326)-LEN(SUBSTITUTE(A326,{"0","1","2"},""))))), ROW(INDIRECT("1:"&amp;LEN((LEFT(A326,SUM(LEN(A326)-LEN(SUBSTITUTE(A326,{"0","1","2"},"")))))))), 1)) * ROW(INDIRECT("1:"&amp;LEN((LEFT(A326,SUM(LEN(A326)-LEN(SUBSTITUTE(A326,{"0","1","2"},"")))))))), 0), ROW(INDIRECT("1:"&amp;LEN((LEFT(A326,SUM(LEN(A326)-LEN(SUBSTITUTE(A326,{"0","1","2"},"")))))))))+1, 1) * 10^ROW(INDIRECT("1:"&amp;LEN((LEFT(A326,SUM(LEN(A326)-LEN(SUBSTITUTE(A326,{"0","1","2"},""))))))))/10))*1+1&amp;""&amp;" &amp; "&amp;""&amp;(SUMPRODUCT(MID(0&amp;(--TRIM(RIGHT(SUBSTITUTE(LEFT(A326,_xlfn.AGGREGATE(16,6,FIND({0,1,2,3,4,5,6,7,8,9},A326,ROW(INDIRECT("1:"&amp;LEN(A326)))),1))," ",REPT(" ",LEN(A326))),LEN(A326)))), LARGE(INDEX(ISNUMBER(--MID((--TRIM(RIGHT(SUBSTITUTE(LEFT(A326,_xlfn.AGGREGATE(16,6,FIND({0,1,2,3,4,5,6,7,8,9},A326,ROW(INDIRECT("1:"&amp;LEN(A326)))),1))," ",REPT(" ",LEN(A326))),LEN(A326)))), ROW(INDIRECT("1:"&amp;LEN((--TRIM(RIGHT(SUBSTITUTE(LEFT(A326,_xlfn.AGGREGATE(16,6,FIND({0,1,2,3,4,5,6,7,8,9},A326,ROW(INDIRECT("1:"&amp;LEN(A326)))),1))," ",REPT(" ",LEN(A326))),LEN(A326))))))), 1)) * ROW(INDIRECT("1:"&amp;LEN((--TRIM(RIGHT(SUBSTITUTE(LEFT(A326,_xlfn.AGGREGATE(16,6,FIND({0,1,2,3,4,5,6,7,8,9},A326,ROW(INDIRECT("1:"&amp;LEN(A326)))),1))," ",REPT(" ",LEN(A326))),LEN(A326))))))), 0), ROW(INDIRECT("1:"&amp;LEN((--TRIM(RIGHT(SUBSTITUTE(LEFT(A326,_xlfn.AGGREGATE(16,6,FIND({0,1,2,3,4,5,6,7,8,9},A326,ROW(INDIRECT("1:"&amp;LEN(A326)))),1))," ",REPT(" ",LEN(A326))),LEN(A326))))))))+1, 1) * 10^ROW(INDIRECT("1:"&amp;LEN((--TRIM(RIGHT(SUBSTITUTE(LEFT(A326,_xlfn.AGGREGATE(16,6,FIND({0,1,2,3,4,5,6,7,8,9},A326,ROW(INDIRECT("1:"&amp;LEN(A326)))),1))," ",REPT(" ",LEN(A326))),LEN(A326)))))))/10))*1+1</f>
        <v>203 &amp; 503</v>
      </c>
      <c r="B327" s="78"/>
      <c r="C327" s="52"/>
      <c r="D327" s="42"/>
      <c r="E327" s="42">
        <v>0</v>
      </c>
      <c r="F327" s="42" t="e">
        <f>D327*((#REF!)+1)+(IF(E327&lt;101,E327,IF(E327&lt;201,E327/2,IF(E327&lt;=301,E327/3,E327/4))))</f>
        <v>#REF!</v>
      </c>
      <c r="G327" s="77" t="str">
        <f t="shared" si="30"/>
        <v>2nd &amp; 5th Floor</v>
      </c>
      <c r="H327" s="78"/>
      <c r="I327" s="36"/>
      <c r="J327" s="37" t="e">
        <f t="shared" si="29"/>
        <v>#REF!</v>
      </c>
    </row>
    <row r="328" spans="1:10" s="37" customFormat="1" hidden="1" x14ac:dyDescent="0.35">
      <c r="A328" s="77" t="str">
        <f ca="1">(SUMPRODUCT(MID(0&amp;(LEFT(A327,SUM(LEN(A327)-LEN(SUBSTITUTE(A327,{"0","1","2"},""))))), LARGE(INDEX(ISNUMBER(--MID((LEFT(A327,SUM(LEN(A327)-LEN(SUBSTITUTE(A327,{"0","1","2"},""))))), ROW(INDIRECT("1:"&amp;LEN((LEFT(A327,SUM(LEN(A327)-LEN(SUBSTITUTE(A327,{"0","1","2"},"")))))))), 1)) * ROW(INDIRECT("1:"&amp;LEN((LEFT(A327,SUM(LEN(A327)-LEN(SUBSTITUTE(A327,{"0","1","2"},"")))))))), 0), ROW(INDIRECT("1:"&amp;LEN((LEFT(A327,SUM(LEN(A327)-LEN(SUBSTITUTE(A327,{"0","1","2"},"")))))))))+1, 1) * 10^ROW(INDIRECT("1:"&amp;LEN((LEFT(A327,SUM(LEN(A327)-LEN(SUBSTITUTE(A327,{"0","1","2"},""))))))))/10))*1+1&amp;""&amp;" &amp; "&amp;""&amp;(SUMPRODUCT(MID(0&amp;(--TRIM(RIGHT(SUBSTITUTE(LEFT(A327,_xlfn.AGGREGATE(16,6,FIND({0,1,2,3,4,5,6,7,8,9},A327,ROW(INDIRECT("1:"&amp;LEN(A327)))),1))," ",REPT(" ",LEN(A327))),LEN(A327)))), LARGE(INDEX(ISNUMBER(--MID((--TRIM(RIGHT(SUBSTITUTE(LEFT(A327,_xlfn.AGGREGATE(16,6,FIND({0,1,2,3,4,5,6,7,8,9},A327,ROW(INDIRECT("1:"&amp;LEN(A327)))),1))," ",REPT(" ",LEN(A327))),LEN(A327)))), ROW(INDIRECT("1:"&amp;LEN((--TRIM(RIGHT(SUBSTITUTE(LEFT(A327,_xlfn.AGGREGATE(16,6,FIND({0,1,2,3,4,5,6,7,8,9},A327,ROW(INDIRECT("1:"&amp;LEN(A327)))),1))," ",REPT(" ",LEN(A327))),LEN(A327))))))), 1)) * ROW(INDIRECT("1:"&amp;LEN((--TRIM(RIGHT(SUBSTITUTE(LEFT(A327,_xlfn.AGGREGATE(16,6,FIND({0,1,2,3,4,5,6,7,8,9},A327,ROW(INDIRECT("1:"&amp;LEN(A327)))),1))," ",REPT(" ",LEN(A327))),LEN(A327))))))), 0), ROW(INDIRECT("1:"&amp;LEN((--TRIM(RIGHT(SUBSTITUTE(LEFT(A327,_xlfn.AGGREGATE(16,6,FIND({0,1,2,3,4,5,6,7,8,9},A327,ROW(INDIRECT("1:"&amp;LEN(A327)))),1))," ",REPT(" ",LEN(A327))),LEN(A327))))))))+1, 1) * 10^ROW(INDIRECT("1:"&amp;LEN((--TRIM(RIGHT(SUBSTITUTE(LEFT(A327,_xlfn.AGGREGATE(16,6,FIND({0,1,2,3,4,5,6,7,8,9},A327,ROW(INDIRECT("1:"&amp;LEN(A327)))),1))," ",REPT(" ",LEN(A327))),LEN(A327)))))))/10))*1+1</f>
        <v>204 &amp; 504</v>
      </c>
      <c r="B328" s="78"/>
      <c r="C328" s="52"/>
      <c r="D328" s="42"/>
      <c r="E328" s="42">
        <v>0</v>
      </c>
      <c r="F328" s="42" t="e">
        <f>D328*((#REF!)+1)+(IF(E328&lt;101,E328,IF(E328&lt;201,E328/2,IF(E328&lt;=301,E328/3,E328/4))))</f>
        <v>#REF!</v>
      </c>
      <c r="G328" s="77" t="str">
        <f t="shared" si="30"/>
        <v>2nd &amp; 5th Floor</v>
      </c>
      <c r="H328" s="78"/>
      <c r="I328" s="36"/>
      <c r="J328" s="37" t="e">
        <f t="shared" si="29"/>
        <v>#REF!</v>
      </c>
    </row>
    <row r="329" spans="1:10" s="37" customFormat="1" hidden="1" x14ac:dyDescent="0.35">
      <c r="A329" s="77" t="str">
        <f ca="1">(SUMPRODUCT(MID(0&amp;(LEFT(A328,SUM(LEN(A328)-LEN(SUBSTITUTE(A328,{"0","1","2"},""))))), LARGE(INDEX(ISNUMBER(--MID((LEFT(A328,SUM(LEN(A328)-LEN(SUBSTITUTE(A328,{"0","1","2"},""))))), ROW(INDIRECT("1:"&amp;LEN((LEFT(A328,SUM(LEN(A328)-LEN(SUBSTITUTE(A328,{"0","1","2"},"")))))))), 1)) * ROW(INDIRECT("1:"&amp;LEN((LEFT(A328,SUM(LEN(A328)-LEN(SUBSTITUTE(A328,{"0","1","2"},"")))))))), 0), ROW(INDIRECT("1:"&amp;LEN((LEFT(A328,SUM(LEN(A328)-LEN(SUBSTITUTE(A328,{"0","1","2"},"")))))))))+1, 1) * 10^ROW(INDIRECT("1:"&amp;LEN((LEFT(A328,SUM(LEN(A328)-LEN(SUBSTITUTE(A328,{"0","1","2"},""))))))))/10))*1+1&amp;""&amp;" &amp; "&amp;""&amp;(SUMPRODUCT(MID(0&amp;(--TRIM(RIGHT(SUBSTITUTE(LEFT(A328,_xlfn.AGGREGATE(16,6,FIND({0,1,2,3,4,5,6,7,8,9},A328,ROW(INDIRECT("1:"&amp;LEN(A328)))),1))," ",REPT(" ",LEN(A328))),LEN(A328)))), LARGE(INDEX(ISNUMBER(--MID((--TRIM(RIGHT(SUBSTITUTE(LEFT(A328,_xlfn.AGGREGATE(16,6,FIND({0,1,2,3,4,5,6,7,8,9},A328,ROW(INDIRECT("1:"&amp;LEN(A328)))),1))," ",REPT(" ",LEN(A328))),LEN(A328)))), ROW(INDIRECT("1:"&amp;LEN((--TRIM(RIGHT(SUBSTITUTE(LEFT(A328,_xlfn.AGGREGATE(16,6,FIND({0,1,2,3,4,5,6,7,8,9},A328,ROW(INDIRECT("1:"&amp;LEN(A328)))),1))," ",REPT(" ",LEN(A328))),LEN(A328))))))), 1)) * ROW(INDIRECT("1:"&amp;LEN((--TRIM(RIGHT(SUBSTITUTE(LEFT(A328,_xlfn.AGGREGATE(16,6,FIND({0,1,2,3,4,5,6,7,8,9},A328,ROW(INDIRECT("1:"&amp;LEN(A328)))),1))," ",REPT(" ",LEN(A328))),LEN(A328))))))), 0), ROW(INDIRECT("1:"&amp;LEN((--TRIM(RIGHT(SUBSTITUTE(LEFT(A328,_xlfn.AGGREGATE(16,6,FIND({0,1,2,3,4,5,6,7,8,9},A328,ROW(INDIRECT("1:"&amp;LEN(A328)))),1))," ",REPT(" ",LEN(A328))),LEN(A328))))))))+1, 1) * 10^ROW(INDIRECT("1:"&amp;LEN((--TRIM(RIGHT(SUBSTITUTE(LEFT(A328,_xlfn.AGGREGATE(16,6,FIND({0,1,2,3,4,5,6,7,8,9},A328,ROW(INDIRECT("1:"&amp;LEN(A328)))),1))," ",REPT(" ",LEN(A328))),LEN(A328)))))))/10))*1+1</f>
        <v>205 &amp; 505</v>
      </c>
      <c r="B329" s="78"/>
      <c r="C329" s="52"/>
      <c r="D329" s="42"/>
      <c r="E329" s="42">
        <v>0</v>
      </c>
      <c r="F329" s="42" t="e">
        <f>D329*((#REF!)+1)+(IF(E329&lt;101,E329,IF(E329&lt;201,E329/2,IF(E329&lt;=301,E329/3,E329/4))))</f>
        <v>#REF!</v>
      </c>
      <c r="G329" s="77" t="str">
        <f t="shared" si="30"/>
        <v>2nd &amp; 5th Floor</v>
      </c>
      <c r="H329" s="78"/>
      <c r="I329" s="36"/>
      <c r="J329" s="37" t="e">
        <f t="shared" si="29"/>
        <v>#REF!</v>
      </c>
    </row>
    <row r="330" spans="1:10" s="35" customFormat="1" x14ac:dyDescent="0.35">
      <c r="A330" s="134" t="s">
        <v>70</v>
      </c>
      <c r="B330" s="134"/>
      <c r="C330" s="134"/>
      <c r="D330" s="134"/>
      <c r="E330" s="134"/>
      <c r="F330" s="134"/>
      <c r="G330" s="134"/>
      <c r="H330" s="134"/>
    </row>
    <row r="331" spans="1:10" s="35" customFormat="1" x14ac:dyDescent="0.35">
      <c r="A331" s="65" t="s">
        <v>159</v>
      </c>
      <c r="B331" s="121" t="s">
        <v>228</v>
      </c>
      <c r="C331" s="121"/>
      <c r="D331" s="121"/>
      <c r="E331" s="121"/>
      <c r="F331" s="121"/>
      <c r="G331" s="121"/>
      <c r="H331" s="121"/>
    </row>
    <row r="332" spans="1:10" s="35" customFormat="1" x14ac:dyDescent="0.35">
      <c r="A332" s="65" t="s">
        <v>159</v>
      </c>
      <c r="B332" s="121" t="str">
        <f>(IF(F175="Saleable area Loading :","We have considered Saleable area of Flats as per our Calculation.","We considered Saleable area of Flat as per Builder area Sheet."))</f>
        <v>We considered Saleable area of Flat as per Builder area Sheet.</v>
      </c>
      <c r="C332" s="121"/>
      <c r="D332" s="121"/>
      <c r="E332" s="121"/>
      <c r="F332" s="121"/>
      <c r="G332" s="121"/>
      <c r="H332" s="121"/>
    </row>
    <row r="333" spans="1:10" s="35" customFormat="1" x14ac:dyDescent="0.35">
      <c r="A333" s="65" t="s">
        <v>159</v>
      </c>
      <c r="B333" s="121" t="str">
        <f>(IF(F137="Saleable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33" s="121"/>
      <c r="D333" s="121"/>
      <c r="E333" s="121"/>
      <c r="F333" s="121"/>
      <c r="G333" s="121"/>
      <c r="H333" s="121"/>
    </row>
    <row r="334" spans="1:10" s="35" customFormat="1" x14ac:dyDescent="0.35">
      <c r="A334" s="65" t="s">
        <v>159</v>
      </c>
      <c r="B334" s="130" t="s">
        <v>126</v>
      </c>
      <c r="C334" s="130"/>
      <c r="D334" s="130"/>
      <c r="E334" s="130"/>
      <c r="F334" s="130"/>
      <c r="G334" s="130"/>
      <c r="H334" s="130"/>
    </row>
    <row r="335" spans="1:10" s="35" customFormat="1" x14ac:dyDescent="0.35">
      <c r="A335" s="65" t="s">
        <v>159</v>
      </c>
      <c r="B335" s="130" t="s">
        <v>218</v>
      </c>
      <c r="C335" s="130"/>
      <c r="D335" s="130"/>
      <c r="E335" s="130"/>
      <c r="F335" s="130"/>
      <c r="G335" s="130"/>
      <c r="H335" s="130"/>
    </row>
    <row r="336" spans="1:10" s="35" customFormat="1" x14ac:dyDescent="0.35">
      <c r="A336" s="65" t="s">
        <v>159</v>
      </c>
      <c r="B336" s="130" t="s">
        <v>158</v>
      </c>
      <c r="C336" s="130"/>
      <c r="D336" s="130"/>
      <c r="E336" s="130"/>
      <c r="F336" s="130"/>
      <c r="G336" s="130"/>
      <c r="H336" s="130"/>
    </row>
    <row r="337" spans="1:8" s="35" customFormat="1" x14ac:dyDescent="0.35">
      <c r="A337" s="65" t="s">
        <v>159</v>
      </c>
      <c r="B337" s="130" t="s">
        <v>127</v>
      </c>
      <c r="C337" s="130"/>
      <c r="D337" s="130"/>
      <c r="E337" s="130"/>
      <c r="F337" s="130"/>
      <c r="G337" s="130"/>
      <c r="H337" s="130"/>
    </row>
    <row r="338" spans="1:8" s="35" customFormat="1" ht="34.5" hidden="1" customHeight="1" x14ac:dyDescent="0.35">
      <c r="A338" s="65" t="s">
        <v>159</v>
      </c>
      <c r="B338" s="130" t="s">
        <v>160</v>
      </c>
      <c r="C338" s="130"/>
      <c r="D338" s="130"/>
      <c r="E338" s="130"/>
      <c r="F338" s="130"/>
      <c r="G338" s="130"/>
      <c r="H338" s="130"/>
    </row>
    <row r="339" spans="1:8" s="35" customFormat="1" x14ac:dyDescent="0.35">
      <c r="A339" s="65" t="s">
        <v>159</v>
      </c>
      <c r="B339" s="130" t="s">
        <v>128</v>
      </c>
      <c r="C339" s="130"/>
      <c r="D339" s="130"/>
      <c r="E339" s="130"/>
      <c r="F339" s="130"/>
      <c r="G339" s="130"/>
      <c r="H339" s="130"/>
    </row>
    <row r="340" spans="1:8" s="35" customFormat="1" hidden="1" x14ac:dyDescent="0.35">
      <c r="A340" s="65" t="s">
        <v>159</v>
      </c>
      <c r="B340" s="130" t="s">
        <v>222</v>
      </c>
      <c r="C340" s="130"/>
      <c r="D340" s="130"/>
      <c r="E340" s="130"/>
      <c r="F340" s="130"/>
      <c r="G340" s="130"/>
      <c r="H340" s="130"/>
    </row>
    <row r="341" spans="1:8" x14ac:dyDescent="0.35">
      <c r="A341" s="104" t="s">
        <v>63</v>
      </c>
      <c r="B341" s="104"/>
      <c r="C341" s="104"/>
      <c r="D341" s="104"/>
      <c r="E341" s="104"/>
      <c r="F341" s="104"/>
      <c r="G341" s="104"/>
      <c r="H341" s="104"/>
    </row>
    <row r="342" spans="1:8" x14ac:dyDescent="0.35">
      <c r="A342" s="80" t="s">
        <v>64</v>
      </c>
      <c r="B342" s="80"/>
      <c r="C342" s="80"/>
      <c r="D342" s="80"/>
      <c r="E342" s="80"/>
      <c r="F342" s="80"/>
      <c r="G342" s="80"/>
      <c r="H342" s="80"/>
    </row>
    <row r="343" spans="1:8" ht="15.75" customHeight="1" x14ac:dyDescent="0.35">
      <c r="A343" s="109" t="s">
        <v>65</v>
      </c>
      <c r="B343" s="109"/>
      <c r="C343" s="109"/>
      <c r="D343" s="109"/>
      <c r="E343" s="109"/>
      <c r="F343" s="109"/>
      <c r="G343" s="109"/>
      <c r="H343" s="109"/>
    </row>
    <row r="344" spans="1:8" x14ac:dyDescent="0.35">
      <c r="A344" s="80" t="s">
        <v>66</v>
      </c>
      <c r="B344" s="80"/>
      <c r="C344" s="80"/>
      <c r="D344" s="80"/>
      <c r="E344" s="80"/>
      <c r="F344" s="80"/>
      <c r="G344" s="80"/>
      <c r="H344" s="80"/>
    </row>
    <row r="345" spans="1:8" x14ac:dyDescent="0.35">
      <c r="A345" s="80" t="s">
        <v>67</v>
      </c>
      <c r="B345" s="80"/>
      <c r="C345" s="80"/>
      <c r="D345" s="80"/>
      <c r="E345" s="80"/>
      <c r="F345" s="80"/>
      <c r="G345" s="80"/>
      <c r="H345" s="80"/>
    </row>
    <row r="346" spans="1:8" x14ac:dyDescent="0.35">
      <c r="A346" s="80" t="s">
        <v>129</v>
      </c>
      <c r="B346" s="80"/>
      <c r="C346" s="80"/>
      <c r="D346" s="80"/>
      <c r="E346" s="80"/>
      <c r="F346" s="80"/>
      <c r="G346" s="80"/>
      <c r="H346" s="80"/>
    </row>
    <row r="347" spans="1:8" x14ac:dyDescent="0.35">
      <c r="A347" s="82" t="s">
        <v>130</v>
      </c>
      <c r="B347" s="82"/>
      <c r="C347" s="82"/>
      <c r="D347" s="82"/>
      <c r="E347" s="82"/>
      <c r="F347" s="82"/>
      <c r="G347" s="82"/>
      <c r="H347" s="82"/>
    </row>
    <row r="348" spans="1:8" x14ac:dyDescent="0.35">
      <c r="A348" s="129" t="s">
        <v>80</v>
      </c>
      <c r="B348" s="129"/>
      <c r="C348" s="129" t="s">
        <v>224</v>
      </c>
      <c r="D348" s="129"/>
      <c r="E348" s="129" t="s">
        <v>106</v>
      </c>
      <c r="F348" s="129"/>
      <c r="G348" s="129" t="s">
        <v>229</v>
      </c>
      <c r="H348" s="129"/>
    </row>
    <row r="349" spans="1:8" x14ac:dyDescent="0.35">
      <c r="A349" s="128" t="s">
        <v>82</v>
      </c>
      <c r="B349" s="128"/>
      <c r="C349" s="128"/>
      <c r="D349" s="128"/>
      <c r="E349" s="128"/>
      <c r="F349" s="128"/>
      <c r="G349" s="128"/>
      <c r="H349" s="128"/>
    </row>
    <row r="350" spans="1:8" x14ac:dyDescent="0.35">
      <c r="A350" s="128"/>
      <c r="B350" s="128"/>
      <c r="C350" s="128"/>
      <c r="D350" s="128"/>
      <c r="E350" s="128"/>
      <c r="F350" s="128"/>
      <c r="G350" s="128"/>
      <c r="H350" s="128"/>
    </row>
    <row r="351" spans="1:8" x14ac:dyDescent="0.35">
      <c r="A351" s="128"/>
      <c r="B351" s="128"/>
      <c r="C351" s="128"/>
      <c r="D351" s="128"/>
      <c r="E351" s="128"/>
      <c r="F351" s="128"/>
      <c r="G351" s="128"/>
      <c r="H351" s="128"/>
    </row>
    <row r="352" spans="1:8" x14ac:dyDescent="0.35">
      <c r="A352" s="128"/>
      <c r="B352" s="128"/>
      <c r="C352" s="128"/>
      <c r="D352" s="128"/>
      <c r="E352" s="128"/>
      <c r="F352" s="128"/>
      <c r="G352" s="128"/>
      <c r="H352" s="128"/>
    </row>
    <row r="353" spans="1:8" x14ac:dyDescent="0.35">
      <c r="A353" s="38" t="s">
        <v>68</v>
      </c>
      <c r="B353" s="39"/>
      <c r="C353" s="39"/>
      <c r="D353" s="38" t="str">
        <f>E8</f>
        <v>Balaji Avvante</v>
      </c>
      <c r="F353" s="39"/>
      <c r="G353" s="39"/>
      <c r="H353" s="39"/>
    </row>
    <row r="354" spans="1:8" x14ac:dyDescent="0.35">
      <c r="A354" s="39"/>
      <c r="B354" s="39"/>
      <c r="C354" s="39"/>
      <c r="D354" s="39"/>
      <c r="E354" s="39"/>
      <c r="F354" s="39"/>
      <c r="G354" s="39"/>
      <c r="H354" s="39"/>
    </row>
    <row r="355" spans="1:8" x14ac:dyDescent="0.35">
      <c r="A355" s="39"/>
      <c r="B355" s="39"/>
      <c r="C355" s="39"/>
      <c r="D355" s="39"/>
      <c r="E355" s="39"/>
      <c r="F355" s="39"/>
      <c r="G355" s="39"/>
      <c r="H355" s="39"/>
    </row>
    <row r="356" spans="1:8" ht="15" customHeight="1" x14ac:dyDescent="0.35"/>
    <row r="387" spans="1:1" hidden="1" x14ac:dyDescent="0.35"/>
    <row r="388" spans="1:1" hidden="1" x14ac:dyDescent="0.35"/>
    <row r="389" spans="1:1" hidden="1" x14ac:dyDescent="0.35"/>
    <row r="390" spans="1:1" hidden="1" x14ac:dyDescent="0.35"/>
    <row r="391" spans="1:1" hidden="1" x14ac:dyDescent="0.35"/>
    <row r="392" spans="1:1" hidden="1" x14ac:dyDescent="0.35"/>
    <row r="393" spans="1:1" hidden="1" x14ac:dyDescent="0.35"/>
    <row r="394" spans="1:1" hidden="1" x14ac:dyDescent="0.35"/>
    <row r="398" spans="1:1" x14ac:dyDescent="0.35">
      <c r="A398" s="41" t="s">
        <v>171</v>
      </c>
    </row>
    <row r="430" spans="1:1" x14ac:dyDescent="0.35">
      <c r="A430" s="41" t="s">
        <v>69</v>
      </c>
    </row>
  </sheetData>
  <mergeCells count="576">
    <mergeCell ref="A95:B95"/>
    <mergeCell ref="E95:F95"/>
    <mergeCell ref="G95:H95"/>
    <mergeCell ref="C95:D95"/>
    <mergeCell ref="B340:H340"/>
    <mergeCell ref="G123:H123"/>
    <mergeCell ref="C127:D127"/>
    <mergeCell ref="E127:F127"/>
    <mergeCell ref="G127:H127"/>
    <mergeCell ref="C125:D125"/>
    <mergeCell ref="G125:H125"/>
    <mergeCell ref="C132:D132"/>
    <mergeCell ref="E132:F132"/>
    <mergeCell ref="G132:H132"/>
    <mergeCell ref="C133:D133"/>
    <mergeCell ref="E133:F133"/>
    <mergeCell ref="G133:H133"/>
    <mergeCell ref="A126:A129"/>
    <mergeCell ref="A130:A133"/>
    <mergeCell ref="G129:H129"/>
    <mergeCell ref="C130:D130"/>
    <mergeCell ref="E130:F130"/>
    <mergeCell ref="G130:H130"/>
    <mergeCell ref="E99:F99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B338:H338"/>
    <mergeCell ref="A48:B48"/>
    <mergeCell ref="C48:H48"/>
    <mergeCell ref="B336:H336"/>
    <mergeCell ref="G100:H109"/>
    <mergeCell ref="A101:B101"/>
    <mergeCell ref="A102:B102"/>
    <mergeCell ref="A103:B103"/>
    <mergeCell ref="F112:H112"/>
    <mergeCell ref="A112:E112"/>
    <mergeCell ref="G314:H314"/>
    <mergeCell ref="G310:H310"/>
    <mergeCell ref="G307:H307"/>
    <mergeCell ref="D137:D138"/>
    <mergeCell ref="A153:B153"/>
    <mergeCell ref="A134:B134"/>
    <mergeCell ref="E134:F134"/>
    <mergeCell ref="C128:D128"/>
    <mergeCell ref="E128:F128"/>
    <mergeCell ref="A81:B81"/>
    <mergeCell ref="C81:H81"/>
    <mergeCell ref="A83:B83"/>
    <mergeCell ref="C83:H83"/>
    <mergeCell ref="A84:B84"/>
    <mergeCell ref="G99:H99"/>
    <mergeCell ref="A140:H140"/>
    <mergeCell ref="A176:H176"/>
    <mergeCell ref="A139:H139"/>
    <mergeCell ref="A157:B157"/>
    <mergeCell ref="A141:H141"/>
    <mergeCell ref="A142:B142"/>
    <mergeCell ref="C131:D131"/>
    <mergeCell ref="E131:F131"/>
    <mergeCell ref="G131:H131"/>
    <mergeCell ref="A316:B316"/>
    <mergeCell ref="A113:E113"/>
    <mergeCell ref="A110:E110"/>
    <mergeCell ref="C122:D122"/>
    <mergeCell ref="E122:F122"/>
    <mergeCell ref="G122:H122"/>
    <mergeCell ref="A123:B123"/>
    <mergeCell ref="C123:D123"/>
    <mergeCell ref="E123:F123"/>
    <mergeCell ref="F115:H115"/>
    <mergeCell ref="E120:F120"/>
    <mergeCell ref="A120:B120"/>
    <mergeCell ref="A122:B122"/>
    <mergeCell ref="A114:E114"/>
    <mergeCell ref="F114:H114"/>
    <mergeCell ref="A156:B156"/>
    <mergeCell ref="A116:E116"/>
    <mergeCell ref="G134:H134"/>
    <mergeCell ref="A119:H119"/>
    <mergeCell ref="A117:E117"/>
    <mergeCell ref="F117:H117"/>
    <mergeCell ref="A118:E118"/>
    <mergeCell ref="F118:H118"/>
    <mergeCell ref="A306:H306"/>
    <mergeCell ref="L306:M306"/>
    <mergeCell ref="A174:H174"/>
    <mergeCell ref="A311:B311"/>
    <mergeCell ref="A308:B308"/>
    <mergeCell ref="A309:B309"/>
    <mergeCell ref="A319:B319"/>
    <mergeCell ref="A320:B320"/>
    <mergeCell ref="A321:B321"/>
    <mergeCell ref="A310:B310"/>
    <mergeCell ref="G311:H311"/>
    <mergeCell ref="G317:H317"/>
    <mergeCell ref="G316:H316"/>
    <mergeCell ref="L305:M305"/>
    <mergeCell ref="G302:H302"/>
    <mergeCell ref="L302:M302"/>
    <mergeCell ref="A303:B303"/>
    <mergeCell ref="G303:H303"/>
    <mergeCell ref="L303:M303"/>
    <mergeCell ref="A304:B304"/>
    <mergeCell ref="G304:H304"/>
    <mergeCell ref="L304:M304"/>
    <mergeCell ref="G319:H319"/>
    <mergeCell ref="A317:B317"/>
    <mergeCell ref="A314:B314"/>
    <mergeCell ref="L153:M153"/>
    <mergeCell ref="A78:B78"/>
    <mergeCell ref="C126:D126"/>
    <mergeCell ref="E126:F126"/>
    <mergeCell ref="G126:H126"/>
    <mergeCell ref="A111:E111"/>
    <mergeCell ref="A152:H152"/>
    <mergeCell ref="E137:E138"/>
    <mergeCell ref="G137:H138"/>
    <mergeCell ref="A100:B100"/>
    <mergeCell ref="E100:F109"/>
    <mergeCell ref="A107:B107"/>
    <mergeCell ref="A108:B108"/>
    <mergeCell ref="A109:B109"/>
    <mergeCell ref="F110:H110"/>
    <mergeCell ref="A98:B98"/>
    <mergeCell ref="C98:H98"/>
    <mergeCell ref="A99:B99"/>
    <mergeCell ref="C120:D120"/>
    <mergeCell ref="F116:H116"/>
    <mergeCell ref="F113:H113"/>
    <mergeCell ref="G128:H128"/>
    <mergeCell ref="C129:D129"/>
    <mergeCell ref="E129:F129"/>
    <mergeCell ref="A61:C61"/>
    <mergeCell ref="D60:H60"/>
    <mergeCell ref="E71:F80"/>
    <mergeCell ref="G71:H80"/>
    <mergeCell ref="A79:B79"/>
    <mergeCell ref="A80:B80"/>
    <mergeCell ref="D61:H61"/>
    <mergeCell ref="A43:D43"/>
    <mergeCell ref="E43:H43"/>
    <mergeCell ref="E44:H44"/>
    <mergeCell ref="E45:H45"/>
    <mergeCell ref="E46:H46"/>
    <mergeCell ref="A44:D44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37:H37"/>
    <mergeCell ref="A36:B36"/>
    <mergeCell ref="C36:E36"/>
    <mergeCell ref="A41:D41"/>
    <mergeCell ref="E41:H41"/>
    <mergeCell ref="F33:H33"/>
    <mergeCell ref="F34:H34"/>
    <mergeCell ref="A40:H40"/>
    <mergeCell ref="A60:C60"/>
    <mergeCell ref="F36:H36"/>
    <mergeCell ref="A38:B38"/>
    <mergeCell ref="A45:D45"/>
    <mergeCell ref="A46:D46"/>
    <mergeCell ref="A47:H47"/>
    <mergeCell ref="D57:H57"/>
    <mergeCell ref="A57:C57"/>
    <mergeCell ref="G50:H50"/>
    <mergeCell ref="A51:B52"/>
    <mergeCell ref="G49:H49"/>
    <mergeCell ref="G51:H51"/>
    <mergeCell ref="D55:H55"/>
    <mergeCell ref="A39:B39"/>
    <mergeCell ref="C39:H39"/>
    <mergeCell ref="D56:H5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7:H7"/>
    <mergeCell ref="A16:B16"/>
    <mergeCell ref="A13:D13"/>
    <mergeCell ref="E13:H13"/>
    <mergeCell ref="A14:D14"/>
    <mergeCell ref="A11:D11"/>
    <mergeCell ref="E11:H11"/>
    <mergeCell ref="A22:D23"/>
    <mergeCell ref="E22:H23"/>
    <mergeCell ref="E14:H14"/>
    <mergeCell ref="A15:B15"/>
    <mergeCell ref="C15:H15"/>
    <mergeCell ref="C16:H16"/>
    <mergeCell ref="A17:B17"/>
    <mergeCell ref="C17:H17"/>
    <mergeCell ref="D64:H64"/>
    <mergeCell ref="A65:C65"/>
    <mergeCell ref="D65:H65"/>
    <mergeCell ref="A71:B71"/>
    <mergeCell ref="G70:H70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2:D12"/>
    <mergeCell ref="E12:H12"/>
    <mergeCell ref="A5:D5"/>
    <mergeCell ref="E5:H5"/>
    <mergeCell ref="A6:D6"/>
    <mergeCell ref="E6:H6"/>
    <mergeCell ref="A7:D7"/>
    <mergeCell ref="A315:B315"/>
    <mergeCell ref="A121:B121"/>
    <mergeCell ref="A344:H344"/>
    <mergeCell ref="A124:H124"/>
    <mergeCell ref="A341:H341"/>
    <mergeCell ref="A342:H342"/>
    <mergeCell ref="E125:F125"/>
    <mergeCell ref="B339:H339"/>
    <mergeCell ref="B334:H334"/>
    <mergeCell ref="B335:H335"/>
    <mergeCell ref="G325:H325"/>
    <mergeCell ref="G323:H323"/>
    <mergeCell ref="A330:H330"/>
    <mergeCell ref="A322:B322"/>
    <mergeCell ref="A323:B323"/>
    <mergeCell ref="G321:H321"/>
    <mergeCell ref="C137:C138"/>
    <mergeCell ref="A318:H318"/>
    <mergeCell ref="A313:B313"/>
    <mergeCell ref="G305:H305"/>
    <mergeCell ref="A161:B161"/>
    <mergeCell ref="A196:B196"/>
    <mergeCell ref="A302:B302"/>
    <mergeCell ref="A135:H135"/>
    <mergeCell ref="A349:H352"/>
    <mergeCell ref="A348:B348"/>
    <mergeCell ref="E348:F348"/>
    <mergeCell ref="C348:D348"/>
    <mergeCell ref="G348:H348"/>
    <mergeCell ref="A347:H347"/>
    <mergeCell ref="A345:H345"/>
    <mergeCell ref="A312:H312"/>
    <mergeCell ref="A305:B305"/>
    <mergeCell ref="G315:H315"/>
    <mergeCell ref="G313:H313"/>
    <mergeCell ref="B337:H337"/>
    <mergeCell ref="B333:H333"/>
    <mergeCell ref="A327:B327"/>
    <mergeCell ref="G327:H327"/>
    <mergeCell ref="G326:H326"/>
    <mergeCell ref="A324:H324"/>
    <mergeCell ref="A325:B325"/>
    <mergeCell ref="A326:B326"/>
    <mergeCell ref="A329:B329"/>
    <mergeCell ref="G329:H329"/>
    <mergeCell ref="A328:B328"/>
    <mergeCell ref="G309:H309"/>
    <mergeCell ref="G328:H328"/>
    <mergeCell ref="B331:H331"/>
    <mergeCell ref="B332:H332"/>
    <mergeCell ref="G320:H320"/>
    <mergeCell ref="A136:H136"/>
    <mergeCell ref="G120:H120"/>
    <mergeCell ref="A115:E115"/>
    <mergeCell ref="C121:D121"/>
    <mergeCell ref="E121:F121"/>
    <mergeCell ref="G308:H308"/>
    <mergeCell ref="B137:B138"/>
    <mergeCell ref="A137:A138"/>
    <mergeCell ref="C134:D134"/>
    <mergeCell ref="A301:H301"/>
    <mergeCell ref="A165:B165"/>
    <mergeCell ref="A169:B169"/>
    <mergeCell ref="A173:B173"/>
    <mergeCell ref="A298:B298"/>
    <mergeCell ref="G298:H298"/>
    <mergeCell ref="A188:B188"/>
    <mergeCell ref="A189:B189"/>
    <mergeCell ref="A190:B190"/>
    <mergeCell ref="A239:H239"/>
    <mergeCell ref="A228:B228"/>
    <mergeCell ref="A229:B229"/>
    <mergeCell ref="E42:H42"/>
    <mergeCell ref="A42:D42"/>
    <mergeCell ref="A346:H346"/>
    <mergeCell ref="A343:H343"/>
    <mergeCell ref="G322:H322"/>
    <mergeCell ref="A307:B307"/>
    <mergeCell ref="A125:B125"/>
    <mergeCell ref="G175:H175"/>
    <mergeCell ref="A104:B104"/>
    <mergeCell ref="A105:B105"/>
    <mergeCell ref="A106:B106"/>
    <mergeCell ref="A96:B96"/>
    <mergeCell ref="C96:H96"/>
    <mergeCell ref="A76:B76"/>
    <mergeCell ref="F111:H111"/>
    <mergeCell ref="G121:H121"/>
    <mergeCell ref="A49:B49"/>
    <mergeCell ref="C49:E49"/>
    <mergeCell ref="A146:B146"/>
    <mergeCell ref="A150:H150"/>
    <mergeCell ref="A151:H151"/>
    <mergeCell ref="C51:E51"/>
    <mergeCell ref="A248:H248"/>
    <mergeCell ref="A249:B249"/>
    <mergeCell ref="L146:M146"/>
    <mergeCell ref="A147:B147"/>
    <mergeCell ref="L147:M147"/>
    <mergeCell ref="A148:B148"/>
    <mergeCell ref="L148:M148"/>
    <mergeCell ref="A149:B149"/>
    <mergeCell ref="L149:M149"/>
    <mergeCell ref="G142:H149"/>
    <mergeCell ref="L142:M142"/>
    <mergeCell ref="A143:B143"/>
    <mergeCell ref="L143:M143"/>
    <mergeCell ref="A144:B144"/>
    <mergeCell ref="L144:M144"/>
    <mergeCell ref="A145:B145"/>
    <mergeCell ref="L145:M145"/>
    <mergeCell ref="L162:M162"/>
    <mergeCell ref="L157:M157"/>
    <mergeCell ref="A158:B158"/>
    <mergeCell ref="L158:M158"/>
    <mergeCell ref="A159:B159"/>
    <mergeCell ref="L159:M159"/>
    <mergeCell ref="A160:B160"/>
    <mergeCell ref="L160:M160"/>
    <mergeCell ref="A154:B154"/>
    <mergeCell ref="A155:B155"/>
    <mergeCell ref="L169:M169"/>
    <mergeCell ref="A170:B170"/>
    <mergeCell ref="L170:M170"/>
    <mergeCell ref="A171:B171"/>
    <mergeCell ref="L171:M171"/>
    <mergeCell ref="A172:B172"/>
    <mergeCell ref="L172:M172"/>
    <mergeCell ref="G153:H173"/>
    <mergeCell ref="L165:M165"/>
    <mergeCell ref="A166:B166"/>
    <mergeCell ref="L166:M166"/>
    <mergeCell ref="A167:B167"/>
    <mergeCell ref="L167:M167"/>
    <mergeCell ref="A168:B168"/>
    <mergeCell ref="L168:M168"/>
    <mergeCell ref="L156:M156"/>
    <mergeCell ref="L155:M155"/>
    <mergeCell ref="L154:M154"/>
    <mergeCell ref="A163:B163"/>
    <mergeCell ref="L163:M163"/>
    <mergeCell ref="A164:B164"/>
    <mergeCell ref="L164:M164"/>
    <mergeCell ref="L161:M161"/>
    <mergeCell ref="A162:B162"/>
    <mergeCell ref="L173:M173"/>
    <mergeCell ref="A296:H296"/>
    <mergeCell ref="A297:B297"/>
    <mergeCell ref="G297:H297"/>
    <mergeCell ref="L297:M297"/>
    <mergeCell ref="A178:H178"/>
    <mergeCell ref="A179:B179"/>
    <mergeCell ref="A180:B180"/>
    <mergeCell ref="A181:B181"/>
    <mergeCell ref="A182:B182"/>
    <mergeCell ref="A183:B183"/>
    <mergeCell ref="A184:B184"/>
    <mergeCell ref="A185:H185"/>
    <mergeCell ref="A177:H177"/>
    <mergeCell ref="A186:B186"/>
    <mergeCell ref="A187:B187"/>
    <mergeCell ref="A198:B198"/>
    <mergeCell ref="A199:B199"/>
    <mergeCell ref="A205:B205"/>
    <mergeCell ref="A206:B206"/>
    <mergeCell ref="A234:B234"/>
    <mergeCell ref="A235:B235"/>
    <mergeCell ref="A236:B236"/>
    <mergeCell ref="A237:B237"/>
    <mergeCell ref="L298:M298"/>
    <mergeCell ref="A299:B299"/>
    <mergeCell ref="G299:H299"/>
    <mergeCell ref="L299:M299"/>
    <mergeCell ref="A300:B300"/>
    <mergeCell ref="G300:H300"/>
    <mergeCell ref="L300:M300"/>
    <mergeCell ref="A191:B191"/>
    <mergeCell ref="A192:H192"/>
    <mergeCell ref="A193:H193"/>
    <mergeCell ref="A194:B194"/>
    <mergeCell ref="A195:B195"/>
    <mergeCell ref="A200:H200"/>
    <mergeCell ref="A201:B201"/>
    <mergeCell ref="A202:B202"/>
    <mergeCell ref="A203:B203"/>
    <mergeCell ref="A204:B204"/>
    <mergeCell ref="A207:H207"/>
    <mergeCell ref="A208:H208"/>
    <mergeCell ref="A209:B209"/>
    <mergeCell ref="A210:B210"/>
    <mergeCell ref="A211:B211"/>
    <mergeCell ref="A212:B212"/>
    <mergeCell ref="A197:B197"/>
    <mergeCell ref="A250:B250"/>
    <mergeCell ref="A240:H240"/>
    <mergeCell ref="A241:H241"/>
    <mergeCell ref="A242:B242"/>
    <mergeCell ref="A243:B243"/>
    <mergeCell ref="A244:B244"/>
    <mergeCell ref="A245:B245"/>
    <mergeCell ref="G242:H247"/>
    <mergeCell ref="A256:H256"/>
    <mergeCell ref="A257:B257"/>
    <mergeCell ref="A258:B258"/>
    <mergeCell ref="A259:B259"/>
    <mergeCell ref="A260:B260"/>
    <mergeCell ref="A251:B251"/>
    <mergeCell ref="A252:B252"/>
    <mergeCell ref="A253:B253"/>
    <mergeCell ref="A254:B254"/>
    <mergeCell ref="A255:H255"/>
    <mergeCell ref="A266:B266"/>
    <mergeCell ref="A267:B267"/>
    <mergeCell ref="A268:B268"/>
    <mergeCell ref="A269:B269"/>
    <mergeCell ref="A270:H270"/>
    <mergeCell ref="G264:H269"/>
    <mergeCell ref="A261:B261"/>
    <mergeCell ref="A262:B262"/>
    <mergeCell ref="A263:H263"/>
    <mergeCell ref="A264:B264"/>
    <mergeCell ref="A265:B265"/>
    <mergeCell ref="A278:B278"/>
    <mergeCell ref="A284:B284"/>
    <mergeCell ref="A285:B285"/>
    <mergeCell ref="A271:H271"/>
    <mergeCell ref="A272:B272"/>
    <mergeCell ref="A273:B273"/>
    <mergeCell ref="A274:B274"/>
    <mergeCell ref="A275:B275"/>
    <mergeCell ref="G272:H275"/>
    <mergeCell ref="A293:B293"/>
    <mergeCell ref="A294:B294"/>
    <mergeCell ref="A295:B295"/>
    <mergeCell ref="A230:B230"/>
    <mergeCell ref="A238:B238"/>
    <mergeCell ref="A287:B287"/>
    <mergeCell ref="A288:B288"/>
    <mergeCell ref="A289:H289"/>
    <mergeCell ref="A290:B290"/>
    <mergeCell ref="A291:B291"/>
    <mergeCell ref="A282:H282"/>
    <mergeCell ref="A283:B283"/>
    <mergeCell ref="G249:H254"/>
    <mergeCell ref="G257:H262"/>
    <mergeCell ref="A286:B286"/>
    <mergeCell ref="A279:B279"/>
    <mergeCell ref="A280:B280"/>
    <mergeCell ref="A281:H281"/>
    <mergeCell ref="A292:B292"/>
    <mergeCell ref="G277:H280"/>
    <mergeCell ref="G283:H288"/>
    <mergeCell ref="G290:H295"/>
    <mergeCell ref="A276:H276"/>
    <mergeCell ref="A277:B277"/>
    <mergeCell ref="C38:H38"/>
    <mergeCell ref="G179:H184"/>
    <mergeCell ref="G186:H191"/>
    <mergeCell ref="G194:H199"/>
    <mergeCell ref="G201:H206"/>
    <mergeCell ref="G209:H214"/>
    <mergeCell ref="G216:H221"/>
    <mergeCell ref="G224:H230"/>
    <mergeCell ref="G232:H238"/>
    <mergeCell ref="A58:C59"/>
    <mergeCell ref="D58:H58"/>
    <mergeCell ref="D59:H59"/>
    <mergeCell ref="C50:E50"/>
    <mergeCell ref="A53:B53"/>
    <mergeCell ref="C53:E53"/>
    <mergeCell ref="A50:B50"/>
    <mergeCell ref="A54:H54"/>
    <mergeCell ref="A55:C55"/>
    <mergeCell ref="A56:C56"/>
    <mergeCell ref="A223:H223"/>
    <mergeCell ref="A224:B224"/>
    <mergeCell ref="A225:B225"/>
    <mergeCell ref="A226:B226"/>
    <mergeCell ref="A227:B227"/>
    <mergeCell ref="G53:H53"/>
    <mergeCell ref="C52:H52"/>
    <mergeCell ref="A74:B74"/>
    <mergeCell ref="E70:F70"/>
    <mergeCell ref="A231:H231"/>
    <mergeCell ref="A232:B232"/>
    <mergeCell ref="A233:B233"/>
    <mergeCell ref="A246:B246"/>
    <mergeCell ref="A247:B247"/>
    <mergeCell ref="A218:B218"/>
    <mergeCell ref="A219:B219"/>
    <mergeCell ref="A220:B220"/>
    <mergeCell ref="A221:B221"/>
    <mergeCell ref="A222:H222"/>
    <mergeCell ref="A213:B213"/>
    <mergeCell ref="A214:B214"/>
    <mergeCell ref="A215:H215"/>
    <mergeCell ref="A216:B216"/>
    <mergeCell ref="A217:B217"/>
    <mergeCell ref="A63:C63"/>
    <mergeCell ref="D63:H63"/>
    <mergeCell ref="A66:C66"/>
    <mergeCell ref="D66:H66"/>
    <mergeCell ref="A64:C64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352" max="16383" man="1"/>
    <brk id="397" max="16383" man="1"/>
    <brk id="42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E11" sqref="E11"/>
    </sheetView>
  </sheetViews>
  <sheetFormatPr defaultColWidth="8.54296875" defaultRowHeight="14.5" x14ac:dyDescent="0.35"/>
  <cols>
    <col min="1" max="1" width="8.5429687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5429687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4" t="s">
        <v>107</v>
      </c>
      <c r="C3" s="204"/>
      <c r="D3" s="204"/>
      <c r="E3" s="204"/>
      <c r="F3" s="204"/>
      <c r="G3" s="204"/>
      <c r="H3" s="204"/>
    </row>
    <row r="4" spans="1:9" x14ac:dyDescent="0.35">
      <c r="A4" s="2"/>
      <c r="B4" s="3" t="s">
        <v>108</v>
      </c>
      <c r="C4" s="3" t="s">
        <v>109</v>
      </c>
      <c r="D4" s="3" t="s">
        <v>71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2025-07-14T11:49:22Z</cp:lastPrinted>
  <dcterms:created xsi:type="dcterms:W3CDTF">2019-07-16T09:29:46Z</dcterms:created>
  <dcterms:modified xsi:type="dcterms:W3CDTF">2025-07-14T11:52:08Z</dcterms:modified>
</cp:coreProperties>
</file>