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VSJCV\Making\AXIS\2025-26\Axis\APF Dump\July 2025\15-07-2025\"/>
    </mc:Choice>
  </mc:AlternateContent>
  <bookViews>
    <workbookView xWindow="0" yWindow="0" windowWidth="19200" windowHeight="6640" tabRatio="880"/>
  </bookViews>
  <sheets>
    <sheet name="Sheet1" sheetId="1" r:id="rId1"/>
    <sheet name="1%" sheetId="14" r:id="rId2"/>
    <sheet name="2%" sheetId="19" r:id="rId3"/>
    <sheet name="3%" sheetId="20" r:id="rId4"/>
    <sheet name="4%" sheetId="21" r:id="rId5"/>
    <sheet name="5%" sheetId="22" r:id="rId6"/>
    <sheet name="6%" sheetId="25" r:id="rId7"/>
    <sheet name="Note" sheetId="23" r:id="rId8"/>
    <sheet name="Valuation" sheetId="24" r:id="rId9"/>
  </sheets>
  <definedNames>
    <definedName name="_xlnm.Print_Area" localSheetId="0">Sheet1!$A$1:$J$631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0" i="1" l="1"/>
  <c r="L149" i="1"/>
  <c r="L148" i="1"/>
  <c r="L147" i="1"/>
  <c r="I140" i="1"/>
  <c r="D151" i="1" l="1"/>
  <c r="D147" i="1"/>
  <c r="D150" i="1"/>
  <c r="D146" i="1"/>
  <c r="L145" i="1"/>
  <c r="L146" i="1" s="1"/>
  <c r="L151" i="1" s="1"/>
  <c r="L152" i="1" s="1"/>
  <c r="C144" i="1" s="1"/>
  <c r="D149" i="1"/>
  <c r="C145" i="1"/>
  <c r="D145" i="1" s="1"/>
  <c r="D152" i="1"/>
  <c r="D148" i="1"/>
  <c r="L144" i="1"/>
  <c r="C143" i="1" s="1"/>
  <c r="D143" i="1" s="1"/>
  <c r="L142" i="1"/>
  <c r="L143" i="1"/>
  <c r="M214" i="1"/>
  <c r="L439" i="1"/>
  <c r="N202" i="1"/>
  <c r="M445" i="1"/>
  <c r="K405" i="1"/>
  <c r="L395" i="1"/>
  <c r="K368" i="1"/>
  <c r="K354" i="1"/>
  <c r="L342" i="1"/>
  <c r="L329" i="1"/>
  <c r="L304" i="1"/>
  <c r="L284" i="1"/>
  <c r="K265" i="1"/>
  <c r="L254" i="1"/>
  <c r="M225" i="1"/>
  <c r="F143" i="1" l="1"/>
  <c r="K139" i="1" s="1"/>
  <c r="C141" i="1" s="1"/>
  <c r="D144" i="1"/>
  <c r="H143" i="1"/>
  <c r="L54" i="1"/>
  <c r="L197" i="1"/>
  <c r="L202" i="1"/>
  <c r="M208" i="1"/>
  <c r="M207" i="1"/>
  <c r="N205" i="1"/>
  <c r="C444" i="1"/>
  <c r="G444" i="1" s="1"/>
  <c r="C443" i="1"/>
  <c r="G443" i="1" s="1"/>
  <c r="C436" i="1"/>
  <c r="G436" i="1" s="1"/>
  <c r="C435" i="1"/>
  <c r="C434" i="1"/>
  <c r="G434" i="1" s="1"/>
  <c r="I433" i="1"/>
  <c r="C433" i="1"/>
  <c r="G433" i="1" s="1"/>
  <c r="F439" i="1"/>
  <c r="F438" i="1"/>
  <c r="F415" i="1"/>
  <c r="F414" i="1"/>
  <c r="C412" i="1"/>
  <c r="C411" i="1"/>
  <c r="C410" i="1"/>
  <c r="I409" i="1"/>
  <c r="C409" i="1"/>
  <c r="G409" i="1" s="1"/>
  <c r="F388" i="1"/>
  <c r="F387" i="1"/>
  <c r="F372" i="1"/>
  <c r="F371" i="1"/>
  <c r="F370" i="1"/>
  <c r="F369" i="1"/>
  <c r="C362" i="1"/>
  <c r="G362" i="1" s="1"/>
  <c r="F355" i="1"/>
  <c r="F354" i="1"/>
  <c r="F353" i="1"/>
  <c r="C354" i="1"/>
  <c r="G354" i="1" s="1"/>
  <c r="C353" i="1"/>
  <c r="G353" i="1" s="1"/>
  <c r="F343" i="1"/>
  <c r="F340" i="1"/>
  <c r="F318" i="1"/>
  <c r="F306" i="1"/>
  <c r="F291" i="1"/>
  <c r="F287" i="1"/>
  <c r="C284" i="1"/>
  <c r="F247" i="1"/>
  <c r="F246" i="1"/>
  <c r="F41" i="1"/>
  <c r="D435" i="1" l="1"/>
  <c r="G435" i="1"/>
  <c r="D206" i="1"/>
  <c r="D412" i="1"/>
  <c r="G412" i="1"/>
  <c r="D410" i="1"/>
  <c r="G410" i="1"/>
  <c r="D411" i="1"/>
  <c r="G411" i="1"/>
  <c r="C205" i="1"/>
  <c r="D205" i="1"/>
  <c r="D207" i="1" s="1"/>
  <c r="D436" i="1"/>
  <c r="C206" i="1"/>
  <c r="C207" i="1" s="1"/>
  <c r="G206" i="1"/>
  <c r="D434" i="1"/>
  <c r="D433" i="1"/>
  <c r="D409" i="1"/>
  <c r="F38" i="1"/>
  <c r="F39" i="1" s="1"/>
  <c r="G205" i="1" l="1"/>
  <c r="G207" i="1" s="1"/>
  <c r="C111" i="1"/>
  <c r="C83" i="1"/>
  <c r="C158" i="1"/>
  <c r="C153" i="1"/>
  <c r="I342" i="1" l="1"/>
  <c r="F344" i="1"/>
  <c r="C344" i="1"/>
  <c r="D461" i="1"/>
  <c r="F351" i="1"/>
  <c r="F386" i="1"/>
  <c r="F385" i="1"/>
  <c r="C388" i="1"/>
  <c r="G388" i="1" s="1"/>
  <c r="C387" i="1"/>
  <c r="G387" i="1" s="1"/>
  <c r="C386" i="1"/>
  <c r="G386" i="1" s="1"/>
  <c r="C385" i="1"/>
  <c r="F383" i="1"/>
  <c r="F382" i="1"/>
  <c r="F381" i="1"/>
  <c r="F380" i="1"/>
  <c r="C383" i="1"/>
  <c r="G383" i="1" s="1"/>
  <c r="C382" i="1"/>
  <c r="G382" i="1" s="1"/>
  <c r="C381" i="1"/>
  <c r="G381" i="1" s="1"/>
  <c r="C380" i="1"/>
  <c r="C378" i="1"/>
  <c r="G378" i="1" s="1"/>
  <c r="C377" i="1"/>
  <c r="G377" i="1" s="1"/>
  <c r="C376" i="1"/>
  <c r="G376" i="1" s="1"/>
  <c r="C375" i="1"/>
  <c r="C372" i="1"/>
  <c r="G372" i="1" s="1"/>
  <c r="C371" i="1"/>
  <c r="G371" i="1" s="1"/>
  <c r="C370" i="1"/>
  <c r="G370" i="1" s="1"/>
  <c r="C369" i="1"/>
  <c r="G369" i="1" s="1"/>
  <c r="F367" i="1"/>
  <c r="F366" i="1"/>
  <c r="F365" i="1"/>
  <c r="F364" i="1"/>
  <c r="C367" i="1"/>
  <c r="G367" i="1" s="1"/>
  <c r="C366" i="1"/>
  <c r="G366" i="1" s="1"/>
  <c r="C365" i="1"/>
  <c r="G365" i="1" s="1"/>
  <c r="C364" i="1"/>
  <c r="C439" i="1"/>
  <c r="G439" i="1" s="1"/>
  <c r="C426" i="1"/>
  <c r="G426" i="1" s="1"/>
  <c r="C425" i="1"/>
  <c r="C446" i="1"/>
  <c r="G446" i="1" s="1"/>
  <c r="C445" i="1"/>
  <c r="G445" i="1" s="1"/>
  <c r="C441" i="1"/>
  <c r="G441" i="1" s="1"/>
  <c r="C440" i="1"/>
  <c r="G440" i="1" s="1"/>
  <c r="C438" i="1"/>
  <c r="G438" i="1" s="1"/>
  <c r="C431" i="1"/>
  <c r="G431" i="1" s="1"/>
  <c r="C430" i="1"/>
  <c r="G430" i="1" s="1"/>
  <c r="C429" i="1"/>
  <c r="G429" i="1" s="1"/>
  <c r="C428" i="1"/>
  <c r="C422" i="1"/>
  <c r="G422" i="1" s="1"/>
  <c r="C421" i="1"/>
  <c r="G421" i="1" s="1"/>
  <c r="C420" i="1"/>
  <c r="G420" i="1" s="1"/>
  <c r="C419" i="1"/>
  <c r="G419" i="1" s="1"/>
  <c r="C417" i="1"/>
  <c r="G417" i="1" s="1"/>
  <c r="C416" i="1"/>
  <c r="G416" i="1" s="1"/>
  <c r="C415" i="1"/>
  <c r="G415" i="1" s="1"/>
  <c r="C414" i="1"/>
  <c r="G414" i="1" s="1"/>
  <c r="C407" i="1"/>
  <c r="G407" i="1" s="1"/>
  <c r="C406" i="1"/>
  <c r="G406" i="1" s="1"/>
  <c r="C405" i="1"/>
  <c r="G405" i="1" s="1"/>
  <c r="C404" i="1"/>
  <c r="C402" i="1"/>
  <c r="G402" i="1" s="1"/>
  <c r="C401" i="1"/>
  <c r="C397" i="1"/>
  <c r="G397" i="1" s="1"/>
  <c r="C396" i="1"/>
  <c r="G396" i="1" s="1"/>
  <c r="F394" i="1"/>
  <c r="F393" i="1"/>
  <c r="C394" i="1"/>
  <c r="G394" i="1" s="1"/>
  <c r="C393" i="1"/>
  <c r="N395" i="1"/>
  <c r="O353" i="1"/>
  <c r="C355" i="1"/>
  <c r="G355" i="1" s="1"/>
  <c r="F349" i="1"/>
  <c r="C351" i="1"/>
  <c r="G351" i="1" s="1"/>
  <c r="C350" i="1"/>
  <c r="G350" i="1" s="1"/>
  <c r="C349" i="1"/>
  <c r="F345" i="1"/>
  <c r="F342" i="1"/>
  <c r="C345" i="1"/>
  <c r="G345" i="1" s="1"/>
  <c r="C343" i="1"/>
  <c r="G343" i="1" s="1"/>
  <c r="C342" i="1"/>
  <c r="G342" i="1" s="1"/>
  <c r="F339" i="1"/>
  <c r="F338" i="1"/>
  <c r="F337" i="1"/>
  <c r="C340" i="1"/>
  <c r="G340" i="1" s="1"/>
  <c r="C339" i="1"/>
  <c r="C338" i="1"/>
  <c r="C337" i="1"/>
  <c r="M328" i="1"/>
  <c r="O325" i="1"/>
  <c r="C332" i="1"/>
  <c r="G332" i="1" s="1"/>
  <c r="C331" i="1"/>
  <c r="G331" i="1" s="1"/>
  <c r="F329" i="1"/>
  <c r="F328" i="1"/>
  <c r="C329" i="1"/>
  <c r="G329" i="1" s="1"/>
  <c r="C328" i="1"/>
  <c r="G328" i="1" s="1"/>
  <c r="F323" i="1"/>
  <c r="F322" i="1"/>
  <c r="F321" i="1"/>
  <c r="F320" i="1"/>
  <c r="C323" i="1"/>
  <c r="C322" i="1"/>
  <c r="C321" i="1"/>
  <c r="C320" i="1"/>
  <c r="F317" i="1"/>
  <c r="F316" i="1"/>
  <c r="F315" i="1"/>
  <c r="C318" i="1"/>
  <c r="G318" i="1" s="1"/>
  <c r="C317" i="1"/>
  <c r="C316" i="1"/>
  <c r="C315" i="1"/>
  <c r="F309" i="1"/>
  <c r="F308" i="1"/>
  <c r="F307" i="1"/>
  <c r="C309" i="1"/>
  <c r="G309" i="1" s="1"/>
  <c r="C308" i="1"/>
  <c r="G308" i="1" s="1"/>
  <c r="C307" i="1"/>
  <c r="C306" i="1"/>
  <c r="G306" i="1" s="1"/>
  <c r="F304" i="1"/>
  <c r="F303" i="1"/>
  <c r="F302" i="1"/>
  <c r="F301" i="1"/>
  <c r="C304" i="1"/>
  <c r="G304" i="1" s="1"/>
  <c r="C303" i="1"/>
  <c r="G303" i="1" s="1"/>
  <c r="C302" i="1"/>
  <c r="C301" i="1"/>
  <c r="F294" i="1"/>
  <c r="F292" i="1"/>
  <c r="C294" i="1"/>
  <c r="G294" i="1" s="1"/>
  <c r="C293" i="1"/>
  <c r="G293" i="1" s="1"/>
  <c r="C292" i="1"/>
  <c r="G292" i="1" s="1"/>
  <c r="C291" i="1"/>
  <c r="G291" i="1" s="1"/>
  <c r="F286" i="1"/>
  <c r="C289" i="1"/>
  <c r="G289" i="1" s="1"/>
  <c r="C288" i="1"/>
  <c r="G288" i="1" s="1"/>
  <c r="C287" i="1"/>
  <c r="G287" i="1" s="1"/>
  <c r="C286" i="1"/>
  <c r="F284" i="1"/>
  <c r="G284" i="1" s="1"/>
  <c r="F283" i="1"/>
  <c r="F282" i="1"/>
  <c r="F281" i="1"/>
  <c r="C283" i="1"/>
  <c r="C282" i="1"/>
  <c r="C281" i="1"/>
  <c r="G281" i="1" s="1"/>
  <c r="F279" i="1"/>
  <c r="F278" i="1"/>
  <c r="F277" i="1"/>
  <c r="F276" i="1"/>
  <c r="C279" i="1"/>
  <c r="C278" i="1"/>
  <c r="C277" i="1"/>
  <c r="C276" i="1"/>
  <c r="F271" i="1"/>
  <c r="C272" i="1"/>
  <c r="C271" i="1"/>
  <c r="G271" i="1" s="1"/>
  <c r="F268" i="1"/>
  <c r="C269" i="1"/>
  <c r="C268" i="1"/>
  <c r="F266" i="1"/>
  <c r="F265" i="1"/>
  <c r="F264" i="1"/>
  <c r="C266" i="1"/>
  <c r="C265" i="1"/>
  <c r="G265" i="1" s="1"/>
  <c r="C264" i="1"/>
  <c r="G264" i="1" s="1"/>
  <c r="F262" i="1"/>
  <c r="F261" i="1"/>
  <c r="F260" i="1"/>
  <c r="C262" i="1"/>
  <c r="G262" i="1" s="1"/>
  <c r="C261" i="1"/>
  <c r="G261" i="1" s="1"/>
  <c r="C260" i="1"/>
  <c r="C255" i="1"/>
  <c r="C254" i="1"/>
  <c r="G254" i="1" s="1"/>
  <c r="F252" i="1"/>
  <c r="F251" i="1"/>
  <c r="C252" i="1"/>
  <c r="G252" i="1" s="1"/>
  <c r="C251" i="1"/>
  <c r="F245" i="1"/>
  <c r="F244" i="1"/>
  <c r="C247" i="1"/>
  <c r="G247" i="1" s="1"/>
  <c r="C246" i="1"/>
  <c r="G246" i="1" s="1"/>
  <c r="C245" i="1"/>
  <c r="C244" i="1"/>
  <c r="G244" i="1" s="1"/>
  <c r="F242" i="1"/>
  <c r="F241" i="1"/>
  <c r="F240" i="1"/>
  <c r="F239" i="1"/>
  <c r="C242" i="1"/>
  <c r="G242" i="1" s="1"/>
  <c r="C241" i="1"/>
  <c r="G241" i="1" s="1"/>
  <c r="C240" i="1"/>
  <c r="C239" i="1"/>
  <c r="G239" i="1" s="1"/>
  <c r="O245" i="1"/>
  <c r="F233" i="1"/>
  <c r="F232" i="1"/>
  <c r="F231" i="1"/>
  <c r="F230" i="1"/>
  <c r="C233" i="1"/>
  <c r="G233" i="1" s="1"/>
  <c r="C232" i="1"/>
  <c r="C231" i="1"/>
  <c r="G231" i="1" s="1"/>
  <c r="C230" i="1"/>
  <c r="N289" i="1"/>
  <c r="F228" i="1"/>
  <c r="F227" i="1"/>
  <c r="F226" i="1"/>
  <c r="F225" i="1"/>
  <c r="C228" i="1"/>
  <c r="C227" i="1"/>
  <c r="G227" i="1" s="1"/>
  <c r="C226" i="1"/>
  <c r="C225" i="1"/>
  <c r="N217" i="1"/>
  <c r="G349" i="1" l="1"/>
  <c r="D196" i="1"/>
  <c r="D255" i="1"/>
  <c r="G255" i="1"/>
  <c r="G260" i="1"/>
  <c r="C190" i="1"/>
  <c r="D190" i="1"/>
  <c r="G266" i="1"/>
  <c r="N286" i="1"/>
  <c r="G272" i="1"/>
  <c r="G286" i="1"/>
  <c r="D211" i="1"/>
  <c r="C211" i="1"/>
  <c r="G428" i="1"/>
  <c r="D213" i="1"/>
  <c r="C213" i="1"/>
  <c r="G276" i="1"/>
  <c r="C191" i="1"/>
  <c r="D191" i="1"/>
  <c r="G425" i="1"/>
  <c r="G201" i="1" s="1"/>
  <c r="C201" i="1"/>
  <c r="D201" i="1"/>
  <c r="G230" i="1"/>
  <c r="G277" i="1"/>
  <c r="G282" i="1"/>
  <c r="G315" i="1"/>
  <c r="G321" i="1"/>
  <c r="G338" i="1"/>
  <c r="G401" i="1"/>
  <c r="G200" i="1" s="1"/>
  <c r="C200" i="1"/>
  <c r="D200" i="1"/>
  <c r="G320" i="1"/>
  <c r="G268" i="1"/>
  <c r="G278" i="1"/>
  <c r="G283" i="1"/>
  <c r="G301" i="1"/>
  <c r="G316" i="1"/>
  <c r="G322" i="1"/>
  <c r="G339" i="1"/>
  <c r="G375" i="1"/>
  <c r="D198" i="1"/>
  <c r="G225" i="1"/>
  <c r="G251" i="1"/>
  <c r="D189" i="1"/>
  <c r="G337" i="1"/>
  <c r="D195" i="1"/>
  <c r="D226" i="1"/>
  <c r="G226" i="1"/>
  <c r="G228" i="1"/>
  <c r="G232" i="1"/>
  <c r="G240" i="1"/>
  <c r="G245" i="1"/>
  <c r="G269" i="1"/>
  <c r="G210" i="1" s="1"/>
  <c r="D210" i="1"/>
  <c r="C210" i="1"/>
  <c r="G279" i="1"/>
  <c r="G302" i="1"/>
  <c r="G307" i="1"/>
  <c r="G317" i="1"/>
  <c r="G323" i="1"/>
  <c r="G393" i="1"/>
  <c r="G404" i="1"/>
  <c r="G212" i="1" s="1"/>
  <c r="D212" i="1"/>
  <c r="C212" i="1"/>
  <c r="G364" i="1"/>
  <c r="G380" i="1"/>
  <c r="G385" i="1"/>
  <c r="D344" i="1"/>
  <c r="G344" i="1"/>
  <c r="C195" i="1"/>
  <c r="C189" i="1"/>
  <c r="C196" i="1"/>
  <c r="L207" i="1"/>
  <c r="C198" i="1"/>
  <c r="O209" i="1"/>
  <c r="G191" i="1" l="1"/>
  <c r="G190" i="1"/>
  <c r="D214" i="1"/>
  <c r="G189" i="1"/>
  <c r="L201" i="1"/>
  <c r="L200" i="1"/>
  <c r="L190" i="1"/>
  <c r="L191" i="1"/>
  <c r="C214" i="1"/>
  <c r="G211" i="1"/>
  <c r="C313" i="1" l="1"/>
  <c r="G313" i="1" s="1"/>
  <c r="C312" i="1"/>
  <c r="C299" i="1"/>
  <c r="G299" i="1" s="1"/>
  <c r="C298" i="1"/>
  <c r="D294" i="1"/>
  <c r="D293" i="1"/>
  <c r="I291" i="1"/>
  <c r="D279" i="1"/>
  <c r="N267" i="1"/>
  <c r="N266" i="1"/>
  <c r="I271" i="1"/>
  <c r="C192" i="1" l="1"/>
  <c r="G298" i="1"/>
  <c r="G192" i="1" s="1"/>
  <c r="D192" i="1"/>
  <c r="G312" i="1"/>
  <c r="G193" i="1" s="1"/>
  <c r="D193" i="1"/>
  <c r="C193" i="1"/>
  <c r="D298" i="1"/>
  <c r="G195" i="1"/>
  <c r="D271" i="1"/>
  <c r="L270" i="1"/>
  <c r="L291" i="1"/>
  <c r="L326" i="1"/>
  <c r="L292" i="1"/>
  <c r="L290" i="1"/>
  <c r="L289" i="1"/>
  <c r="D292" i="1"/>
  <c r="D291" i="1"/>
  <c r="L277" i="1"/>
  <c r="L269" i="1"/>
  <c r="D272" i="1"/>
  <c r="G196" i="1" l="1"/>
  <c r="N250" i="1"/>
  <c r="N249" i="1"/>
  <c r="C237" i="1"/>
  <c r="G237" i="1" s="1"/>
  <c r="C236" i="1"/>
  <c r="L218" i="1"/>
  <c r="M223" i="1"/>
  <c r="C223" i="1"/>
  <c r="G223" i="1" s="1"/>
  <c r="C222" i="1"/>
  <c r="H45" i="1"/>
  <c r="H48" i="1" s="1"/>
  <c r="C45" i="1"/>
  <c r="G222" i="1" l="1"/>
  <c r="D187" i="1"/>
  <c r="G236" i="1"/>
  <c r="D188" i="1"/>
  <c r="C187" i="1"/>
  <c r="C188" i="1"/>
  <c r="G187" i="1"/>
  <c r="G188" i="1"/>
  <c r="L187" i="1" l="1"/>
  <c r="F3" i="1"/>
  <c r="L136" i="1" l="1"/>
  <c r="L135" i="1"/>
  <c r="L134" i="1"/>
  <c r="L133" i="1"/>
  <c r="L122" i="1"/>
  <c r="L121" i="1"/>
  <c r="L120" i="1"/>
  <c r="L119" i="1"/>
  <c r="L108" i="1"/>
  <c r="L107" i="1"/>
  <c r="L106" i="1"/>
  <c r="L105" i="1"/>
  <c r="I112" i="1"/>
  <c r="I98" i="1"/>
  <c r="I126" i="1"/>
  <c r="C131" i="1" l="1"/>
  <c r="D131" i="1" s="1"/>
  <c r="L129" i="1"/>
  <c r="D138" i="1"/>
  <c r="D136" i="1"/>
  <c r="D134" i="1"/>
  <c r="D132" i="1"/>
  <c r="L130" i="1"/>
  <c r="C129" i="1" s="1"/>
  <c r="D129" i="1" s="1"/>
  <c r="L128" i="1"/>
  <c r="D137" i="1"/>
  <c r="D133" i="1"/>
  <c r="L131" i="1"/>
  <c r="L132" i="1" s="1"/>
  <c r="L137" i="1" s="1"/>
  <c r="L138" i="1" s="1"/>
  <c r="C130" i="1" s="1"/>
  <c r="D135" i="1"/>
  <c r="C117" i="1"/>
  <c r="D117" i="1" s="1"/>
  <c r="L115" i="1"/>
  <c r="D124" i="1"/>
  <c r="D122" i="1"/>
  <c r="D120" i="1"/>
  <c r="D118" i="1"/>
  <c r="L116" i="1"/>
  <c r="C115" i="1" s="1"/>
  <c r="D115" i="1" s="1"/>
  <c r="L114" i="1"/>
  <c r="L117" i="1"/>
  <c r="L118" i="1" s="1"/>
  <c r="L123" i="1" s="1"/>
  <c r="L124" i="1" s="1"/>
  <c r="C116" i="1" s="1"/>
  <c r="D123" i="1"/>
  <c r="D119" i="1"/>
  <c r="D121" i="1"/>
  <c r="C103" i="1"/>
  <c r="D103" i="1" s="1"/>
  <c r="L101" i="1"/>
  <c r="D110" i="1"/>
  <c r="D108" i="1"/>
  <c r="D106" i="1"/>
  <c r="D104" i="1"/>
  <c r="L102" i="1"/>
  <c r="C101" i="1" s="1"/>
  <c r="D101" i="1" s="1"/>
  <c r="L100" i="1"/>
  <c r="D107" i="1"/>
  <c r="D105" i="1"/>
  <c r="L103" i="1"/>
  <c r="L104" i="1" s="1"/>
  <c r="L109" i="1" s="1"/>
  <c r="L110" i="1" s="1"/>
  <c r="C102" i="1" s="1"/>
  <c r="D109" i="1"/>
  <c r="L164" i="1"/>
  <c r="L163" i="1"/>
  <c r="L162" i="1"/>
  <c r="L161" i="1"/>
  <c r="L94" i="1"/>
  <c r="L93" i="1"/>
  <c r="L92" i="1"/>
  <c r="L91" i="1"/>
  <c r="L80" i="1"/>
  <c r="L79" i="1"/>
  <c r="L78" i="1"/>
  <c r="L77" i="1"/>
  <c r="I70" i="1"/>
  <c r="I154" i="1"/>
  <c r="I84" i="1"/>
  <c r="F129" i="1" l="1"/>
  <c r="K125" i="1" s="1"/>
  <c r="C127" i="1" s="1"/>
  <c r="D130" i="1"/>
  <c r="H129" i="1"/>
  <c r="F115" i="1"/>
  <c r="K111" i="1" s="1"/>
  <c r="C113" i="1" s="1"/>
  <c r="D116" i="1"/>
  <c r="H115" i="1"/>
  <c r="F101" i="1"/>
  <c r="K97" i="1" s="1"/>
  <c r="C99" i="1" s="1"/>
  <c r="D102" i="1"/>
  <c r="H101" i="1"/>
  <c r="D159" i="1"/>
  <c r="L157" i="1"/>
  <c r="D166" i="1"/>
  <c r="D164" i="1"/>
  <c r="D162" i="1"/>
  <c r="D160" i="1"/>
  <c r="L158" i="1"/>
  <c r="C157" i="1" s="1"/>
  <c r="D157" i="1" s="1"/>
  <c r="L156" i="1"/>
  <c r="L159" i="1"/>
  <c r="L160" i="1" s="1"/>
  <c r="L165" i="1" s="1"/>
  <c r="L166" i="1" s="1"/>
  <c r="D165" i="1"/>
  <c r="D163" i="1"/>
  <c r="D161" i="1"/>
  <c r="D96" i="1"/>
  <c r="D95" i="1"/>
  <c r="D91" i="1"/>
  <c r="D90" i="1"/>
  <c r="D94" i="1"/>
  <c r="D93" i="1"/>
  <c r="D92" i="1"/>
  <c r="D89" i="1"/>
  <c r="L87" i="1"/>
  <c r="L88" i="1"/>
  <c r="C87" i="1" s="1"/>
  <c r="L86" i="1"/>
  <c r="L89" i="1"/>
  <c r="L90" i="1" s="1"/>
  <c r="L95" i="1" s="1"/>
  <c r="L96" i="1" s="1"/>
  <c r="C88" i="1" s="1"/>
  <c r="L73" i="1"/>
  <c r="D82" i="1"/>
  <c r="D76" i="1"/>
  <c r="L75" i="1"/>
  <c r="L76" i="1" s="1"/>
  <c r="L81" i="1" s="1"/>
  <c r="L82" i="1" s="1"/>
  <c r="C74" i="1" s="1"/>
  <c r="D75" i="1"/>
  <c r="D80" i="1"/>
  <c r="D78" i="1"/>
  <c r="L74" i="1"/>
  <c r="C73" i="1" s="1"/>
  <c r="D73" i="1" s="1"/>
  <c r="L72" i="1"/>
  <c r="D81" i="1"/>
  <c r="D79" i="1"/>
  <c r="D77" i="1"/>
  <c r="F87" i="1" l="1"/>
  <c r="F157" i="1"/>
  <c r="K153" i="1" s="1"/>
  <c r="C155" i="1" s="1"/>
  <c r="D158" i="1"/>
  <c r="H157" i="1"/>
  <c r="H87" i="1"/>
  <c r="D87" i="1"/>
  <c r="D88" i="1"/>
  <c r="F73" i="1"/>
  <c r="K69" i="1" s="1"/>
  <c r="C71" i="1" s="1"/>
  <c r="D74" i="1"/>
  <c r="H73" i="1"/>
  <c r="K83" i="1" l="1"/>
  <c r="C85" i="1" s="1"/>
  <c r="O223" i="1"/>
  <c r="N383" i="1"/>
  <c r="N306" i="1"/>
  <c r="N238" i="1"/>
  <c r="D222" i="1"/>
  <c r="D223" i="1"/>
  <c r="D313" i="1"/>
  <c r="D362" i="1"/>
  <c r="I225" i="1"/>
  <c r="I230" i="1"/>
  <c r="I239" i="1"/>
  <c r="I244" i="1"/>
  <c r="I251" i="1"/>
  <c r="I254" i="1"/>
  <c r="I301" i="1"/>
  <c r="I306" i="1"/>
  <c r="I315" i="1"/>
  <c r="I320" i="1"/>
  <c r="I328" i="1"/>
  <c r="I331" i="1"/>
  <c r="I364" i="1"/>
  <c r="I369" i="1"/>
  <c r="I380" i="1"/>
  <c r="I385" i="1"/>
  <c r="I393" i="1"/>
  <c r="I396" i="1"/>
  <c r="I260" i="1"/>
  <c r="I264" i="1"/>
  <c r="I268" i="1"/>
  <c r="I276" i="1"/>
  <c r="I281" i="1"/>
  <c r="I286" i="1"/>
  <c r="I337" i="1"/>
  <c r="I349" i="1"/>
  <c r="I353" i="1"/>
  <c r="I404" i="1"/>
  <c r="I414" i="1"/>
  <c r="I419" i="1"/>
  <c r="I428" i="1"/>
  <c r="I438" i="1"/>
  <c r="G39" i="25"/>
  <c r="G40" i="25" s="1"/>
  <c r="C39" i="25" s="1"/>
  <c r="C36" i="25"/>
  <c r="B10" i="25" s="1"/>
  <c r="B7" i="25"/>
  <c r="H39" i="25" s="1"/>
  <c r="B40" i="25" s="1"/>
  <c r="D6" i="25"/>
  <c r="G8" i="24"/>
  <c r="G7" i="24"/>
  <c r="I443" i="1"/>
  <c r="L434" i="1"/>
  <c r="L433" i="1"/>
  <c r="L432" i="1"/>
  <c r="L431" i="1"/>
  <c r="L429" i="1"/>
  <c r="D440" i="1"/>
  <c r="L427" i="1"/>
  <c r="L426" i="1"/>
  <c r="L424" i="1"/>
  <c r="L422" i="1"/>
  <c r="L419" i="1"/>
  <c r="L413" i="1"/>
  <c r="L414" i="1"/>
  <c r="D422" i="1"/>
  <c r="L400" i="1"/>
  <c r="D287" i="1"/>
  <c r="D286" i="1"/>
  <c r="D268" i="1"/>
  <c r="D269" i="1"/>
  <c r="F5" i="24"/>
  <c r="G5" i="24" s="1"/>
  <c r="F6" i="24"/>
  <c r="G6" i="24" s="1"/>
  <c r="D6" i="22"/>
  <c r="F169" i="1" s="1"/>
  <c r="B7" i="22"/>
  <c r="D7" i="22" s="1"/>
  <c r="F170" i="1" s="1"/>
  <c r="C36" i="22"/>
  <c r="B8" i="22" s="1"/>
  <c r="G39" i="22"/>
  <c r="B39" i="22" s="1"/>
  <c r="D6" i="21"/>
  <c r="B7" i="21"/>
  <c r="H39" i="21" s="1"/>
  <c r="B40" i="21" s="1"/>
  <c r="C36" i="21"/>
  <c r="B8" i="21" s="1"/>
  <c r="G39" i="21"/>
  <c r="B39" i="21" s="1"/>
  <c r="D6" i="20"/>
  <c r="B7" i="20"/>
  <c r="H39" i="20" s="1"/>
  <c r="B40" i="20" s="1"/>
  <c r="C36" i="20"/>
  <c r="B8" i="20" s="1"/>
  <c r="G39" i="20"/>
  <c r="G40" i="20" s="1"/>
  <c r="C39" i="20" s="1"/>
  <c r="D6" i="19"/>
  <c r="B7" i="19"/>
  <c r="D7" i="19" s="1"/>
  <c r="C36" i="19"/>
  <c r="B11" i="19" s="1"/>
  <c r="G39" i="19"/>
  <c r="B39" i="19" s="1"/>
  <c r="D6" i="14"/>
  <c r="B7" i="14"/>
  <c r="D7" i="14" s="1"/>
  <c r="C36" i="14"/>
  <c r="B9" i="14" s="1"/>
  <c r="G39" i="14"/>
  <c r="B39" i="14" s="1"/>
  <c r="D52" i="1"/>
  <c r="G184" i="1"/>
  <c r="D225" i="1"/>
  <c r="D227" i="1"/>
  <c r="D228" i="1"/>
  <c r="D230" i="1"/>
  <c r="D231" i="1"/>
  <c r="D232" i="1"/>
  <c r="D236" i="1"/>
  <c r="D237" i="1"/>
  <c r="D239" i="1"/>
  <c r="D240" i="1"/>
  <c r="D241" i="1"/>
  <c r="D242" i="1"/>
  <c r="D244" i="1"/>
  <c r="D245" i="1"/>
  <c r="D246" i="1"/>
  <c r="D247" i="1"/>
  <c r="D251" i="1"/>
  <c r="D252" i="1"/>
  <c r="D254" i="1"/>
  <c r="L297" i="1"/>
  <c r="D301" i="1"/>
  <c r="D302" i="1"/>
  <c r="D303" i="1"/>
  <c r="D304" i="1"/>
  <c r="D306" i="1"/>
  <c r="D307" i="1"/>
  <c r="D308" i="1"/>
  <c r="D309" i="1"/>
  <c r="D315" i="1"/>
  <c r="D316" i="1"/>
  <c r="D317" i="1"/>
  <c r="D318" i="1"/>
  <c r="D320" i="1"/>
  <c r="D321" i="1"/>
  <c r="D322" i="1"/>
  <c r="D323" i="1"/>
  <c r="C326" i="1"/>
  <c r="D328" i="1"/>
  <c r="D329" i="1"/>
  <c r="D332" i="1"/>
  <c r="C359" i="1"/>
  <c r="C360" i="1"/>
  <c r="C361" i="1"/>
  <c r="D364" i="1"/>
  <c r="D365" i="1"/>
  <c r="D366" i="1"/>
  <c r="D367" i="1"/>
  <c r="D369" i="1"/>
  <c r="D370" i="1"/>
  <c r="D371" i="1"/>
  <c r="D372" i="1"/>
  <c r="D375" i="1"/>
  <c r="D376" i="1"/>
  <c r="D377" i="1"/>
  <c r="D378" i="1"/>
  <c r="D380" i="1"/>
  <c r="D381" i="1"/>
  <c r="D382" i="1"/>
  <c r="D383" i="1"/>
  <c r="D385" i="1"/>
  <c r="D386" i="1"/>
  <c r="D387" i="1"/>
  <c r="D388" i="1"/>
  <c r="C391" i="1"/>
  <c r="D393" i="1"/>
  <c r="D394" i="1"/>
  <c r="D396" i="1"/>
  <c r="D397" i="1"/>
  <c r="D260" i="1"/>
  <c r="D261" i="1"/>
  <c r="D262" i="1"/>
  <c r="D264" i="1"/>
  <c r="D265" i="1"/>
  <c r="D266" i="1"/>
  <c r="D276" i="1"/>
  <c r="D277" i="1"/>
  <c r="D278" i="1"/>
  <c r="D281" i="1"/>
  <c r="D282" i="1"/>
  <c r="D283" i="1"/>
  <c r="D284" i="1"/>
  <c r="D337" i="1"/>
  <c r="D338" i="1"/>
  <c r="D339" i="1"/>
  <c r="D340" i="1"/>
  <c r="D342" i="1"/>
  <c r="D343" i="1"/>
  <c r="D345" i="1"/>
  <c r="D349" i="1"/>
  <c r="N349" i="1" s="1"/>
  <c r="D350" i="1"/>
  <c r="D351" i="1"/>
  <c r="D353" i="1"/>
  <c r="D354" i="1"/>
  <c r="D355" i="1"/>
  <c r="D404" i="1"/>
  <c r="D405" i="1"/>
  <c r="L405" i="1"/>
  <c r="D415" i="1"/>
  <c r="D416" i="1"/>
  <c r="D417" i="1"/>
  <c r="H40" i="19"/>
  <c r="C40" i="19" s="1"/>
  <c r="G359" i="1" l="1"/>
  <c r="D197" i="1"/>
  <c r="D360" i="1"/>
  <c r="G360" i="1"/>
  <c r="G391" i="1"/>
  <c r="D199" i="1"/>
  <c r="B11" i="14"/>
  <c r="L40" i="14" s="1"/>
  <c r="C44" i="14" s="1"/>
  <c r="D361" i="1"/>
  <c r="G361" i="1"/>
  <c r="G326" i="1"/>
  <c r="G194" i="1" s="1"/>
  <c r="D194" i="1"/>
  <c r="C194" i="1"/>
  <c r="G213" i="1"/>
  <c r="G214" i="1" s="1"/>
  <c r="C197" i="1"/>
  <c r="L192" i="1"/>
  <c r="C199" i="1"/>
  <c r="L404" i="1"/>
  <c r="L407" i="1"/>
  <c r="L423" i="1"/>
  <c r="D359" i="1"/>
  <c r="D391" i="1"/>
  <c r="B12" i="19"/>
  <c r="M39" i="19" s="1"/>
  <c r="B45" i="19" s="1"/>
  <c r="B10" i="14"/>
  <c r="D10" i="14" s="1"/>
  <c r="B12" i="14"/>
  <c r="D12" i="14" s="1"/>
  <c r="H39" i="19"/>
  <c r="B40" i="19" s="1"/>
  <c r="H39" i="14"/>
  <c r="B40" i="14" s="1"/>
  <c r="H40" i="22"/>
  <c r="C40" i="22" s="1"/>
  <c r="B10" i="19"/>
  <c r="B12" i="20"/>
  <c r="M40" i="20" s="1"/>
  <c r="C45" i="20" s="1"/>
  <c r="B10" i="21"/>
  <c r="K39" i="21" s="1"/>
  <c r="B43" i="21" s="1"/>
  <c r="B10" i="20"/>
  <c r="B9" i="20"/>
  <c r="G40" i="21"/>
  <c r="C39" i="21" s="1"/>
  <c r="B9" i="25"/>
  <c r="B11" i="22"/>
  <c r="D11" i="22" s="1"/>
  <c r="F174" i="1" s="1"/>
  <c r="B9" i="19"/>
  <c r="J40" i="19" s="1"/>
  <c r="C42" i="19" s="1"/>
  <c r="B11" i="20"/>
  <c r="D11" i="20" s="1"/>
  <c r="B10" i="22"/>
  <c r="D10" i="22" s="1"/>
  <c r="F173" i="1" s="1"/>
  <c r="H40" i="14"/>
  <c r="C40" i="14" s="1"/>
  <c r="B9" i="22"/>
  <c r="J40" i="22" s="1"/>
  <c r="C42" i="22" s="1"/>
  <c r="B12" i="22"/>
  <c r="M39" i="22" s="1"/>
  <c r="B45" i="22" s="1"/>
  <c r="B8" i="14"/>
  <c r="D402" i="1"/>
  <c r="L360" i="1"/>
  <c r="L235" i="1"/>
  <c r="H39" i="22"/>
  <c r="B40" i="22" s="1"/>
  <c r="M40" i="14"/>
  <c r="C45" i="14" s="1"/>
  <c r="M39" i="14"/>
  <c r="B45" i="14" s="1"/>
  <c r="G9" i="24"/>
  <c r="B39" i="25"/>
  <c r="B12" i="21"/>
  <c r="H40" i="25"/>
  <c r="C40" i="25" s="1"/>
  <c r="K40" i="20"/>
  <c r="C43" i="20" s="1"/>
  <c r="B9" i="21"/>
  <c r="L311" i="1"/>
  <c r="B11" i="21"/>
  <c r="G40" i="19"/>
  <c r="C39" i="19" s="1"/>
  <c r="L399" i="1"/>
  <c r="L421" i="1"/>
  <c r="L310" i="1"/>
  <c r="L296" i="1"/>
  <c r="L220" i="1"/>
  <c r="L418" i="1"/>
  <c r="L263" i="1"/>
  <c r="L394" i="1"/>
  <c r="L330" i="1"/>
  <c r="D446" i="1"/>
  <c r="L226" i="1"/>
  <c r="J39" i="25"/>
  <c r="B42" i="25" s="1"/>
  <c r="J39" i="20"/>
  <c r="B42" i="20" s="1"/>
  <c r="B39" i="20"/>
  <c r="B8" i="25"/>
  <c r="D7" i="25"/>
  <c r="D443" i="1"/>
  <c r="D428" i="1"/>
  <c r="N376" i="1"/>
  <c r="H40" i="21"/>
  <c r="C40" i="21" s="1"/>
  <c r="L245" i="1"/>
  <c r="H40" i="20"/>
  <c r="C40" i="20" s="1"/>
  <c r="G40" i="22"/>
  <c r="C39" i="22" s="1"/>
  <c r="L230" i="1"/>
  <c r="L267" i="1"/>
  <c r="L409" i="1"/>
  <c r="L258" i="1"/>
  <c r="L307" i="1"/>
  <c r="L249" i="1"/>
  <c r="L244" i="1"/>
  <c r="L221" i="1"/>
  <c r="L359" i="1"/>
  <c r="L408" i="1"/>
  <c r="L374" i="1"/>
  <c r="D431" i="1"/>
  <c r="D299" i="1"/>
  <c r="D441" i="1"/>
  <c r="D429" i="1"/>
  <c r="D421" i="1"/>
  <c r="L358" i="1"/>
  <c r="L375" i="1"/>
  <c r="L253" i="1"/>
  <c r="G199" i="1"/>
  <c r="D401" i="1"/>
  <c r="D439" i="1"/>
  <c r="L353" i="1"/>
  <c r="L364" i="1"/>
  <c r="L363" i="1"/>
  <c r="L40" i="19"/>
  <c r="C44" i="19" s="1"/>
  <c r="D11" i="19"/>
  <c r="L39" i="19"/>
  <c r="B44" i="19" s="1"/>
  <c r="I39" i="21"/>
  <c r="B41" i="21" s="1"/>
  <c r="I40" i="21"/>
  <c r="C41" i="21" s="1"/>
  <c r="D8" i="21"/>
  <c r="J39" i="14"/>
  <c r="B42" i="14" s="1"/>
  <c r="D9" i="14"/>
  <c r="J40" i="14"/>
  <c r="C42" i="14" s="1"/>
  <c r="D8" i="22"/>
  <c r="F171" i="1" s="1"/>
  <c r="I39" i="22"/>
  <c r="B41" i="22" s="1"/>
  <c r="I40" i="22"/>
  <c r="C41" i="22" s="1"/>
  <c r="D8" i="20"/>
  <c r="I40" i="20"/>
  <c r="C41" i="20" s="1"/>
  <c r="I39" i="20"/>
  <c r="B41" i="20" s="1"/>
  <c r="K39" i="25"/>
  <c r="B43" i="25" s="1"/>
  <c r="D10" i="25"/>
  <c r="K40" i="25"/>
  <c r="C43" i="25" s="1"/>
  <c r="D7" i="21"/>
  <c r="G40" i="14"/>
  <c r="C39" i="14" s="1"/>
  <c r="D7" i="20"/>
  <c r="L352" i="1"/>
  <c r="B12" i="25"/>
  <c r="B8" i="19"/>
  <c r="L319" i="1"/>
  <c r="L229" i="1"/>
  <c r="B11" i="25"/>
  <c r="L341" i="1"/>
  <c r="L338" i="1"/>
  <c r="L282" i="1"/>
  <c r="L280" i="1"/>
  <c r="L275" i="1"/>
  <c r="L379" i="1"/>
  <c r="L238" i="1"/>
  <c r="L428" i="1"/>
  <c r="D444" i="1"/>
  <c r="L318" i="1"/>
  <c r="L299" i="1"/>
  <c r="L343" i="1"/>
  <c r="L385" i="1"/>
  <c r="L383" i="1"/>
  <c r="L224" i="1"/>
  <c r="L260" i="1"/>
  <c r="L287" i="1"/>
  <c r="L242" i="1"/>
  <c r="L239" i="1"/>
  <c r="D414" i="1"/>
  <c r="L281" i="1"/>
  <c r="L391" i="1"/>
  <c r="L369" i="1"/>
  <c r="L314" i="1"/>
  <c r="L306" i="1"/>
  <c r="L237" i="1"/>
  <c r="L228" i="1"/>
  <c r="L336" i="1"/>
  <c r="L276" i="1"/>
  <c r="L386" i="1"/>
  <c r="L384" i="1"/>
  <c r="L301" i="1"/>
  <c r="L243" i="1"/>
  <c r="L223" i="1"/>
  <c r="L337" i="1"/>
  <c r="L264" i="1"/>
  <c r="L368" i="1"/>
  <c r="L302" i="1"/>
  <c r="L285" i="1"/>
  <c r="D407" i="1"/>
  <c r="G197" i="1"/>
  <c r="L313" i="1"/>
  <c r="D406" i="1"/>
  <c r="L349" i="1"/>
  <c r="L347" i="1"/>
  <c r="L340" i="1"/>
  <c r="L335" i="1"/>
  <c r="L279" i="1"/>
  <c r="L274" i="1"/>
  <c r="L392" i="1"/>
  <c r="L380" i="1"/>
  <c r="L370" i="1"/>
  <c r="L365" i="1"/>
  <c r="L327" i="1"/>
  <c r="L320" i="1"/>
  <c r="L315" i="1"/>
  <c r="L305" i="1"/>
  <c r="L300" i="1"/>
  <c r="L250" i="1"/>
  <c r="L240" i="1"/>
  <c r="L225" i="1"/>
  <c r="D289" i="1"/>
  <c r="D426" i="1"/>
  <c r="P223" i="1"/>
  <c r="L252" i="1"/>
  <c r="D445" i="1"/>
  <c r="D438" i="1"/>
  <c r="L351" i="1"/>
  <c r="L262" i="1"/>
  <c r="L367" i="1"/>
  <c r="L362" i="1"/>
  <c r="D331" i="1"/>
  <c r="L321" i="1"/>
  <c r="L316" i="1"/>
  <c r="D312" i="1"/>
  <c r="D430" i="1"/>
  <c r="D425" i="1"/>
  <c r="L410" i="1"/>
  <c r="L415" i="1"/>
  <c r="L381" i="1"/>
  <c r="L378" i="1"/>
  <c r="D233" i="1"/>
  <c r="L231" i="1"/>
  <c r="L403" i="1"/>
  <c r="L259" i="1"/>
  <c r="L348" i="1"/>
  <c r="D420" i="1"/>
  <c r="L286" i="1"/>
  <c r="D288" i="1"/>
  <c r="D419" i="1"/>
  <c r="L412" i="1"/>
  <c r="D326" i="1"/>
  <c r="L39" i="14" l="1"/>
  <c r="B44" i="14" s="1"/>
  <c r="M40" i="19"/>
  <c r="C45" i="19" s="1"/>
  <c r="D12" i="19"/>
  <c r="M39" i="20"/>
  <c r="B45" i="20" s="1"/>
  <c r="C202" i="1"/>
  <c r="C215" i="1" s="1"/>
  <c r="J39" i="22"/>
  <c r="B42" i="22" s="1"/>
  <c r="D11" i="14"/>
  <c r="D202" i="1"/>
  <c r="D215" i="1" s="1"/>
  <c r="K40" i="21"/>
  <c r="C43" i="21" s="1"/>
  <c r="G198" i="1"/>
  <c r="G202" i="1" s="1"/>
  <c r="L324" i="1"/>
  <c r="D12" i="20"/>
  <c r="K40" i="14"/>
  <c r="C43" i="14" s="1"/>
  <c r="K39" i="14"/>
  <c r="B43" i="14" s="1"/>
  <c r="K40" i="19"/>
  <c r="C43" i="19" s="1"/>
  <c r="D10" i="19"/>
  <c r="D10" i="21"/>
  <c r="K39" i="19"/>
  <c r="B43" i="19" s="1"/>
  <c r="K40" i="22"/>
  <c r="C43" i="22" s="1"/>
  <c r="C14" i="22" s="1"/>
  <c r="I176" i="1" s="1"/>
  <c r="L40" i="20"/>
  <c r="C44" i="20" s="1"/>
  <c r="L39" i="20"/>
  <c r="B44" i="20" s="1"/>
  <c r="D9" i="25"/>
  <c r="J40" i="25"/>
  <c r="C42" i="25" s="1"/>
  <c r="J39" i="19"/>
  <c r="B42" i="19" s="1"/>
  <c r="D9" i="22"/>
  <c r="F172" i="1" s="1"/>
  <c r="J40" i="20"/>
  <c r="C42" i="20" s="1"/>
  <c r="D9" i="20"/>
  <c r="K39" i="20"/>
  <c r="B43" i="20" s="1"/>
  <c r="D10" i="20"/>
  <c r="D9" i="19"/>
  <c r="D12" i="22"/>
  <c r="F175" i="1" s="1"/>
  <c r="L39" i="22"/>
  <c r="B44" i="22" s="1"/>
  <c r="L40" i="22"/>
  <c r="C44" i="22" s="1"/>
  <c r="K39" i="22"/>
  <c r="B43" i="22" s="1"/>
  <c r="L376" i="1"/>
  <c r="M40" i="22"/>
  <c r="C45" i="22" s="1"/>
  <c r="I40" i="14"/>
  <c r="C41" i="14" s="1"/>
  <c r="C14" i="14" s="1"/>
  <c r="D8" i="14"/>
  <c r="I39" i="14"/>
  <c r="B41" i="14" s="1"/>
  <c r="B14" i="14" s="1"/>
  <c r="D12" i="21"/>
  <c r="M39" i="21"/>
  <c r="B45" i="21" s="1"/>
  <c r="M40" i="21"/>
  <c r="C45" i="21" s="1"/>
  <c r="L39" i="21"/>
  <c r="B44" i="21" s="1"/>
  <c r="D11" i="21"/>
  <c r="L40" i="21"/>
  <c r="C44" i="21" s="1"/>
  <c r="D9" i="21"/>
  <c r="J39" i="21"/>
  <c r="B42" i="21" s="1"/>
  <c r="J40" i="21"/>
  <c r="C42" i="21" s="1"/>
  <c r="L373" i="1"/>
  <c r="L402" i="1"/>
  <c r="L234" i="1"/>
  <c r="L266" i="1"/>
  <c r="L389" i="1"/>
  <c r="L357" i="1"/>
  <c r="I40" i="25"/>
  <c r="C41" i="25" s="1"/>
  <c r="I39" i="25"/>
  <c r="B41" i="25" s="1"/>
  <c r="D8" i="25"/>
  <c r="L40" i="25"/>
  <c r="C44" i="25" s="1"/>
  <c r="L39" i="25"/>
  <c r="B44" i="25" s="1"/>
  <c r="D11" i="25"/>
  <c r="I39" i="19"/>
  <c r="B41" i="19" s="1"/>
  <c r="D8" i="19"/>
  <c r="I40" i="19"/>
  <c r="C41" i="19" s="1"/>
  <c r="C14" i="19" s="1"/>
  <c r="D12" i="25"/>
  <c r="M39" i="25"/>
  <c r="B45" i="25" s="1"/>
  <c r="M40" i="25"/>
  <c r="C45" i="25" s="1"/>
  <c r="B14" i="20" l="1"/>
  <c r="G215" i="1"/>
  <c r="B14" i="19"/>
  <c r="C14" i="21"/>
  <c r="B14" i="22"/>
  <c r="D176" i="1" s="1"/>
  <c r="B14" i="21"/>
  <c r="C14" i="20"/>
  <c r="B14" i="25"/>
  <c r="C14" i="25"/>
  <c r="F40" i="1" l="1"/>
</calcChain>
</file>

<file path=xl/sharedStrings.xml><?xml version="1.0" encoding="utf-8"?>
<sst xmlns="http://schemas.openxmlformats.org/spreadsheetml/2006/main" count="1281" uniqueCount="325">
  <si>
    <t>Date:</t>
  </si>
  <si>
    <t>CPC Name:</t>
  </si>
  <si>
    <t>Date Of Property Visit</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</si>
  <si>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</si>
  <si>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</si>
  <si>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</si>
  <si>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</si>
  <si>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</si>
  <si>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</si>
  <si>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</si>
  <si>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</si>
  <si>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</si>
  <si>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</si>
  <si>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</si>
  <si>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</si>
  <si>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</si>
  <si>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</si>
  <si>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</si>
  <si>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</si>
  <si>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</si>
  <si>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</si>
  <si>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</si>
  <si>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</si>
  <si>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</si>
  <si>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</si>
  <si>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</si>
  <si>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</si>
  <si>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Description</t>
  </si>
  <si>
    <t>Attached Terrace area</t>
  </si>
  <si>
    <t>Flat No.</t>
  </si>
  <si>
    <t>1) We have personally visited the property &amp; identified the same based on the documents provided</t>
  </si>
  <si>
    <t>% Progress</t>
  </si>
  <si>
    <t xml:space="preserve">% Disbursement </t>
  </si>
  <si>
    <t>Type of Work</t>
  </si>
  <si>
    <t>% Complition</t>
  </si>
  <si>
    <t>Plinth</t>
  </si>
  <si>
    <t>RCC</t>
  </si>
  <si>
    <t>Brick</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</si>
  <si>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</si>
  <si>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</si>
  <si>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</si>
  <si>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</si>
  <si>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</si>
  <si>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</si>
  <si>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Flooring</t>
  </si>
  <si>
    <t>Painting &amp; Wooden Work</t>
  </si>
  <si>
    <t>Finishing</t>
  </si>
  <si>
    <t xml:space="preserve">Valuation Report </t>
  </si>
  <si>
    <t>Yes</t>
  </si>
  <si>
    <t>Expiry date:NA</t>
  </si>
  <si>
    <t>Expiry date: One year from date of issue</t>
  </si>
  <si>
    <t>NA</t>
  </si>
  <si>
    <t>South</t>
  </si>
  <si>
    <t xml:space="preserve">Distance from city centre: </t>
  </si>
  <si>
    <t>Plane</t>
  </si>
  <si>
    <t>Expiry date: NA</t>
  </si>
  <si>
    <t>No of floors at site : See Construction details</t>
  </si>
  <si>
    <t xml:space="preserve">4)  The saleable area is as per Our Calculation.  </t>
  </si>
  <si>
    <t>Does the boundaries at site match, as mentioned in the Docoumentation: NA</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</si>
  <si>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</si>
  <si>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</si>
  <si>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</si>
  <si>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</si>
  <si>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</si>
  <si>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</si>
  <si>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</si>
  <si>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</si>
  <si>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</si>
  <si>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</si>
  <si>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</si>
  <si>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Expected Completion</t>
  </si>
  <si>
    <t>Approved no of units residential</t>
  </si>
  <si>
    <t>Society formation charges</t>
  </si>
  <si>
    <t xml:space="preserve">Recommended rate of Parking </t>
  </si>
  <si>
    <t>Approved area of the building in Sq.Mt</t>
  </si>
  <si>
    <t xml:space="preserve">O. Certificate No.: </t>
  </si>
  <si>
    <t xml:space="preserve">Date of approval: </t>
  </si>
  <si>
    <t>Accessibility to the Project from the City:
(Proximity to civic amenities like school, hospital, market, etc.)</t>
  </si>
  <si>
    <t>Does property have Electricity / Water / Drainage Connection</t>
  </si>
  <si>
    <t>Distressed valuation of the Property</t>
  </si>
  <si>
    <t>Floor</t>
  </si>
  <si>
    <t>Particulars</t>
  </si>
  <si>
    <t>plinth</t>
  </si>
  <si>
    <t>slab</t>
  </si>
  <si>
    <t>rcc</t>
  </si>
  <si>
    <t>Bricks</t>
  </si>
  <si>
    <t>Wood &amp; painting</t>
  </si>
  <si>
    <t>Progress</t>
  </si>
  <si>
    <t xml:space="preserve">Bricks </t>
  </si>
  <si>
    <t xml:space="preserve">Recommended </t>
  </si>
  <si>
    <t>plaster</t>
  </si>
  <si>
    <t>Recommended</t>
  </si>
  <si>
    <t>total</t>
  </si>
  <si>
    <t xml:space="preserve">Name of the builder </t>
  </si>
  <si>
    <t>all available at  1 to 3 km.</t>
  </si>
  <si>
    <t>Middle Class</t>
  </si>
  <si>
    <t>Developing</t>
  </si>
  <si>
    <t>1 BHK</t>
  </si>
  <si>
    <t>Google Map :</t>
  </si>
  <si>
    <t>Type of Structure : RCC Framed Structure</t>
  </si>
  <si>
    <t>Approved Layout, Approved Building Plan, CC</t>
  </si>
  <si>
    <t>Umroli Station Road</t>
  </si>
  <si>
    <t>1 RK</t>
  </si>
  <si>
    <t>Gross Carpet area</t>
  </si>
  <si>
    <t>Built-up Area</t>
  </si>
  <si>
    <t>Axis Sanpada</t>
  </si>
  <si>
    <t>Landmark Heritage</t>
  </si>
  <si>
    <t>Umroli Bhangar</t>
  </si>
  <si>
    <t>Panvel</t>
  </si>
  <si>
    <t>Open Land</t>
  </si>
  <si>
    <t>Bhangar Village</t>
  </si>
  <si>
    <t>Next to Bhangar Village</t>
  </si>
  <si>
    <t>35000/-</t>
  </si>
  <si>
    <t xml:space="preserve">Approved usage of the Property: Residential
(Restrictive Covenants in regard to Land Use, if any) : No                                                                                                                                         </t>
  </si>
  <si>
    <t>Ground Floor For Parking</t>
  </si>
  <si>
    <t>C Wing</t>
  </si>
  <si>
    <t>Building no. 2</t>
  </si>
  <si>
    <t>2 BHK</t>
  </si>
  <si>
    <t>Building no. 4</t>
  </si>
  <si>
    <t xml:space="preserve">Building no 1, 3 &amp; 5 (A, B &amp; C Wings)  = G + 3 Floors 
Building no 2, 4 &amp; 6 (A &amp; B Wings)  = G + 3 Floors </t>
  </si>
  <si>
    <t>Advance maintenance for 1 Year</t>
  </si>
  <si>
    <t>2/- per Sq.ft</t>
  </si>
  <si>
    <t>Recommended rate of the Flat Per Sq. Ft. ( on Saleable area)</t>
  </si>
  <si>
    <t xml:space="preserve">PHOTOGRAPHS OF PROPERTY : 
</t>
  </si>
  <si>
    <t>RERA Number</t>
  </si>
  <si>
    <t>P52000017207</t>
  </si>
  <si>
    <t>Basement</t>
  </si>
  <si>
    <t>Podium</t>
  </si>
  <si>
    <t>Ground</t>
  </si>
  <si>
    <t>Upper Floor</t>
  </si>
  <si>
    <t>Parking</t>
  </si>
  <si>
    <t>Rate</t>
  </si>
  <si>
    <t>Palghar</t>
  </si>
  <si>
    <t>100000/-</t>
  </si>
  <si>
    <t>Ulwe, karanjade</t>
  </si>
  <si>
    <t>200000/-</t>
  </si>
  <si>
    <t>300000/-</t>
  </si>
  <si>
    <t>Mumbai - G + 15</t>
  </si>
  <si>
    <t>500000/-</t>
  </si>
  <si>
    <t>Mumbai - G + 25</t>
  </si>
  <si>
    <t>800000/-</t>
  </si>
  <si>
    <t>Mumbai - G + 35</t>
  </si>
  <si>
    <t>1000000/-</t>
  </si>
  <si>
    <t>Thane - G + 7</t>
  </si>
  <si>
    <t>Thane - G + 15</t>
  </si>
  <si>
    <t>400000/-</t>
  </si>
  <si>
    <t>Excavation in process</t>
  </si>
  <si>
    <t>Thane - G + 25</t>
  </si>
  <si>
    <t>600000/-</t>
  </si>
  <si>
    <t>Excavation Completed</t>
  </si>
  <si>
    <t>Footing in Process</t>
  </si>
  <si>
    <t>Footing Completed</t>
  </si>
  <si>
    <t>Plinth in process</t>
  </si>
  <si>
    <t>Plinth completed</t>
  </si>
  <si>
    <t xml:space="preserve">total floor </t>
  </si>
  <si>
    <t>30/09/2020.</t>
  </si>
  <si>
    <t>Pratiksha</t>
  </si>
  <si>
    <t>Market Research Data</t>
  </si>
  <si>
    <t>Source</t>
  </si>
  <si>
    <t>Distance from proposed property</t>
  </si>
  <si>
    <t>Flat</t>
  </si>
  <si>
    <t>Net Carpet</t>
  </si>
  <si>
    <t>Saleable Area</t>
  </si>
  <si>
    <t>Rate on Saleable</t>
  </si>
  <si>
    <t>Market Value</t>
  </si>
  <si>
    <t>Average</t>
  </si>
  <si>
    <t xml:space="preserve">Valuation Adopted </t>
  </si>
  <si>
    <t>Commonfloor</t>
  </si>
  <si>
    <t>1RK</t>
  </si>
  <si>
    <t>1BHK</t>
  </si>
  <si>
    <t>25/01/2021.</t>
  </si>
  <si>
    <t>26/06/2018.</t>
  </si>
  <si>
    <t>4th Floor</t>
  </si>
  <si>
    <t>1st &amp; 3rd Floor</t>
  </si>
  <si>
    <t>Building no. 3</t>
  </si>
  <si>
    <t>Building no. 5</t>
  </si>
  <si>
    <t>Ground Floor For Residential &amp; Parking</t>
  </si>
  <si>
    <t>magicbricks</t>
  </si>
  <si>
    <t xml:space="preserve"> Gr. + 4th Floor</t>
  </si>
  <si>
    <t>Stage of construction Building No. 5 :  Plinth, RCC upto 4th Floor, Brickwork upto 3rd Floor completed. Other work are in process…</t>
  </si>
  <si>
    <t>Approved no of Floor</t>
  </si>
  <si>
    <t>15 Wings</t>
  </si>
  <si>
    <t>CIDCO/NAINA/Panvel/Umroli/BP-00274/ACC/2021/0075</t>
  </si>
  <si>
    <t>CIDCO/NAINA/Panvel/Umroli/BP-00274/ACC/2021/0075
Approved Floor : Bldg No.1,2,3,4,5 &amp; 6 = Gr Floor &amp; 4th Floor</t>
  </si>
  <si>
    <t>CIDCO/NAINA/Panvel/Umroli/BP274/CC2018/1818
Approved Floor : Bldg No.1,2,3,4,5 &amp; 6 = 1st to 3rd Floor</t>
  </si>
  <si>
    <t>Building plan approval No. (Existing Floor)</t>
  </si>
  <si>
    <t>Building plan approval No. (Proposed Floor)</t>
  </si>
  <si>
    <t>Ground Floor</t>
  </si>
  <si>
    <t>EWS</t>
  </si>
  <si>
    <t>Sale</t>
  </si>
  <si>
    <t>1,50,000/-</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</si>
  <si>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</si>
  <si>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</si>
  <si>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</si>
  <si>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</si>
  <si>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</si>
  <si>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</si>
  <si>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</si>
  <si>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</si>
  <si>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</si>
  <si>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</si>
  <si>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</si>
  <si>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</si>
  <si>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</si>
  <si>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</si>
  <si>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</si>
  <si>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</si>
  <si>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</si>
  <si>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</si>
  <si>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</si>
  <si>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</si>
  <si>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</si>
  <si>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</si>
  <si>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</si>
  <si>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</si>
  <si>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 xml:space="preserve">RCC </t>
  </si>
  <si>
    <t>4000 to 4500</t>
  </si>
  <si>
    <t>Smith</t>
  </si>
  <si>
    <t>Cost Sheet</t>
  </si>
  <si>
    <t>2,00,000/-</t>
  </si>
  <si>
    <t>2,50,000/-</t>
  </si>
  <si>
    <t xml:space="preserve">Gym + Club &amp; Society Charges </t>
  </si>
  <si>
    <t>10 KM from Panvel Railway Station</t>
  </si>
  <si>
    <t>Location Link</t>
  </si>
  <si>
    <t>https://goo.gl/maps/d51e2FNNq7eYXEtRA</t>
  </si>
  <si>
    <t>Building &amp; Wing</t>
  </si>
  <si>
    <t>No. of Units</t>
  </si>
  <si>
    <t>Total Carpet Area</t>
  </si>
  <si>
    <t>Total Saleable Area</t>
  </si>
  <si>
    <t>Total</t>
  </si>
  <si>
    <t>Office No. 1031, Wing J, Akshar Business Park, Plot No. 03 Sector 25, Near APMC Market, 
Vashi, Navi Mumbai, Maharashtra 400703 TEL: 022-46090378/79/8
E mail : vsjcapf@gmail.com. Web site : www.vsjadon.com</t>
  </si>
  <si>
    <t>Contact Details ( Name &amp; Contact No.)</t>
  </si>
  <si>
    <t>Site Meet Person Contact Details ( Name &amp; Contact No.)</t>
  </si>
  <si>
    <t>Name / No of the Building</t>
  </si>
  <si>
    <t>M/s. Icon Builders &amp; Developers</t>
  </si>
  <si>
    <t xml:space="preserve">S.NO. </t>
  </si>
  <si>
    <t>98/6, 98/7</t>
  </si>
  <si>
    <t>Landmark Heritage, S.NO. 98/6, 98/7, Umroli Bhangar Village, Panvel, Raigad 410206</t>
  </si>
  <si>
    <t>19.027644,73.183774</t>
  </si>
  <si>
    <t xml:space="preserve">Quality of construction: </t>
  </si>
  <si>
    <t xml:space="preserve">Projected life : </t>
  </si>
  <si>
    <t>60 Years After Completion</t>
  </si>
  <si>
    <t>Material laying at Site: :</t>
  </si>
  <si>
    <t>Bricks, Cement &amp; Steel etc.</t>
  </si>
  <si>
    <t xml:space="preserve">Proposed Amenities </t>
  </si>
  <si>
    <t xml:space="preserve">Wheather the construction is as per approved Building plan : </t>
  </si>
  <si>
    <t>Under Construction</t>
  </si>
  <si>
    <t xml:space="preserve">Violations Observed if any : </t>
  </si>
  <si>
    <t>Inspected By :</t>
  </si>
  <si>
    <t>Report By :</t>
  </si>
  <si>
    <t>Development charges + Grill Charges (Only for 2BHK)</t>
  </si>
  <si>
    <t>Layout</t>
  </si>
  <si>
    <t xml:space="preserve"> (Around 20 to 25 Labour found)</t>
  </si>
  <si>
    <t xml:space="preserve">Ravindra Vishwakarma </t>
  </si>
  <si>
    <t>Approved Floor Plan No.</t>
  </si>
  <si>
    <t>CIDCO/NAINA/Panvel/Umroli/BP-274/ACC/2025/0852</t>
  </si>
  <si>
    <t>Proposed no of Floor</t>
  </si>
  <si>
    <t>Ground Floor For Residential, Meter Room &amp; Parking</t>
  </si>
  <si>
    <t xml:space="preserve">1st &amp; 3rd Floor </t>
  </si>
  <si>
    <t>Ground Floor For Lobby, Meter Room &amp; Parking</t>
  </si>
  <si>
    <t>6th Floor</t>
  </si>
  <si>
    <t>2nd &amp; 4th Floor</t>
  </si>
  <si>
    <t>5th Floor</t>
  </si>
  <si>
    <t>Ground Floor For Lobby &amp; Meter Room</t>
  </si>
  <si>
    <t>Ground Floor For Residential, Lobby, Meter Room, &amp; Parking</t>
  </si>
  <si>
    <t>Ground Floor For Residential, Looby, Meter Room &amp; Parking</t>
  </si>
  <si>
    <t>2nd &amp;4th Floor</t>
  </si>
  <si>
    <t>Ground Floor For Meter Room, Society Office &amp; Parking</t>
  </si>
  <si>
    <t>Ground Floor For Residential &amp; Lobby</t>
  </si>
  <si>
    <t>Ground Floor For Residential, Meter Room &amp; Society Office</t>
  </si>
  <si>
    <t>6th &amp; 7th Floor</t>
  </si>
  <si>
    <t>Residential Area Details : (EWS Flat)</t>
  </si>
  <si>
    <t>As per layout</t>
  </si>
  <si>
    <t>Other Plot</t>
  </si>
  <si>
    <t>12 MW Road</t>
  </si>
  <si>
    <t>Grand Total</t>
  </si>
  <si>
    <t>Mr.Prashant Moti 9076546594</t>
  </si>
  <si>
    <t>Building No. 1 (Wing A, B &amp; C)
Building No. 2 (Wing A &amp; B)
Building No. 3 (Wing A, B &amp; C)
Building No. 4 (Wing A &amp; B)
Building No. 5 (Wing A, B &amp; C)
Building No. 6 (Wing A &amp; B)</t>
  </si>
  <si>
    <t>Date of Commencement of Construction
Valid upto:</t>
  </si>
  <si>
    <t>https://www.99acres.com/landmark-heritage-facilities-new-panvel-navi-mumbai-npxid-r311805?src=QUICKAMENITIES</t>
  </si>
  <si>
    <t>Fire Fighting Systems, Lifts, 24x7 Security, Intercom, 24/7 Water Supply, 24/7 Power Backup, Car Parking, CCTV Camera Security etc.</t>
  </si>
  <si>
    <t>Building Details Floor Wise</t>
  </si>
  <si>
    <t>Building No.1 (Wing A, B &amp; C)  = Gr + 1st to 4th Floor
Building No.2 (Wing A &amp; B) = Gr + 1st to 6th Floor
Building No.3 (Wing A, B &amp; C) = Gr + 1st to 4th Floor
Building No.4 (Wing A &amp; B) = Gr + 1st to 4th Floor
Building No.5 (Wing A, B &amp; C) = Gr + 1st to 4th Floor
Building No.6 (Wing A &amp; B)  = Gr + 1st to 7th Floor</t>
  </si>
  <si>
    <t>Building No. 1</t>
  </si>
  <si>
    <t>Wing A</t>
  </si>
  <si>
    <t>Wing B</t>
  </si>
  <si>
    <t xml:space="preserve">Wing A </t>
  </si>
  <si>
    <t>1st &amp; 3rd Floor For Residential</t>
  </si>
  <si>
    <t xml:space="preserve">Wing B </t>
  </si>
  <si>
    <t xml:space="preserve"> Wing C</t>
  </si>
  <si>
    <t xml:space="preserve"> Wing B</t>
  </si>
  <si>
    <t xml:space="preserve"> Wing A</t>
  </si>
  <si>
    <t xml:space="preserve">Wing C </t>
  </si>
  <si>
    <t>Free Sale</t>
  </si>
  <si>
    <t>Residential Area Details : (Free Sale Flat)</t>
  </si>
  <si>
    <t>1st to 3th Floor</t>
  </si>
  <si>
    <t>1st to 3rd Floor</t>
  </si>
  <si>
    <t xml:space="preserve"> 4th Floor</t>
  </si>
  <si>
    <t>Building No.1</t>
  </si>
  <si>
    <t>Wing C</t>
  </si>
  <si>
    <t>Building No.2</t>
  </si>
  <si>
    <t>Building No.3</t>
  </si>
  <si>
    <t>Building No.4</t>
  </si>
  <si>
    <t>Building no.6</t>
  </si>
  <si>
    <t>Building No.5</t>
  </si>
  <si>
    <t>Building No.6</t>
  </si>
  <si>
    <t>Residential Area Details :(Sale Flat)</t>
  </si>
  <si>
    <t>EWS Count As per sheet</t>
  </si>
  <si>
    <t>Sale/ EWS/ Free Sale</t>
  </si>
  <si>
    <t>Sale Flats = 224, Free Sale Flat = 3, EWS Flat  =39</t>
  </si>
  <si>
    <t xml:space="preserve">Total Built up area Total- 12294.810 sq.m.
</t>
  </si>
  <si>
    <t>Number of  Sale tenements = 228. 
Number of EWS/LIG tenements = 38</t>
  </si>
  <si>
    <t xml:space="preserve">Details of Residential in Building   </t>
  </si>
  <si>
    <t>Building No.3 = Gr + 1st to 4th Floor</t>
  </si>
  <si>
    <t>Building No.1 (Wing A, B &amp; C)  = Gr + 1st to 4th Floor</t>
  </si>
  <si>
    <t>Building No.5 (Wing A, B &amp; C) = Gr + 1st to 4th Floor</t>
  </si>
  <si>
    <t>Saleable area
Loading 
50%</t>
  </si>
  <si>
    <t>Building No.3 (Wing A, B &amp; C) = Gr + 1st to 4th Floor</t>
  </si>
  <si>
    <t>Building No.2 (Wing A &amp; B) = Gr + 1st to 6th Floor</t>
  </si>
  <si>
    <t>Building No.4 (Wing A &amp; B) = Gr + 1st to 4th Floor</t>
  </si>
  <si>
    <t>Building No.6 (Wing A &amp; B)  = Gr + 1st to 7th Floor</t>
  </si>
  <si>
    <t>Building No.5 (Wing B &amp; C) = Gr + 1st to 4th Floor</t>
  </si>
  <si>
    <t>Building No.5 (Wing A) = Gr + 1st to 4th Floor</t>
  </si>
  <si>
    <r>
      <t>Remarks:  
1.  Building No. 1, 2, 3, 4 &amp; 5 (Wing A) = Construction work is in process at the time of the visit.
     Building No. 5 (Wing B &amp; C) = Work is same as last visit (04/04/2025).
     Building No. 6 = Construction work was same as visit dtd.18/05/2022.
2. We have considered Saleable area of Flats as per our Calculation
3. We have considered rate by verifying it from market inquire.
4. We have considered Other charges from cost sheet.
5. We have considered proposed No. of Floor for Stage Calculation.
6. We considered Carpet area as per Approved Plan.
7.Car parking is subjected to authentic documentation.
8. We have updated revised approved plan &amp; CC on 08/04/2025.
9. Construction stage of Building No. 2 &amp; 6 is reduced due to revision in proposed structure of project.
6.</t>
    </r>
    <r>
      <rPr>
        <b/>
        <sz val="11"/>
        <color rgb="FFFF0000"/>
        <rFont val="Times New Roman"/>
        <family val="1"/>
      </rPr>
      <t xml:space="preserve"> We considered saleable area of building no.1 to 5  for existing Floor (1st to 3rd) as per builder area sheet.
7. We have given saleable area for Building No.1 to 5 (Gr and 4th) and Building No.6 as per our calculation.
8. We have updated approved floor plan of Ground &amp; 4th Floor of dtd.25/01/2021 (on 23/03/2021).
9. 
</t>
    </r>
    <r>
      <rPr>
        <b/>
        <sz val="11"/>
        <color indexed="8"/>
        <rFont val="Times New Roman"/>
        <family val="1"/>
      </rPr>
      <t xml:space="preserve">
9. On site we meet Mr.Pravin - 8208451996.</t>
    </r>
  </si>
  <si>
    <t>Pooja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</si>
</sst>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_(* #,##0_);_(* \(#,##0\);_(* &quot;-&quot;??_);_(@_)"/>
    <numFmt numFmtId="166" formatCode="0.000"/>
    <numFmt numFmtId="167" formatCode="0.0"/>
  </numFmts>
  <fonts count="24"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Calibri"/>
      <family val="2"/>
    </font>
    <font>
      <b/>
      <sz val="12"/>
      <color indexed="8"/>
      <name val="Times New Roman"/>
      <family val="1"/>
    </font>
    <font>
      <sz val="11"/>
      <name val="Times New Roman"/>
      <family val="1"/>
    </font>
    <font>
      <sz val="12"/>
      <color indexed="8"/>
      <name val="Times New Roman"/>
      <family val="1"/>
    </font>
    <font>
      <b/>
      <sz val="10"/>
      <color indexed="8"/>
      <name val="Times New Roman"/>
      <family val="1"/>
    </font>
    <font>
      <sz val="12"/>
      <name val="Times New Roman"/>
      <family val="1"/>
    </font>
    <font>
      <b/>
      <sz val="12"/>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b/>
      <sz val="11"/>
      <color theme="1"/>
      <name val="Times New Roman"/>
      <family val="1"/>
    </font>
    <font>
      <sz val="11"/>
      <color rgb="FF000000"/>
      <name val="Times New Roman"/>
      <family val="1"/>
    </font>
    <font>
      <b/>
      <sz val="11"/>
      <color rgb="FF000000"/>
      <name val="Times New Roman"/>
      <family val="1"/>
    </font>
    <font>
      <sz val="11"/>
      <color rgb="FFFF0000"/>
      <name val="Calibri"/>
      <family val="2"/>
    </font>
    <font>
      <sz val="11"/>
      <color theme="1"/>
      <name val="Times New Roman"/>
      <family val="1"/>
    </font>
    <font>
      <sz val="12"/>
      <color theme="1"/>
      <name val="Times New Roman"/>
      <family val="1"/>
    </font>
    <font>
      <u/>
      <sz val="11"/>
      <color theme="10"/>
      <name val="Calibri"/>
      <family val="2"/>
      <scheme val="minor"/>
    </font>
    <font>
      <b/>
      <sz val="12"/>
      <color theme="1"/>
      <name val="Times New Roman"/>
      <family val="1"/>
    </font>
    <font>
      <b/>
      <sz val="11"/>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5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164" fontId="1" fillId="0" borderId="0" applyFont="0" applyFill="0" applyBorder="0" applyAlignment="0" applyProtection="0"/>
    <xf numFmtId="0" fontId="2" fillId="0" borderId="0"/>
    <xf numFmtId="0" fontId="1" fillId="0" borderId="0"/>
    <xf numFmtId="0" fontId="12" fillId="0" borderId="0"/>
    <xf numFmtId="9" fontId="5" fillId="0" borderId="0" applyFont="0" applyFill="0" applyBorder="0" applyAlignment="0" applyProtection="0"/>
    <xf numFmtId="0" fontId="12" fillId="0" borderId="0"/>
    <xf numFmtId="0" fontId="21" fillId="0" borderId="0" applyNumberFormat="0" applyFill="0" applyBorder="0" applyAlignment="0" applyProtection="0"/>
  </cellStyleXfs>
  <cellXfs count="435">
    <xf numFmtId="0" fontId="0" fillId="0" borderId="0" xfId="0"/>
    <xf numFmtId="1" fontId="6" fillId="0" borderId="2" xfId="0" applyNumberFormat="1" applyFont="1" applyBorder="1" applyAlignment="1">
      <alignment horizontal="center" vertical="top" wrapText="1"/>
    </xf>
    <xf numFmtId="1" fontId="3" fillId="0" borderId="2" xfId="0" applyNumberFormat="1" applyFont="1" applyBorder="1" applyAlignment="1">
      <alignment horizontal="center" vertical="top" wrapText="1"/>
    </xf>
    <xf numFmtId="0" fontId="16" fillId="0" borderId="2" xfId="0" applyFont="1" applyBorder="1"/>
    <xf numFmtId="0" fontId="16" fillId="0" borderId="0" xfId="0" applyFont="1"/>
    <xf numFmtId="0" fontId="16" fillId="2" borderId="2" xfId="0" applyFont="1" applyFill="1" applyBorder="1"/>
    <xf numFmtId="0" fontId="16" fillId="0" borderId="2" xfId="0" applyFont="1" applyBorder="1" applyAlignment="1">
      <alignment horizontal="center"/>
    </xf>
    <xf numFmtId="0" fontId="16" fillId="2" borderId="2" xfId="0" applyFont="1" applyFill="1" applyBorder="1" applyAlignment="1">
      <alignment horizontal="center"/>
    </xf>
    <xf numFmtId="9" fontId="16" fillId="0" borderId="0" xfId="5" applyFont="1" applyBorder="1"/>
    <xf numFmtId="0" fontId="17" fillId="0" borderId="2" xfId="0" applyFont="1" applyBorder="1" applyAlignment="1">
      <alignment horizontal="center"/>
    </xf>
    <xf numFmtId="0" fontId="16" fillId="0" borderId="0" xfId="0" applyFont="1" applyAlignment="1">
      <alignment horizontal="right"/>
    </xf>
    <xf numFmtId="0" fontId="16" fillId="0" borderId="0" xfId="0" applyFont="1" applyAlignment="1">
      <alignment wrapText="1"/>
    </xf>
    <xf numFmtId="9" fontId="17" fillId="0" borderId="2" xfId="5" applyFont="1" applyBorder="1"/>
    <xf numFmtId="9" fontId="16" fillId="0" borderId="0" xfId="0" applyNumberFormat="1" applyFont="1"/>
    <xf numFmtId="0" fontId="15" fillId="0" borderId="2" xfId="0" applyFont="1" applyBorder="1" applyAlignment="1">
      <alignment horizontal="center"/>
    </xf>
    <xf numFmtId="0" fontId="15" fillId="0" borderId="0" xfId="0" applyFont="1" applyAlignment="1">
      <alignment horizontal="center"/>
    </xf>
    <xf numFmtId="0" fontId="16" fillId="0" borderId="3" xfId="0" applyFont="1" applyBorder="1"/>
    <xf numFmtId="0" fontId="16" fillId="0" borderId="2" xfId="0" applyFont="1" applyBorder="1" applyAlignment="1">
      <alignment wrapText="1"/>
    </xf>
    <xf numFmtId="14" fontId="0" fillId="0" borderId="0" xfId="0" applyNumberFormat="1"/>
    <xf numFmtId="14" fontId="1" fillId="0" borderId="0" xfId="3" applyNumberFormat="1"/>
    <xf numFmtId="0" fontId="1" fillId="0" borderId="0" xfId="3"/>
    <xf numFmtId="0" fontId="12" fillId="0" borderId="0" xfId="4"/>
    <xf numFmtId="0" fontId="13" fillId="0" borderId="2" xfId="4" applyFont="1" applyBorder="1" applyAlignment="1">
      <alignment horizontal="center" vertical="top" wrapText="1"/>
    </xf>
    <xf numFmtId="0" fontId="12" fillId="0" borderId="2" xfId="4" applyBorder="1" applyAlignment="1">
      <alignment horizontal="center" vertical="center"/>
    </xf>
    <xf numFmtId="1" fontId="12" fillId="0" borderId="2" xfId="4" applyNumberFormat="1" applyBorder="1" applyAlignment="1">
      <alignment horizontal="center" vertical="center"/>
    </xf>
    <xf numFmtId="165" fontId="12" fillId="0" borderId="2" xfId="1" applyNumberFormat="1" applyFont="1" applyBorder="1" applyAlignment="1">
      <alignment horizontal="right" vertical="center"/>
    </xf>
    <xf numFmtId="0" fontId="13" fillId="0" borderId="2" xfId="4" applyFont="1" applyBorder="1" applyAlignment="1">
      <alignment horizontal="center" vertical="center"/>
    </xf>
    <xf numFmtId="1" fontId="14" fillId="0" borderId="2" xfId="4" applyNumberFormat="1" applyFont="1" applyBorder="1" applyAlignment="1">
      <alignment horizontal="center" vertical="center"/>
    </xf>
    <xf numFmtId="0" fontId="1" fillId="0" borderId="2" xfId="3" applyBorder="1" applyAlignment="1">
      <alignment horizontal="center" vertical="center"/>
    </xf>
    <xf numFmtId="0" fontId="18" fillId="0" borderId="0" xfId="3" applyFont="1"/>
    <xf numFmtId="0" fontId="1" fillId="0" borderId="0" xfId="3" applyAlignment="1">
      <alignment vertical="top" wrapText="1"/>
    </xf>
    <xf numFmtId="0" fontId="12" fillId="0" borderId="2" xfId="4" applyBorder="1" applyAlignment="1">
      <alignment horizontal="left" vertical="center"/>
    </xf>
    <xf numFmtId="0" fontId="19" fillId="0" borderId="0" xfId="0" applyFont="1"/>
    <xf numFmtId="0" fontId="4" fillId="0" borderId="0" xfId="2" applyFont="1"/>
    <xf numFmtId="1" fontId="19" fillId="0" borderId="0" xfId="0" applyNumberFormat="1" applyFont="1"/>
    <xf numFmtId="2" fontId="19" fillId="0" borderId="0" xfId="0" applyNumberFormat="1" applyFont="1"/>
    <xf numFmtId="0" fontId="19" fillId="2" borderId="0" xfId="0" applyFont="1" applyFill="1"/>
    <xf numFmtId="0" fontId="20" fillId="0" borderId="19" xfId="6" applyFont="1" applyBorder="1" applyProtection="1">
      <protection hidden="1"/>
    </xf>
    <xf numFmtId="0" fontId="20" fillId="0" borderId="20" xfId="6" applyFont="1" applyBorder="1" applyProtection="1">
      <protection hidden="1"/>
    </xf>
    <xf numFmtId="0" fontId="20" fillId="0" borderId="0" xfId="6" applyFont="1" applyProtection="1">
      <protection hidden="1"/>
    </xf>
    <xf numFmtId="0" fontId="20" fillId="0" borderId="23" xfId="6" applyFont="1" applyBorder="1" applyProtection="1">
      <protection hidden="1"/>
    </xf>
    <xf numFmtId="0" fontId="16" fillId="0" borderId="0" xfId="0" applyFont="1" applyProtection="1">
      <protection hidden="1"/>
    </xf>
    <xf numFmtId="0" fontId="20" fillId="0" borderId="23" xfId="6" applyFont="1" applyBorder="1"/>
    <xf numFmtId="0" fontId="16"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16" fillId="0" borderId="32" xfId="0" applyFont="1" applyBorder="1" applyProtection="1">
      <protection hidden="1"/>
    </xf>
    <xf numFmtId="1" fontId="0" fillId="0" borderId="33" xfId="0" applyNumberFormat="1" applyBorder="1"/>
    <xf numFmtId="0" fontId="10" fillId="0" borderId="2" xfId="6" applyFont="1" applyBorder="1" applyAlignment="1" applyProtection="1">
      <alignment horizontal="center" vertical="top" wrapText="1"/>
      <protection locked="0"/>
    </xf>
    <xf numFmtId="0" fontId="10" fillId="0" borderId="21" xfId="6" applyFont="1" applyBorder="1" applyAlignment="1" applyProtection="1">
      <alignment horizontal="center" vertical="top"/>
      <protection locked="0"/>
    </xf>
    <xf numFmtId="0" fontId="10" fillId="0" borderId="2" xfId="6" applyFont="1" applyBorder="1" applyAlignment="1" applyProtection="1">
      <alignment horizontal="center" vertical="top"/>
      <protection locked="0"/>
    </xf>
    <xf numFmtId="0" fontId="4" fillId="0" borderId="1" xfId="0" applyFont="1" applyBorder="1" applyAlignment="1">
      <alignment vertical="top" wrapText="1"/>
    </xf>
    <xf numFmtId="1" fontId="6" fillId="0" borderId="1" xfId="0" applyNumberFormat="1" applyFont="1" applyBorder="1" applyAlignment="1">
      <alignment horizontal="center" vertical="top" wrapText="1"/>
    </xf>
    <xf numFmtId="1" fontId="10" fillId="0" borderId="2"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0" fontId="10" fillId="0" borderId="2" xfId="6" applyFont="1" applyBorder="1" applyAlignment="1" applyProtection="1">
      <alignment horizontal="center" wrapText="1"/>
      <protection locked="0"/>
    </xf>
    <xf numFmtId="1" fontId="10" fillId="0" borderId="2" xfId="6" applyNumberFormat="1" applyFont="1" applyBorder="1" applyAlignment="1" applyProtection="1">
      <alignment horizontal="center" wrapText="1"/>
      <protection locked="0"/>
    </xf>
    <xf numFmtId="0" fontId="10" fillId="0" borderId="28" xfId="6" applyFont="1" applyBorder="1" applyAlignment="1" applyProtection="1">
      <alignment horizontal="center" wrapText="1"/>
      <protection locked="0"/>
    </xf>
    <xf numFmtId="0" fontId="3" fillId="0" borderId="0" xfId="0" applyFont="1" applyAlignment="1">
      <alignment horizontal="center" vertical="top" wrapText="1"/>
    </xf>
    <xf numFmtId="0" fontId="9" fillId="0" borderId="0" xfId="0" applyFont="1" applyAlignment="1">
      <alignment vertical="top"/>
    </xf>
    <xf numFmtId="0" fontId="3" fillId="0" borderId="0" xfId="0" applyFont="1" applyAlignment="1">
      <alignment vertical="top" wrapText="1"/>
    </xf>
    <xf numFmtId="0" fontId="3" fillId="0" borderId="0" xfId="0" applyFont="1" applyAlignment="1">
      <alignment vertical="top"/>
    </xf>
    <xf numFmtId="0" fontId="15" fillId="0" borderId="0" xfId="0" applyFont="1"/>
    <xf numFmtId="0" fontId="9" fillId="0" borderId="0" xfId="0" applyFont="1" applyAlignment="1">
      <alignment vertical="top" wrapText="1"/>
    </xf>
    <xf numFmtId="14" fontId="19" fillId="2" borderId="0" xfId="0" applyNumberFormat="1" applyFont="1" applyFill="1"/>
    <xf numFmtId="0" fontId="20" fillId="0" borderId="0" xfId="0" applyFont="1" applyAlignment="1">
      <alignment horizontal="center" vertical="center"/>
    </xf>
    <xf numFmtId="0" fontId="3" fillId="0" borderId="2" xfId="0" applyFont="1" applyBorder="1" applyAlignment="1">
      <alignment vertical="top"/>
    </xf>
    <xf numFmtId="1" fontId="8" fillId="0" borderId="2"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166" fontId="8" fillId="0" borderId="2"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1" fontId="19" fillId="0" borderId="2" xfId="0" applyNumberFormat="1" applyFont="1" applyBorder="1" applyAlignment="1">
      <alignment horizontal="center"/>
    </xf>
    <xf numFmtId="1" fontId="20" fillId="0" borderId="2" xfId="0" applyNumberFormat="1" applyFont="1" applyBorder="1" applyAlignment="1">
      <alignment horizontal="center"/>
    </xf>
    <xf numFmtId="1" fontId="20" fillId="0" borderId="0" xfId="0" applyNumberFormat="1" applyFont="1" applyAlignment="1">
      <alignment horizontal="center"/>
    </xf>
    <xf numFmtId="1" fontId="8" fillId="0" borderId="2" xfId="0"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0" fontId="7" fillId="0" borderId="2" xfId="0" applyFont="1" applyBorder="1" applyAlignment="1">
      <alignment vertical="top"/>
    </xf>
    <xf numFmtId="0" fontId="19" fillId="0" borderId="2" xfId="0" applyFont="1" applyBorder="1" applyAlignment="1">
      <alignment vertical="top"/>
    </xf>
    <xf numFmtId="1" fontId="20" fillId="0" borderId="0" xfId="0" applyNumberFormat="1" applyFont="1" applyAlignment="1">
      <alignment horizontal="center" vertical="center"/>
    </xf>
    <xf numFmtId="0" fontId="21" fillId="0" borderId="0" xfId="7"/>
    <xf numFmtId="1" fontId="20" fillId="0" borderId="2" xfId="0" applyNumberFormat="1" applyFont="1" applyBorder="1" applyAlignment="1">
      <alignment horizontal="center" wrapText="1"/>
    </xf>
    <xf numFmtId="1" fontId="10" fillId="0" borderId="2" xfId="0" applyNumberFormat="1" applyFont="1" applyBorder="1" applyAlignment="1">
      <alignment horizontal="center"/>
    </xf>
    <xf numFmtId="0" fontId="22" fillId="0" borderId="3" xfId="0" applyFont="1" applyBorder="1" applyAlignment="1">
      <alignment horizontal="center" vertical="center"/>
    </xf>
    <xf numFmtId="1" fontId="8" fillId="0" borderId="36" xfId="0" applyNumberFormat="1" applyFont="1" applyBorder="1" applyAlignment="1">
      <alignment horizontal="center" vertical="center" wrapText="1"/>
    </xf>
    <xf numFmtId="1" fontId="20" fillId="0" borderId="36" xfId="0" applyNumberFormat="1" applyFont="1" applyBorder="1" applyAlignment="1">
      <alignment horizontal="center" vertical="center"/>
    </xf>
    <xf numFmtId="1" fontId="8" fillId="0" borderId="28" xfId="0" applyNumberFormat="1" applyFont="1" applyBorder="1" applyAlignment="1">
      <alignment horizontal="center" vertical="center" wrapText="1"/>
    </xf>
    <xf numFmtId="1" fontId="20" fillId="0" borderId="28" xfId="0" applyNumberFormat="1" applyFont="1" applyBorder="1" applyAlignment="1">
      <alignment horizontal="center" vertical="center"/>
    </xf>
    <xf numFmtId="1" fontId="8" fillId="0" borderId="3" xfId="0" applyNumberFormat="1" applyFont="1" applyBorder="1" applyAlignment="1">
      <alignment horizontal="center" vertical="center" wrapText="1"/>
    </xf>
    <xf numFmtId="1" fontId="22" fillId="0" borderId="46" xfId="0" applyNumberFormat="1" applyFont="1" applyBorder="1" applyAlignment="1">
      <alignment horizontal="center" vertical="center"/>
    </xf>
    <xf numFmtId="0" fontId="22" fillId="0" borderId="0" xfId="0" applyFont="1" applyAlignment="1">
      <alignment horizontal="center" vertical="center"/>
    </xf>
    <xf numFmtId="1" fontId="10" fillId="0" borderId="36" xfId="0" applyNumberFormat="1" applyFont="1" applyBorder="1" applyAlignment="1">
      <alignment horizontal="center" vertical="center" wrapText="1"/>
    </xf>
    <xf numFmtId="1" fontId="22" fillId="0" borderId="0" xfId="0" applyNumberFormat="1" applyFont="1" applyAlignment="1">
      <alignment horizontal="center" vertical="center"/>
    </xf>
    <xf numFmtId="0" fontId="11" fillId="0" borderId="3" xfId="0" applyFont="1" applyBorder="1" applyAlignment="1">
      <alignment horizontal="center" vertical="center"/>
    </xf>
    <xf numFmtId="1" fontId="10" fillId="0" borderId="36" xfId="0" applyNumberFormat="1" applyFont="1" applyBorder="1" applyAlignment="1">
      <alignment horizontal="center" vertical="center"/>
    </xf>
    <xf numFmtId="1" fontId="10" fillId="0" borderId="28" xfId="0" applyNumberFormat="1" applyFont="1" applyBorder="1" applyAlignment="1">
      <alignment horizontal="center" vertical="center" wrapText="1"/>
    </xf>
    <xf numFmtId="1" fontId="10" fillId="0" borderId="28" xfId="0" applyNumberFormat="1" applyFont="1" applyBorder="1" applyAlignment="1">
      <alignment horizontal="center" vertical="center"/>
    </xf>
    <xf numFmtId="1" fontId="11" fillId="0" borderId="46" xfId="0" applyNumberFormat="1" applyFont="1" applyBorder="1" applyAlignment="1">
      <alignment horizontal="center" vertical="center"/>
    </xf>
    <xf numFmtId="0" fontId="19" fillId="0" borderId="0" xfId="0" applyFont="1" applyAlignment="1">
      <alignment wrapText="1"/>
    </xf>
    <xf numFmtId="0" fontId="3" fillId="0" borderId="0" xfId="0" applyFont="1" applyAlignment="1">
      <alignment horizontal="left" vertical="top" wrapText="1"/>
    </xf>
    <xf numFmtId="1" fontId="20" fillId="0" borderId="36" xfId="0" applyNumberFormat="1" applyFont="1" applyFill="1" applyBorder="1" applyAlignment="1">
      <alignment horizontal="center" vertical="center"/>
    </xf>
    <xf numFmtId="1" fontId="20" fillId="0" borderId="2" xfId="0" applyNumberFormat="1" applyFont="1" applyFill="1" applyBorder="1" applyAlignment="1">
      <alignment horizontal="center" vertical="center"/>
    </xf>
    <xf numFmtId="1" fontId="20" fillId="0" borderId="28" xfId="0" applyNumberFormat="1" applyFont="1" applyFill="1" applyBorder="1" applyAlignment="1">
      <alignment horizontal="center" vertical="center"/>
    </xf>
    <xf numFmtId="1" fontId="20" fillId="0" borderId="34" xfId="0" applyNumberFormat="1" applyFont="1" applyFill="1" applyBorder="1" applyAlignment="1">
      <alignment horizontal="center" vertical="center"/>
    </xf>
    <xf numFmtId="1" fontId="20" fillId="0" borderId="3" xfId="0" applyNumberFormat="1" applyFont="1" applyFill="1" applyBorder="1" applyAlignment="1">
      <alignment horizontal="center" vertical="center"/>
    </xf>
    <xf numFmtId="0" fontId="19" fillId="2" borderId="2" xfId="0" applyFont="1" applyFill="1" applyBorder="1" applyAlignment="1">
      <alignment vertical="top"/>
    </xf>
    <xf numFmtId="1" fontId="22" fillId="0" borderId="2" xfId="0" applyNumberFormat="1" applyFont="1" applyBorder="1" applyAlignment="1">
      <alignment horizontal="center" vertical="top" wrapText="1"/>
    </xf>
    <xf numFmtId="1" fontId="20" fillId="0" borderId="2" xfId="0" applyNumberFormat="1" applyFont="1" applyBorder="1" applyAlignment="1">
      <alignment horizontal="center" vertical="center" wrapText="1"/>
    </xf>
    <xf numFmtId="0" fontId="10" fillId="0" borderId="2" xfId="6" applyFont="1" applyBorder="1" applyAlignment="1" applyProtection="1">
      <alignment horizontal="center" vertical="top" wrapText="1"/>
      <protection locked="0"/>
    </xf>
    <xf numFmtId="0" fontId="10" fillId="0" borderId="2" xfId="6" applyFont="1" applyBorder="1" applyAlignment="1" applyProtection="1">
      <alignment horizontal="center" vertical="top"/>
      <protection locked="0"/>
    </xf>
    <xf numFmtId="1" fontId="10" fillId="0" borderId="2"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1" fontId="8" fillId="0" borderId="6" xfId="0" applyNumberFormat="1" applyFont="1" applyBorder="1" applyAlignment="1">
      <alignment horizontal="center" vertical="center" wrapText="1"/>
    </xf>
    <xf numFmtId="1" fontId="8" fillId="0" borderId="8" xfId="0" applyNumberFormat="1" applyFont="1" applyBorder="1" applyAlignment="1">
      <alignment horizontal="center" vertical="center" wrapText="1"/>
    </xf>
    <xf numFmtId="1" fontId="8" fillId="0" borderId="11" xfId="0" applyNumberFormat="1" applyFont="1" applyBorder="1" applyAlignment="1">
      <alignment horizontal="center" vertical="center" wrapText="1"/>
    </xf>
    <xf numFmtId="1" fontId="8" fillId="0" borderId="12"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1" fontId="8" fillId="0" borderId="5" xfId="0" applyNumberFormat="1" applyFont="1" applyBorder="1" applyAlignment="1">
      <alignment horizontal="center" vertical="center" wrapText="1"/>
    </xf>
    <xf numFmtId="1" fontId="6" fillId="0" borderId="6"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1" fontId="10" fillId="0" borderId="5" xfId="0" applyNumberFormat="1" applyFont="1" applyBorder="1" applyAlignment="1">
      <alignment horizontal="center" vertical="center" wrapText="1"/>
    </xf>
    <xf numFmtId="1" fontId="8" fillId="0" borderId="35" xfId="0" applyNumberFormat="1" applyFont="1" applyBorder="1" applyAlignment="1">
      <alignment horizontal="center" vertical="center" wrapText="1"/>
    </xf>
    <xf numFmtId="1" fontId="8" fillId="0" borderId="21" xfId="0" applyNumberFormat="1" applyFont="1" applyBorder="1" applyAlignment="1">
      <alignment horizontal="center" vertical="center" wrapText="1"/>
    </xf>
    <xf numFmtId="1" fontId="8" fillId="0" borderId="27" xfId="0" applyNumberFormat="1" applyFont="1" applyBorder="1" applyAlignment="1">
      <alignment horizontal="center" vertical="center" wrapText="1"/>
    </xf>
    <xf numFmtId="1" fontId="8" fillId="0" borderId="39" xfId="0" applyNumberFormat="1" applyFont="1" applyBorder="1" applyAlignment="1">
      <alignment horizontal="center" vertical="center" wrapText="1"/>
    </xf>
    <xf numFmtId="1" fontId="8" fillId="0" borderId="43" xfId="0" applyNumberFormat="1" applyFont="1" applyBorder="1" applyAlignment="1">
      <alignment horizontal="center" vertical="center" wrapText="1"/>
    </xf>
    <xf numFmtId="1" fontId="8" fillId="0" borderId="40" xfId="0" applyNumberFormat="1" applyFont="1" applyBorder="1" applyAlignment="1">
      <alignment horizontal="center" vertical="center" wrapText="1"/>
    </xf>
    <xf numFmtId="1" fontId="20" fillId="0" borderId="16" xfId="0" applyNumberFormat="1" applyFont="1" applyBorder="1" applyAlignment="1">
      <alignment horizontal="center" vertical="top" wrapText="1"/>
    </xf>
    <xf numFmtId="1" fontId="20" fillId="0" borderId="17" xfId="0" applyNumberFormat="1" applyFont="1" applyBorder="1" applyAlignment="1">
      <alignment horizontal="center" vertical="top" wrapText="1"/>
    </xf>
    <xf numFmtId="1" fontId="20" fillId="0" borderId="15" xfId="0" applyNumberFormat="1" applyFont="1" applyBorder="1" applyAlignment="1">
      <alignment horizontal="center" vertical="top" wrapText="1"/>
    </xf>
    <xf numFmtId="1" fontId="8" fillId="0" borderId="16" xfId="0" applyNumberFormat="1" applyFont="1" applyBorder="1" applyAlignment="1">
      <alignment horizontal="center" vertical="top" wrapText="1"/>
    </xf>
    <xf numFmtId="1" fontId="8" fillId="0" borderId="17" xfId="0" applyNumberFormat="1" applyFont="1" applyBorder="1" applyAlignment="1">
      <alignment horizontal="center" vertical="top" wrapText="1"/>
    </xf>
    <xf numFmtId="1" fontId="8" fillId="0" borderId="18" xfId="0" applyNumberFormat="1" applyFont="1" applyBorder="1" applyAlignment="1">
      <alignment horizontal="center" vertical="top" wrapText="1"/>
    </xf>
    <xf numFmtId="1" fontId="20" fillId="0" borderId="29" xfId="0" applyNumberFormat="1" applyFont="1" applyBorder="1" applyAlignment="1">
      <alignment horizontal="center" vertical="top" wrapText="1"/>
    </xf>
    <xf numFmtId="1" fontId="20" fillId="0" borderId="41" xfId="0" applyNumberFormat="1" applyFont="1" applyBorder="1" applyAlignment="1">
      <alignment horizontal="center" vertical="top" wrapText="1"/>
    </xf>
    <xf numFmtId="1" fontId="20" fillId="0" borderId="30" xfId="0" applyNumberFormat="1" applyFont="1" applyBorder="1" applyAlignment="1">
      <alignment horizontal="center" vertical="top" wrapText="1"/>
    </xf>
    <xf numFmtId="1" fontId="8" fillId="0" borderId="29" xfId="0" applyNumberFormat="1" applyFont="1" applyBorder="1" applyAlignment="1">
      <alignment horizontal="center" vertical="top" wrapText="1"/>
    </xf>
    <xf numFmtId="1" fontId="8" fillId="0" borderId="41" xfId="0" applyNumberFormat="1" applyFont="1" applyBorder="1" applyAlignment="1">
      <alignment horizontal="center" vertical="top" wrapText="1"/>
    </xf>
    <xf numFmtId="1" fontId="8" fillId="0" borderId="42" xfId="0" applyNumberFormat="1" applyFont="1" applyBorder="1" applyAlignment="1">
      <alignment horizontal="center" vertical="top" wrapText="1"/>
    </xf>
    <xf numFmtId="1" fontId="6" fillId="0" borderId="11" xfId="0" applyNumberFormat="1" applyFont="1" applyBorder="1" applyAlignment="1">
      <alignment horizontal="center" vertical="center" wrapText="1"/>
    </xf>
    <xf numFmtId="1" fontId="6" fillId="0" borderId="13" xfId="0" applyNumberFormat="1" applyFont="1" applyBorder="1" applyAlignment="1">
      <alignment horizontal="center" vertical="center" wrapText="1"/>
    </xf>
    <xf numFmtId="1" fontId="6" fillId="0" borderId="12" xfId="0" applyNumberFormat="1" applyFont="1" applyBorder="1" applyAlignment="1">
      <alignment horizontal="center" vertical="center" wrapText="1"/>
    </xf>
    <xf numFmtId="1" fontId="6" fillId="0" borderId="6" xfId="0" applyNumberFormat="1" applyFont="1" applyBorder="1" applyAlignment="1">
      <alignment horizontal="center" vertical="top" wrapText="1"/>
    </xf>
    <xf numFmtId="1" fontId="6" fillId="0" borderId="8" xfId="0" applyNumberFormat="1" applyFont="1" applyBorder="1" applyAlignment="1">
      <alignment horizontal="center" vertical="top" wrapText="1"/>
    </xf>
    <xf numFmtId="0" fontId="22" fillId="0" borderId="6" xfId="0" applyFont="1" applyBorder="1" applyAlignment="1">
      <alignment horizontal="center" vertical="top" wrapText="1"/>
    </xf>
    <xf numFmtId="0" fontId="22" fillId="0" borderId="7" xfId="0" applyFont="1" applyBorder="1" applyAlignment="1">
      <alignment horizontal="center" vertical="top" wrapText="1"/>
    </xf>
    <xf numFmtId="0" fontId="22" fillId="0" borderId="8" xfId="0" applyFont="1" applyBorder="1" applyAlignment="1">
      <alignment horizontal="center" vertical="top" wrapText="1"/>
    </xf>
    <xf numFmtId="1" fontId="6" fillId="0" borderId="7" xfId="0" applyNumberFormat="1" applyFont="1" applyBorder="1" applyAlignment="1">
      <alignment horizontal="center" vertical="top" wrapText="1"/>
    </xf>
    <xf numFmtId="1" fontId="8" fillId="0" borderId="16" xfId="0" applyNumberFormat="1" applyFont="1" applyFill="1" applyBorder="1" applyAlignment="1">
      <alignment horizontal="center" vertical="top" wrapText="1"/>
    </xf>
    <xf numFmtId="1" fontId="8" fillId="0" borderId="17" xfId="0" applyNumberFormat="1" applyFont="1" applyFill="1" applyBorder="1" applyAlignment="1">
      <alignment horizontal="center" vertical="top" wrapText="1"/>
    </xf>
    <xf numFmtId="1" fontId="8" fillId="0" borderId="18" xfId="0" applyNumberFormat="1" applyFont="1" applyFill="1" applyBorder="1" applyAlignment="1">
      <alignment horizontal="center" vertical="top" wrapText="1"/>
    </xf>
    <xf numFmtId="1" fontId="11" fillId="0" borderId="11" xfId="0" applyNumberFormat="1" applyFont="1" applyBorder="1" applyAlignment="1">
      <alignment horizontal="center" vertical="center" wrapText="1"/>
    </xf>
    <xf numFmtId="1" fontId="11" fillId="0" borderId="13" xfId="0" applyNumberFormat="1" applyFont="1" applyBorder="1" applyAlignment="1">
      <alignment horizontal="center" vertical="center" wrapText="1"/>
    </xf>
    <xf numFmtId="1" fontId="11" fillId="0" borderId="12" xfId="0" applyNumberFormat="1" applyFont="1" applyBorder="1" applyAlignment="1">
      <alignment horizontal="center" vertical="center" wrapText="1"/>
    </xf>
    <xf numFmtId="1" fontId="11" fillId="0" borderId="6" xfId="0" applyNumberFormat="1" applyFont="1" applyBorder="1" applyAlignment="1">
      <alignment horizontal="center" vertical="top" wrapText="1"/>
    </xf>
    <xf numFmtId="1" fontId="11" fillId="0" borderId="8" xfId="0" applyNumberFormat="1" applyFont="1" applyBorder="1" applyAlignment="1">
      <alignment horizontal="center" vertical="top" wrapText="1"/>
    </xf>
    <xf numFmtId="0" fontId="19" fillId="0" borderId="1" xfId="0" applyFont="1" applyBorder="1" applyAlignment="1">
      <alignment horizontal="left" vertical="top"/>
    </xf>
    <xf numFmtId="0" fontId="19" fillId="0" borderId="4" xfId="0" applyFont="1" applyBorder="1" applyAlignment="1">
      <alignment horizontal="left" vertical="top"/>
    </xf>
    <xf numFmtId="0" fontId="19" fillId="0" borderId="5" xfId="0" applyFont="1" applyBorder="1" applyAlignment="1">
      <alignment horizontal="left" vertical="top"/>
    </xf>
    <xf numFmtId="14" fontId="4" fillId="0" borderId="0" xfId="0" applyNumberFormat="1" applyFont="1" applyBorder="1" applyAlignment="1">
      <alignment horizontal="left" vertical="top"/>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19" fillId="0" borderId="1" xfId="0" applyFont="1" applyBorder="1" applyAlignment="1">
      <alignment horizontal="left" vertical="top" wrapText="1"/>
    </xf>
    <xf numFmtId="0" fontId="19" fillId="0" borderId="5" xfId="0" applyFont="1" applyBorder="1" applyAlignment="1">
      <alignment horizontal="left" vertical="top" wrapText="1"/>
    </xf>
    <xf numFmtId="0" fontId="19" fillId="0" borderId="4" xfId="0" applyFont="1" applyBorder="1" applyAlignment="1">
      <alignment horizontal="left" vertical="top" wrapText="1"/>
    </xf>
    <xf numFmtId="14" fontId="19" fillId="0" borderId="1" xfId="0" applyNumberFormat="1"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9" xfId="0" applyFont="1" applyBorder="1" applyAlignment="1">
      <alignment horizontal="left" vertical="top"/>
    </xf>
    <xf numFmtId="0" fontId="7" fillId="0" borderId="0" xfId="0" applyFont="1" applyBorder="1" applyAlignment="1">
      <alignment horizontal="left" vertical="top"/>
    </xf>
    <xf numFmtId="0" fontId="7" fillId="0" borderId="10" xfId="0" applyFont="1" applyBorder="1" applyAlignment="1">
      <alignment horizontal="left" vertical="top"/>
    </xf>
    <xf numFmtId="0" fontId="7" fillId="0" borderId="11" xfId="0" applyFont="1" applyBorder="1" applyAlignment="1">
      <alignment horizontal="left" vertical="top"/>
    </xf>
    <xf numFmtId="0" fontId="7" fillId="0" borderId="13" xfId="0" applyFont="1" applyBorder="1" applyAlignment="1">
      <alignment horizontal="left" vertical="top"/>
    </xf>
    <xf numFmtId="0" fontId="7" fillId="0" borderId="12" xfId="0" applyFont="1" applyBorder="1" applyAlignment="1">
      <alignment horizontal="left" vertical="top"/>
    </xf>
    <xf numFmtId="0" fontId="7" fillId="0" borderId="6" xfId="0" applyFont="1" applyBorder="1" applyAlignment="1">
      <alignment horizontal="left" vertical="top" wrapText="1"/>
    </xf>
    <xf numFmtId="0" fontId="7" fillId="0" borderId="8"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1"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14" fontId="7" fillId="0" borderId="1" xfId="0" applyNumberFormat="1" applyFont="1" applyBorder="1" applyAlignment="1">
      <alignment horizontal="left" vertical="top"/>
    </xf>
    <xf numFmtId="14" fontId="7" fillId="0" borderId="4" xfId="0" applyNumberFormat="1" applyFont="1" applyBorder="1" applyAlignment="1">
      <alignment horizontal="left" vertical="top"/>
    </xf>
    <xf numFmtId="14" fontId="7" fillId="0" borderId="5" xfId="0" applyNumberFormat="1" applyFont="1" applyBorder="1" applyAlignment="1">
      <alignment horizontal="left" vertical="top"/>
    </xf>
    <xf numFmtId="0" fontId="4" fillId="0" borderId="1"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19" fillId="2" borderId="1" xfId="0" applyFont="1" applyFill="1" applyBorder="1" applyAlignment="1">
      <alignment horizontal="left" vertical="top" wrapText="1"/>
    </xf>
    <xf numFmtId="0" fontId="19" fillId="2" borderId="5" xfId="0" applyFont="1" applyFill="1" applyBorder="1" applyAlignment="1">
      <alignment horizontal="left" vertical="top" wrapText="1"/>
    </xf>
    <xf numFmtId="0" fontId="3" fillId="0" borderId="1"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7" fillId="0" borderId="1" xfId="0" applyFont="1" applyBorder="1" applyAlignment="1">
      <alignment horizontal="left" vertical="top"/>
    </xf>
    <xf numFmtId="0" fontId="7" fillId="0" borderId="4" xfId="0" applyFont="1" applyBorder="1" applyAlignment="1">
      <alignment horizontal="left" vertical="top"/>
    </xf>
    <xf numFmtId="0" fontId="7" fillId="0" borderId="5" xfId="0" applyFont="1" applyBorder="1" applyAlignment="1">
      <alignment horizontal="left" vertical="top"/>
    </xf>
    <xf numFmtId="0" fontId="19" fillId="2" borderId="1" xfId="0" applyFont="1" applyFill="1" applyBorder="1" applyAlignment="1">
      <alignment horizontal="left" vertical="top"/>
    </xf>
    <xf numFmtId="0" fontId="19" fillId="2" borderId="4" xfId="0" applyFont="1" applyFill="1" applyBorder="1" applyAlignment="1">
      <alignment horizontal="left" vertical="top"/>
    </xf>
    <xf numFmtId="0" fontId="19" fillId="2" borderId="5" xfId="0" applyFont="1" applyFill="1" applyBorder="1" applyAlignment="1">
      <alignment horizontal="left" vertical="top"/>
    </xf>
    <xf numFmtId="167" fontId="7" fillId="0" borderId="1" xfId="0" applyNumberFormat="1" applyFont="1" applyBorder="1" applyAlignment="1">
      <alignment horizontal="left" vertical="top"/>
    </xf>
    <xf numFmtId="167" fontId="7" fillId="0" borderId="4" xfId="0" applyNumberFormat="1" applyFont="1" applyBorder="1" applyAlignment="1">
      <alignment horizontal="left" vertical="top"/>
    </xf>
    <xf numFmtId="167" fontId="7" fillId="0" borderId="5" xfId="0" applyNumberFormat="1" applyFont="1" applyBorder="1" applyAlignment="1">
      <alignment horizontal="left" vertical="top"/>
    </xf>
    <xf numFmtId="0" fontId="4" fillId="0" borderId="0" xfId="0" applyFont="1" applyBorder="1" applyAlignment="1">
      <alignment horizontal="left" vertical="top"/>
    </xf>
    <xf numFmtId="9" fontId="19" fillId="0" borderId="1" xfId="5" applyFont="1" applyFill="1" applyBorder="1" applyAlignment="1">
      <alignment horizontal="center"/>
    </xf>
    <xf numFmtId="9" fontId="19" fillId="0" borderId="5" xfId="5" applyFont="1" applyFill="1" applyBorder="1" applyAlignment="1">
      <alignment horizontal="center"/>
    </xf>
    <xf numFmtId="9" fontId="19" fillId="0" borderId="4" xfId="5" applyFont="1" applyFill="1" applyBorder="1" applyAlignment="1">
      <alignment horizontal="center"/>
    </xf>
    <xf numFmtId="0" fontId="3" fillId="0" borderId="1"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19" fillId="0" borderId="6"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9" fontId="19" fillId="0" borderId="1" xfId="0" applyNumberFormat="1" applyFont="1" applyBorder="1" applyAlignment="1">
      <alignment horizontal="center" vertical="top" wrapText="1"/>
    </xf>
    <xf numFmtId="0" fontId="19" fillId="0" borderId="5" xfId="0" applyFont="1" applyBorder="1" applyAlignment="1">
      <alignment horizontal="center" vertical="top" wrapText="1"/>
    </xf>
    <xf numFmtId="0" fontId="19" fillId="0" borderId="1" xfId="0" applyFont="1" applyBorder="1" applyAlignment="1">
      <alignment horizontal="center" vertical="top" wrapText="1"/>
    </xf>
    <xf numFmtId="0" fontId="19" fillId="0" borderId="4" xfId="0" applyFont="1" applyBorder="1" applyAlignment="1">
      <alignment horizontal="center" vertical="top" wrapText="1"/>
    </xf>
    <xf numFmtId="0" fontId="19" fillId="0" borderId="6" xfId="0" applyFont="1" applyBorder="1" applyAlignment="1">
      <alignment horizontal="center" vertical="top" wrapText="1"/>
    </xf>
    <xf numFmtId="0" fontId="19" fillId="0" borderId="7" xfId="0" applyFont="1" applyBorder="1" applyAlignment="1">
      <alignment horizontal="center" vertical="top" wrapText="1"/>
    </xf>
    <xf numFmtId="0" fontId="19" fillId="0" borderId="8" xfId="0" applyFont="1" applyBorder="1" applyAlignment="1">
      <alignment horizontal="center" vertical="top" wrapText="1"/>
    </xf>
    <xf numFmtId="0" fontId="19" fillId="0" borderId="9" xfId="0" applyFont="1" applyBorder="1" applyAlignment="1">
      <alignment horizontal="center" vertical="top" wrapText="1"/>
    </xf>
    <xf numFmtId="0" fontId="19" fillId="0" borderId="0" xfId="0" applyFont="1" applyAlignment="1">
      <alignment horizontal="center" vertical="top" wrapText="1"/>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19" fillId="0" borderId="13" xfId="0" applyFont="1" applyBorder="1" applyAlignment="1">
      <alignment horizontal="center" vertical="top" wrapText="1"/>
    </xf>
    <xf numFmtId="0" fontId="19" fillId="0" borderId="12" xfId="0" applyFont="1" applyBorder="1" applyAlignment="1">
      <alignment horizontal="center" vertical="top" wrapText="1"/>
    </xf>
    <xf numFmtId="9" fontId="10" fillId="0" borderId="2" xfId="6" applyNumberFormat="1" applyFont="1" applyBorder="1" applyAlignment="1" applyProtection="1">
      <alignment horizontal="center" vertical="center" wrapText="1"/>
      <protection hidden="1"/>
    </xf>
    <xf numFmtId="9" fontId="10" fillId="0" borderId="28" xfId="6" applyNumberFormat="1" applyFont="1" applyBorder="1" applyAlignment="1" applyProtection="1">
      <alignment horizontal="center" vertical="center" wrapText="1"/>
      <protection hidden="1"/>
    </xf>
    <xf numFmtId="9" fontId="10" fillId="0" borderId="6" xfId="6" applyNumberFormat="1" applyFont="1" applyBorder="1" applyAlignment="1" applyProtection="1">
      <alignment horizontal="center" vertical="center" wrapText="1"/>
      <protection hidden="1"/>
    </xf>
    <xf numFmtId="9" fontId="10" fillId="0" borderId="7" xfId="6" applyNumberFormat="1" applyFont="1" applyBorder="1" applyAlignment="1" applyProtection="1">
      <alignment horizontal="center" vertical="center" wrapText="1"/>
      <protection hidden="1"/>
    </xf>
    <xf numFmtId="9" fontId="10" fillId="0" borderId="26" xfId="6" applyNumberFormat="1" applyFont="1" applyBorder="1" applyAlignment="1" applyProtection="1">
      <alignment horizontal="center" vertical="center" wrapText="1"/>
      <protection hidden="1"/>
    </xf>
    <xf numFmtId="9" fontId="10" fillId="0" borderId="9" xfId="6" applyNumberFormat="1" applyFont="1" applyBorder="1" applyAlignment="1" applyProtection="1">
      <alignment horizontal="center" vertical="center" wrapText="1"/>
      <protection hidden="1"/>
    </xf>
    <xf numFmtId="9" fontId="10" fillId="0" borderId="0" xfId="6" applyNumberFormat="1" applyFont="1" applyAlignment="1" applyProtection="1">
      <alignment horizontal="center" vertical="center" wrapText="1"/>
      <protection hidden="1"/>
    </xf>
    <xf numFmtId="9" fontId="10" fillId="0" borderId="23" xfId="6" applyNumberFormat="1" applyFont="1" applyBorder="1" applyAlignment="1" applyProtection="1">
      <alignment horizontal="center" vertical="center" wrapText="1"/>
      <protection hidden="1"/>
    </xf>
    <xf numFmtId="9" fontId="10" fillId="0" borderId="31" xfId="6" applyNumberFormat="1" applyFont="1" applyBorder="1" applyAlignment="1" applyProtection="1">
      <alignment horizontal="center" vertical="center" wrapText="1"/>
      <protection hidden="1"/>
    </xf>
    <xf numFmtId="9" fontId="10" fillId="0" borderId="32" xfId="6" applyNumberFormat="1" applyFont="1" applyBorder="1" applyAlignment="1" applyProtection="1">
      <alignment horizontal="center" vertical="center" wrapText="1"/>
      <protection hidden="1"/>
    </xf>
    <xf numFmtId="9" fontId="10" fillId="0" borderId="33" xfId="6" applyNumberFormat="1" applyFont="1" applyBorder="1" applyAlignment="1" applyProtection="1">
      <alignment horizontal="center" vertical="center" wrapText="1"/>
      <protection hidden="1"/>
    </xf>
    <xf numFmtId="0" fontId="10" fillId="0" borderId="21" xfId="6" applyFont="1" applyBorder="1" applyAlignment="1" applyProtection="1">
      <alignment horizontal="center" vertical="top" wrapText="1"/>
      <protection locked="0"/>
    </xf>
    <xf numFmtId="0" fontId="10" fillId="0" borderId="2" xfId="6" applyFont="1" applyBorder="1" applyAlignment="1" applyProtection="1">
      <alignment horizontal="center" vertical="top" wrapText="1"/>
      <protection locked="0"/>
    </xf>
    <xf numFmtId="9" fontId="10" fillId="0" borderId="1" xfId="6" applyNumberFormat="1" applyFont="1" applyBorder="1" applyAlignment="1" applyProtection="1">
      <alignment horizontal="center" vertical="center" wrapText="1"/>
      <protection hidden="1"/>
    </xf>
    <xf numFmtId="9" fontId="10" fillId="0" borderId="5" xfId="6" applyNumberFormat="1" applyFont="1" applyBorder="1" applyAlignment="1" applyProtection="1">
      <alignment horizontal="center" vertical="center" wrapText="1"/>
      <protection hidden="1"/>
    </xf>
    <xf numFmtId="0" fontId="10" fillId="0" borderId="1" xfId="6" applyFont="1" applyBorder="1" applyAlignment="1" applyProtection="1">
      <alignment horizontal="center" vertical="top"/>
      <protection locked="0"/>
    </xf>
    <xf numFmtId="0" fontId="10" fillId="0" borderId="5" xfId="6" applyFont="1" applyBorder="1" applyAlignment="1" applyProtection="1">
      <alignment horizontal="center" vertical="top"/>
      <protection locked="0"/>
    </xf>
    <xf numFmtId="9" fontId="10" fillId="0" borderId="29" xfId="6" applyNumberFormat="1" applyFont="1" applyBorder="1" applyAlignment="1" applyProtection="1">
      <alignment horizontal="center" vertical="center" wrapText="1"/>
      <protection hidden="1"/>
    </xf>
    <xf numFmtId="9" fontId="10" fillId="0" borderId="30" xfId="6" applyNumberFormat="1" applyFont="1" applyBorder="1" applyAlignment="1" applyProtection="1">
      <alignment horizontal="center" vertical="center" wrapText="1"/>
      <protection hidden="1"/>
    </xf>
    <xf numFmtId="0" fontId="10" fillId="0" borderId="22" xfId="6" applyFont="1" applyBorder="1" applyAlignment="1" applyProtection="1">
      <alignment horizontal="center" vertical="top"/>
      <protection locked="0"/>
    </xf>
    <xf numFmtId="0" fontId="11" fillId="0" borderId="21" xfId="6" applyFont="1" applyBorder="1" applyAlignment="1" applyProtection="1">
      <alignment horizontal="left" vertical="top"/>
      <protection locked="0"/>
    </xf>
    <xf numFmtId="0" fontId="11" fillId="0" borderId="2" xfId="6" applyFont="1" applyBorder="1" applyAlignment="1" applyProtection="1">
      <alignment horizontal="left" vertical="top"/>
      <protection locked="0"/>
    </xf>
    <xf numFmtId="0" fontId="11" fillId="0" borderId="1" xfId="6" applyFont="1" applyBorder="1" applyAlignment="1" applyProtection="1">
      <alignment horizontal="left" vertical="top" wrapText="1"/>
      <protection locked="0"/>
    </xf>
    <xf numFmtId="0" fontId="11" fillId="0" borderId="4" xfId="6" applyFont="1" applyBorder="1" applyAlignment="1" applyProtection="1">
      <alignment horizontal="left" vertical="top" wrapText="1"/>
      <protection locked="0"/>
    </xf>
    <xf numFmtId="0" fontId="11" fillId="0" borderId="22" xfId="6" applyFont="1" applyBorder="1" applyAlignment="1" applyProtection="1">
      <alignment horizontal="left" vertical="top" wrapText="1"/>
      <protection locked="0"/>
    </xf>
    <xf numFmtId="0" fontId="10" fillId="0" borderId="24" xfId="6" applyFont="1" applyBorder="1" applyAlignment="1" applyProtection="1">
      <alignment horizontal="center" vertical="top" wrapText="1"/>
      <protection locked="0"/>
    </xf>
    <xf numFmtId="0" fontId="10" fillId="0" borderId="5" xfId="6" applyFont="1" applyBorder="1" applyAlignment="1" applyProtection="1">
      <alignment horizontal="center" vertical="top" wrapText="1"/>
      <protection locked="0"/>
    </xf>
    <xf numFmtId="0" fontId="10" fillId="0" borderId="25" xfId="6" applyFont="1" applyBorder="1" applyAlignment="1" applyProtection="1">
      <alignment horizontal="center" vertical="top" wrapText="1"/>
      <protection locked="0"/>
    </xf>
    <xf numFmtId="0" fontId="10" fillId="0" borderId="21" xfId="6" applyFont="1" applyBorder="1" applyAlignment="1" applyProtection="1">
      <alignment horizontal="center" vertical="top"/>
      <protection locked="0"/>
    </xf>
    <xf numFmtId="0" fontId="10" fillId="0" borderId="2" xfId="6" applyFont="1" applyBorder="1" applyAlignment="1" applyProtection="1">
      <alignment horizontal="center" vertical="top"/>
      <protection locked="0"/>
    </xf>
    <xf numFmtId="0" fontId="10" fillId="0" borderId="27" xfId="6" applyFont="1" applyBorder="1" applyAlignment="1" applyProtection="1">
      <alignment horizontal="center" vertical="top" wrapText="1"/>
      <protection locked="0"/>
    </xf>
    <xf numFmtId="0" fontId="10" fillId="0" borderId="28" xfId="6" applyFont="1" applyBorder="1" applyAlignment="1" applyProtection="1">
      <alignment horizontal="center" vertical="top" wrapText="1"/>
      <protection locked="0"/>
    </xf>
    <xf numFmtId="0" fontId="11" fillId="0" borderId="14" xfId="6" applyFont="1" applyBorder="1" applyAlignment="1" applyProtection="1">
      <alignment horizontal="center" vertical="top" wrapText="1"/>
      <protection locked="0"/>
    </xf>
    <xf numFmtId="0" fontId="11" fillId="0" borderId="15" xfId="6" applyFont="1" applyBorder="1" applyAlignment="1" applyProtection="1">
      <alignment horizontal="center" vertical="top" wrapText="1"/>
      <protection locked="0"/>
    </xf>
    <xf numFmtId="0" fontId="11" fillId="0" borderId="16" xfId="6" applyFont="1" applyBorder="1" applyAlignment="1" applyProtection="1">
      <alignment horizontal="left" vertical="top" wrapText="1"/>
      <protection locked="0"/>
    </xf>
    <xf numFmtId="0" fontId="11" fillId="0" borderId="17" xfId="6" applyFont="1" applyBorder="1" applyAlignment="1" applyProtection="1">
      <alignment horizontal="left" vertical="top" wrapText="1"/>
      <protection locked="0"/>
    </xf>
    <xf numFmtId="0" fontId="11" fillId="0" borderId="18" xfId="6" applyFont="1" applyBorder="1" applyAlignment="1" applyProtection="1">
      <alignment horizontal="left" vertical="top" wrapText="1"/>
      <protection locked="0"/>
    </xf>
    <xf numFmtId="1" fontId="6" fillId="0" borderId="1" xfId="0" applyNumberFormat="1" applyFont="1" applyBorder="1" applyAlignment="1">
      <alignment horizontal="center" vertical="center" wrapText="1"/>
    </xf>
    <xf numFmtId="1" fontId="6" fillId="0" borderId="4" xfId="0" applyNumberFormat="1" applyFont="1" applyBorder="1" applyAlignment="1">
      <alignment horizontal="center" vertical="center" wrapText="1"/>
    </xf>
    <xf numFmtId="1" fontId="6" fillId="0" borderId="5" xfId="0" applyNumberFormat="1" applyFont="1" applyBorder="1" applyAlignment="1">
      <alignment horizontal="center" vertical="center" wrapText="1"/>
    </xf>
    <xf numFmtId="1" fontId="8" fillId="0" borderId="9" xfId="0" applyNumberFormat="1" applyFont="1" applyBorder="1" applyAlignment="1">
      <alignment horizontal="center" vertical="center" wrapText="1"/>
    </xf>
    <xf numFmtId="1" fontId="8" fillId="0" borderId="10" xfId="0" applyNumberFormat="1" applyFont="1" applyBorder="1" applyAlignment="1">
      <alignment horizontal="center" vertical="center" wrapText="1"/>
    </xf>
    <xf numFmtId="1" fontId="6" fillId="3" borderId="6" xfId="0" applyNumberFormat="1" applyFont="1" applyFill="1" applyBorder="1" applyAlignment="1">
      <alignment horizontal="center" vertical="center" wrapText="1"/>
    </xf>
    <xf numFmtId="1" fontId="6" fillId="3" borderId="7" xfId="0" applyNumberFormat="1" applyFont="1" applyFill="1" applyBorder="1" applyAlignment="1">
      <alignment horizontal="center" vertical="center" wrapText="1"/>
    </xf>
    <xf numFmtId="1" fontId="6" fillId="3" borderId="8" xfId="0" applyNumberFormat="1" applyFont="1" applyFill="1" applyBorder="1" applyAlignment="1">
      <alignment horizontal="center" vertical="center" wrapText="1"/>
    </xf>
    <xf numFmtId="1" fontId="8" fillId="0" borderId="2" xfId="0" applyNumberFormat="1" applyFont="1" applyBorder="1" applyAlignment="1">
      <alignment horizontal="center" vertical="center" wrapText="1"/>
    </xf>
    <xf numFmtId="1" fontId="11" fillId="3" borderId="1" xfId="0" applyNumberFormat="1" applyFont="1" applyFill="1" applyBorder="1" applyAlignment="1">
      <alignment horizontal="center" vertical="center" wrapText="1"/>
    </xf>
    <xf numFmtId="1" fontId="11" fillId="3" borderId="4" xfId="0" applyNumberFormat="1" applyFont="1" applyFill="1" applyBorder="1" applyAlignment="1">
      <alignment horizontal="center" vertical="center" wrapText="1"/>
    </xf>
    <xf numFmtId="1" fontId="11" fillId="3" borderId="5" xfId="0" applyNumberFormat="1" applyFont="1" applyFill="1" applyBorder="1" applyAlignment="1">
      <alignment horizontal="center" vertical="center" wrapText="1"/>
    </xf>
    <xf numFmtId="1" fontId="6" fillId="3" borderId="1" xfId="0" applyNumberFormat="1" applyFont="1" applyFill="1" applyBorder="1" applyAlignment="1">
      <alignment horizontal="center" vertical="center" wrapText="1"/>
    </xf>
    <xf numFmtId="1" fontId="6" fillId="3" borderId="4" xfId="0" applyNumberFormat="1" applyFont="1" applyFill="1" applyBorder="1" applyAlignment="1">
      <alignment horizontal="center" vertical="center" wrapText="1"/>
    </xf>
    <xf numFmtId="1" fontId="6" fillId="3" borderId="5" xfId="0" applyNumberFormat="1" applyFont="1" applyFill="1" applyBorder="1" applyAlignment="1">
      <alignment horizontal="center" vertical="center" wrapText="1"/>
    </xf>
    <xf numFmtId="1" fontId="20" fillId="0" borderId="1" xfId="0" applyNumberFormat="1" applyFont="1" applyBorder="1" applyAlignment="1">
      <alignment horizontal="center" vertical="top" wrapText="1"/>
    </xf>
    <xf numFmtId="1" fontId="20" fillId="0" borderId="4" xfId="0" applyNumberFormat="1" applyFont="1" applyBorder="1" applyAlignment="1">
      <alignment horizontal="center" vertical="top" wrapText="1"/>
    </xf>
    <xf numFmtId="1" fontId="20" fillId="0" borderId="5" xfId="0" applyNumberFormat="1" applyFont="1" applyBorder="1" applyAlignment="1">
      <alignment horizontal="center" vertical="top" wrapText="1"/>
    </xf>
    <xf numFmtId="1" fontId="8" fillId="0" borderId="1" xfId="0" applyNumberFormat="1" applyFont="1" applyBorder="1" applyAlignment="1">
      <alignment horizontal="center" vertical="top" wrapText="1"/>
    </xf>
    <xf numFmtId="1" fontId="8" fillId="0" borderId="4" xfId="0" applyNumberFormat="1" applyFont="1" applyBorder="1" applyAlignment="1">
      <alignment horizontal="center" vertical="top" wrapText="1"/>
    </xf>
    <xf numFmtId="1" fontId="8" fillId="0" borderId="22" xfId="0" applyNumberFormat="1" applyFont="1" applyBorder="1" applyAlignment="1">
      <alignment horizontal="center" vertical="top" wrapText="1"/>
    </xf>
    <xf numFmtId="0" fontId="6" fillId="0" borderId="11" xfId="0" applyFont="1" applyBorder="1" applyAlignment="1">
      <alignment horizontal="center" vertical="top"/>
    </xf>
    <xf numFmtId="0" fontId="6" fillId="0" borderId="13" xfId="0" applyFont="1" applyBorder="1" applyAlignment="1">
      <alignment horizontal="center" vertical="top"/>
    </xf>
    <xf numFmtId="0" fontId="6" fillId="0" borderId="12" xfId="0" applyFont="1" applyBorder="1" applyAlignment="1">
      <alignment horizontal="center" vertical="top"/>
    </xf>
    <xf numFmtId="0" fontId="6" fillId="0" borderId="1" xfId="0" applyFont="1" applyBorder="1" applyAlignment="1">
      <alignment horizontal="center" vertical="top"/>
    </xf>
    <xf numFmtId="0" fontId="6" fillId="0" borderId="4" xfId="0" applyFont="1" applyBorder="1" applyAlignment="1">
      <alignment horizontal="center" vertical="top"/>
    </xf>
    <xf numFmtId="0" fontId="6" fillId="0" borderId="5" xfId="0" applyFont="1" applyBorder="1" applyAlignment="1">
      <alignment horizontal="center" vertical="top"/>
    </xf>
    <xf numFmtId="1" fontId="6" fillId="0" borderId="47" xfId="0" applyNumberFormat="1" applyFont="1" applyBorder="1" applyAlignment="1">
      <alignment horizontal="center" vertical="top" wrapText="1"/>
    </xf>
    <xf numFmtId="1" fontId="6" fillId="0" borderId="45" xfId="0" applyNumberFormat="1" applyFont="1" applyBorder="1" applyAlignment="1">
      <alignment horizontal="center" vertical="top" wrapText="1"/>
    </xf>
    <xf numFmtId="1" fontId="6" fillId="0" borderId="49" xfId="0" applyNumberFormat="1" applyFont="1" applyBorder="1" applyAlignment="1">
      <alignment horizontal="center" vertical="top" wrapText="1"/>
    </xf>
    <xf numFmtId="1" fontId="10" fillId="0" borderId="39" xfId="0" applyNumberFormat="1" applyFont="1" applyBorder="1" applyAlignment="1">
      <alignment horizontal="center" vertical="center" wrapText="1"/>
    </xf>
    <xf numFmtId="1" fontId="10" fillId="0" borderId="40" xfId="0" applyNumberFormat="1" applyFont="1" applyBorder="1" applyAlignment="1">
      <alignment horizontal="center" vertical="center" wrapText="1"/>
    </xf>
    <xf numFmtId="1" fontId="6" fillId="0" borderId="1" xfId="0" applyNumberFormat="1" applyFont="1" applyBorder="1" applyAlignment="1">
      <alignment horizontal="center" vertical="top" wrapText="1"/>
    </xf>
    <xf numFmtId="1" fontId="6" fillId="0" borderId="5" xfId="0" applyNumberFormat="1" applyFont="1" applyBorder="1" applyAlignment="1">
      <alignment horizontal="center" vertical="top" wrapText="1"/>
    </xf>
    <xf numFmtId="1" fontId="11" fillId="0" borderId="47" xfId="0" applyNumberFormat="1" applyFont="1" applyBorder="1" applyAlignment="1">
      <alignment horizontal="center" vertical="top" wrapText="1"/>
    </xf>
    <xf numFmtId="1" fontId="11" fillId="0" borderId="45" xfId="0" applyNumberFormat="1" applyFont="1" applyBorder="1" applyAlignment="1">
      <alignment horizontal="center" vertical="top" wrapText="1"/>
    </xf>
    <xf numFmtId="1" fontId="11" fillId="0" borderId="48" xfId="0" applyNumberFormat="1" applyFont="1" applyBorder="1" applyAlignment="1">
      <alignment horizontal="center" vertical="top" wrapText="1"/>
    </xf>
    <xf numFmtId="1" fontId="11" fillId="0" borderId="49" xfId="0" applyNumberFormat="1" applyFont="1" applyBorder="1" applyAlignment="1">
      <alignment horizontal="center" vertical="top" wrapText="1"/>
    </xf>
    <xf numFmtId="0" fontId="11" fillId="0" borderId="6" xfId="0" applyFont="1" applyBorder="1" applyAlignment="1">
      <alignment horizontal="center" vertical="top" wrapText="1"/>
    </xf>
    <xf numFmtId="0" fontId="11" fillId="0" borderId="7" xfId="0" applyFont="1" applyBorder="1" applyAlignment="1">
      <alignment horizontal="center" vertical="top" wrapText="1"/>
    </xf>
    <xf numFmtId="0" fontId="11" fillId="0" borderId="8" xfId="0" applyFont="1" applyBorder="1" applyAlignment="1">
      <alignment horizontal="center" vertical="top" wrapText="1"/>
    </xf>
    <xf numFmtId="1" fontId="11" fillId="0" borderId="7" xfId="0" applyNumberFormat="1" applyFont="1" applyBorder="1" applyAlignment="1">
      <alignment horizontal="center" vertical="top" wrapText="1"/>
    </xf>
    <xf numFmtId="1" fontId="8" fillId="0" borderId="29" xfId="0" applyNumberFormat="1" applyFont="1" applyFill="1" applyBorder="1" applyAlignment="1">
      <alignment horizontal="center" vertical="top" wrapText="1"/>
    </xf>
    <xf numFmtId="1" fontId="8" fillId="0" borderId="41" xfId="0" applyNumberFormat="1" applyFont="1" applyFill="1" applyBorder="1" applyAlignment="1">
      <alignment horizontal="center" vertical="top" wrapText="1"/>
    </xf>
    <xf numFmtId="1" fontId="8" fillId="0" borderId="42" xfId="0" applyNumberFormat="1" applyFont="1" applyFill="1" applyBorder="1" applyAlignment="1">
      <alignment horizontal="center" vertical="top" wrapText="1"/>
    </xf>
    <xf numFmtId="1" fontId="10" fillId="0" borderId="16" xfId="0" applyNumberFormat="1" applyFont="1" applyBorder="1" applyAlignment="1">
      <alignment horizontal="center" vertical="top" wrapText="1"/>
    </xf>
    <xf numFmtId="1" fontId="10" fillId="0" borderId="17" xfId="0" applyNumberFormat="1" applyFont="1" applyBorder="1" applyAlignment="1">
      <alignment horizontal="center" vertical="top" wrapText="1"/>
    </xf>
    <xf numFmtId="1" fontId="10" fillId="0" borderId="15" xfId="0" applyNumberFormat="1" applyFont="1" applyBorder="1" applyAlignment="1">
      <alignment horizontal="center" vertical="top" wrapText="1"/>
    </xf>
    <xf numFmtId="0" fontId="4" fillId="0" borderId="1" xfId="0" applyFont="1" applyBorder="1" applyAlignment="1">
      <alignment horizontal="center" vertical="top"/>
    </xf>
    <xf numFmtId="0" fontId="4" fillId="0" borderId="5" xfId="0" applyFont="1" applyBorder="1" applyAlignment="1">
      <alignment horizontal="center" vertical="top"/>
    </xf>
    <xf numFmtId="0" fontId="3" fillId="0" borderId="1" xfId="0" applyFont="1" applyBorder="1" applyAlignment="1">
      <alignment horizontal="center" vertical="top"/>
    </xf>
    <xf numFmtId="0" fontId="3" fillId="0" borderId="5" xfId="0" applyFont="1" applyBorder="1" applyAlignment="1">
      <alignment horizontal="center" vertical="top"/>
    </xf>
    <xf numFmtId="1" fontId="20" fillId="0" borderId="28" xfId="0" applyNumberFormat="1" applyFont="1" applyBorder="1" applyAlignment="1">
      <alignment horizontal="center" vertical="top" wrapText="1"/>
    </xf>
    <xf numFmtId="1" fontId="8" fillId="0" borderId="28" xfId="0" applyNumberFormat="1" applyFont="1" applyBorder="1" applyAlignment="1">
      <alignment horizontal="center" vertical="top" wrapText="1"/>
    </xf>
    <xf numFmtId="1" fontId="8" fillId="0" borderId="38" xfId="0" applyNumberFormat="1" applyFont="1" applyBorder="1" applyAlignment="1">
      <alignment horizontal="center" vertical="top" wrapText="1"/>
    </xf>
    <xf numFmtId="0" fontId="22" fillId="0" borderId="14" xfId="6" applyFont="1" applyBorder="1" applyAlignment="1" applyProtection="1">
      <alignment horizontal="center" vertical="top" wrapText="1"/>
      <protection locked="0"/>
    </xf>
    <xf numFmtId="0" fontId="22" fillId="0" borderId="15" xfId="6" applyFont="1" applyBorder="1" applyAlignment="1" applyProtection="1">
      <alignment horizontal="center" vertical="top" wrapText="1"/>
      <protection locked="0"/>
    </xf>
    <xf numFmtId="0" fontId="22" fillId="0" borderId="16" xfId="6" applyFont="1" applyBorder="1" applyAlignment="1" applyProtection="1">
      <alignment horizontal="left" vertical="top" wrapText="1"/>
      <protection locked="0"/>
    </xf>
    <xf numFmtId="0" fontId="22" fillId="0" borderId="17" xfId="6" applyFont="1" applyBorder="1" applyAlignment="1" applyProtection="1">
      <alignment horizontal="left" vertical="top" wrapText="1"/>
      <protection locked="0"/>
    </xf>
    <xf numFmtId="0" fontId="22" fillId="0" borderId="18" xfId="6" applyFont="1" applyBorder="1" applyAlignment="1" applyProtection="1">
      <alignment horizontal="left" vertical="top" wrapText="1"/>
      <protection locked="0"/>
    </xf>
    <xf numFmtId="0" fontId="3" fillId="0" borderId="1"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horizontal="left" vertical="top"/>
    </xf>
    <xf numFmtId="0" fontId="15" fillId="0" borderId="1" xfId="0" applyFont="1" applyBorder="1" applyAlignment="1">
      <alignment horizontal="left" vertical="top"/>
    </xf>
    <xf numFmtId="0" fontId="15" fillId="0" borderId="4" xfId="0" applyFont="1" applyBorder="1" applyAlignment="1">
      <alignment horizontal="left" vertical="top"/>
    </xf>
    <xf numFmtId="0" fontId="15" fillId="0" borderId="5" xfId="0" applyFont="1" applyBorder="1" applyAlignment="1">
      <alignment horizontal="left" vertical="top"/>
    </xf>
    <xf numFmtId="0" fontId="7" fillId="0" borderId="2" xfId="0" applyFont="1" applyBorder="1" applyAlignment="1">
      <alignment horizontal="left" vertical="top"/>
    </xf>
    <xf numFmtId="0" fontId="3" fillId="0" borderId="1" xfId="0" applyFont="1" applyBorder="1" applyAlignment="1">
      <alignment vertical="top"/>
    </xf>
    <xf numFmtId="0" fontId="3" fillId="0" borderId="4" xfId="0" applyFont="1" applyBorder="1" applyAlignment="1">
      <alignment vertical="top"/>
    </xf>
    <xf numFmtId="0" fontId="3" fillId="0" borderId="5" xfId="0" applyFont="1" applyBorder="1" applyAlignment="1">
      <alignment vertical="top"/>
    </xf>
    <xf numFmtId="0" fontId="19" fillId="2" borderId="4" xfId="0" applyFont="1" applyFill="1" applyBorder="1" applyAlignment="1">
      <alignment horizontal="left" vertical="top" wrapText="1"/>
    </xf>
    <xf numFmtId="0" fontId="4" fillId="0" borderId="1" xfId="0" applyFont="1" applyBorder="1" applyAlignment="1">
      <alignment vertical="top" wrapText="1"/>
    </xf>
    <xf numFmtId="0" fontId="4" fillId="0" borderId="4" xfId="0" applyFont="1" applyBorder="1" applyAlignment="1">
      <alignment vertical="top" wrapText="1"/>
    </xf>
    <xf numFmtId="0" fontId="4" fillId="0" borderId="5" xfId="0" applyFont="1" applyBorder="1" applyAlignment="1">
      <alignment vertical="top" wrapText="1"/>
    </xf>
    <xf numFmtId="1" fontId="20" fillId="0" borderId="11" xfId="0" applyNumberFormat="1" applyFont="1" applyBorder="1" applyAlignment="1">
      <alignment horizontal="center" vertical="top" wrapText="1"/>
    </xf>
    <xf numFmtId="1" fontId="20" fillId="0" borderId="13" xfId="0" applyNumberFormat="1" applyFont="1" applyBorder="1" applyAlignment="1">
      <alignment horizontal="center" vertical="top" wrapText="1"/>
    </xf>
    <xf numFmtId="1" fontId="20" fillId="0" borderId="12" xfId="0" applyNumberFormat="1" applyFont="1" applyBorder="1" applyAlignment="1">
      <alignment horizontal="center" vertical="top" wrapText="1"/>
    </xf>
    <xf numFmtId="1" fontId="8" fillId="0" borderId="11" xfId="0" applyNumberFormat="1" applyFont="1" applyBorder="1" applyAlignment="1">
      <alignment horizontal="center" vertical="top" wrapText="1"/>
    </xf>
    <xf numFmtId="1" fontId="8" fillId="0" borderId="13" xfId="0" applyNumberFormat="1" applyFont="1" applyBorder="1" applyAlignment="1">
      <alignment horizontal="center" vertical="top" wrapText="1"/>
    </xf>
    <xf numFmtId="1" fontId="8" fillId="0" borderId="12" xfId="0" applyNumberFormat="1" applyFont="1" applyBorder="1" applyAlignment="1">
      <alignment horizontal="center" vertical="top" wrapText="1"/>
    </xf>
    <xf numFmtId="1" fontId="20" fillId="0" borderId="6" xfId="0" applyNumberFormat="1" applyFont="1" applyBorder="1" applyAlignment="1">
      <alignment horizontal="center" vertical="top" wrapText="1"/>
    </xf>
    <xf numFmtId="1" fontId="20" fillId="0" borderId="7" xfId="0" applyNumberFormat="1" applyFont="1" applyBorder="1" applyAlignment="1">
      <alignment horizontal="center" vertical="top" wrapText="1"/>
    </xf>
    <xf numFmtId="1" fontId="20" fillId="0" borderId="8" xfId="0" applyNumberFormat="1" applyFont="1" applyBorder="1" applyAlignment="1">
      <alignment horizontal="center" vertical="top" wrapText="1"/>
    </xf>
    <xf numFmtId="1" fontId="8" fillId="0" borderId="6" xfId="0" applyNumberFormat="1" applyFont="1" applyBorder="1" applyAlignment="1">
      <alignment horizontal="center" vertical="top" wrapText="1"/>
    </xf>
    <xf numFmtId="1" fontId="8" fillId="0" borderId="7" xfId="0" applyNumberFormat="1" applyFont="1" applyBorder="1" applyAlignment="1">
      <alignment horizontal="center" vertical="top" wrapText="1"/>
    </xf>
    <xf numFmtId="1" fontId="8" fillId="0" borderId="8" xfId="0" applyNumberFormat="1" applyFont="1" applyBorder="1" applyAlignment="1">
      <alignment horizontal="center" vertical="top" wrapText="1"/>
    </xf>
    <xf numFmtId="0" fontId="4" fillId="0" borderId="1" xfId="0" applyFont="1" applyBorder="1" applyAlignment="1">
      <alignment vertical="top"/>
    </xf>
    <xf numFmtId="0" fontId="4" fillId="0" borderId="4" xfId="0" applyFont="1" applyBorder="1" applyAlignment="1">
      <alignment vertical="top"/>
    </xf>
    <xf numFmtId="0" fontId="4" fillId="0" borderId="5" xfId="0" applyFont="1" applyBorder="1" applyAlignment="1">
      <alignment vertical="top"/>
    </xf>
    <xf numFmtId="0" fontId="3" fillId="0" borderId="1" xfId="2" applyFont="1" applyBorder="1" applyAlignment="1">
      <alignment horizontal="left" vertical="top" wrapText="1"/>
    </xf>
    <xf numFmtId="0" fontId="3" fillId="0" borderId="4" xfId="2" applyFont="1" applyBorder="1" applyAlignment="1">
      <alignment horizontal="left" vertical="top" wrapText="1"/>
    </xf>
    <xf numFmtId="0" fontId="3" fillId="0" borderId="5" xfId="2" applyFont="1" applyBorder="1" applyAlignment="1">
      <alignment horizontal="left" vertical="top" wrapText="1"/>
    </xf>
    <xf numFmtId="1" fontId="20" fillId="0" borderId="36" xfId="0" applyNumberFormat="1" applyFont="1" applyBorder="1" applyAlignment="1">
      <alignment horizontal="center" vertical="top" wrapText="1"/>
    </xf>
    <xf numFmtId="1" fontId="8" fillId="0" borderId="36" xfId="0" applyNumberFormat="1" applyFont="1" applyBorder="1" applyAlignment="1">
      <alignment horizontal="center" vertical="top" wrapText="1"/>
    </xf>
    <xf numFmtId="1" fontId="8" fillId="0" borderId="37" xfId="0" applyNumberFormat="1" applyFont="1" applyBorder="1" applyAlignment="1">
      <alignment horizontal="center" vertical="top" wrapText="1"/>
    </xf>
    <xf numFmtId="1" fontId="20" fillId="0" borderId="2"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25" xfId="0" applyNumberFormat="1" applyFont="1" applyBorder="1" applyAlignment="1">
      <alignment horizontal="center" vertical="top" wrapText="1"/>
    </xf>
    <xf numFmtId="1" fontId="6" fillId="0" borderId="44" xfId="0" applyNumberFormat="1" applyFont="1" applyBorder="1" applyAlignment="1">
      <alignment horizontal="center" vertical="center" wrapText="1"/>
    </xf>
    <xf numFmtId="1" fontId="6" fillId="0" borderId="45" xfId="0" applyNumberFormat="1" applyFont="1" applyBorder="1" applyAlignment="1">
      <alignment horizontal="center" vertical="center"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11" xfId="0" applyFont="1" applyBorder="1" applyAlignment="1">
      <alignment horizontal="left" vertical="top" wrapText="1"/>
    </xf>
    <xf numFmtId="0" fontId="4" fillId="0" borderId="13" xfId="0" applyFont="1" applyBorder="1" applyAlignment="1">
      <alignment horizontal="left" vertical="top" wrapText="1"/>
    </xf>
    <xf numFmtId="0" fontId="4" fillId="0" borderId="12" xfId="0" applyFont="1" applyBorder="1" applyAlignment="1">
      <alignment horizontal="left" vertical="top" wrapText="1"/>
    </xf>
    <xf numFmtId="0" fontId="4" fillId="0" borderId="2" xfId="0" applyFont="1" applyBorder="1" applyAlignment="1">
      <alignment horizontal="left" vertical="top" wrapText="1"/>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11" xfId="0" applyFont="1" applyBorder="1" applyAlignment="1">
      <alignment horizontal="left" vertical="top"/>
    </xf>
    <xf numFmtId="0" fontId="4" fillId="0" borderId="13" xfId="0" applyFont="1" applyBorder="1" applyAlignment="1">
      <alignment horizontal="left" vertical="top"/>
    </xf>
    <xf numFmtId="0" fontId="4" fillId="0" borderId="12" xfId="0" applyFont="1" applyBorder="1" applyAlignment="1">
      <alignment horizontal="left" vertical="top"/>
    </xf>
    <xf numFmtId="0" fontId="3" fillId="0" borderId="4" xfId="0" applyFont="1" applyBorder="1" applyAlignment="1">
      <alignment horizontal="center" vertical="top"/>
    </xf>
    <xf numFmtId="1" fontId="10" fillId="0" borderId="6" xfId="0" applyNumberFormat="1" applyFont="1" applyBorder="1" applyAlignment="1">
      <alignment horizontal="center" vertical="center" wrapText="1"/>
    </xf>
    <xf numFmtId="1" fontId="10" fillId="0" borderId="8" xfId="0" applyNumberFormat="1" applyFont="1" applyBorder="1" applyAlignment="1">
      <alignment horizontal="center" vertical="center" wrapText="1"/>
    </xf>
    <xf numFmtId="1" fontId="10" fillId="0" borderId="9" xfId="0" applyNumberFormat="1" applyFont="1" applyBorder="1" applyAlignment="1">
      <alignment horizontal="center" vertical="center" wrapText="1"/>
    </xf>
    <xf numFmtId="1" fontId="10" fillId="0" borderId="10" xfId="0" applyNumberFormat="1" applyFont="1" applyBorder="1" applyAlignment="1">
      <alignment horizontal="center" vertical="center" wrapText="1"/>
    </xf>
    <xf numFmtId="1" fontId="10" fillId="0" borderId="11" xfId="0" applyNumberFormat="1" applyFont="1" applyBorder="1" applyAlignment="1">
      <alignment horizontal="center" vertical="center" wrapText="1"/>
    </xf>
    <xf numFmtId="1" fontId="10" fillId="0" borderId="12" xfId="0" applyNumberFormat="1" applyFont="1" applyBorder="1" applyAlignment="1">
      <alignment horizontal="center" vertical="center" wrapText="1"/>
    </xf>
    <xf numFmtId="1" fontId="11" fillId="0" borderId="6" xfId="0" applyNumberFormat="1" applyFont="1" applyBorder="1" applyAlignment="1">
      <alignment horizontal="center" vertical="center" wrapText="1"/>
    </xf>
    <xf numFmtId="1" fontId="11" fillId="0" borderId="7" xfId="0" applyNumberFormat="1" applyFont="1" applyBorder="1" applyAlignment="1">
      <alignment horizontal="center" vertical="center" wrapText="1"/>
    </xf>
    <xf numFmtId="1" fontId="11" fillId="0" borderId="8" xfId="0" applyNumberFormat="1" applyFont="1" applyBorder="1" applyAlignment="1">
      <alignment horizontal="center" vertical="center" wrapText="1"/>
    </xf>
    <xf numFmtId="1" fontId="6" fillId="0" borderId="2" xfId="0" applyNumberFormat="1" applyFont="1" applyBorder="1" applyAlignment="1">
      <alignment horizontal="center" vertical="center" wrapText="1"/>
    </xf>
    <xf numFmtId="1" fontId="6" fillId="0" borderId="3" xfId="0"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0" fontId="21" fillId="0" borderId="1" xfId="7" applyFill="1" applyBorder="1" applyAlignment="1">
      <alignment horizontal="left" vertical="top"/>
    </xf>
    <xf numFmtId="0" fontId="7" fillId="0" borderId="7" xfId="0" applyFont="1" applyBorder="1" applyAlignment="1">
      <alignment horizontal="left" vertical="top" wrapText="1"/>
    </xf>
    <xf numFmtId="0" fontId="7" fillId="0" borderId="13" xfId="0" applyFont="1" applyBorder="1" applyAlignment="1">
      <alignment horizontal="left" vertical="top" wrapText="1"/>
    </xf>
    <xf numFmtId="0" fontId="4" fillId="0" borderId="2" xfId="0" applyFont="1" applyBorder="1" applyAlignment="1">
      <alignment horizontal="center" vertical="top" wrapText="1"/>
    </xf>
    <xf numFmtId="0" fontId="19" fillId="0" borderId="2" xfId="0" applyFont="1" applyBorder="1" applyAlignment="1">
      <alignment horizontal="center" vertical="top" wrapText="1"/>
    </xf>
    <xf numFmtId="1" fontId="11" fillId="0" borderId="44" xfId="0" applyNumberFormat="1" applyFont="1" applyBorder="1" applyAlignment="1">
      <alignment horizontal="center" vertical="center" wrapText="1"/>
    </xf>
    <xf numFmtId="1" fontId="11" fillId="0" borderId="45" xfId="0" applyNumberFormat="1" applyFont="1" applyBorder="1" applyAlignment="1">
      <alignment horizontal="center" vertical="center" wrapText="1"/>
    </xf>
    <xf numFmtId="1" fontId="10" fillId="0" borderId="29" xfId="0" applyNumberFormat="1" applyFont="1" applyBorder="1" applyAlignment="1">
      <alignment horizontal="center" vertical="top" wrapText="1"/>
    </xf>
    <xf numFmtId="1" fontId="10" fillId="0" borderId="41" xfId="0" applyNumberFormat="1" applyFont="1" applyBorder="1" applyAlignment="1">
      <alignment horizontal="center" vertical="top" wrapText="1"/>
    </xf>
    <xf numFmtId="1" fontId="10" fillId="0" borderId="30" xfId="0" applyNumberFormat="1" applyFont="1" applyBorder="1" applyAlignment="1">
      <alignment horizontal="center" vertical="top" wrapText="1"/>
    </xf>
    <xf numFmtId="1" fontId="10" fillId="0" borderId="42" xfId="0" applyNumberFormat="1" applyFont="1" applyBorder="1" applyAlignment="1">
      <alignment horizontal="center" vertical="top" wrapText="1"/>
    </xf>
    <xf numFmtId="1" fontId="10" fillId="0" borderId="18" xfId="0" applyNumberFormat="1" applyFont="1" applyBorder="1" applyAlignment="1">
      <alignment horizontal="center" vertical="top" wrapText="1"/>
    </xf>
    <xf numFmtId="0" fontId="19" fillId="0" borderId="1" xfId="0" applyFont="1" applyBorder="1" applyAlignment="1">
      <alignment horizontal="center"/>
    </xf>
    <xf numFmtId="0" fontId="19" fillId="0" borderId="4" xfId="0" applyFont="1" applyBorder="1" applyAlignment="1">
      <alignment horizontal="center"/>
    </xf>
    <xf numFmtId="0" fontId="19" fillId="0" borderId="5" xfId="0" applyFont="1" applyBorder="1" applyAlignment="1">
      <alignment horizontal="center"/>
    </xf>
    <xf numFmtId="0" fontId="3" fillId="0" borderId="7" xfId="0" applyFont="1" applyBorder="1" applyAlignment="1">
      <alignment horizontal="center" vertical="top" wrapText="1"/>
    </xf>
    <xf numFmtId="1" fontId="6" fillId="0" borderId="47" xfId="0" applyNumberFormat="1" applyFont="1" applyFill="1" applyBorder="1" applyAlignment="1">
      <alignment horizontal="center" vertical="top" wrapText="1"/>
    </xf>
    <xf numFmtId="1" fontId="6" fillId="0" borderId="45" xfId="0" applyNumberFormat="1" applyFont="1" applyFill="1" applyBorder="1" applyAlignment="1">
      <alignment horizontal="center" vertical="top" wrapText="1"/>
    </xf>
    <xf numFmtId="1" fontId="6" fillId="0" borderId="49" xfId="0" applyNumberFormat="1" applyFont="1" applyFill="1" applyBorder="1" applyAlignment="1">
      <alignment horizontal="center" vertical="top" wrapText="1"/>
    </xf>
    <xf numFmtId="0" fontId="3" fillId="0" borderId="6"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0" xfId="0" applyFont="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3" xfId="0" applyFont="1" applyBorder="1" applyAlignment="1">
      <alignment horizontal="center" vertical="top" wrapText="1"/>
    </xf>
    <xf numFmtId="0" fontId="3" fillId="0" borderId="12" xfId="0" applyFont="1" applyBorder="1" applyAlignment="1">
      <alignment horizontal="center" vertical="top" wrapText="1"/>
    </xf>
    <xf numFmtId="0" fontId="16" fillId="0" borderId="2" xfId="0" applyFont="1" applyBorder="1" applyAlignment="1">
      <alignment horizontal="center"/>
    </xf>
    <xf numFmtId="0" fontId="16" fillId="2" borderId="2" xfId="0" applyFont="1" applyFill="1" applyBorder="1" applyAlignment="1">
      <alignment horizontal="center"/>
    </xf>
    <xf numFmtId="0" fontId="17" fillId="0" borderId="2" xfId="0" applyFont="1" applyBorder="1" applyAlignment="1">
      <alignment horizontal="center"/>
    </xf>
    <xf numFmtId="0" fontId="16" fillId="0" borderId="2" xfId="0" applyFont="1" applyBorder="1" applyAlignment="1">
      <alignment horizontal="left"/>
    </xf>
    <xf numFmtId="0" fontId="13" fillId="0" borderId="2" xfId="4" applyFont="1" applyBorder="1" applyAlignment="1">
      <alignment horizontal="left"/>
    </xf>
    <xf numFmtId="0" fontId="3" fillId="0" borderId="11" xfId="0" applyFont="1" applyBorder="1" applyAlignment="1">
      <alignment horizontal="left" vertical="top" wrapText="1"/>
    </xf>
    <xf numFmtId="0" fontId="3" fillId="0" borderId="13" xfId="0" applyFont="1" applyBorder="1" applyAlignment="1">
      <alignment horizontal="left" vertical="top" wrapText="1"/>
    </xf>
    <xf numFmtId="0" fontId="3" fillId="0" borderId="12" xfId="0" applyFont="1" applyBorder="1" applyAlignment="1">
      <alignment horizontal="left" vertical="top" wrapText="1"/>
    </xf>
    <xf numFmtId="0" fontId="11" fillId="0" borderId="2" xfId="6" applyFont="1" applyBorder="1" applyAlignment="1" applyProtection="1">
      <alignment horizontal="center" vertical="top" wrapText="1"/>
      <protection locked="0"/>
    </xf>
    <xf numFmtId="0" fontId="11" fillId="0" borderId="2" xfId="6" applyFont="1" applyBorder="1" applyAlignment="1" applyProtection="1">
      <alignment horizontal="left" vertical="top" wrapText="1"/>
      <protection locked="0"/>
    </xf>
    <xf numFmtId="1" fontId="6" fillId="3" borderId="2" xfId="0" applyNumberFormat="1" applyFont="1" applyFill="1" applyBorder="1" applyAlignment="1">
      <alignment horizontal="center" vertical="center" wrapText="1"/>
    </xf>
  </cellXfs>
  <cellStyles count="8">
    <cellStyle name="Comma 2" xfId="1"/>
    <cellStyle name="Excel Built-in Normal" xfId="2"/>
    <cellStyle name="Excel Built-in Normal 2" xfId="3"/>
    <cellStyle name="Hyperlink" xfId="7" builtinId="8"/>
    <cellStyle name="Normal" xfId="0" builtinId="0"/>
    <cellStyle name="Normal 3" xfId="6"/>
    <cellStyle name="Normal 4" xfId="4"/>
    <cellStyle name="Percent" xfId="5" builtinId="5"/>
  </cellStyles>
  <dxfs count="0"/>
  <tableStyles count="0" defaultTableStyle="TableStyleMedium9" defaultPivotStyle="PivotStyleLight16"/>
  <colors>
    <mruColors>
      <color rgb="FFA9F3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7" Type="http://schemas.openxmlformats.org/officeDocument/2006/relationships/image" Target="../media/image7.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jpe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jpe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8" Type="http://schemas.openxmlformats.org/officeDocument/2006/relationships/image" Target="../media/image8.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0" Type="http://schemas.openxmlformats.org/officeDocument/2006/relationships/image" Target="../media/image20.png"/><Relationship Id="rId41" Type="http://schemas.openxmlformats.org/officeDocument/2006/relationships/image" Target="../media/image41.png"/></Relationships>
</file>

<file path=xl/drawings/_rels/drawing2.xml.rels><?xml version="1.0" encoding="UTF-8" standalone="yes"?>
<Relationships xmlns="http://schemas.openxmlformats.org/package/2006/relationships"><Relationship Id="rId1" Type="http://schemas.openxmlformats.org/officeDocument/2006/relationships/image" Target="../media/image5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3.jpeg"/><Relationship Id="rId1" Type="http://schemas.openxmlformats.org/officeDocument/2006/relationships/image" Target="../media/image5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6.png"/><Relationship Id="rId2" Type="http://schemas.openxmlformats.org/officeDocument/2006/relationships/image" Target="../media/image55.png"/><Relationship Id="rId1" Type="http://schemas.openxmlformats.org/officeDocument/2006/relationships/image" Target="../media/image54.png"/><Relationship Id="rId5" Type="http://schemas.openxmlformats.org/officeDocument/2006/relationships/image" Target="../media/image58.png"/><Relationship Id="rId4" Type="http://schemas.openxmlformats.org/officeDocument/2006/relationships/image" Target="../media/image5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0.png"/><Relationship Id="rId1" Type="http://schemas.openxmlformats.org/officeDocument/2006/relationships/image" Target="../media/image49.png"/></Relationships>
</file>

<file path=xl/drawings/drawing1.xml><?xml version="1.0" encoding="utf-8"?>
<xdr:wsDr xmlns:xdr="http://schemas.openxmlformats.org/drawingml/2006/spreadsheetDrawing" xmlns:a="http://schemas.openxmlformats.org/drawingml/2006/main">
  <xdr:oneCellAnchor>
    <xdr:from>
      <xdr:col>20</xdr:col>
      <xdr:colOff>68914</xdr:colOff>
      <xdr:row>453</xdr:row>
      <xdr:rowOff>152988</xdr:rowOff>
    </xdr:from>
    <xdr:ext cx="330796" cy="264560"/>
    <xdr:sp macro="" textlink="">
      <xdr:nvSpPr>
        <xdr:cNvPr id="73" name="TextBox 72">
          <a:extLst>
            <a:ext uri="{FF2B5EF4-FFF2-40B4-BE49-F238E27FC236}">
              <a16:creationId xmlns:a16="http://schemas.microsoft.com/office/drawing/2014/main" id="{00000000-0008-0000-0000-000049000000}"/>
            </a:ext>
          </a:extLst>
        </xdr:cNvPr>
        <xdr:cNvSpPr txBox="1"/>
      </xdr:nvSpPr>
      <xdr:spPr>
        <a:xfrm>
          <a:off x="12552267" y="89777635"/>
          <a:ext cx="330796" cy="264560"/>
        </a:xfrm>
        <a:prstGeom prst="rect">
          <a:avLst/>
        </a:prstGeom>
        <a:solidFill>
          <a:srgbClr val="A9F3D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2C</a:t>
          </a:r>
        </a:p>
      </xdr:txBody>
    </xdr:sp>
    <xdr:clientData/>
  </xdr:oneCellAnchor>
  <xdr:oneCellAnchor>
    <xdr:from>
      <xdr:col>12</xdr:col>
      <xdr:colOff>5362</xdr:colOff>
      <xdr:row>458</xdr:row>
      <xdr:rowOff>92250</xdr:rowOff>
    </xdr:from>
    <xdr:ext cx="1061444" cy="264560"/>
    <xdr:sp macro="" textlink="">
      <xdr:nvSpPr>
        <xdr:cNvPr id="74" name="TextBox 73">
          <a:extLst>
            <a:ext uri="{FF2B5EF4-FFF2-40B4-BE49-F238E27FC236}">
              <a16:creationId xmlns:a16="http://schemas.microsoft.com/office/drawing/2014/main" id="{00000000-0008-0000-0000-00004A000000}"/>
            </a:ext>
          </a:extLst>
        </xdr:cNvPr>
        <xdr:cNvSpPr txBox="1"/>
      </xdr:nvSpPr>
      <xdr:spPr>
        <a:xfrm>
          <a:off x="7580538" y="90669397"/>
          <a:ext cx="1061444" cy="264560"/>
        </a:xfrm>
        <a:prstGeom prst="rect">
          <a:avLst/>
        </a:prstGeom>
        <a:solidFill>
          <a:srgbClr val="A9F3D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3 (A to C Wing)</a:t>
          </a:r>
        </a:p>
      </xdr:txBody>
    </xdr:sp>
    <xdr:clientData/>
  </xdr:oneCellAnchor>
  <xdr:oneCellAnchor>
    <xdr:from>
      <xdr:col>16</xdr:col>
      <xdr:colOff>9488</xdr:colOff>
      <xdr:row>458</xdr:row>
      <xdr:rowOff>92250</xdr:rowOff>
    </xdr:from>
    <xdr:ext cx="1040478" cy="264560"/>
    <xdr:sp macro="" textlink="">
      <xdr:nvSpPr>
        <xdr:cNvPr id="75" name="TextBox 74">
          <a:extLst>
            <a:ext uri="{FF2B5EF4-FFF2-40B4-BE49-F238E27FC236}">
              <a16:creationId xmlns:a16="http://schemas.microsoft.com/office/drawing/2014/main" id="{00000000-0008-0000-0000-00004B000000}"/>
            </a:ext>
          </a:extLst>
        </xdr:cNvPr>
        <xdr:cNvSpPr txBox="1"/>
      </xdr:nvSpPr>
      <xdr:spPr>
        <a:xfrm>
          <a:off x="10072370" y="90669397"/>
          <a:ext cx="1040478" cy="264560"/>
        </a:xfrm>
        <a:prstGeom prst="rect">
          <a:avLst/>
        </a:prstGeom>
        <a:solidFill>
          <a:srgbClr val="A9F3D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4 (A</a:t>
          </a:r>
          <a:r>
            <a:rPr lang="en-IN" sz="1100" b="1" baseline="0"/>
            <a:t> &amp; B Wing)</a:t>
          </a:r>
          <a:endParaRPr lang="en-IN" sz="1100" b="1"/>
        </a:p>
      </xdr:txBody>
    </xdr:sp>
    <xdr:clientData/>
  </xdr:oneCellAnchor>
  <xdr:oneCellAnchor>
    <xdr:from>
      <xdr:col>20</xdr:col>
      <xdr:colOff>64940</xdr:colOff>
      <xdr:row>458</xdr:row>
      <xdr:rowOff>92250</xdr:rowOff>
    </xdr:from>
    <xdr:ext cx="341632" cy="264560"/>
    <xdr:sp macro="" textlink="">
      <xdr:nvSpPr>
        <xdr:cNvPr id="76" name="TextBox 75">
          <a:extLst>
            <a:ext uri="{FF2B5EF4-FFF2-40B4-BE49-F238E27FC236}">
              <a16:creationId xmlns:a16="http://schemas.microsoft.com/office/drawing/2014/main" id="{00000000-0008-0000-0000-00004C000000}"/>
            </a:ext>
          </a:extLst>
        </xdr:cNvPr>
        <xdr:cNvSpPr txBox="1"/>
      </xdr:nvSpPr>
      <xdr:spPr>
        <a:xfrm>
          <a:off x="12548293" y="90669397"/>
          <a:ext cx="341632" cy="264560"/>
        </a:xfrm>
        <a:prstGeom prst="rect">
          <a:avLst/>
        </a:prstGeom>
        <a:solidFill>
          <a:srgbClr val="A9F3D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5A</a:t>
          </a:r>
        </a:p>
      </xdr:txBody>
    </xdr:sp>
    <xdr:clientData/>
  </xdr:oneCellAnchor>
  <xdr:oneCellAnchor>
    <xdr:from>
      <xdr:col>12</xdr:col>
      <xdr:colOff>512988</xdr:colOff>
      <xdr:row>468</xdr:row>
      <xdr:rowOff>115367</xdr:rowOff>
    </xdr:from>
    <xdr:ext cx="335220" cy="264560"/>
    <xdr:sp macro="" textlink="">
      <xdr:nvSpPr>
        <xdr:cNvPr id="77" name="TextBox 76">
          <a:extLst>
            <a:ext uri="{FF2B5EF4-FFF2-40B4-BE49-F238E27FC236}">
              <a16:creationId xmlns:a16="http://schemas.microsoft.com/office/drawing/2014/main" id="{00000000-0008-0000-0000-00004D000000}"/>
            </a:ext>
          </a:extLst>
        </xdr:cNvPr>
        <xdr:cNvSpPr txBox="1"/>
      </xdr:nvSpPr>
      <xdr:spPr>
        <a:xfrm>
          <a:off x="8088164" y="92597514"/>
          <a:ext cx="335220" cy="264560"/>
        </a:xfrm>
        <a:prstGeom prst="rect">
          <a:avLst/>
        </a:prstGeom>
        <a:solidFill>
          <a:srgbClr val="A9F3D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5B</a:t>
          </a:r>
        </a:p>
      </xdr:txBody>
    </xdr:sp>
    <xdr:clientData/>
  </xdr:oneCellAnchor>
  <xdr:oneCellAnchor>
    <xdr:from>
      <xdr:col>15</xdr:col>
      <xdr:colOff>189261</xdr:colOff>
      <xdr:row>468</xdr:row>
      <xdr:rowOff>115367</xdr:rowOff>
    </xdr:from>
    <xdr:ext cx="330796" cy="264560"/>
    <xdr:sp macro="" textlink="">
      <xdr:nvSpPr>
        <xdr:cNvPr id="78" name="TextBox 77">
          <a:extLst>
            <a:ext uri="{FF2B5EF4-FFF2-40B4-BE49-F238E27FC236}">
              <a16:creationId xmlns:a16="http://schemas.microsoft.com/office/drawing/2014/main" id="{00000000-0008-0000-0000-00004E000000}"/>
            </a:ext>
          </a:extLst>
        </xdr:cNvPr>
        <xdr:cNvSpPr txBox="1"/>
      </xdr:nvSpPr>
      <xdr:spPr>
        <a:xfrm>
          <a:off x="9579790" y="92597514"/>
          <a:ext cx="330796" cy="264560"/>
        </a:xfrm>
        <a:prstGeom prst="rect">
          <a:avLst/>
        </a:prstGeom>
        <a:solidFill>
          <a:srgbClr val="A9F3D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5C</a:t>
          </a:r>
        </a:p>
      </xdr:txBody>
    </xdr:sp>
    <xdr:clientData/>
  </xdr:oneCellAnchor>
  <xdr:oneCellAnchor>
    <xdr:from>
      <xdr:col>17</xdr:col>
      <xdr:colOff>389641</xdr:colOff>
      <xdr:row>468</xdr:row>
      <xdr:rowOff>111076</xdr:rowOff>
    </xdr:from>
    <xdr:ext cx="655308" cy="264560"/>
    <xdr:sp macro="" textlink="">
      <xdr:nvSpPr>
        <xdr:cNvPr id="79" name="TextBox 78">
          <a:extLst>
            <a:ext uri="{FF2B5EF4-FFF2-40B4-BE49-F238E27FC236}">
              <a16:creationId xmlns:a16="http://schemas.microsoft.com/office/drawing/2014/main" id="{00000000-0008-0000-0000-00004F000000}"/>
            </a:ext>
          </a:extLst>
        </xdr:cNvPr>
        <xdr:cNvSpPr txBox="1"/>
      </xdr:nvSpPr>
      <xdr:spPr>
        <a:xfrm>
          <a:off x="11057641" y="92593223"/>
          <a:ext cx="655308" cy="264560"/>
        </a:xfrm>
        <a:prstGeom prst="rect">
          <a:avLst/>
        </a:prstGeom>
        <a:solidFill>
          <a:srgbClr val="A9F3D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6A &amp; 6B</a:t>
          </a:r>
        </a:p>
      </xdr:txBody>
    </xdr:sp>
    <xdr:clientData/>
  </xdr:oneCellAnchor>
  <xdr:oneCellAnchor>
    <xdr:from>
      <xdr:col>17</xdr:col>
      <xdr:colOff>165085</xdr:colOff>
      <xdr:row>495</xdr:row>
      <xdr:rowOff>161661</xdr:rowOff>
    </xdr:from>
    <xdr:ext cx="335220" cy="264560"/>
    <xdr:sp macro="" textlink="">
      <xdr:nvSpPr>
        <xdr:cNvPr id="50" name="TextBox 49">
          <a:extLst>
            <a:ext uri="{FF2B5EF4-FFF2-40B4-BE49-F238E27FC236}">
              <a16:creationId xmlns:a16="http://schemas.microsoft.com/office/drawing/2014/main" id="{00000000-0008-0000-0000-000032000000}"/>
            </a:ext>
          </a:extLst>
        </xdr:cNvPr>
        <xdr:cNvSpPr txBox="1"/>
      </xdr:nvSpPr>
      <xdr:spPr>
        <a:xfrm>
          <a:off x="11372835" y="90471361"/>
          <a:ext cx="335220" cy="264560"/>
        </a:xfrm>
        <a:prstGeom prst="rect">
          <a:avLst/>
        </a:prstGeom>
        <a:solidFill>
          <a:srgbClr val="A9F3D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2B</a:t>
          </a:r>
        </a:p>
      </xdr:txBody>
    </xdr:sp>
    <xdr:clientData/>
  </xdr:oneCellAnchor>
  <xdr:oneCellAnchor>
    <xdr:from>
      <xdr:col>20</xdr:col>
      <xdr:colOff>68914</xdr:colOff>
      <xdr:row>495</xdr:row>
      <xdr:rowOff>152988</xdr:rowOff>
    </xdr:from>
    <xdr:ext cx="330796" cy="264560"/>
    <xdr:sp macro="" textlink="">
      <xdr:nvSpPr>
        <xdr:cNvPr id="51" name="TextBox 50">
          <a:extLst>
            <a:ext uri="{FF2B5EF4-FFF2-40B4-BE49-F238E27FC236}">
              <a16:creationId xmlns:a16="http://schemas.microsoft.com/office/drawing/2014/main" id="{00000000-0008-0000-0000-000033000000}"/>
            </a:ext>
          </a:extLst>
        </xdr:cNvPr>
        <xdr:cNvSpPr txBox="1"/>
      </xdr:nvSpPr>
      <xdr:spPr>
        <a:xfrm>
          <a:off x="13200714" y="90462688"/>
          <a:ext cx="330796" cy="264560"/>
        </a:xfrm>
        <a:prstGeom prst="rect">
          <a:avLst/>
        </a:prstGeom>
        <a:solidFill>
          <a:srgbClr val="A9F3D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2C</a:t>
          </a:r>
        </a:p>
      </xdr:txBody>
    </xdr:sp>
    <xdr:clientData/>
  </xdr:oneCellAnchor>
  <xdr:oneCellAnchor>
    <xdr:from>
      <xdr:col>16</xdr:col>
      <xdr:colOff>9488</xdr:colOff>
      <xdr:row>500</xdr:row>
      <xdr:rowOff>92250</xdr:rowOff>
    </xdr:from>
    <xdr:ext cx="1040478" cy="264560"/>
    <xdr:sp macro="" textlink="">
      <xdr:nvSpPr>
        <xdr:cNvPr id="53" name="TextBox 52">
          <a:extLst>
            <a:ext uri="{FF2B5EF4-FFF2-40B4-BE49-F238E27FC236}">
              <a16:creationId xmlns:a16="http://schemas.microsoft.com/office/drawing/2014/main" id="{00000000-0008-0000-0000-000035000000}"/>
            </a:ext>
          </a:extLst>
        </xdr:cNvPr>
        <xdr:cNvSpPr txBox="1"/>
      </xdr:nvSpPr>
      <xdr:spPr>
        <a:xfrm>
          <a:off x="10575888" y="91290950"/>
          <a:ext cx="1040478" cy="264560"/>
        </a:xfrm>
        <a:prstGeom prst="rect">
          <a:avLst/>
        </a:prstGeom>
        <a:solidFill>
          <a:srgbClr val="A9F3D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4 (A</a:t>
          </a:r>
          <a:r>
            <a:rPr lang="en-IN" sz="1100" b="1" baseline="0"/>
            <a:t> &amp; B Wing)</a:t>
          </a:r>
          <a:endParaRPr lang="en-IN" sz="1100" b="1"/>
        </a:p>
      </xdr:txBody>
    </xdr:sp>
    <xdr:clientData/>
  </xdr:oneCellAnchor>
  <xdr:oneCellAnchor>
    <xdr:from>
      <xdr:col>20</xdr:col>
      <xdr:colOff>64940</xdr:colOff>
      <xdr:row>500</xdr:row>
      <xdr:rowOff>92250</xdr:rowOff>
    </xdr:from>
    <xdr:ext cx="341632" cy="264560"/>
    <xdr:sp macro="" textlink="">
      <xdr:nvSpPr>
        <xdr:cNvPr id="54" name="TextBox 53">
          <a:extLst>
            <a:ext uri="{FF2B5EF4-FFF2-40B4-BE49-F238E27FC236}">
              <a16:creationId xmlns:a16="http://schemas.microsoft.com/office/drawing/2014/main" id="{00000000-0008-0000-0000-000036000000}"/>
            </a:ext>
          </a:extLst>
        </xdr:cNvPr>
        <xdr:cNvSpPr txBox="1"/>
      </xdr:nvSpPr>
      <xdr:spPr>
        <a:xfrm>
          <a:off x="13196740" y="91290950"/>
          <a:ext cx="341632" cy="264560"/>
        </a:xfrm>
        <a:prstGeom prst="rect">
          <a:avLst/>
        </a:prstGeom>
        <a:solidFill>
          <a:srgbClr val="A9F3D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5A</a:t>
          </a:r>
        </a:p>
      </xdr:txBody>
    </xdr:sp>
    <xdr:clientData/>
  </xdr:oneCellAnchor>
  <xdr:oneCellAnchor>
    <xdr:from>
      <xdr:col>12</xdr:col>
      <xdr:colOff>512988</xdr:colOff>
      <xdr:row>510</xdr:row>
      <xdr:rowOff>115367</xdr:rowOff>
    </xdr:from>
    <xdr:ext cx="335220" cy="264560"/>
    <xdr:sp macro="" textlink="">
      <xdr:nvSpPr>
        <xdr:cNvPr id="55" name="TextBox 54">
          <a:extLst>
            <a:ext uri="{FF2B5EF4-FFF2-40B4-BE49-F238E27FC236}">
              <a16:creationId xmlns:a16="http://schemas.microsoft.com/office/drawing/2014/main" id="{00000000-0008-0000-0000-000037000000}"/>
            </a:ext>
          </a:extLst>
        </xdr:cNvPr>
        <xdr:cNvSpPr txBox="1"/>
      </xdr:nvSpPr>
      <xdr:spPr>
        <a:xfrm>
          <a:off x="8444138" y="93092067"/>
          <a:ext cx="335220" cy="264560"/>
        </a:xfrm>
        <a:prstGeom prst="rect">
          <a:avLst/>
        </a:prstGeom>
        <a:solidFill>
          <a:srgbClr val="A9F3D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5B</a:t>
          </a:r>
        </a:p>
      </xdr:txBody>
    </xdr:sp>
    <xdr:clientData/>
  </xdr:oneCellAnchor>
  <xdr:oneCellAnchor>
    <xdr:from>
      <xdr:col>15</xdr:col>
      <xdr:colOff>189261</xdr:colOff>
      <xdr:row>510</xdr:row>
      <xdr:rowOff>115367</xdr:rowOff>
    </xdr:from>
    <xdr:ext cx="330796" cy="264560"/>
    <xdr:sp macro="" textlink="">
      <xdr:nvSpPr>
        <xdr:cNvPr id="56" name="TextBox 55">
          <a:extLst>
            <a:ext uri="{FF2B5EF4-FFF2-40B4-BE49-F238E27FC236}">
              <a16:creationId xmlns:a16="http://schemas.microsoft.com/office/drawing/2014/main" id="{00000000-0008-0000-0000-000038000000}"/>
            </a:ext>
          </a:extLst>
        </xdr:cNvPr>
        <xdr:cNvSpPr txBox="1"/>
      </xdr:nvSpPr>
      <xdr:spPr>
        <a:xfrm>
          <a:off x="10044461" y="93092067"/>
          <a:ext cx="330796" cy="264560"/>
        </a:xfrm>
        <a:prstGeom prst="rect">
          <a:avLst/>
        </a:prstGeom>
        <a:solidFill>
          <a:srgbClr val="A9F3D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5C</a:t>
          </a:r>
        </a:p>
      </xdr:txBody>
    </xdr:sp>
    <xdr:clientData/>
  </xdr:oneCellAnchor>
  <xdr:oneCellAnchor>
    <xdr:from>
      <xdr:col>17</xdr:col>
      <xdr:colOff>389641</xdr:colOff>
      <xdr:row>510</xdr:row>
      <xdr:rowOff>111076</xdr:rowOff>
    </xdr:from>
    <xdr:ext cx="655308" cy="264560"/>
    <xdr:sp macro="" textlink="">
      <xdr:nvSpPr>
        <xdr:cNvPr id="57" name="TextBox 56">
          <a:extLst>
            <a:ext uri="{FF2B5EF4-FFF2-40B4-BE49-F238E27FC236}">
              <a16:creationId xmlns:a16="http://schemas.microsoft.com/office/drawing/2014/main" id="{00000000-0008-0000-0000-000039000000}"/>
            </a:ext>
          </a:extLst>
        </xdr:cNvPr>
        <xdr:cNvSpPr txBox="1"/>
      </xdr:nvSpPr>
      <xdr:spPr>
        <a:xfrm>
          <a:off x="11597391" y="93087776"/>
          <a:ext cx="655308" cy="264560"/>
        </a:xfrm>
        <a:prstGeom prst="rect">
          <a:avLst/>
        </a:prstGeom>
        <a:solidFill>
          <a:srgbClr val="A9F3D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6A &amp; 6B</a:t>
          </a:r>
        </a:p>
      </xdr:txBody>
    </xdr:sp>
    <xdr:clientData/>
  </xdr:oneCellAnchor>
  <xdr:twoCellAnchor>
    <xdr:from>
      <xdr:col>11</xdr:col>
      <xdr:colOff>200024</xdr:colOff>
      <xdr:row>542</xdr:row>
      <xdr:rowOff>161925</xdr:rowOff>
    </xdr:from>
    <xdr:to>
      <xdr:col>21</xdr:col>
      <xdr:colOff>117196</xdr:colOff>
      <xdr:row>561</xdr:row>
      <xdr:rowOff>28575</xdr:rowOff>
    </xdr:to>
    <xdr:grpSp>
      <xdr:nvGrpSpPr>
        <xdr:cNvPr id="111" name="Group 110">
          <a:extLst>
            <a:ext uri="{FF2B5EF4-FFF2-40B4-BE49-F238E27FC236}">
              <a16:creationId xmlns:a16="http://schemas.microsoft.com/office/drawing/2014/main" id="{00000000-0008-0000-0000-00006F000000}"/>
            </a:ext>
          </a:extLst>
        </xdr:cNvPr>
        <xdr:cNvGrpSpPr/>
      </xdr:nvGrpSpPr>
      <xdr:grpSpPr>
        <a:xfrm>
          <a:off x="8118474" y="105889425"/>
          <a:ext cx="6400522" cy="3244850"/>
          <a:chOff x="333374" y="129720975"/>
          <a:chExt cx="6079847" cy="3486150"/>
        </a:xfrm>
      </xdr:grpSpPr>
      <xdr:pic>
        <xdr:nvPicPr>
          <xdr:cNvPr id="100" name="Picture 99">
            <a:extLst>
              <a:ext uri="{FF2B5EF4-FFF2-40B4-BE49-F238E27FC236}">
                <a16:creationId xmlns:a16="http://schemas.microsoft.com/office/drawing/2014/main" id="{00000000-0008-0000-0000-000064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333374" y="129720975"/>
            <a:ext cx="6079847" cy="3486150"/>
          </a:xfrm>
          <a:prstGeom prst="rect">
            <a:avLst/>
          </a:prstGeom>
          <a:ln>
            <a:solidFill>
              <a:schemeClr val="tx1"/>
            </a:solidFill>
          </a:ln>
        </xdr:spPr>
      </xdr:pic>
      <xdr:sp macro="" textlink="">
        <xdr:nvSpPr>
          <xdr:cNvPr id="101" name="TextBox 100">
            <a:extLst>
              <a:ext uri="{FF2B5EF4-FFF2-40B4-BE49-F238E27FC236}">
                <a16:creationId xmlns:a16="http://schemas.microsoft.com/office/drawing/2014/main" id="{00000000-0008-0000-0000-000065000000}"/>
              </a:ext>
            </a:extLst>
          </xdr:cNvPr>
          <xdr:cNvSpPr txBox="1"/>
        </xdr:nvSpPr>
        <xdr:spPr>
          <a:xfrm>
            <a:off x="1943100" y="131616450"/>
            <a:ext cx="314638"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b="1"/>
              <a:t>1</a:t>
            </a:r>
          </a:p>
        </xdr:txBody>
      </xdr:sp>
      <xdr:sp macro="" textlink="">
        <xdr:nvSpPr>
          <xdr:cNvPr id="102" name="TextBox 101">
            <a:extLst>
              <a:ext uri="{FF2B5EF4-FFF2-40B4-BE49-F238E27FC236}">
                <a16:creationId xmlns:a16="http://schemas.microsoft.com/office/drawing/2014/main" id="{00000000-0008-0000-0000-000066000000}"/>
              </a:ext>
            </a:extLst>
          </xdr:cNvPr>
          <xdr:cNvSpPr txBox="1"/>
        </xdr:nvSpPr>
        <xdr:spPr>
          <a:xfrm>
            <a:off x="2257424" y="132311775"/>
            <a:ext cx="314638"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b="1"/>
              <a:t>2</a:t>
            </a:r>
          </a:p>
        </xdr:txBody>
      </xdr:sp>
      <xdr:sp macro="" textlink="">
        <xdr:nvSpPr>
          <xdr:cNvPr id="103" name="TextBox 102">
            <a:extLst>
              <a:ext uri="{FF2B5EF4-FFF2-40B4-BE49-F238E27FC236}">
                <a16:creationId xmlns:a16="http://schemas.microsoft.com/office/drawing/2014/main" id="{00000000-0008-0000-0000-000067000000}"/>
              </a:ext>
            </a:extLst>
          </xdr:cNvPr>
          <xdr:cNvSpPr txBox="1"/>
        </xdr:nvSpPr>
        <xdr:spPr>
          <a:xfrm>
            <a:off x="1971674" y="130454400"/>
            <a:ext cx="314638"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b="1"/>
              <a:t>6</a:t>
            </a:r>
          </a:p>
        </xdr:txBody>
      </xdr:sp>
      <xdr:sp macro="" textlink="">
        <xdr:nvSpPr>
          <xdr:cNvPr id="104" name="TextBox 103">
            <a:extLst>
              <a:ext uri="{FF2B5EF4-FFF2-40B4-BE49-F238E27FC236}">
                <a16:creationId xmlns:a16="http://schemas.microsoft.com/office/drawing/2014/main" id="{00000000-0008-0000-0000-000068000000}"/>
              </a:ext>
            </a:extLst>
          </xdr:cNvPr>
          <xdr:cNvSpPr txBox="1"/>
        </xdr:nvSpPr>
        <xdr:spPr>
          <a:xfrm>
            <a:off x="3619499" y="130063875"/>
            <a:ext cx="314638"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b="1"/>
              <a:t>5</a:t>
            </a:r>
          </a:p>
        </xdr:txBody>
      </xdr:sp>
      <xdr:sp macro="" textlink="">
        <xdr:nvSpPr>
          <xdr:cNvPr id="105" name="TextBox 104">
            <a:extLst>
              <a:ext uri="{FF2B5EF4-FFF2-40B4-BE49-F238E27FC236}">
                <a16:creationId xmlns:a16="http://schemas.microsoft.com/office/drawing/2014/main" id="{00000000-0008-0000-0000-000069000000}"/>
              </a:ext>
            </a:extLst>
          </xdr:cNvPr>
          <xdr:cNvSpPr txBox="1"/>
        </xdr:nvSpPr>
        <xdr:spPr>
          <a:xfrm>
            <a:off x="3771899" y="130844925"/>
            <a:ext cx="314638"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b="1"/>
              <a:t>4</a:t>
            </a:r>
          </a:p>
        </xdr:txBody>
      </xdr:sp>
      <xdr:sp macro="" textlink="">
        <xdr:nvSpPr>
          <xdr:cNvPr id="106" name="TextBox 105">
            <a:extLst>
              <a:ext uri="{FF2B5EF4-FFF2-40B4-BE49-F238E27FC236}">
                <a16:creationId xmlns:a16="http://schemas.microsoft.com/office/drawing/2014/main" id="{00000000-0008-0000-0000-00006A000000}"/>
              </a:ext>
            </a:extLst>
          </xdr:cNvPr>
          <xdr:cNvSpPr txBox="1"/>
        </xdr:nvSpPr>
        <xdr:spPr>
          <a:xfrm>
            <a:off x="3248024" y="132216525"/>
            <a:ext cx="314638"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b="1"/>
              <a:t>3</a:t>
            </a:r>
          </a:p>
        </xdr:txBody>
      </xdr:sp>
    </xdr:grpSp>
    <xdr:clientData/>
  </xdr:twoCellAnchor>
  <xdr:twoCellAnchor>
    <xdr:from>
      <xdr:col>10</xdr:col>
      <xdr:colOff>207666</xdr:colOff>
      <xdr:row>461</xdr:row>
      <xdr:rowOff>101464</xdr:rowOff>
    </xdr:from>
    <xdr:to>
      <xdr:col>21</xdr:col>
      <xdr:colOff>275142</xdr:colOff>
      <xdr:row>495</xdr:row>
      <xdr:rowOff>53900</xdr:rowOff>
    </xdr:to>
    <xdr:grpSp>
      <xdr:nvGrpSpPr>
        <xdr:cNvPr id="6" name="Group 5"/>
        <xdr:cNvGrpSpPr/>
      </xdr:nvGrpSpPr>
      <xdr:grpSpPr>
        <a:xfrm>
          <a:off x="7878466" y="91408114"/>
          <a:ext cx="6798476" cy="6010336"/>
          <a:chOff x="261658" y="89496900"/>
          <a:chExt cx="6429361" cy="6429436"/>
        </a:xfrm>
      </xdr:grpSpPr>
      <xdr:pic>
        <xdr:nvPicPr>
          <xdr:cNvPr id="39" name="Picture 38">
            <a:extLst>
              <a:ext uri="{FF2B5EF4-FFF2-40B4-BE49-F238E27FC236}">
                <a16:creationId xmlns:a16="http://schemas.microsoft.com/office/drawing/2014/main" id="{65159C88-DA92-469F-B23C-2CEF659F129F}"/>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61658" y="89515950"/>
            <a:ext cx="2875093" cy="2160000"/>
          </a:xfrm>
          <a:prstGeom prst="rect">
            <a:avLst/>
          </a:prstGeom>
          <a:ln>
            <a:solidFill>
              <a:schemeClr val="tx1"/>
            </a:solidFill>
          </a:ln>
        </xdr:spPr>
      </xdr:pic>
      <xdr:pic>
        <xdr:nvPicPr>
          <xdr:cNvPr id="40" name="Picture 39">
            <a:extLst>
              <a:ext uri="{FF2B5EF4-FFF2-40B4-BE49-F238E27FC236}">
                <a16:creationId xmlns:a16="http://schemas.microsoft.com/office/drawing/2014/main" id="{F4033E3F-E8F4-43AA-BE27-9452372DCEC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300335" y="89506425"/>
            <a:ext cx="1621674" cy="2160000"/>
          </a:xfrm>
          <a:prstGeom prst="rect">
            <a:avLst/>
          </a:prstGeom>
          <a:ln>
            <a:solidFill>
              <a:schemeClr val="tx1"/>
            </a:solidFill>
          </a:ln>
        </xdr:spPr>
      </xdr:pic>
      <xdr:pic>
        <xdr:nvPicPr>
          <xdr:cNvPr id="41" name="Picture 40">
            <a:extLst>
              <a:ext uri="{FF2B5EF4-FFF2-40B4-BE49-F238E27FC236}">
                <a16:creationId xmlns:a16="http://schemas.microsoft.com/office/drawing/2014/main" id="{9FCD7648-74D5-4A11-A285-AEAB6D44D4DB}"/>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5076630" y="89496900"/>
            <a:ext cx="1614389" cy="2160000"/>
          </a:xfrm>
          <a:prstGeom prst="rect">
            <a:avLst/>
          </a:prstGeom>
          <a:ln>
            <a:solidFill>
              <a:schemeClr val="tx1"/>
            </a:solidFill>
          </a:ln>
        </xdr:spPr>
      </xdr:pic>
      <xdr:pic>
        <xdr:nvPicPr>
          <xdr:cNvPr id="42" name="Picture 41">
            <a:extLst>
              <a:ext uri="{FF2B5EF4-FFF2-40B4-BE49-F238E27FC236}">
                <a16:creationId xmlns:a16="http://schemas.microsoft.com/office/drawing/2014/main" id="{528BCE8D-020E-4C9F-8ED7-A3E325AC8B9E}"/>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383683" y="91821143"/>
            <a:ext cx="1479531" cy="1980000"/>
          </a:xfrm>
          <a:prstGeom prst="rect">
            <a:avLst/>
          </a:prstGeom>
          <a:ln>
            <a:solidFill>
              <a:schemeClr val="tx1"/>
            </a:solidFill>
          </a:ln>
        </xdr:spPr>
      </xdr:pic>
      <xdr:pic>
        <xdr:nvPicPr>
          <xdr:cNvPr id="43" name="Picture 42">
            <a:extLst>
              <a:ext uri="{FF2B5EF4-FFF2-40B4-BE49-F238E27FC236}">
                <a16:creationId xmlns:a16="http://schemas.microsoft.com/office/drawing/2014/main" id="{75E3C022-DBB0-4EF3-AD7C-34EB138D1094}"/>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698884" y="91830668"/>
            <a:ext cx="1483453" cy="1980000"/>
          </a:xfrm>
          <a:prstGeom prst="rect">
            <a:avLst/>
          </a:prstGeom>
          <a:ln>
            <a:solidFill>
              <a:schemeClr val="tx1"/>
            </a:solidFill>
          </a:ln>
        </xdr:spPr>
      </xdr:pic>
      <xdr:pic>
        <xdr:nvPicPr>
          <xdr:cNvPr id="63" name="Picture 62">
            <a:extLst>
              <a:ext uri="{FF2B5EF4-FFF2-40B4-BE49-F238E27FC236}">
                <a16:creationId xmlns:a16="http://schemas.microsoft.com/office/drawing/2014/main" id="{E9AC28DA-0A8C-42B0-A35E-43C228949DA9}"/>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4016935" y="91821143"/>
            <a:ext cx="2631318" cy="1980000"/>
          </a:xfrm>
          <a:prstGeom prst="rect">
            <a:avLst/>
          </a:prstGeom>
          <a:ln>
            <a:solidFill>
              <a:schemeClr val="tx1"/>
            </a:solidFill>
          </a:ln>
        </xdr:spPr>
      </xdr:pic>
      <xdr:pic>
        <xdr:nvPicPr>
          <xdr:cNvPr id="65" name="Picture 64">
            <a:extLst>
              <a:ext uri="{FF2B5EF4-FFF2-40B4-BE49-F238E27FC236}">
                <a16:creationId xmlns:a16="http://schemas.microsoft.com/office/drawing/2014/main" id="{CF36327C-2FDE-4840-AAB8-C8D008733BBD}"/>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275703" y="93946336"/>
            <a:ext cx="1489616" cy="1980000"/>
          </a:xfrm>
          <a:prstGeom prst="rect">
            <a:avLst/>
          </a:prstGeom>
          <a:ln>
            <a:solidFill>
              <a:schemeClr val="tx1"/>
            </a:solidFill>
          </a:ln>
        </xdr:spPr>
      </xdr:pic>
      <xdr:pic>
        <xdr:nvPicPr>
          <xdr:cNvPr id="66" name="Picture 65">
            <a:extLst>
              <a:ext uri="{FF2B5EF4-FFF2-40B4-BE49-F238E27FC236}">
                <a16:creationId xmlns:a16="http://schemas.microsoft.com/office/drawing/2014/main" id="{DC20671A-C4C9-4519-9AD3-077E99A7512A}"/>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2904710" y="93946336"/>
            <a:ext cx="1482893" cy="1980000"/>
          </a:xfrm>
          <a:prstGeom prst="rect">
            <a:avLst/>
          </a:prstGeom>
          <a:ln>
            <a:solidFill>
              <a:schemeClr val="tx1"/>
            </a:solidFill>
          </a:ln>
        </xdr:spPr>
      </xdr:pic>
      <xdr:pic>
        <xdr:nvPicPr>
          <xdr:cNvPr id="64" name="Picture 63">
            <a:extLst>
              <a:ext uri="{FF2B5EF4-FFF2-40B4-BE49-F238E27FC236}">
                <a16:creationId xmlns:a16="http://schemas.microsoft.com/office/drawing/2014/main" id="{C4135852-5925-4873-9030-543938123517}"/>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4548226" y="93917761"/>
            <a:ext cx="1425088" cy="1980000"/>
          </a:xfrm>
          <a:prstGeom prst="rect">
            <a:avLst/>
          </a:prstGeom>
          <a:ln>
            <a:solidFill>
              <a:schemeClr val="tx1"/>
            </a:solidFill>
          </a:ln>
        </xdr:spPr>
      </xdr:pic>
    </xdr:grpSp>
    <xdr:clientData/>
  </xdr:twoCellAnchor>
  <xdr:twoCellAnchor>
    <xdr:from>
      <xdr:col>11</xdr:col>
      <xdr:colOff>323290</xdr:colOff>
      <xdr:row>497</xdr:row>
      <xdr:rowOff>62753</xdr:rowOff>
    </xdr:from>
    <xdr:to>
      <xdr:col>15</xdr:col>
      <xdr:colOff>654926</xdr:colOff>
      <xdr:row>508</xdr:row>
      <xdr:rowOff>127253</xdr:rowOff>
    </xdr:to>
    <xdr:pic>
      <xdr:nvPicPr>
        <xdr:cNvPr id="67" name="Picture 66">
          <a:extLst>
            <a:ext uri="{FF2B5EF4-FFF2-40B4-BE49-F238E27FC236}">
              <a16:creationId xmlns:a16="http://schemas.microsoft.com/office/drawing/2014/main" id="{E7F762FB-BD1F-4C28-9BDE-E8F06CE2ABDD}"/>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7886140" y="95931878"/>
          <a:ext cx="2770036" cy="2160000"/>
        </a:xfrm>
        <a:prstGeom prst="rect">
          <a:avLst/>
        </a:prstGeom>
        <a:ln>
          <a:solidFill>
            <a:schemeClr val="tx1"/>
          </a:solidFill>
        </a:ln>
      </xdr:spPr>
    </xdr:pic>
    <xdr:clientData/>
  </xdr:twoCellAnchor>
  <xdr:twoCellAnchor>
    <xdr:from>
      <xdr:col>16</xdr:col>
      <xdr:colOff>121258</xdr:colOff>
      <xdr:row>497</xdr:row>
      <xdr:rowOff>62753</xdr:rowOff>
    </xdr:from>
    <xdr:to>
      <xdr:col>20</xdr:col>
      <xdr:colOff>465219</xdr:colOff>
      <xdr:row>508</xdr:row>
      <xdr:rowOff>127253</xdr:rowOff>
    </xdr:to>
    <xdr:pic>
      <xdr:nvPicPr>
        <xdr:cNvPr id="68" name="Picture 67">
          <a:extLst>
            <a:ext uri="{FF2B5EF4-FFF2-40B4-BE49-F238E27FC236}">
              <a16:creationId xmlns:a16="http://schemas.microsoft.com/office/drawing/2014/main" id="{88EC5040-EF24-4A67-AB5D-A06281685E47}"/>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0778052" y="98360753"/>
          <a:ext cx="2764432" cy="2160000"/>
        </a:xfrm>
        <a:prstGeom prst="rect">
          <a:avLst/>
        </a:prstGeom>
        <a:ln>
          <a:solidFill>
            <a:schemeClr val="tx1"/>
          </a:solidFill>
        </a:ln>
      </xdr:spPr>
    </xdr:pic>
    <xdr:clientData/>
  </xdr:twoCellAnchor>
  <xdr:twoCellAnchor>
    <xdr:from>
      <xdr:col>11</xdr:col>
      <xdr:colOff>504763</xdr:colOff>
      <xdr:row>509</xdr:row>
      <xdr:rowOff>89936</xdr:rowOff>
    </xdr:from>
    <xdr:to>
      <xdr:col>13</xdr:col>
      <xdr:colOff>585479</xdr:colOff>
      <xdr:row>518</xdr:row>
      <xdr:rowOff>175436</xdr:rowOff>
    </xdr:to>
    <xdr:pic>
      <xdr:nvPicPr>
        <xdr:cNvPr id="69" name="Picture 68">
          <a:extLst>
            <a:ext uri="{FF2B5EF4-FFF2-40B4-BE49-F238E27FC236}">
              <a16:creationId xmlns:a16="http://schemas.microsoft.com/office/drawing/2014/main" id="{C69A513A-9FD2-4106-98D5-D29DC37C5F2F}"/>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8068734" y="100673936"/>
          <a:ext cx="1290951" cy="1800000"/>
        </a:xfrm>
        <a:prstGeom prst="rect">
          <a:avLst/>
        </a:prstGeom>
        <a:ln>
          <a:solidFill>
            <a:schemeClr val="tx1"/>
          </a:solidFill>
        </a:ln>
      </xdr:spPr>
    </xdr:pic>
    <xdr:clientData/>
  </xdr:twoCellAnchor>
  <xdr:twoCellAnchor>
    <xdr:from>
      <xdr:col>14</xdr:col>
      <xdr:colOff>104969</xdr:colOff>
      <xdr:row>509</xdr:row>
      <xdr:rowOff>108986</xdr:rowOff>
    </xdr:from>
    <xdr:to>
      <xdr:col>16</xdr:col>
      <xdr:colOff>114528</xdr:colOff>
      <xdr:row>519</xdr:row>
      <xdr:rowOff>3986</xdr:rowOff>
    </xdr:to>
    <xdr:pic>
      <xdr:nvPicPr>
        <xdr:cNvPr id="70" name="Picture 69">
          <a:extLst>
            <a:ext uri="{FF2B5EF4-FFF2-40B4-BE49-F238E27FC236}">
              <a16:creationId xmlns:a16="http://schemas.microsoft.com/office/drawing/2014/main" id="{56D68A60-66E6-4D17-B313-30D7079D6944}"/>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9484293" y="100692986"/>
          <a:ext cx="1287029" cy="1800000"/>
        </a:xfrm>
        <a:prstGeom prst="rect">
          <a:avLst/>
        </a:prstGeom>
        <a:ln>
          <a:solidFill>
            <a:schemeClr val="tx1"/>
          </a:solidFill>
        </a:ln>
      </xdr:spPr>
    </xdr:pic>
    <xdr:clientData/>
  </xdr:twoCellAnchor>
  <xdr:twoCellAnchor>
    <xdr:from>
      <xdr:col>16</xdr:col>
      <xdr:colOff>216508</xdr:colOff>
      <xdr:row>509</xdr:row>
      <xdr:rowOff>108986</xdr:rowOff>
    </xdr:from>
    <xdr:to>
      <xdr:col>18</xdr:col>
      <xdr:colOff>307870</xdr:colOff>
      <xdr:row>519</xdr:row>
      <xdr:rowOff>3986</xdr:rowOff>
    </xdr:to>
    <xdr:pic>
      <xdr:nvPicPr>
        <xdr:cNvPr id="71" name="Picture 70">
          <a:extLst>
            <a:ext uri="{FF2B5EF4-FFF2-40B4-BE49-F238E27FC236}">
              <a16:creationId xmlns:a16="http://schemas.microsoft.com/office/drawing/2014/main" id="{0CAB8431-61FE-43BF-80B1-6B5A7A726748}"/>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0873302" y="100692986"/>
          <a:ext cx="1301597" cy="1800000"/>
        </a:xfrm>
        <a:prstGeom prst="rect">
          <a:avLst/>
        </a:prstGeom>
        <a:ln>
          <a:solidFill>
            <a:schemeClr val="tx1"/>
          </a:solidFill>
        </a:ln>
      </xdr:spPr>
    </xdr:pic>
    <xdr:clientData/>
  </xdr:twoCellAnchor>
  <xdr:twoCellAnchor>
    <xdr:from>
      <xdr:col>18</xdr:col>
      <xdr:colOff>395130</xdr:colOff>
      <xdr:row>509</xdr:row>
      <xdr:rowOff>108986</xdr:rowOff>
    </xdr:from>
    <xdr:to>
      <xdr:col>20</xdr:col>
      <xdr:colOff>471922</xdr:colOff>
      <xdr:row>519</xdr:row>
      <xdr:rowOff>3986</xdr:rowOff>
    </xdr:to>
    <xdr:pic>
      <xdr:nvPicPr>
        <xdr:cNvPr id="72" name="Picture 71">
          <a:extLst>
            <a:ext uri="{FF2B5EF4-FFF2-40B4-BE49-F238E27FC236}">
              <a16:creationId xmlns:a16="http://schemas.microsoft.com/office/drawing/2014/main" id="{B369E456-4DE7-4AC6-9770-2090DE28C90B}"/>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12262159" y="100692986"/>
          <a:ext cx="1287028" cy="1800000"/>
        </a:xfrm>
        <a:prstGeom prst="rect">
          <a:avLst/>
        </a:prstGeom>
        <a:ln>
          <a:solidFill>
            <a:schemeClr val="tx1"/>
          </a:solidFill>
        </a:ln>
      </xdr:spPr>
    </xdr:pic>
    <xdr:clientData/>
  </xdr:twoCellAnchor>
  <xdr:twoCellAnchor>
    <xdr:from>
      <xdr:col>12</xdr:col>
      <xdr:colOff>100774</xdr:colOff>
      <xdr:row>519</xdr:row>
      <xdr:rowOff>185744</xdr:rowOff>
    </xdr:from>
    <xdr:to>
      <xdr:col>15</xdr:col>
      <xdr:colOff>127815</xdr:colOff>
      <xdr:row>527</xdr:row>
      <xdr:rowOff>101744</xdr:rowOff>
    </xdr:to>
    <xdr:pic>
      <xdr:nvPicPr>
        <xdr:cNvPr id="80" name="Picture 79">
          <a:extLst>
            <a:ext uri="{FF2B5EF4-FFF2-40B4-BE49-F238E27FC236}">
              <a16:creationId xmlns:a16="http://schemas.microsoft.com/office/drawing/2014/main" id="{07AB61A5-9C89-496A-90D2-33388D1B10B6}"/>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8269862" y="102674744"/>
          <a:ext cx="1842394" cy="1440000"/>
        </a:xfrm>
        <a:prstGeom prst="rect">
          <a:avLst/>
        </a:prstGeom>
        <a:ln>
          <a:solidFill>
            <a:schemeClr val="tx1"/>
          </a:solidFill>
        </a:ln>
      </xdr:spPr>
    </xdr:pic>
    <xdr:clientData/>
  </xdr:twoCellAnchor>
  <xdr:twoCellAnchor>
    <xdr:from>
      <xdr:col>15</xdr:col>
      <xdr:colOff>281395</xdr:colOff>
      <xdr:row>519</xdr:row>
      <xdr:rowOff>185744</xdr:rowOff>
    </xdr:from>
    <xdr:to>
      <xdr:col>17</xdr:col>
      <xdr:colOff>36125</xdr:colOff>
      <xdr:row>527</xdr:row>
      <xdr:rowOff>101744</xdr:rowOff>
    </xdr:to>
    <xdr:pic>
      <xdr:nvPicPr>
        <xdr:cNvPr id="81" name="Picture 80">
          <a:extLst>
            <a:ext uri="{FF2B5EF4-FFF2-40B4-BE49-F238E27FC236}">
              <a16:creationId xmlns:a16="http://schemas.microsoft.com/office/drawing/2014/main" id="{236475C1-89C5-4653-AABA-ECBE2A739FE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0265836" y="102674744"/>
          <a:ext cx="1032201" cy="1440000"/>
        </a:xfrm>
        <a:prstGeom prst="rect">
          <a:avLst/>
        </a:prstGeom>
        <a:ln>
          <a:solidFill>
            <a:schemeClr val="tx1"/>
          </a:solidFill>
        </a:ln>
      </xdr:spPr>
    </xdr:pic>
    <xdr:clientData/>
  </xdr:twoCellAnchor>
  <xdr:twoCellAnchor>
    <xdr:from>
      <xdr:col>17</xdr:col>
      <xdr:colOff>165481</xdr:colOff>
      <xdr:row>519</xdr:row>
      <xdr:rowOff>185744</xdr:rowOff>
    </xdr:from>
    <xdr:to>
      <xdr:col>20</xdr:col>
      <xdr:colOff>191401</xdr:colOff>
      <xdr:row>527</xdr:row>
      <xdr:rowOff>101744</xdr:rowOff>
    </xdr:to>
    <xdr:pic>
      <xdr:nvPicPr>
        <xdr:cNvPr id="82" name="Picture 81">
          <a:extLst>
            <a:ext uri="{FF2B5EF4-FFF2-40B4-BE49-F238E27FC236}">
              <a16:creationId xmlns:a16="http://schemas.microsoft.com/office/drawing/2014/main" id="{623305C3-C5A2-498A-9CC2-23A329453B7A}"/>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11427393" y="102674744"/>
          <a:ext cx="1841273" cy="1440000"/>
        </a:xfrm>
        <a:prstGeom prst="rect">
          <a:avLst/>
        </a:prstGeom>
        <a:ln>
          <a:solidFill>
            <a:schemeClr val="tx1"/>
          </a:solidFill>
        </a:ln>
      </xdr:spPr>
    </xdr:pic>
    <xdr:clientData/>
  </xdr:twoCellAnchor>
  <xdr:twoCellAnchor editAs="oneCell">
    <xdr:from>
      <xdr:col>12</xdr:col>
      <xdr:colOff>460514</xdr:colOff>
      <xdr:row>41</xdr:row>
      <xdr:rowOff>12424</xdr:rowOff>
    </xdr:from>
    <xdr:to>
      <xdr:col>18</xdr:col>
      <xdr:colOff>163566</xdr:colOff>
      <xdr:row>54</xdr:row>
      <xdr:rowOff>117991</xdr:rowOff>
    </xdr:to>
    <xdr:pic>
      <xdr:nvPicPr>
        <xdr:cNvPr id="2" name="Picture 1"/>
        <xdr:cNvPicPr>
          <a:picLocks noChangeAspect="1"/>
        </xdr:cNvPicPr>
      </xdr:nvPicPr>
      <xdr:blipFill>
        <a:blip xmlns:r="http://schemas.openxmlformats.org/officeDocument/2006/relationships" r:embed="rId19"/>
        <a:stretch>
          <a:fillRect/>
        </a:stretch>
      </xdr:blipFill>
      <xdr:spPr>
        <a:xfrm>
          <a:off x="8643731" y="9421467"/>
          <a:ext cx="3446792" cy="2626794"/>
        </a:xfrm>
        <a:prstGeom prst="rect">
          <a:avLst/>
        </a:prstGeom>
      </xdr:spPr>
    </xdr:pic>
    <xdr:clientData/>
  </xdr:twoCellAnchor>
  <xdr:twoCellAnchor editAs="oneCell">
    <xdr:from>
      <xdr:col>12</xdr:col>
      <xdr:colOff>339588</xdr:colOff>
      <xdr:row>53</xdr:row>
      <xdr:rowOff>154057</xdr:rowOff>
    </xdr:from>
    <xdr:to>
      <xdr:col>21</xdr:col>
      <xdr:colOff>270984</xdr:colOff>
      <xdr:row>55</xdr:row>
      <xdr:rowOff>41964</xdr:rowOff>
    </xdr:to>
    <xdr:pic>
      <xdr:nvPicPr>
        <xdr:cNvPr id="3" name="Picture 2"/>
        <xdr:cNvPicPr>
          <a:picLocks noChangeAspect="1"/>
        </xdr:cNvPicPr>
      </xdr:nvPicPr>
      <xdr:blipFill>
        <a:blip xmlns:r="http://schemas.openxmlformats.org/officeDocument/2006/relationships" r:embed="rId20"/>
        <a:stretch>
          <a:fillRect/>
        </a:stretch>
      </xdr:blipFill>
      <xdr:spPr>
        <a:xfrm>
          <a:off x="8512038" y="11898382"/>
          <a:ext cx="5484471" cy="1249982"/>
        </a:xfrm>
        <a:prstGeom prst="rect">
          <a:avLst/>
        </a:prstGeom>
      </xdr:spPr>
    </xdr:pic>
    <xdr:clientData/>
  </xdr:twoCellAnchor>
  <xdr:twoCellAnchor editAs="oneCell">
    <xdr:from>
      <xdr:col>14</xdr:col>
      <xdr:colOff>30817</xdr:colOff>
      <xdr:row>213</xdr:row>
      <xdr:rowOff>140634</xdr:rowOff>
    </xdr:from>
    <xdr:to>
      <xdr:col>21</xdr:col>
      <xdr:colOff>349042</xdr:colOff>
      <xdr:row>238</xdr:row>
      <xdr:rowOff>86187</xdr:rowOff>
    </xdr:to>
    <xdr:pic>
      <xdr:nvPicPr>
        <xdr:cNvPr id="4" name="Picture 3"/>
        <xdr:cNvPicPr>
          <a:picLocks noChangeAspect="1"/>
        </xdr:cNvPicPr>
      </xdr:nvPicPr>
      <xdr:blipFill>
        <a:blip xmlns:r="http://schemas.openxmlformats.org/officeDocument/2006/relationships" r:embed="rId21"/>
        <a:stretch>
          <a:fillRect/>
        </a:stretch>
      </xdr:blipFill>
      <xdr:spPr>
        <a:xfrm>
          <a:off x="9422467" y="40869534"/>
          <a:ext cx="4652100" cy="5260503"/>
        </a:xfrm>
        <a:prstGeom prst="rect">
          <a:avLst/>
        </a:prstGeom>
      </xdr:spPr>
    </xdr:pic>
    <xdr:clientData/>
  </xdr:twoCellAnchor>
  <xdr:twoCellAnchor editAs="oneCell">
    <xdr:from>
      <xdr:col>12</xdr:col>
      <xdr:colOff>209550</xdr:colOff>
      <xdr:row>247</xdr:row>
      <xdr:rowOff>160805</xdr:rowOff>
    </xdr:from>
    <xdr:to>
      <xdr:col>19</xdr:col>
      <xdr:colOff>9008</xdr:colOff>
      <xdr:row>275</xdr:row>
      <xdr:rowOff>103029</xdr:rowOff>
    </xdr:to>
    <xdr:pic>
      <xdr:nvPicPr>
        <xdr:cNvPr id="5" name="Picture 4"/>
        <xdr:cNvPicPr>
          <a:picLocks noChangeAspect="1"/>
        </xdr:cNvPicPr>
      </xdr:nvPicPr>
      <xdr:blipFill>
        <a:blip xmlns:r="http://schemas.openxmlformats.org/officeDocument/2006/relationships" r:embed="rId22"/>
        <a:stretch>
          <a:fillRect/>
        </a:stretch>
      </xdr:blipFill>
      <xdr:spPr>
        <a:xfrm>
          <a:off x="8378638" y="48200423"/>
          <a:ext cx="4102517" cy="4962460"/>
        </a:xfrm>
        <a:prstGeom prst="rect">
          <a:avLst/>
        </a:prstGeom>
      </xdr:spPr>
    </xdr:pic>
    <xdr:clientData/>
  </xdr:twoCellAnchor>
  <xdr:twoCellAnchor editAs="oneCell">
    <xdr:from>
      <xdr:col>12</xdr:col>
      <xdr:colOff>85725</xdr:colOff>
      <xdr:row>292</xdr:row>
      <xdr:rowOff>47625</xdr:rowOff>
    </xdr:from>
    <xdr:to>
      <xdr:col>18</xdr:col>
      <xdr:colOff>399545</xdr:colOff>
      <xdr:row>317</xdr:row>
      <xdr:rowOff>66098</xdr:rowOff>
    </xdr:to>
    <xdr:pic>
      <xdr:nvPicPr>
        <xdr:cNvPr id="8" name="Picture 7"/>
        <xdr:cNvPicPr>
          <a:picLocks noChangeAspect="1"/>
        </xdr:cNvPicPr>
      </xdr:nvPicPr>
      <xdr:blipFill>
        <a:blip xmlns:r="http://schemas.openxmlformats.org/officeDocument/2006/relationships" r:embed="rId23"/>
        <a:stretch>
          <a:fillRect/>
        </a:stretch>
      </xdr:blipFill>
      <xdr:spPr>
        <a:xfrm>
          <a:off x="8020050" y="58264425"/>
          <a:ext cx="4038095" cy="4619048"/>
        </a:xfrm>
        <a:prstGeom prst="rect">
          <a:avLst/>
        </a:prstGeom>
      </xdr:spPr>
    </xdr:pic>
    <xdr:clientData/>
  </xdr:twoCellAnchor>
  <xdr:twoCellAnchor editAs="oneCell">
    <xdr:from>
      <xdr:col>13</xdr:col>
      <xdr:colOff>504825</xdr:colOff>
      <xdr:row>245</xdr:row>
      <xdr:rowOff>0</xdr:rowOff>
    </xdr:from>
    <xdr:to>
      <xdr:col>18</xdr:col>
      <xdr:colOff>571102</xdr:colOff>
      <xdr:row>257</xdr:row>
      <xdr:rowOff>142586</xdr:rowOff>
    </xdr:to>
    <xdr:pic>
      <xdr:nvPicPr>
        <xdr:cNvPr id="9" name="Picture 8"/>
        <xdr:cNvPicPr>
          <a:picLocks noChangeAspect="1"/>
        </xdr:cNvPicPr>
      </xdr:nvPicPr>
      <xdr:blipFill>
        <a:blip xmlns:r="http://schemas.openxmlformats.org/officeDocument/2006/relationships" r:embed="rId24"/>
        <a:stretch>
          <a:fillRect/>
        </a:stretch>
      </xdr:blipFill>
      <xdr:spPr>
        <a:xfrm>
          <a:off x="9048750" y="48825150"/>
          <a:ext cx="3180952" cy="2314286"/>
        </a:xfrm>
        <a:prstGeom prst="rect">
          <a:avLst/>
        </a:prstGeom>
      </xdr:spPr>
    </xdr:pic>
    <xdr:clientData/>
  </xdr:twoCellAnchor>
  <xdr:twoCellAnchor editAs="oneCell">
    <xdr:from>
      <xdr:col>13</xdr:col>
      <xdr:colOff>238125</xdr:colOff>
      <xdr:row>330</xdr:row>
      <xdr:rowOff>142875</xdr:rowOff>
    </xdr:from>
    <xdr:to>
      <xdr:col>20</xdr:col>
      <xdr:colOff>494726</xdr:colOff>
      <xdr:row>349</xdr:row>
      <xdr:rowOff>85303</xdr:rowOff>
    </xdr:to>
    <xdr:pic>
      <xdr:nvPicPr>
        <xdr:cNvPr id="10" name="Picture 9"/>
        <xdr:cNvPicPr>
          <a:picLocks noChangeAspect="1"/>
        </xdr:cNvPicPr>
      </xdr:nvPicPr>
      <xdr:blipFill>
        <a:blip xmlns:r="http://schemas.openxmlformats.org/officeDocument/2006/relationships" r:embed="rId25"/>
        <a:stretch>
          <a:fillRect/>
        </a:stretch>
      </xdr:blipFill>
      <xdr:spPr>
        <a:xfrm>
          <a:off x="9020175" y="63646050"/>
          <a:ext cx="4590476" cy="3380953"/>
        </a:xfrm>
        <a:prstGeom prst="rect">
          <a:avLst/>
        </a:prstGeom>
      </xdr:spPr>
    </xdr:pic>
    <xdr:clientData/>
  </xdr:twoCellAnchor>
  <xdr:twoCellAnchor editAs="oneCell">
    <xdr:from>
      <xdr:col>12</xdr:col>
      <xdr:colOff>228600</xdr:colOff>
      <xdr:row>361</xdr:row>
      <xdr:rowOff>104775</xdr:rowOff>
    </xdr:from>
    <xdr:to>
      <xdr:col>19</xdr:col>
      <xdr:colOff>428058</xdr:colOff>
      <xdr:row>392</xdr:row>
      <xdr:rowOff>27880</xdr:rowOff>
    </xdr:to>
    <xdr:pic>
      <xdr:nvPicPr>
        <xdr:cNvPr id="11" name="Picture 10"/>
        <xdr:cNvPicPr>
          <a:picLocks noChangeAspect="1"/>
        </xdr:cNvPicPr>
      </xdr:nvPicPr>
      <xdr:blipFill>
        <a:blip xmlns:r="http://schemas.openxmlformats.org/officeDocument/2006/relationships" r:embed="rId26"/>
        <a:stretch>
          <a:fillRect/>
        </a:stretch>
      </xdr:blipFill>
      <xdr:spPr>
        <a:xfrm>
          <a:off x="8667750" y="73923525"/>
          <a:ext cx="4533333" cy="5552381"/>
        </a:xfrm>
        <a:prstGeom prst="rect">
          <a:avLst/>
        </a:prstGeom>
      </xdr:spPr>
    </xdr:pic>
    <xdr:clientData/>
  </xdr:twoCellAnchor>
  <xdr:twoCellAnchor editAs="oneCell">
    <xdr:from>
      <xdr:col>11</xdr:col>
      <xdr:colOff>457200</xdr:colOff>
      <xdr:row>398</xdr:row>
      <xdr:rowOff>161925</xdr:rowOff>
    </xdr:from>
    <xdr:to>
      <xdr:col>18</xdr:col>
      <xdr:colOff>589992</xdr:colOff>
      <xdr:row>428</xdr:row>
      <xdr:rowOff>46949</xdr:rowOff>
    </xdr:to>
    <xdr:pic>
      <xdr:nvPicPr>
        <xdr:cNvPr id="12" name="Picture 11"/>
        <xdr:cNvPicPr>
          <a:picLocks noChangeAspect="1"/>
        </xdr:cNvPicPr>
      </xdr:nvPicPr>
      <xdr:blipFill>
        <a:blip xmlns:r="http://schemas.openxmlformats.org/officeDocument/2006/relationships" r:embed="rId27"/>
        <a:stretch>
          <a:fillRect/>
        </a:stretch>
      </xdr:blipFill>
      <xdr:spPr>
        <a:xfrm>
          <a:off x="8020050" y="75990450"/>
          <a:ext cx="4466667" cy="5409524"/>
        </a:xfrm>
        <a:prstGeom prst="rect">
          <a:avLst/>
        </a:prstGeom>
      </xdr:spPr>
    </xdr:pic>
    <xdr:clientData/>
  </xdr:twoCellAnchor>
  <xdr:twoCellAnchor>
    <xdr:from>
      <xdr:col>0</xdr:col>
      <xdr:colOff>647700</xdr:colOff>
      <xdr:row>553</xdr:row>
      <xdr:rowOff>47625</xdr:rowOff>
    </xdr:from>
    <xdr:to>
      <xdr:col>8</xdr:col>
      <xdr:colOff>332670</xdr:colOff>
      <xdr:row>574</xdr:row>
      <xdr:rowOff>75696</xdr:rowOff>
    </xdr:to>
    <xdr:grpSp>
      <xdr:nvGrpSpPr>
        <xdr:cNvPr id="15" name="Group 14"/>
        <xdr:cNvGrpSpPr/>
      </xdr:nvGrpSpPr>
      <xdr:grpSpPr>
        <a:xfrm>
          <a:off x="647700" y="107730925"/>
          <a:ext cx="5634920" cy="3761871"/>
          <a:chOff x="466725" y="108527850"/>
          <a:chExt cx="5638095" cy="4028571"/>
        </a:xfrm>
      </xdr:grpSpPr>
      <xdr:pic>
        <xdr:nvPicPr>
          <xdr:cNvPr id="7" name="Picture 6"/>
          <xdr:cNvPicPr>
            <a:picLocks noChangeAspect="1"/>
          </xdr:cNvPicPr>
        </xdr:nvPicPr>
        <xdr:blipFill>
          <a:blip xmlns:r="http://schemas.openxmlformats.org/officeDocument/2006/relationships" r:embed="rId28"/>
          <a:stretch>
            <a:fillRect/>
          </a:stretch>
        </xdr:blipFill>
        <xdr:spPr>
          <a:xfrm>
            <a:off x="466725" y="108527850"/>
            <a:ext cx="5638095" cy="4028571"/>
          </a:xfrm>
          <a:prstGeom prst="rect">
            <a:avLst/>
          </a:prstGeom>
          <a:ln>
            <a:solidFill>
              <a:schemeClr val="tx1"/>
            </a:solidFill>
          </a:ln>
        </xdr:spPr>
      </xdr:pic>
      <xdr:sp macro="" textlink="">
        <xdr:nvSpPr>
          <xdr:cNvPr id="13" name="Rectangle 12"/>
          <xdr:cNvSpPr/>
        </xdr:nvSpPr>
        <xdr:spPr>
          <a:xfrm>
            <a:off x="1733550" y="109375575"/>
            <a:ext cx="1514475" cy="7048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8" name="Rectangle 57"/>
          <xdr:cNvSpPr/>
        </xdr:nvSpPr>
        <xdr:spPr>
          <a:xfrm>
            <a:off x="1638301" y="110394750"/>
            <a:ext cx="1524000" cy="5619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9" name="Rectangle 58"/>
          <xdr:cNvSpPr/>
        </xdr:nvSpPr>
        <xdr:spPr>
          <a:xfrm rot="899081">
            <a:off x="3249703" y="109088446"/>
            <a:ext cx="1596477" cy="5039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0" name="Rectangle 59"/>
          <xdr:cNvSpPr/>
        </xdr:nvSpPr>
        <xdr:spPr>
          <a:xfrm rot="899081">
            <a:off x="3462665" y="109719736"/>
            <a:ext cx="1395866" cy="5039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1" name="Rectangle 60"/>
          <xdr:cNvSpPr/>
        </xdr:nvSpPr>
        <xdr:spPr>
          <a:xfrm rot="6324830">
            <a:off x="2748202" y="111120662"/>
            <a:ext cx="1648590" cy="5629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2" name="Rectangle 61"/>
          <xdr:cNvSpPr/>
        </xdr:nvSpPr>
        <xdr:spPr>
          <a:xfrm rot="814691">
            <a:off x="1918022" y="111071863"/>
            <a:ext cx="1309685" cy="4925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4" name="TextBox 13"/>
          <xdr:cNvSpPr txBox="1"/>
        </xdr:nvSpPr>
        <xdr:spPr>
          <a:xfrm rot="920968">
            <a:off x="1657350" y="111594900"/>
            <a:ext cx="15335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latin typeface="Times New Roman" panose="02020603050405020304" pitchFamily="18" charset="0"/>
                <a:cs typeface="Times New Roman" panose="02020603050405020304" pitchFamily="18" charset="0"/>
              </a:rPr>
              <a:t>Building No.2</a:t>
            </a:r>
          </a:p>
        </xdr:txBody>
      </xdr:sp>
      <xdr:sp macro="" textlink="">
        <xdr:nvSpPr>
          <xdr:cNvPr id="83" name="TextBox 82"/>
          <xdr:cNvSpPr txBox="1"/>
        </xdr:nvSpPr>
        <xdr:spPr>
          <a:xfrm rot="801840">
            <a:off x="3324225" y="110204250"/>
            <a:ext cx="15335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latin typeface="Times New Roman" panose="02020603050405020304" pitchFamily="18" charset="0"/>
                <a:cs typeface="Times New Roman" panose="02020603050405020304" pitchFamily="18" charset="0"/>
              </a:rPr>
              <a:t>Building No.4</a:t>
            </a:r>
          </a:p>
        </xdr:txBody>
      </xdr:sp>
      <xdr:sp macro="" textlink="">
        <xdr:nvSpPr>
          <xdr:cNvPr id="84" name="TextBox 83"/>
          <xdr:cNvSpPr txBox="1"/>
        </xdr:nvSpPr>
        <xdr:spPr>
          <a:xfrm rot="674019">
            <a:off x="3629025" y="108746925"/>
            <a:ext cx="15335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latin typeface="Times New Roman" panose="02020603050405020304" pitchFamily="18" charset="0"/>
                <a:cs typeface="Times New Roman" panose="02020603050405020304" pitchFamily="18" charset="0"/>
              </a:rPr>
              <a:t>Building No.5</a:t>
            </a:r>
          </a:p>
        </xdr:txBody>
      </xdr:sp>
      <xdr:sp macro="" textlink="">
        <xdr:nvSpPr>
          <xdr:cNvPr id="85" name="TextBox 84"/>
          <xdr:cNvSpPr txBox="1"/>
        </xdr:nvSpPr>
        <xdr:spPr>
          <a:xfrm>
            <a:off x="1676400" y="110051850"/>
            <a:ext cx="15335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latin typeface="Times New Roman" panose="02020603050405020304" pitchFamily="18" charset="0"/>
                <a:cs typeface="Times New Roman" panose="02020603050405020304" pitchFamily="18" charset="0"/>
              </a:rPr>
              <a:t>Building No.1</a:t>
            </a:r>
          </a:p>
        </xdr:txBody>
      </xdr:sp>
      <xdr:sp macro="" textlink="">
        <xdr:nvSpPr>
          <xdr:cNvPr id="86" name="TextBox 85"/>
          <xdr:cNvSpPr txBox="1"/>
        </xdr:nvSpPr>
        <xdr:spPr>
          <a:xfrm>
            <a:off x="3867149" y="111318675"/>
            <a:ext cx="15335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latin typeface="Times New Roman" panose="02020603050405020304" pitchFamily="18" charset="0"/>
                <a:cs typeface="Times New Roman" panose="02020603050405020304" pitchFamily="18" charset="0"/>
              </a:rPr>
              <a:t>Building No.3</a:t>
            </a:r>
          </a:p>
        </xdr:txBody>
      </xdr:sp>
      <xdr:sp macro="" textlink="">
        <xdr:nvSpPr>
          <xdr:cNvPr id="87" name="TextBox 86"/>
          <xdr:cNvSpPr txBox="1"/>
        </xdr:nvSpPr>
        <xdr:spPr>
          <a:xfrm>
            <a:off x="1724025" y="109004100"/>
            <a:ext cx="15335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latin typeface="Times New Roman" panose="02020603050405020304" pitchFamily="18" charset="0"/>
                <a:cs typeface="Times New Roman" panose="02020603050405020304" pitchFamily="18" charset="0"/>
              </a:rPr>
              <a:t>Building No.6</a:t>
            </a:r>
          </a:p>
        </xdr:txBody>
      </xdr:sp>
    </xdr:grpSp>
    <xdr:clientData/>
  </xdr:twoCellAnchor>
  <xdr:twoCellAnchor>
    <xdr:from>
      <xdr:col>0</xdr:col>
      <xdr:colOff>216813</xdr:colOff>
      <xdr:row>586</xdr:row>
      <xdr:rowOff>122167</xdr:rowOff>
    </xdr:from>
    <xdr:to>
      <xdr:col>9</xdr:col>
      <xdr:colOff>411520</xdr:colOff>
      <xdr:row>629</xdr:row>
      <xdr:rowOff>32780</xdr:rowOff>
    </xdr:to>
    <xdr:grpSp>
      <xdr:nvGrpSpPr>
        <xdr:cNvPr id="18" name="Group 17"/>
        <xdr:cNvGrpSpPr/>
      </xdr:nvGrpSpPr>
      <xdr:grpSpPr>
        <a:xfrm>
          <a:off x="216813" y="113672867"/>
          <a:ext cx="6925707" cy="7556013"/>
          <a:chOff x="415596" y="115042949"/>
          <a:chExt cx="6890782" cy="8102113"/>
        </a:xfrm>
      </xdr:grpSpPr>
      <xdr:grpSp>
        <xdr:nvGrpSpPr>
          <xdr:cNvPr id="113" name="Group 112">
            <a:extLst>
              <a:ext uri="{FF2B5EF4-FFF2-40B4-BE49-F238E27FC236}">
                <a16:creationId xmlns:a16="http://schemas.microsoft.com/office/drawing/2014/main" id="{00000000-0008-0000-0000-000071000000}"/>
              </a:ext>
            </a:extLst>
          </xdr:cNvPr>
          <xdr:cNvGrpSpPr/>
        </xdr:nvGrpSpPr>
        <xdr:grpSpPr>
          <a:xfrm>
            <a:off x="415596" y="115042949"/>
            <a:ext cx="6890782" cy="8102113"/>
            <a:chOff x="415596" y="136007474"/>
            <a:chExt cx="6024007" cy="8102113"/>
          </a:xfrm>
        </xdr:grpSpPr>
        <xdr:pic>
          <xdr:nvPicPr>
            <xdr:cNvPr id="12429" name="Picture 13">
              <a:extLst>
                <a:ext uri="{FF2B5EF4-FFF2-40B4-BE49-F238E27FC236}">
                  <a16:creationId xmlns:a16="http://schemas.microsoft.com/office/drawing/2014/main" id="{00000000-0008-0000-0000-00008D300000}"/>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rcRect/>
            <a:stretch>
              <a:fillRect/>
            </a:stretch>
          </xdr:blipFill>
          <xdr:spPr bwMode="auto">
            <a:xfrm>
              <a:off x="415596" y="136007474"/>
              <a:ext cx="6013779" cy="3641388"/>
            </a:xfrm>
            <a:prstGeom prst="rect">
              <a:avLst/>
            </a:prstGeom>
            <a:noFill/>
            <a:ln w="952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pic>
          <xdr:nvPicPr>
            <xdr:cNvPr id="112" name="Picture 111">
              <a:extLst>
                <a:ext uri="{FF2B5EF4-FFF2-40B4-BE49-F238E27FC236}">
                  <a16:creationId xmlns:a16="http://schemas.microsoft.com/office/drawing/2014/main" id="{00000000-0008-0000-0000-000070000000}"/>
                </a:ext>
              </a:extLst>
            </xdr:cNvPr>
            <xdr:cNvPicPr>
              <a:picLocks noChangeAspect="1"/>
            </xdr:cNvPicPr>
          </xdr:nvPicPr>
          <xdr:blipFill rotWithShape="1">
            <a:blip xmlns:r="http://schemas.openxmlformats.org/officeDocument/2006/relationships" r:embed="rId30" cstate="email">
              <a:extLst>
                <a:ext uri="{28A0092B-C50C-407E-A947-70E740481C1C}">
                  <a14:useLocalDpi xmlns:a14="http://schemas.microsoft.com/office/drawing/2010/main"/>
                </a:ext>
              </a:extLst>
            </a:blip>
            <a:srcRect/>
            <a:stretch/>
          </xdr:blipFill>
          <xdr:spPr>
            <a:xfrm>
              <a:off x="419100" y="139760325"/>
              <a:ext cx="6020503" cy="4349262"/>
            </a:xfrm>
            <a:prstGeom prst="rect">
              <a:avLst/>
            </a:prstGeom>
            <a:ln>
              <a:solidFill>
                <a:schemeClr val="tx1"/>
              </a:solidFill>
            </a:ln>
          </xdr:spPr>
        </xdr:pic>
      </xdr:grpSp>
      <xdr:sp macro="" textlink="">
        <xdr:nvSpPr>
          <xdr:cNvPr id="17" name="Rectangle 16"/>
          <xdr:cNvSpPr/>
        </xdr:nvSpPr>
        <xdr:spPr>
          <a:xfrm rot="1027767">
            <a:off x="3467696" y="120217035"/>
            <a:ext cx="1932652" cy="1841619"/>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10</xdr:col>
      <xdr:colOff>180975</xdr:colOff>
      <xdr:row>11</xdr:row>
      <xdr:rowOff>57150</xdr:rowOff>
    </xdr:from>
    <xdr:to>
      <xdr:col>22</xdr:col>
      <xdr:colOff>86690</xdr:colOff>
      <xdr:row>22</xdr:row>
      <xdr:rowOff>19366</xdr:rowOff>
    </xdr:to>
    <xdr:pic>
      <xdr:nvPicPr>
        <xdr:cNvPr id="19" name="Picture 18"/>
        <xdr:cNvPicPr>
          <a:picLocks noChangeAspect="1"/>
        </xdr:cNvPicPr>
      </xdr:nvPicPr>
      <xdr:blipFill>
        <a:blip xmlns:r="http://schemas.openxmlformats.org/officeDocument/2006/relationships" r:embed="rId31"/>
        <a:stretch>
          <a:fillRect/>
        </a:stretch>
      </xdr:blipFill>
      <xdr:spPr>
        <a:xfrm>
          <a:off x="7505700" y="3524250"/>
          <a:ext cx="6916115" cy="2267266"/>
        </a:xfrm>
        <a:prstGeom prst="rect">
          <a:avLst/>
        </a:prstGeom>
      </xdr:spPr>
    </xdr:pic>
    <xdr:clientData/>
  </xdr:twoCellAnchor>
  <xdr:twoCellAnchor editAs="oneCell">
    <xdr:from>
      <xdr:col>12</xdr:col>
      <xdr:colOff>549088</xdr:colOff>
      <xdr:row>276</xdr:row>
      <xdr:rowOff>22413</xdr:rowOff>
    </xdr:from>
    <xdr:to>
      <xdr:col>15</xdr:col>
      <xdr:colOff>619948</xdr:colOff>
      <xdr:row>289</xdr:row>
      <xdr:rowOff>139857</xdr:rowOff>
    </xdr:to>
    <xdr:pic>
      <xdr:nvPicPr>
        <xdr:cNvPr id="23" name="Picture 22"/>
        <xdr:cNvPicPr>
          <a:picLocks noChangeAspect="1"/>
        </xdr:cNvPicPr>
      </xdr:nvPicPr>
      <xdr:blipFill>
        <a:blip xmlns:r="http://schemas.openxmlformats.org/officeDocument/2006/relationships" r:embed="rId32"/>
        <a:stretch>
          <a:fillRect/>
        </a:stretch>
      </xdr:blipFill>
      <xdr:spPr>
        <a:xfrm>
          <a:off x="8718176" y="53261560"/>
          <a:ext cx="1886213" cy="2448267"/>
        </a:xfrm>
        <a:prstGeom prst="rect">
          <a:avLst/>
        </a:prstGeom>
      </xdr:spPr>
    </xdr:pic>
    <xdr:clientData/>
  </xdr:twoCellAnchor>
  <xdr:twoCellAnchor>
    <xdr:from>
      <xdr:col>12</xdr:col>
      <xdr:colOff>0</xdr:colOff>
      <xdr:row>454</xdr:row>
      <xdr:rowOff>0</xdr:rowOff>
    </xdr:from>
    <xdr:to>
      <xdr:col>14</xdr:col>
      <xdr:colOff>631003</xdr:colOff>
      <xdr:row>455</xdr:row>
      <xdr:rowOff>125865</xdr:rowOff>
    </xdr:to>
    <xdr:sp macro="" textlink="">
      <xdr:nvSpPr>
        <xdr:cNvPr id="116" name="TextBox 115"/>
        <xdr:cNvSpPr txBox="1"/>
      </xdr:nvSpPr>
      <xdr:spPr>
        <a:xfrm>
          <a:off x="8559800" y="90062050"/>
          <a:ext cx="1913703" cy="303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latin typeface="Times New Roman" panose="02020603050405020304" pitchFamily="18" charset="0"/>
              <a:cs typeface="Times New Roman" panose="02020603050405020304" pitchFamily="18" charset="0"/>
            </a:rPr>
            <a:t>Bldg 1A, 1B &amp; 1C</a:t>
          </a:r>
        </a:p>
      </xdr:txBody>
    </xdr:sp>
    <xdr:clientData/>
  </xdr:twoCellAnchor>
  <xdr:twoCellAnchor>
    <xdr:from>
      <xdr:col>0</xdr:col>
      <xdr:colOff>666750</xdr:colOff>
      <xdr:row>462</xdr:row>
      <xdr:rowOff>19050</xdr:rowOff>
    </xdr:from>
    <xdr:to>
      <xdr:col>9</xdr:col>
      <xdr:colOff>330446</xdr:colOff>
      <xdr:row>499</xdr:row>
      <xdr:rowOff>157879</xdr:rowOff>
    </xdr:to>
    <xdr:grpSp>
      <xdr:nvGrpSpPr>
        <xdr:cNvPr id="24" name="Group 23"/>
        <xdr:cNvGrpSpPr/>
      </xdr:nvGrpSpPr>
      <xdr:grpSpPr>
        <a:xfrm>
          <a:off x="666750" y="91503500"/>
          <a:ext cx="6394696" cy="6730129"/>
          <a:chOff x="666750" y="91503500"/>
          <a:chExt cx="6394696" cy="6730129"/>
        </a:xfrm>
      </xdr:grpSpPr>
      <xdr:pic>
        <xdr:nvPicPr>
          <xdr:cNvPr id="127" name="Picture 126"/>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a:ext>
            </a:extLst>
          </a:blip>
          <a:stretch>
            <a:fillRect/>
          </a:stretch>
        </xdr:blipFill>
        <xdr:spPr>
          <a:xfrm>
            <a:off x="666751" y="91503500"/>
            <a:ext cx="2877333" cy="2160000"/>
          </a:xfrm>
          <a:prstGeom prst="rect">
            <a:avLst/>
          </a:prstGeom>
          <a:ln>
            <a:solidFill>
              <a:schemeClr val="tx1"/>
            </a:solidFill>
          </a:ln>
        </xdr:spPr>
      </xdr:pic>
      <xdr:pic>
        <xdr:nvPicPr>
          <xdr:cNvPr id="128" name="Picture 127"/>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a:ext>
            </a:extLst>
          </a:blip>
          <a:stretch>
            <a:fillRect/>
          </a:stretch>
        </xdr:blipFill>
        <xdr:spPr>
          <a:xfrm>
            <a:off x="3684452" y="91503500"/>
            <a:ext cx="1618313" cy="2160000"/>
          </a:xfrm>
          <a:prstGeom prst="rect">
            <a:avLst/>
          </a:prstGeom>
          <a:ln>
            <a:solidFill>
              <a:schemeClr val="tx1"/>
            </a:solidFill>
          </a:ln>
        </xdr:spPr>
      </xdr:pic>
      <xdr:pic>
        <xdr:nvPicPr>
          <xdr:cNvPr id="129" name="Picture 128"/>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a:ext>
            </a:extLst>
          </a:blip>
          <a:stretch>
            <a:fillRect/>
          </a:stretch>
        </xdr:blipFill>
        <xdr:spPr>
          <a:xfrm>
            <a:off x="5443133" y="91503500"/>
            <a:ext cx="1618313" cy="2160000"/>
          </a:xfrm>
          <a:prstGeom prst="rect">
            <a:avLst/>
          </a:prstGeom>
          <a:ln>
            <a:solidFill>
              <a:schemeClr val="tx1"/>
            </a:solidFill>
          </a:ln>
        </xdr:spPr>
      </xdr:pic>
      <xdr:pic>
        <xdr:nvPicPr>
          <xdr:cNvPr id="130" name="Picture 129"/>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a:ext>
            </a:extLst>
          </a:blip>
          <a:stretch>
            <a:fillRect/>
          </a:stretch>
        </xdr:blipFill>
        <xdr:spPr>
          <a:xfrm>
            <a:off x="666750" y="93774712"/>
            <a:ext cx="2877333" cy="2160000"/>
          </a:xfrm>
          <a:prstGeom prst="rect">
            <a:avLst/>
          </a:prstGeom>
          <a:ln>
            <a:solidFill>
              <a:schemeClr val="tx1"/>
            </a:solidFill>
          </a:ln>
        </xdr:spPr>
      </xdr:pic>
      <xdr:pic>
        <xdr:nvPicPr>
          <xdr:cNvPr id="131" name="Picture 130"/>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a:ext>
            </a:extLst>
          </a:blip>
          <a:stretch>
            <a:fillRect/>
          </a:stretch>
        </xdr:blipFill>
        <xdr:spPr>
          <a:xfrm>
            <a:off x="3684452" y="93774712"/>
            <a:ext cx="1618313" cy="2160000"/>
          </a:xfrm>
          <a:prstGeom prst="rect">
            <a:avLst/>
          </a:prstGeom>
          <a:ln>
            <a:solidFill>
              <a:schemeClr val="tx1"/>
            </a:solidFill>
          </a:ln>
        </xdr:spPr>
      </xdr:pic>
      <xdr:pic>
        <xdr:nvPicPr>
          <xdr:cNvPr id="132" name="Picture 131"/>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a:ext>
            </a:extLst>
          </a:blip>
          <a:stretch>
            <a:fillRect/>
          </a:stretch>
        </xdr:blipFill>
        <xdr:spPr>
          <a:xfrm>
            <a:off x="5443132" y="93774712"/>
            <a:ext cx="1618313" cy="2160000"/>
          </a:xfrm>
          <a:prstGeom prst="rect">
            <a:avLst/>
          </a:prstGeom>
          <a:ln>
            <a:solidFill>
              <a:schemeClr val="tx1"/>
            </a:solidFill>
          </a:ln>
        </xdr:spPr>
      </xdr:pic>
      <xdr:pic>
        <xdr:nvPicPr>
          <xdr:cNvPr id="133" name="Picture 132"/>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a:ext>
            </a:extLst>
          </a:blip>
          <a:stretch>
            <a:fillRect/>
          </a:stretch>
        </xdr:blipFill>
        <xdr:spPr>
          <a:xfrm>
            <a:off x="666750" y="96073629"/>
            <a:ext cx="2877333" cy="2160000"/>
          </a:xfrm>
          <a:prstGeom prst="rect">
            <a:avLst/>
          </a:prstGeom>
          <a:ln>
            <a:solidFill>
              <a:schemeClr val="tx1"/>
            </a:solidFill>
          </a:ln>
        </xdr:spPr>
      </xdr:pic>
      <xdr:pic>
        <xdr:nvPicPr>
          <xdr:cNvPr id="134" name="Picture 133"/>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a:ext>
            </a:extLst>
          </a:blip>
          <a:stretch>
            <a:fillRect/>
          </a:stretch>
        </xdr:blipFill>
        <xdr:spPr>
          <a:xfrm>
            <a:off x="3679649" y="96073629"/>
            <a:ext cx="1618313" cy="2160000"/>
          </a:xfrm>
          <a:prstGeom prst="rect">
            <a:avLst/>
          </a:prstGeom>
          <a:ln>
            <a:solidFill>
              <a:schemeClr val="tx1"/>
            </a:solidFill>
          </a:ln>
        </xdr:spPr>
      </xdr:pic>
      <xdr:pic>
        <xdr:nvPicPr>
          <xdr:cNvPr id="135" name="Picture 134"/>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a:ext>
            </a:extLst>
          </a:blip>
          <a:stretch>
            <a:fillRect/>
          </a:stretch>
        </xdr:blipFill>
        <xdr:spPr>
          <a:xfrm>
            <a:off x="5438328" y="96073629"/>
            <a:ext cx="1618313" cy="2160000"/>
          </a:xfrm>
          <a:prstGeom prst="rect">
            <a:avLst/>
          </a:prstGeom>
          <a:ln>
            <a:solidFill>
              <a:schemeClr val="tx1"/>
            </a:solidFill>
          </a:ln>
        </xdr:spPr>
      </xdr:pic>
    </xdr:grpSp>
    <xdr:clientData/>
  </xdr:twoCellAnchor>
  <xdr:twoCellAnchor>
    <xdr:from>
      <xdr:col>0</xdr:col>
      <xdr:colOff>666750</xdr:colOff>
      <xdr:row>507</xdr:row>
      <xdr:rowOff>19050</xdr:rowOff>
    </xdr:from>
    <xdr:to>
      <xdr:col>9</xdr:col>
      <xdr:colOff>323670</xdr:colOff>
      <xdr:row>545</xdr:row>
      <xdr:rowOff>9528</xdr:rowOff>
    </xdr:to>
    <xdr:grpSp>
      <xdr:nvGrpSpPr>
        <xdr:cNvPr id="25" name="Group 24"/>
        <xdr:cNvGrpSpPr/>
      </xdr:nvGrpSpPr>
      <xdr:grpSpPr>
        <a:xfrm>
          <a:off x="666750" y="99517200"/>
          <a:ext cx="6387920" cy="6753228"/>
          <a:chOff x="666750" y="99517200"/>
          <a:chExt cx="6387920" cy="6753228"/>
        </a:xfrm>
      </xdr:grpSpPr>
      <xdr:pic>
        <xdr:nvPicPr>
          <xdr:cNvPr id="136" name="Picture 135"/>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a:ext>
            </a:extLst>
          </a:blip>
          <a:stretch>
            <a:fillRect/>
          </a:stretch>
        </xdr:blipFill>
        <xdr:spPr>
          <a:xfrm>
            <a:off x="2424884" y="104110428"/>
            <a:ext cx="2877333" cy="2160000"/>
          </a:xfrm>
          <a:prstGeom prst="rect">
            <a:avLst/>
          </a:prstGeom>
          <a:ln>
            <a:solidFill>
              <a:schemeClr val="tx1"/>
            </a:solidFill>
          </a:ln>
        </xdr:spPr>
      </xdr:pic>
      <xdr:pic>
        <xdr:nvPicPr>
          <xdr:cNvPr id="137" name="Picture 136"/>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a:ext>
            </a:extLst>
          </a:blip>
          <a:stretch>
            <a:fillRect/>
          </a:stretch>
        </xdr:blipFill>
        <xdr:spPr>
          <a:xfrm>
            <a:off x="672815" y="101813814"/>
            <a:ext cx="2877333" cy="2160000"/>
          </a:xfrm>
          <a:prstGeom prst="rect">
            <a:avLst/>
          </a:prstGeom>
          <a:ln>
            <a:solidFill>
              <a:schemeClr val="tx1"/>
            </a:solidFill>
          </a:ln>
        </xdr:spPr>
      </xdr:pic>
      <xdr:pic>
        <xdr:nvPicPr>
          <xdr:cNvPr id="138" name="Picture 137"/>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a:ext>
            </a:extLst>
          </a:blip>
          <a:stretch>
            <a:fillRect/>
          </a:stretch>
        </xdr:blipFill>
        <xdr:spPr>
          <a:xfrm>
            <a:off x="3683905" y="101813814"/>
            <a:ext cx="1618313" cy="2160000"/>
          </a:xfrm>
          <a:prstGeom prst="rect">
            <a:avLst/>
          </a:prstGeom>
          <a:ln>
            <a:solidFill>
              <a:schemeClr val="tx1"/>
            </a:solidFill>
          </a:ln>
        </xdr:spPr>
      </xdr:pic>
      <xdr:pic>
        <xdr:nvPicPr>
          <xdr:cNvPr id="139" name="Picture 138"/>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a:ext>
            </a:extLst>
          </a:blip>
          <a:stretch>
            <a:fillRect/>
          </a:stretch>
        </xdr:blipFill>
        <xdr:spPr>
          <a:xfrm>
            <a:off x="666750" y="99517200"/>
            <a:ext cx="1618313" cy="2160000"/>
          </a:xfrm>
          <a:prstGeom prst="rect">
            <a:avLst/>
          </a:prstGeom>
          <a:ln>
            <a:solidFill>
              <a:schemeClr val="tx1"/>
            </a:solidFill>
          </a:ln>
        </xdr:spPr>
      </xdr:pic>
      <xdr:pic>
        <xdr:nvPicPr>
          <xdr:cNvPr id="140" name="Picture 139"/>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a:ext>
            </a:extLst>
          </a:blip>
          <a:stretch>
            <a:fillRect/>
          </a:stretch>
        </xdr:blipFill>
        <xdr:spPr>
          <a:xfrm>
            <a:off x="5436357" y="99517200"/>
            <a:ext cx="1618313" cy="2160000"/>
          </a:xfrm>
          <a:prstGeom prst="rect">
            <a:avLst/>
          </a:prstGeom>
          <a:ln>
            <a:solidFill>
              <a:schemeClr val="tx1"/>
            </a:solidFill>
          </a:ln>
        </xdr:spPr>
      </xdr:pic>
      <xdr:pic>
        <xdr:nvPicPr>
          <xdr:cNvPr id="141" name="Picture 140"/>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a:ext>
            </a:extLst>
          </a:blip>
          <a:stretch>
            <a:fillRect/>
          </a:stretch>
        </xdr:blipFill>
        <xdr:spPr>
          <a:xfrm>
            <a:off x="2424885" y="99517200"/>
            <a:ext cx="2877333" cy="2160000"/>
          </a:xfrm>
          <a:prstGeom prst="rect">
            <a:avLst/>
          </a:prstGeom>
          <a:ln>
            <a:solidFill>
              <a:schemeClr val="tx1"/>
            </a:solidFill>
          </a:ln>
        </xdr:spPr>
      </xdr:pic>
      <xdr:pic>
        <xdr:nvPicPr>
          <xdr:cNvPr id="142" name="Picture 141"/>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a:ext>
            </a:extLst>
          </a:blip>
          <a:stretch>
            <a:fillRect/>
          </a:stretch>
        </xdr:blipFill>
        <xdr:spPr>
          <a:xfrm>
            <a:off x="5436357" y="101813814"/>
            <a:ext cx="1618313"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657225</xdr:colOff>
      <xdr:row>2</xdr:row>
      <xdr:rowOff>0</xdr:rowOff>
    </xdr:from>
    <xdr:to>
      <xdr:col>12</xdr:col>
      <xdr:colOff>428625</xdr:colOff>
      <xdr:row>22</xdr:row>
      <xdr:rowOff>95250</xdr:rowOff>
    </xdr:to>
    <xdr:pic>
      <xdr:nvPicPr>
        <xdr:cNvPr id="4376" name="Picture 1">
          <a:extLst>
            <a:ext uri="{FF2B5EF4-FFF2-40B4-BE49-F238E27FC236}">
              <a16:creationId xmlns:a16="http://schemas.microsoft.com/office/drawing/2014/main" id="{00000000-0008-0000-0100-0000181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24650" y="381000"/>
          <a:ext cx="2628900" cy="390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561975</xdr:colOff>
      <xdr:row>1</xdr:row>
      <xdr:rowOff>180975</xdr:rowOff>
    </xdr:from>
    <xdr:to>
      <xdr:col>11</xdr:col>
      <xdr:colOff>209550</xdr:colOff>
      <xdr:row>21</xdr:row>
      <xdr:rowOff>123825</xdr:rowOff>
    </xdr:to>
    <xdr:pic>
      <xdr:nvPicPr>
        <xdr:cNvPr id="5610" name="Picture 2">
          <a:extLst>
            <a:ext uri="{FF2B5EF4-FFF2-40B4-BE49-F238E27FC236}">
              <a16:creationId xmlns:a16="http://schemas.microsoft.com/office/drawing/2014/main" id="{00000000-0008-0000-0700-0000EA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95775" y="371475"/>
          <a:ext cx="2695575" cy="3752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171450</xdr:colOff>
      <xdr:row>2</xdr:row>
      <xdr:rowOff>0</xdr:rowOff>
    </xdr:from>
    <xdr:to>
      <xdr:col>6</xdr:col>
      <xdr:colOff>438150</xdr:colOff>
      <xdr:row>21</xdr:row>
      <xdr:rowOff>133350</xdr:rowOff>
    </xdr:to>
    <xdr:pic>
      <xdr:nvPicPr>
        <xdr:cNvPr id="5611" name="Picture 3">
          <a:extLst>
            <a:ext uri="{FF2B5EF4-FFF2-40B4-BE49-F238E27FC236}">
              <a16:creationId xmlns:a16="http://schemas.microsoft.com/office/drawing/2014/main" id="{00000000-0008-0000-0700-0000EB1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66850" y="381000"/>
          <a:ext cx="2705100" cy="3752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6</xdr:col>
      <xdr:colOff>0</xdr:colOff>
      <xdr:row>29</xdr:row>
      <xdr:rowOff>171450</xdr:rowOff>
    </xdr:to>
    <xdr:pic>
      <xdr:nvPicPr>
        <xdr:cNvPr id="7663" name="Picture 1">
          <a:extLst>
            <a:ext uri="{FF2B5EF4-FFF2-40B4-BE49-F238E27FC236}">
              <a16:creationId xmlns:a16="http://schemas.microsoft.com/office/drawing/2014/main" id="{00000000-0008-0000-0800-0000EF1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 y="2105025"/>
          <a:ext cx="6400800" cy="360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11</xdr:row>
      <xdr:rowOff>0</xdr:rowOff>
    </xdr:from>
    <xdr:to>
      <xdr:col>14</xdr:col>
      <xdr:colOff>485775</xdr:colOff>
      <xdr:row>29</xdr:row>
      <xdr:rowOff>171450</xdr:rowOff>
    </xdr:to>
    <xdr:pic>
      <xdr:nvPicPr>
        <xdr:cNvPr id="7664" name="Picture 2">
          <a:extLst>
            <a:ext uri="{FF2B5EF4-FFF2-40B4-BE49-F238E27FC236}">
              <a16:creationId xmlns:a16="http://schemas.microsoft.com/office/drawing/2014/main" id="{00000000-0008-0000-0800-0000F01D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05650" y="2105025"/>
          <a:ext cx="6400800" cy="360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6</xdr:col>
      <xdr:colOff>0</xdr:colOff>
      <xdr:row>49</xdr:row>
      <xdr:rowOff>171450</xdr:rowOff>
    </xdr:to>
    <xdr:pic>
      <xdr:nvPicPr>
        <xdr:cNvPr id="7665" name="Picture 3">
          <a:extLst>
            <a:ext uri="{FF2B5EF4-FFF2-40B4-BE49-F238E27FC236}">
              <a16:creationId xmlns:a16="http://schemas.microsoft.com/office/drawing/2014/main" id="{00000000-0008-0000-0800-0000F11D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4850" y="5915025"/>
          <a:ext cx="6400800" cy="360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31</xdr:row>
      <xdr:rowOff>0</xdr:rowOff>
    </xdr:from>
    <xdr:to>
      <xdr:col>14</xdr:col>
      <xdr:colOff>485775</xdr:colOff>
      <xdr:row>49</xdr:row>
      <xdr:rowOff>171450</xdr:rowOff>
    </xdr:to>
    <xdr:pic>
      <xdr:nvPicPr>
        <xdr:cNvPr id="7666" name="Picture 4">
          <a:extLst>
            <a:ext uri="{FF2B5EF4-FFF2-40B4-BE49-F238E27FC236}">
              <a16:creationId xmlns:a16="http://schemas.microsoft.com/office/drawing/2014/main" id="{00000000-0008-0000-0800-0000F21D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05650" y="5915025"/>
          <a:ext cx="6400800" cy="360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51</xdr:row>
      <xdr:rowOff>0</xdr:rowOff>
    </xdr:from>
    <xdr:to>
      <xdr:col>6</xdr:col>
      <xdr:colOff>0</xdr:colOff>
      <xdr:row>69</xdr:row>
      <xdr:rowOff>171450</xdr:rowOff>
    </xdr:to>
    <xdr:pic>
      <xdr:nvPicPr>
        <xdr:cNvPr id="7667" name="Picture 5">
          <a:extLst>
            <a:ext uri="{FF2B5EF4-FFF2-40B4-BE49-F238E27FC236}">
              <a16:creationId xmlns:a16="http://schemas.microsoft.com/office/drawing/2014/main" id="{00000000-0008-0000-0800-0000F31D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04850" y="9725025"/>
          <a:ext cx="6400800" cy="360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99acres.com/landmark-heritage-facilities-new-panvel-navi-mumbai-npxid-r311805?src=QUICKAMENITIES" TargetMode="External"/><Relationship Id="rId1" Type="http://schemas.openxmlformats.org/officeDocument/2006/relationships/hyperlink" Target="https://goo.gl/maps/d51e2FNNq7eYXEtRA"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86"/>
  <sheetViews>
    <sheetView tabSelected="1" view="pageBreakPreview" topLeftCell="A115" zoomScaleNormal="100" zoomScaleSheetLayoutView="100" zoomScalePageLayoutView="98" workbookViewId="0">
      <selection activeCell="A119" sqref="A115:J138"/>
    </sheetView>
  </sheetViews>
  <sheetFormatPr defaultColWidth="9.1796875" defaultRowHeight="14" x14ac:dyDescent="0.3"/>
  <cols>
    <col min="1" max="1" width="14.81640625" style="32" customWidth="1"/>
    <col min="2" max="2" width="10.81640625" style="32" bestFit="1" customWidth="1"/>
    <col min="3" max="3" width="14.453125" style="32" customWidth="1"/>
    <col min="4" max="4" width="7.26953125" style="32" customWidth="1"/>
    <col min="5" max="5" width="5.54296875" style="32" customWidth="1"/>
    <col min="6" max="6" width="9" style="32" customWidth="1"/>
    <col min="7" max="7" width="12.81640625" style="32" customWidth="1"/>
    <col min="8" max="8" width="10.453125" style="32" customWidth="1"/>
    <col min="9" max="9" width="11.1796875" style="32" customWidth="1"/>
    <col min="10" max="10" width="13.453125" style="32" customWidth="1"/>
    <col min="11" max="11" width="3.54296875" style="32" customWidth="1"/>
    <col min="12" max="15" width="9.1796875" style="32"/>
    <col min="16" max="16" width="10.1796875" style="32" bestFit="1" customWidth="1"/>
    <col min="17" max="16384" width="9.1796875" style="32"/>
  </cols>
  <sheetData>
    <row r="1" spans="1:16" ht="43.9" customHeight="1" x14ac:dyDescent="0.3">
      <c r="A1" s="330" t="s">
        <v>230</v>
      </c>
      <c r="B1" s="331"/>
      <c r="C1" s="331"/>
      <c r="D1" s="331"/>
      <c r="E1" s="331"/>
      <c r="F1" s="331"/>
      <c r="G1" s="331"/>
      <c r="H1" s="331"/>
      <c r="I1" s="331"/>
      <c r="J1" s="332"/>
    </row>
    <row r="2" spans="1:16" x14ac:dyDescent="0.3">
      <c r="A2" s="320" t="s">
        <v>47</v>
      </c>
      <c r="B2" s="384"/>
      <c r="C2" s="384"/>
      <c r="D2" s="384"/>
      <c r="E2" s="384"/>
      <c r="F2" s="384"/>
      <c r="G2" s="384"/>
      <c r="H2" s="384"/>
      <c r="I2" s="384"/>
      <c r="J2" s="321"/>
    </row>
    <row r="3" spans="1:16" x14ac:dyDescent="0.3">
      <c r="A3" s="190" t="s">
        <v>0</v>
      </c>
      <c r="B3" s="191"/>
      <c r="C3" s="191"/>
      <c r="D3" s="191"/>
      <c r="E3" s="192"/>
      <c r="F3" s="187" t="str">
        <f ca="1">TEXT(TODAY(),"DD/MM/YYYY")</f>
        <v>15/07/2025</v>
      </c>
      <c r="G3" s="188"/>
      <c r="H3" s="188"/>
      <c r="I3" s="188"/>
      <c r="J3" s="189"/>
    </row>
    <row r="4" spans="1:16" x14ac:dyDescent="0.3">
      <c r="A4" s="190" t="s">
        <v>1</v>
      </c>
      <c r="B4" s="191"/>
      <c r="C4" s="191"/>
      <c r="D4" s="191"/>
      <c r="E4" s="192"/>
      <c r="F4" s="198" t="s">
        <v>105</v>
      </c>
      <c r="G4" s="199"/>
      <c r="H4" s="199"/>
      <c r="I4" s="199"/>
      <c r="J4" s="200"/>
    </row>
    <row r="5" spans="1:16" x14ac:dyDescent="0.3">
      <c r="A5" s="190" t="s">
        <v>2</v>
      </c>
      <c r="B5" s="191"/>
      <c r="C5" s="191"/>
      <c r="D5" s="191"/>
      <c r="E5" s="192"/>
      <c r="F5" s="187">
        <v>45847</v>
      </c>
      <c r="G5" s="188"/>
      <c r="H5" s="188"/>
      <c r="I5" s="188"/>
      <c r="J5" s="189"/>
    </row>
    <row r="6" spans="1:16" ht="16.5" customHeight="1" x14ac:dyDescent="0.3">
      <c r="A6" s="190" t="s">
        <v>93</v>
      </c>
      <c r="B6" s="191"/>
      <c r="C6" s="191"/>
      <c r="D6" s="191"/>
      <c r="E6" s="192"/>
      <c r="F6" s="164" t="s">
        <v>234</v>
      </c>
      <c r="G6" s="165"/>
      <c r="H6" s="165"/>
      <c r="I6" s="165"/>
      <c r="J6" s="166"/>
    </row>
    <row r="7" spans="1:16" ht="15" customHeight="1" x14ac:dyDescent="0.3">
      <c r="A7" s="190" t="s">
        <v>3</v>
      </c>
      <c r="B7" s="191"/>
      <c r="C7" s="191"/>
      <c r="D7" s="191"/>
      <c r="E7" s="192"/>
      <c r="F7" s="164" t="s">
        <v>234</v>
      </c>
      <c r="G7" s="165"/>
      <c r="H7" s="165"/>
      <c r="I7" s="165"/>
      <c r="J7" s="166"/>
    </row>
    <row r="8" spans="1:16" x14ac:dyDescent="0.3">
      <c r="A8" s="190" t="s">
        <v>4</v>
      </c>
      <c r="B8" s="191"/>
      <c r="C8" s="191"/>
      <c r="D8" s="191"/>
      <c r="E8" s="192"/>
      <c r="F8" s="195" t="s">
        <v>106</v>
      </c>
      <c r="G8" s="196"/>
      <c r="H8" s="196"/>
      <c r="I8" s="196"/>
      <c r="J8" s="197"/>
    </row>
    <row r="9" spans="1:16" x14ac:dyDescent="0.3">
      <c r="A9" s="190" t="s">
        <v>231</v>
      </c>
      <c r="B9" s="191"/>
      <c r="C9" s="191"/>
      <c r="D9" s="191"/>
      <c r="E9" s="192"/>
      <c r="F9" s="190">
        <v>9833070063</v>
      </c>
      <c r="G9" s="191"/>
      <c r="H9" s="191"/>
      <c r="I9" s="191"/>
      <c r="J9" s="192"/>
    </row>
    <row r="10" spans="1:16" hidden="1" x14ac:dyDescent="0.3">
      <c r="A10" s="190" t="s">
        <v>232</v>
      </c>
      <c r="B10" s="191"/>
      <c r="C10" s="191"/>
      <c r="D10" s="191"/>
      <c r="E10" s="192"/>
      <c r="F10" s="190" t="s">
        <v>276</v>
      </c>
      <c r="G10" s="191"/>
      <c r="H10" s="191"/>
      <c r="I10" s="191"/>
      <c r="J10" s="192"/>
      <c r="L10" s="207"/>
      <c r="M10" s="207"/>
      <c r="N10" s="207"/>
      <c r="O10" s="207"/>
      <c r="P10" s="207"/>
    </row>
    <row r="11" spans="1:16" ht="90" customHeight="1" x14ac:dyDescent="0.3">
      <c r="A11" s="190" t="s">
        <v>233</v>
      </c>
      <c r="B11" s="191"/>
      <c r="C11" s="191"/>
      <c r="D11" s="191"/>
      <c r="E11" s="192"/>
      <c r="F11" s="164" t="s">
        <v>277</v>
      </c>
      <c r="G11" s="191"/>
      <c r="H11" s="191"/>
      <c r="I11" s="191"/>
      <c r="J11" s="192"/>
    </row>
    <row r="12" spans="1:16" x14ac:dyDescent="0.3">
      <c r="A12" s="190" t="s">
        <v>5</v>
      </c>
      <c r="B12" s="191"/>
      <c r="C12" s="191"/>
      <c r="D12" s="191"/>
      <c r="E12" s="192"/>
      <c r="F12" s="164" t="s">
        <v>100</v>
      </c>
      <c r="G12" s="165"/>
      <c r="H12" s="165"/>
      <c r="I12" s="165"/>
      <c r="J12" s="166"/>
    </row>
    <row r="13" spans="1:16" x14ac:dyDescent="0.3">
      <c r="A13" s="190" t="s">
        <v>124</v>
      </c>
      <c r="B13" s="191"/>
      <c r="C13" s="191"/>
      <c r="D13" s="191"/>
      <c r="E13" s="192"/>
      <c r="F13" s="164" t="s">
        <v>125</v>
      </c>
      <c r="G13" s="165"/>
      <c r="H13" s="165"/>
      <c r="I13" s="165"/>
      <c r="J13" s="166"/>
    </row>
    <row r="14" spans="1:16" x14ac:dyDescent="0.3">
      <c r="A14" s="333" t="s">
        <v>60</v>
      </c>
      <c r="B14" s="333"/>
      <c r="C14" s="164" t="s">
        <v>237</v>
      </c>
      <c r="D14" s="165"/>
      <c r="E14" s="165"/>
      <c r="F14" s="165"/>
      <c r="G14" s="165"/>
      <c r="H14" s="165"/>
      <c r="I14" s="165"/>
      <c r="J14" s="166"/>
    </row>
    <row r="15" spans="1:16" ht="15" customHeight="1" x14ac:dyDescent="0.3">
      <c r="A15" s="333" t="s">
        <v>235</v>
      </c>
      <c r="B15" s="333"/>
      <c r="C15" s="333" t="s">
        <v>236</v>
      </c>
      <c r="D15" s="333"/>
      <c r="E15" s="333"/>
      <c r="F15" s="377" t="s">
        <v>61</v>
      </c>
      <c r="G15" s="377"/>
      <c r="H15" s="165" t="s">
        <v>107</v>
      </c>
      <c r="I15" s="165"/>
      <c r="J15" s="166"/>
    </row>
    <row r="16" spans="1:16" x14ac:dyDescent="0.3">
      <c r="A16" s="333" t="s">
        <v>6</v>
      </c>
      <c r="B16" s="333"/>
      <c r="C16" s="333" t="s">
        <v>101</v>
      </c>
      <c r="D16" s="333"/>
      <c r="E16" s="333"/>
      <c r="F16" s="377" t="s">
        <v>62</v>
      </c>
      <c r="G16" s="377"/>
      <c r="H16" s="165" t="s">
        <v>108</v>
      </c>
      <c r="I16" s="165"/>
      <c r="J16" s="166"/>
    </row>
    <row r="17" spans="1:10" x14ac:dyDescent="0.3">
      <c r="A17" s="333" t="s">
        <v>7</v>
      </c>
      <c r="B17" s="333"/>
      <c r="C17" s="333" t="s">
        <v>108</v>
      </c>
      <c r="D17" s="333"/>
      <c r="E17" s="333"/>
      <c r="F17" s="377" t="s">
        <v>63</v>
      </c>
      <c r="G17" s="377"/>
      <c r="H17" s="165">
        <v>410206</v>
      </c>
      <c r="I17" s="165"/>
      <c r="J17" s="166"/>
    </row>
    <row r="18" spans="1:10" x14ac:dyDescent="0.3">
      <c r="A18" s="333" t="s">
        <v>64</v>
      </c>
      <c r="B18" s="333"/>
      <c r="C18" s="333" t="s">
        <v>111</v>
      </c>
      <c r="D18" s="333"/>
      <c r="E18" s="333"/>
      <c r="F18" s="377" t="s">
        <v>53</v>
      </c>
      <c r="G18" s="377"/>
      <c r="H18" s="165" t="s">
        <v>222</v>
      </c>
      <c r="I18" s="165"/>
      <c r="J18" s="166"/>
    </row>
    <row r="19" spans="1:10" ht="15" customHeight="1" x14ac:dyDescent="0.3">
      <c r="A19" s="371" t="s">
        <v>77</v>
      </c>
      <c r="B19" s="372"/>
      <c r="C19" s="372"/>
      <c r="D19" s="372"/>
      <c r="E19" s="373"/>
      <c r="F19" s="378" t="s">
        <v>94</v>
      </c>
      <c r="G19" s="379"/>
      <c r="H19" s="379"/>
      <c r="I19" s="379"/>
      <c r="J19" s="380"/>
    </row>
    <row r="20" spans="1:10" ht="31.5" customHeight="1" x14ac:dyDescent="0.3">
      <c r="A20" s="374"/>
      <c r="B20" s="375"/>
      <c r="C20" s="375"/>
      <c r="D20" s="375"/>
      <c r="E20" s="376"/>
      <c r="F20" s="381"/>
      <c r="G20" s="382"/>
      <c r="H20" s="382"/>
      <c r="I20" s="382"/>
      <c r="J20" s="383"/>
    </row>
    <row r="21" spans="1:10" ht="15" customHeight="1" x14ac:dyDescent="0.3">
      <c r="A21" s="371" t="s">
        <v>78</v>
      </c>
      <c r="B21" s="372"/>
      <c r="C21" s="372"/>
      <c r="D21" s="372"/>
      <c r="E21" s="373"/>
      <c r="F21" s="371" t="s">
        <v>48</v>
      </c>
      <c r="G21" s="372"/>
      <c r="H21" s="372"/>
      <c r="I21" s="372"/>
      <c r="J21" s="373"/>
    </row>
    <row r="22" spans="1:10" x14ac:dyDescent="0.3">
      <c r="A22" s="374"/>
      <c r="B22" s="375"/>
      <c r="C22" s="375"/>
      <c r="D22" s="375"/>
      <c r="E22" s="376"/>
      <c r="F22" s="374"/>
      <c r="G22" s="375"/>
      <c r="H22" s="375"/>
      <c r="I22" s="375"/>
      <c r="J22" s="376"/>
    </row>
    <row r="23" spans="1:10" x14ac:dyDescent="0.3">
      <c r="A23" s="190" t="s">
        <v>8</v>
      </c>
      <c r="B23" s="191"/>
      <c r="C23" s="191"/>
      <c r="D23" s="191"/>
      <c r="E23" s="192"/>
      <c r="F23" s="342" t="s">
        <v>95</v>
      </c>
      <c r="G23" s="343"/>
      <c r="H23" s="343"/>
      <c r="I23" s="343"/>
      <c r="J23" s="344"/>
    </row>
    <row r="24" spans="1:10" x14ac:dyDescent="0.3">
      <c r="A24" s="190" t="s">
        <v>9</v>
      </c>
      <c r="B24" s="191"/>
      <c r="C24" s="191"/>
      <c r="D24" s="191"/>
      <c r="E24" s="192"/>
      <c r="F24" s="357" t="s">
        <v>54</v>
      </c>
      <c r="G24" s="358"/>
      <c r="H24" s="358"/>
      <c r="I24" s="358"/>
      <c r="J24" s="359"/>
    </row>
    <row r="25" spans="1:10" x14ac:dyDescent="0.3">
      <c r="A25" s="190" t="s">
        <v>10</v>
      </c>
      <c r="B25" s="191"/>
      <c r="C25" s="191"/>
      <c r="D25" s="191"/>
      <c r="E25" s="192"/>
      <c r="F25" s="342" t="s">
        <v>96</v>
      </c>
      <c r="G25" s="343"/>
      <c r="H25" s="343"/>
      <c r="I25" s="343"/>
      <c r="J25" s="344"/>
    </row>
    <row r="26" spans="1:10" x14ac:dyDescent="0.3">
      <c r="A26" s="190" t="s">
        <v>26</v>
      </c>
      <c r="B26" s="191"/>
      <c r="C26" s="191"/>
      <c r="D26" s="191"/>
      <c r="E26" s="192"/>
      <c r="F26" s="357" t="s">
        <v>65</v>
      </c>
      <c r="G26" s="358"/>
      <c r="H26" s="358"/>
      <c r="I26" s="358"/>
      <c r="J26" s="359"/>
    </row>
    <row r="27" spans="1:10" x14ac:dyDescent="0.3">
      <c r="A27" s="320" t="s">
        <v>11</v>
      </c>
      <c r="B27" s="321"/>
      <c r="C27" s="320" t="s">
        <v>12</v>
      </c>
      <c r="D27" s="321"/>
      <c r="E27" s="320" t="s">
        <v>13</v>
      </c>
      <c r="F27" s="321"/>
      <c r="G27" s="320" t="s">
        <v>52</v>
      </c>
      <c r="H27" s="321"/>
      <c r="I27" s="320" t="s">
        <v>14</v>
      </c>
      <c r="J27" s="321"/>
    </row>
    <row r="28" spans="1:10" x14ac:dyDescent="0.3">
      <c r="A28" s="318" t="s">
        <v>272</v>
      </c>
      <c r="B28" s="319"/>
      <c r="C28" s="318" t="s">
        <v>273</v>
      </c>
      <c r="D28" s="319"/>
      <c r="E28" s="318" t="s">
        <v>274</v>
      </c>
      <c r="F28" s="319"/>
      <c r="G28" s="318" t="s">
        <v>273</v>
      </c>
      <c r="H28" s="319"/>
      <c r="I28" s="318" t="s">
        <v>273</v>
      </c>
      <c r="J28" s="319"/>
    </row>
    <row r="29" spans="1:10" x14ac:dyDescent="0.3">
      <c r="A29" s="318" t="s">
        <v>15</v>
      </c>
      <c r="B29" s="319"/>
      <c r="C29" s="318" t="s">
        <v>109</v>
      </c>
      <c r="D29" s="319"/>
      <c r="E29" s="318" t="s">
        <v>6</v>
      </c>
      <c r="F29" s="319"/>
      <c r="G29" s="318" t="s">
        <v>110</v>
      </c>
      <c r="H29" s="319"/>
      <c r="I29" s="318" t="s">
        <v>109</v>
      </c>
      <c r="J29" s="319"/>
    </row>
    <row r="30" spans="1:10" x14ac:dyDescent="0.3">
      <c r="A30" s="190" t="s">
        <v>58</v>
      </c>
      <c r="B30" s="191"/>
      <c r="C30" s="191"/>
      <c r="D30" s="191"/>
      <c r="E30" s="191"/>
      <c r="F30" s="191"/>
      <c r="G30" s="191"/>
      <c r="H30" s="191"/>
      <c r="I30" s="191"/>
      <c r="J30" s="192"/>
    </row>
    <row r="31" spans="1:10" x14ac:dyDescent="0.3">
      <c r="A31" s="190" t="s">
        <v>99</v>
      </c>
      <c r="B31" s="191"/>
      <c r="C31" s="191"/>
      <c r="D31" s="191"/>
      <c r="E31" s="191"/>
      <c r="F31" s="191"/>
      <c r="G31" s="191"/>
      <c r="H31" s="191"/>
      <c r="I31" s="191"/>
      <c r="J31" s="192"/>
    </row>
    <row r="32" spans="1:10" x14ac:dyDescent="0.3">
      <c r="A32" s="190" t="s">
        <v>43</v>
      </c>
      <c r="B32" s="192"/>
      <c r="C32" s="195" t="s">
        <v>238</v>
      </c>
      <c r="D32" s="196"/>
      <c r="E32" s="196"/>
      <c r="F32" s="196"/>
      <c r="G32" s="196"/>
      <c r="H32" s="196"/>
      <c r="I32" s="196"/>
      <c r="J32" s="197"/>
    </row>
    <row r="33" spans="1:16" ht="14.5" x14ac:dyDescent="0.3">
      <c r="A33" s="190" t="s">
        <v>223</v>
      </c>
      <c r="B33" s="192"/>
      <c r="C33" s="397" t="s">
        <v>224</v>
      </c>
      <c r="D33" s="191"/>
      <c r="E33" s="191"/>
      <c r="F33" s="191"/>
      <c r="G33" s="191"/>
      <c r="H33" s="191"/>
      <c r="I33" s="191"/>
      <c r="J33" s="192"/>
    </row>
    <row r="34" spans="1:16" x14ac:dyDescent="0.3">
      <c r="A34" s="195" t="s">
        <v>16</v>
      </c>
      <c r="B34" s="196"/>
      <c r="C34" s="196"/>
      <c r="D34" s="196"/>
      <c r="E34" s="196"/>
      <c r="F34" s="196"/>
      <c r="G34" s="196"/>
      <c r="H34" s="196"/>
      <c r="I34" s="196"/>
      <c r="J34" s="197"/>
    </row>
    <row r="35" spans="1:16" ht="15" customHeight="1" x14ac:dyDescent="0.3">
      <c r="A35" s="180" t="s">
        <v>113</v>
      </c>
      <c r="B35" s="398"/>
      <c r="C35" s="398"/>
      <c r="D35" s="398"/>
      <c r="E35" s="398"/>
      <c r="F35" s="398"/>
      <c r="G35" s="398"/>
      <c r="H35" s="398"/>
      <c r="I35" s="398"/>
      <c r="J35" s="181"/>
    </row>
    <row r="36" spans="1:16" x14ac:dyDescent="0.3">
      <c r="A36" s="182"/>
      <c r="B36" s="399"/>
      <c r="C36" s="399"/>
      <c r="D36" s="399"/>
      <c r="E36" s="399"/>
      <c r="F36" s="399"/>
      <c r="G36" s="399"/>
      <c r="H36" s="399"/>
      <c r="I36" s="399"/>
      <c r="J36" s="183"/>
    </row>
    <row r="37" spans="1:16" ht="16.5" customHeight="1" x14ac:dyDescent="0.3">
      <c r="A37" s="198" t="s">
        <v>66</v>
      </c>
      <c r="B37" s="199"/>
      <c r="C37" s="199"/>
      <c r="D37" s="199"/>
      <c r="E37" s="200"/>
      <c r="F37" s="184">
        <v>8081.34</v>
      </c>
      <c r="G37" s="185"/>
      <c r="H37" s="185"/>
      <c r="I37" s="185"/>
      <c r="J37" s="186"/>
    </row>
    <row r="38" spans="1:16" x14ac:dyDescent="0.3">
      <c r="A38" s="198" t="s">
        <v>17</v>
      </c>
      <c r="B38" s="199"/>
      <c r="C38" s="199"/>
      <c r="D38" s="199"/>
      <c r="E38" s="200"/>
      <c r="F38" s="204">
        <f>8081.34/F37</f>
        <v>1</v>
      </c>
      <c r="G38" s="205"/>
      <c r="H38" s="205"/>
      <c r="I38" s="205"/>
      <c r="J38" s="206"/>
      <c r="L38" s="190">
        <v>1.2</v>
      </c>
      <c r="M38" s="191"/>
      <c r="N38" s="191"/>
      <c r="O38" s="191"/>
      <c r="P38" s="192"/>
    </row>
    <row r="39" spans="1:16" x14ac:dyDescent="0.3">
      <c r="A39" s="198" t="s">
        <v>18</v>
      </c>
      <c r="B39" s="199"/>
      <c r="C39" s="199"/>
      <c r="D39" s="199"/>
      <c r="E39" s="200"/>
      <c r="F39" s="204">
        <f>F41/F37-F38</f>
        <v>0.52138259249084928</v>
      </c>
      <c r="G39" s="205"/>
      <c r="H39" s="205"/>
      <c r="I39" s="205"/>
      <c r="J39" s="206"/>
    </row>
    <row r="40" spans="1:16" x14ac:dyDescent="0.3">
      <c r="A40" s="198" t="s">
        <v>19</v>
      </c>
      <c r="B40" s="199"/>
      <c r="C40" s="199"/>
      <c r="D40" s="199"/>
      <c r="E40" s="200"/>
      <c r="F40" s="204">
        <f>F38+F39</f>
        <v>1.5213825924908493</v>
      </c>
      <c r="G40" s="205"/>
      <c r="H40" s="205"/>
      <c r="I40" s="205"/>
      <c r="J40" s="206"/>
    </row>
    <row r="41" spans="1:16" x14ac:dyDescent="0.3">
      <c r="A41" s="198" t="s">
        <v>67</v>
      </c>
      <c r="B41" s="199"/>
      <c r="C41" s="199"/>
      <c r="D41" s="199"/>
      <c r="E41" s="200"/>
      <c r="F41" s="198">
        <f>10236.568+2058.242</f>
        <v>12294.81</v>
      </c>
      <c r="G41" s="199"/>
      <c r="H41" s="199"/>
      <c r="I41" s="199"/>
      <c r="J41" s="200"/>
      <c r="L41" s="190">
        <v>9697.59</v>
      </c>
      <c r="M41" s="191"/>
      <c r="N41" s="191"/>
      <c r="O41" s="191"/>
      <c r="P41" s="192"/>
    </row>
    <row r="42" spans="1:16" x14ac:dyDescent="0.3">
      <c r="A42" s="198" t="s">
        <v>20</v>
      </c>
      <c r="B42" s="199"/>
      <c r="C42" s="199"/>
      <c r="D42" s="199"/>
      <c r="E42" s="200"/>
      <c r="F42" s="198" t="s">
        <v>181</v>
      </c>
      <c r="G42" s="199"/>
      <c r="H42" s="199"/>
      <c r="I42" s="199"/>
      <c r="J42" s="200"/>
    </row>
    <row r="43" spans="1:16" x14ac:dyDescent="0.3">
      <c r="A43" s="334" t="s">
        <v>69</v>
      </c>
      <c r="B43" s="335"/>
      <c r="C43" s="335"/>
      <c r="D43" s="335"/>
      <c r="E43" s="335"/>
      <c r="F43" s="335"/>
      <c r="G43" s="335"/>
      <c r="H43" s="335"/>
      <c r="I43" s="335"/>
      <c r="J43" s="336"/>
    </row>
    <row r="44" spans="1:16" ht="30.75" customHeight="1" x14ac:dyDescent="0.3">
      <c r="A44" s="167" t="s">
        <v>68</v>
      </c>
      <c r="B44" s="168"/>
      <c r="C44" s="167" t="s">
        <v>255</v>
      </c>
      <c r="D44" s="169"/>
      <c r="E44" s="169"/>
      <c r="F44" s="168"/>
      <c r="G44" s="80" t="s">
        <v>59</v>
      </c>
      <c r="H44" s="170">
        <v>45729</v>
      </c>
      <c r="I44" s="161"/>
      <c r="J44" s="162"/>
      <c r="L44" s="164" t="s">
        <v>182</v>
      </c>
      <c r="M44" s="165"/>
      <c r="N44" s="165"/>
      <c r="O44" s="166"/>
    </row>
    <row r="45" spans="1:16" ht="30.75" customHeight="1" x14ac:dyDescent="0.3">
      <c r="A45" s="167" t="s">
        <v>254</v>
      </c>
      <c r="B45" s="168"/>
      <c r="C45" s="167" t="str">
        <f>C44</f>
        <v>CIDCO/NAINA/Panvel/Umroli/BP-274/ACC/2025/0852</v>
      </c>
      <c r="D45" s="169"/>
      <c r="E45" s="169"/>
      <c r="F45" s="168"/>
      <c r="G45" s="80" t="s">
        <v>59</v>
      </c>
      <c r="H45" s="170">
        <f>H44</f>
        <v>45729</v>
      </c>
      <c r="I45" s="161"/>
      <c r="J45" s="162"/>
      <c r="L45" s="164" t="s">
        <v>182</v>
      </c>
      <c r="M45" s="165"/>
      <c r="N45" s="165"/>
      <c r="O45" s="166"/>
    </row>
    <row r="46" spans="1:16" ht="62.25" hidden="1" customHeight="1" x14ac:dyDescent="0.3">
      <c r="A46" s="167" t="s">
        <v>185</v>
      </c>
      <c r="B46" s="168"/>
      <c r="C46" s="167" t="s">
        <v>184</v>
      </c>
      <c r="D46" s="169"/>
      <c r="E46" s="169"/>
      <c r="F46" s="168"/>
      <c r="G46" s="80" t="s">
        <v>59</v>
      </c>
      <c r="H46" s="160" t="s">
        <v>171</v>
      </c>
      <c r="I46" s="161" t="s">
        <v>49</v>
      </c>
      <c r="J46" s="162"/>
    </row>
    <row r="47" spans="1:16" ht="63" hidden="1" customHeight="1" x14ac:dyDescent="0.3">
      <c r="A47" s="193" t="s">
        <v>186</v>
      </c>
      <c r="B47" s="194"/>
      <c r="C47" s="193" t="s">
        <v>183</v>
      </c>
      <c r="D47" s="341"/>
      <c r="E47" s="341"/>
      <c r="F47" s="194"/>
      <c r="G47" s="107" t="s">
        <v>59</v>
      </c>
      <c r="H47" s="201" t="s">
        <v>170</v>
      </c>
      <c r="I47" s="202"/>
      <c r="J47" s="203"/>
    </row>
    <row r="48" spans="1:16" ht="32.25" customHeight="1" x14ac:dyDescent="0.3">
      <c r="A48" s="180" t="s">
        <v>278</v>
      </c>
      <c r="B48" s="181"/>
      <c r="C48" s="184" t="s">
        <v>255</v>
      </c>
      <c r="D48" s="185"/>
      <c r="E48" s="185"/>
      <c r="F48" s="186"/>
      <c r="G48" s="79" t="s">
        <v>59</v>
      </c>
      <c r="H48" s="187">
        <f>H45</f>
        <v>45729</v>
      </c>
      <c r="I48" s="199" t="s">
        <v>50</v>
      </c>
      <c r="J48" s="200"/>
    </row>
    <row r="49" spans="1:18" ht="15" customHeight="1" x14ac:dyDescent="0.3">
      <c r="A49" s="182"/>
      <c r="B49" s="183"/>
      <c r="C49" s="184" t="s">
        <v>310</v>
      </c>
      <c r="D49" s="185"/>
      <c r="E49" s="185"/>
      <c r="F49" s="185"/>
      <c r="G49" s="185"/>
      <c r="H49" s="185"/>
      <c r="I49" s="185"/>
      <c r="J49" s="186"/>
      <c r="K49" s="100" t="s">
        <v>311</v>
      </c>
    </row>
    <row r="50" spans="1:18" x14ac:dyDescent="0.3">
      <c r="A50" s="211" t="s">
        <v>75</v>
      </c>
      <c r="B50" s="213"/>
      <c r="C50" s="211" t="s">
        <v>51</v>
      </c>
      <c r="D50" s="212"/>
      <c r="E50" s="212"/>
      <c r="F50" s="213" t="s">
        <v>76</v>
      </c>
      <c r="G50" s="66" t="s">
        <v>59</v>
      </c>
      <c r="H50" s="195" t="s">
        <v>51</v>
      </c>
      <c r="I50" s="196" t="s">
        <v>55</v>
      </c>
      <c r="J50" s="197"/>
    </row>
    <row r="51" spans="1:18" x14ac:dyDescent="0.3">
      <c r="A51" s="338" t="s">
        <v>21</v>
      </c>
      <c r="B51" s="339"/>
      <c r="C51" s="339"/>
      <c r="D51" s="339"/>
      <c r="E51" s="339"/>
      <c r="F51" s="339"/>
      <c r="G51" s="339"/>
      <c r="H51" s="339"/>
      <c r="I51" s="339"/>
      <c r="J51" s="340"/>
    </row>
    <row r="52" spans="1:18" x14ac:dyDescent="0.3">
      <c r="A52" s="190" t="s">
        <v>74</v>
      </c>
      <c r="B52" s="191"/>
      <c r="C52" s="192"/>
      <c r="D52" s="190">
        <f>F41</f>
        <v>12294.81</v>
      </c>
      <c r="E52" s="191"/>
      <c r="F52" s="191"/>
      <c r="G52" s="191"/>
      <c r="H52" s="191"/>
      <c r="I52" s="191"/>
      <c r="J52" s="192"/>
    </row>
    <row r="53" spans="1:18" ht="62.25" hidden="1" customHeight="1" x14ac:dyDescent="0.3">
      <c r="A53" s="51" t="s">
        <v>180</v>
      </c>
      <c r="B53" s="164" t="s">
        <v>119</v>
      </c>
      <c r="C53" s="191"/>
      <c r="D53" s="191"/>
      <c r="E53" s="192"/>
      <c r="F53" s="190" t="s">
        <v>56</v>
      </c>
      <c r="G53" s="191"/>
      <c r="H53" s="191"/>
      <c r="I53" s="191"/>
      <c r="J53" s="192"/>
    </row>
    <row r="54" spans="1:18" x14ac:dyDescent="0.3">
      <c r="A54" s="190" t="s">
        <v>71</v>
      </c>
      <c r="B54" s="191"/>
      <c r="C54" s="192"/>
      <c r="D54" s="198" t="s">
        <v>309</v>
      </c>
      <c r="E54" s="199"/>
      <c r="F54" s="199"/>
      <c r="G54" s="199"/>
      <c r="H54" s="199"/>
      <c r="I54" s="199"/>
      <c r="J54" s="200"/>
      <c r="L54" s="32">
        <f>224+3+39</f>
        <v>266</v>
      </c>
    </row>
    <row r="55" spans="1:18" ht="92.25" customHeight="1" x14ac:dyDescent="0.3">
      <c r="A55" s="190" t="s">
        <v>180</v>
      </c>
      <c r="B55" s="191"/>
      <c r="C55" s="192"/>
      <c r="D55" s="164" t="s">
        <v>282</v>
      </c>
      <c r="E55" s="191"/>
      <c r="F55" s="191"/>
      <c r="G55" s="191"/>
      <c r="H55" s="191"/>
      <c r="I55" s="191"/>
      <c r="J55" s="192"/>
    </row>
    <row r="56" spans="1:18" ht="15" customHeight="1" x14ac:dyDescent="0.3">
      <c r="A56" s="171" t="s">
        <v>256</v>
      </c>
      <c r="B56" s="172"/>
      <c r="C56" s="173"/>
      <c r="D56" s="160" t="s">
        <v>314</v>
      </c>
      <c r="E56" s="161"/>
      <c r="F56" s="161"/>
      <c r="G56" s="161"/>
      <c r="H56" s="161"/>
      <c r="I56" s="161"/>
      <c r="J56" s="162"/>
    </row>
    <row r="57" spans="1:18" ht="15" customHeight="1" x14ac:dyDescent="0.3">
      <c r="A57" s="174"/>
      <c r="B57" s="175"/>
      <c r="C57" s="176"/>
      <c r="D57" s="160" t="s">
        <v>318</v>
      </c>
      <c r="E57" s="161"/>
      <c r="F57" s="161"/>
      <c r="G57" s="161"/>
      <c r="H57" s="161"/>
      <c r="I57" s="161"/>
      <c r="J57" s="162"/>
    </row>
    <row r="58" spans="1:18" ht="15" customHeight="1" x14ac:dyDescent="0.3">
      <c r="A58" s="174"/>
      <c r="B58" s="175"/>
      <c r="C58" s="176"/>
      <c r="D58" s="160" t="s">
        <v>317</v>
      </c>
      <c r="E58" s="161"/>
      <c r="F58" s="161"/>
      <c r="G58" s="161"/>
      <c r="H58" s="161"/>
      <c r="I58" s="161"/>
      <c r="J58" s="162"/>
    </row>
    <row r="59" spans="1:18" ht="15" customHeight="1" x14ac:dyDescent="0.3">
      <c r="A59" s="174"/>
      <c r="B59" s="175"/>
      <c r="C59" s="176"/>
      <c r="D59" s="160" t="s">
        <v>319</v>
      </c>
      <c r="E59" s="161"/>
      <c r="F59" s="161"/>
      <c r="G59" s="161"/>
      <c r="H59" s="161"/>
      <c r="I59" s="161"/>
      <c r="J59" s="162"/>
    </row>
    <row r="60" spans="1:18" ht="15" customHeight="1" x14ac:dyDescent="0.3">
      <c r="A60" s="174"/>
      <c r="B60" s="175"/>
      <c r="C60" s="176"/>
      <c r="D60" s="160" t="s">
        <v>315</v>
      </c>
      <c r="E60" s="161"/>
      <c r="F60" s="161"/>
      <c r="G60" s="161"/>
      <c r="H60" s="161"/>
      <c r="I60" s="161"/>
      <c r="J60" s="162"/>
    </row>
    <row r="61" spans="1:18" ht="15" customHeight="1" x14ac:dyDescent="0.3">
      <c r="A61" s="177"/>
      <c r="B61" s="178"/>
      <c r="C61" s="179"/>
      <c r="D61" s="160" t="s">
        <v>320</v>
      </c>
      <c r="E61" s="161"/>
      <c r="F61" s="161"/>
      <c r="G61" s="161"/>
      <c r="H61" s="161"/>
      <c r="I61" s="161"/>
      <c r="J61" s="162"/>
    </row>
    <row r="62" spans="1:18" x14ac:dyDescent="0.3">
      <c r="A62" s="337" t="s">
        <v>70</v>
      </c>
      <c r="B62" s="337"/>
      <c r="C62" s="337"/>
      <c r="D62" s="187">
        <v>46387</v>
      </c>
      <c r="E62" s="188"/>
      <c r="F62" s="188"/>
      <c r="G62" s="188"/>
      <c r="H62" s="188"/>
      <c r="I62" s="188"/>
      <c r="J62" s="189"/>
      <c r="L62" s="163">
        <v>45650</v>
      </c>
      <c r="M62" s="163"/>
      <c r="N62" s="163"/>
      <c r="O62" s="163"/>
      <c r="P62" s="163"/>
      <c r="Q62" s="163"/>
      <c r="R62" s="163"/>
    </row>
    <row r="63" spans="1:18" ht="33" customHeight="1" x14ac:dyDescent="0.35">
      <c r="A63" s="198" t="s">
        <v>244</v>
      </c>
      <c r="B63" s="199"/>
      <c r="C63" s="200"/>
      <c r="D63" s="184" t="s">
        <v>280</v>
      </c>
      <c r="E63" s="185"/>
      <c r="F63" s="185"/>
      <c r="G63" s="185"/>
      <c r="H63" s="185"/>
      <c r="I63" s="185"/>
      <c r="J63" s="186"/>
      <c r="K63" s="82" t="s">
        <v>279</v>
      </c>
    </row>
    <row r="64" spans="1:18" x14ac:dyDescent="0.3">
      <c r="A64" s="190" t="s">
        <v>239</v>
      </c>
      <c r="B64" s="191"/>
      <c r="C64" s="192"/>
      <c r="D64" s="190" t="s">
        <v>65</v>
      </c>
      <c r="E64" s="191"/>
      <c r="F64" s="191"/>
      <c r="G64" s="191"/>
      <c r="H64" s="191"/>
      <c r="I64" s="191"/>
      <c r="J64" s="192"/>
    </row>
    <row r="65" spans="1:12" ht="15" customHeight="1" x14ac:dyDescent="0.3">
      <c r="A65" s="190" t="s">
        <v>240</v>
      </c>
      <c r="B65" s="191"/>
      <c r="C65" s="192"/>
      <c r="D65" s="190" t="s">
        <v>241</v>
      </c>
      <c r="E65" s="191"/>
      <c r="F65" s="191"/>
      <c r="G65" s="191"/>
      <c r="H65" s="191"/>
      <c r="I65" s="191"/>
      <c r="J65" s="192"/>
    </row>
    <row r="66" spans="1:12" x14ac:dyDescent="0.3">
      <c r="A66" s="190" t="s">
        <v>242</v>
      </c>
      <c r="B66" s="191"/>
      <c r="C66" s="192"/>
      <c r="D66" s="190" t="s">
        <v>243</v>
      </c>
      <c r="E66" s="191"/>
      <c r="F66" s="191"/>
      <c r="G66" s="191"/>
      <c r="H66" s="191"/>
      <c r="I66" s="191"/>
      <c r="J66" s="192"/>
    </row>
    <row r="67" spans="1:12" x14ac:dyDescent="0.3">
      <c r="A67" s="190" t="s">
        <v>247</v>
      </c>
      <c r="B67" s="191"/>
      <c r="C67" s="192"/>
      <c r="D67" s="190" t="s">
        <v>51</v>
      </c>
      <c r="E67" s="191"/>
      <c r="F67" s="191"/>
      <c r="G67" s="191"/>
      <c r="H67" s="191"/>
      <c r="I67" s="191"/>
      <c r="J67" s="192"/>
    </row>
    <row r="68" spans="1:12" ht="28.5" customHeight="1" thickBot="1" x14ac:dyDescent="0.35">
      <c r="A68" s="164" t="s">
        <v>245</v>
      </c>
      <c r="B68" s="165"/>
      <c r="C68" s="166"/>
      <c r="D68" s="190" t="s">
        <v>246</v>
      </c>
      <c r="E68" s="191"/>
      <c r="F68" s="191"/>
      <c r="G68" s="191"/>
      <c r="H68" s="191"/>
      <c r="I68" s="191"/>
      <c r="J68" s="192"/>
    </row>
    <row r="69" spans="1:12" ht="15.5" x14ac:dyDescent="0.35">
      <c r="A69" s="325" t="s">
        <v>191</v>
      </c>
      <c r="B69" s="326"/>
      <c r="C69" s="327" t="s">
        <v>314</v>
      </c>
      <c r="D69" s="328"/>
      <c r="E69" s="328"/>
      <c r="F69" s="328"/>
      <c r="G69" s="328"/>
      <c r="H69" s="328"/>
      <c r="I69" s="328"/>
      <c r="J69" s="329"/>
      <c r="K69" s="37" t="str">
        <f ca="1">(IF(F73&gt;99%,"All work completed. Please provide OC.",IF(F73&gt;89.8%,"Plinth, RCC, Brick, Plaster, Flooring, Painting work Completed. Finishing work is in process.",IF(F73&lt;94%,(IF(C73=0,"Work not yet Started.",IF(D73=25%,"Piling work in process",IF(D73=50%,"Excavation work in process",IF(D73=100%,"Excavation work Completed. ","0")))&amp;(IF(C74=0%,"",IF(C74=L75,"Footing work is process",IF(C74=L76,"Footing work Completed",IF(C74=L77,"1st Basement Completed",IF(C74=L78,"1st &amp; 2nd Basement Completed",IF(C74=L79,"1st to 3rd Basement Completed",IF(C74=L80,"1st to 4th Basement Completed",IF(C74=L81,"Plinth work is process",IF(C74=L82,"Plinth work completed","0")))))))))))&amp;(IF(C75=(D70+G70+I70),", RCC Slab",IF(C75&gt;0,", RCC upto "&amp;C75&amp;" Slab",""))&amp;(IF(C76=I70,", Brickwork",IF(C76&gt;0,", Brickwork upto "&amp;C76&amp;" Floor",""))&amp;(IF(C77=I70,", Internal Plaster",IF(C77&gt;0,", Internal Plaster upto "&amp;C77&amp;" Floor",""))&amp;(IF(C78=I70,", External Plaster",IF(C78&gt;0,", External Plaster upto "&amp;C78&amp;" Floor",""))&amp;(IF(C79=I70,", Flooring",IF(C79&gt;0,", Flooring upto "&amp;C79&amp;" Floor",""))&amp;(IF(C80=I70,", Painting",IF(C80&gt;0,", Painting upto "&amp;C80&amp;" Floor",""))&amp;(IF(C81&gt;0,", Finishing upto "&amp;C81&amp;" Floor","")&amp;(IF(C75&gt;0.5," Completed",""))))))))))))))</f>
        <v>Excavation work Completed. Plinth work completed, RCC Slab, Brickwork, Internal Plaster, External Plaster, Flooring upto 2 Floor, Painting upto 2 Floor Completed</v>
      </c>
      <c r="L69" s="38"/>
    </row>
    <row r="70" spans="1:12" ht="15.5" x14ac:dyDescent="0.35">
      <c r="A70" s="49" t="s">
        <v>126</v>
      </c>
      <c r="B70" s="50">
        <v>0</v>
      </c>
      <c r="C70" s="50" t="s">
        <v>128</v>
      </c>
      <c r="D70" s="50">
        <v>1</v>
      </c>
      <c r="E70" s="248" t="s">
        <v>127</v>
      </c>
      <c r="F70" s="249"/>
      <c r="G70" s="50">
        <v>0</v>
      </c>
      <c r="H70" s="50" t="s">
        <v>192</v>
      </c>
      <c r="I70" s="248">
        <f ca="1">--TRIM(RIGHT(SUBSTITUTE(LEFT(C69,_xlfn.AGGREGATE(16,6,FIND({0,1,2,3,4,5,6,7,8,9},C69,ROW(INDIRECT("1:"&amp;LEN(C69)))),1))," ",REPT(" ",LEN(C69))),LEN(C69)))</f>
        <v>4</v>
      </c>
      <c r="J70" s="252"/>
      <c r="K70" s="39"/>
      <c r="L70" s="40"/>
    </row>
    <row r="71" spans="1:12" ht="33" customHeight="1" x14ac:dyDescent="0.35">
      <c r="A71" s="253" t="s">
        <v>193</v>
      </c>
      <c r="B71" s="254"/>
      <c r="C71" s="255" t="str">
        <f ca="1">K69</f>
        <v>Excavation work Completed. Plinth work completed, RCC Slab, Brickwork, Internal Plaster, External Plaster, Flooring upto 2 Floor, Painting upto 2 Floor Completed</v>
      </c>
      <c r="D71" s="256"/>
      <c r="E71" s="256"/>
      <c r="F71" s="256"/>
      <c r="G71" s="256"/>
      <c r="H71" s="256"/>
      <c r="I71" s="256"/>
      <c r="J71" s="257"/>
      <c r="K71" s="39" t="s">
        <v>194</v>
      </c>
      <c r="L71" s="40"/>
    </row>
    <row r="72" spans="1:12" ht="15.5" x14ac:dyDescent="0.35">
      <c r="A72" s="258" t="s">
        <v>33</v>
      </c>
      <c r="B72" s="259"/>
      <c r="C72" s="48" t="s">
        <v>195</v>
      </c>
      <c r="D72" s="245" t="s">
        <v>196</v>
      </c>
      <c r="E72" s="245"/>
      <c r="F72" s="245" t="s">
        <v>197</v>
      </c>
      <c r="G72" s="245"/>
      <c r="H72" s="245" t="s">
        <v>198</v>
      </c>
      <c r="I72" s="245"/>
      <c r="J72" s="260"/>
      <c r="K72" s="41" t="s">
        <v>199</v>
      </c>
      <c r="L72" s="42">
        <f ca="1">I70*25%</f>
        <v>1</v>
      </c>
    </row>
    <row r="73" spans="1:12" ht="15.5" x14ac:dyDescent="0.35">
      <c r="A73" s="244" t="s">
        <v>200</v>
      </c>
      <c r="B73" s="245"/>
      <c r="C73" s="55">
        <f ca="1">L74</f>
        <v>4</v>
      </c>
      <c r="D73" s="246">
        <f ca="1">((100/I70)*C73)/100</f>
        <v>1</v>
      </c>
      <c r="E73" s="247"/>
      <c r="F73" s="233">
        <f ca="1">(((C74/I70*10)+(40/(D70+G70+I70)*C75)+(7.5/(I70)*C76)+(7.5/(I70)*C77)+(10/I70*C78)+(10/I70*C79)+(5/I70*C80)+(5/I70*C81)+(5/I70*C82))/100)</f>
        <v>0.82499999999999996</v>
      </c>
      <c r="G73" s="233"/>
      <c r="H73" s="235">
        <f ca="1">((((C73/I70)*20)+((C74/I70)*25)+(30/(I70+G70+D70)*C75)+(5/I70*C76)+(5/I70*C77)+(5/I70*C78)+(5/I70*C79)+(0/I70*C80)+(0/I70*C81)+(5/I70*C82))/100)</f>
        <v>0.92500000000000004</v>
      </c>
      <c r="I73" s="236"/>
      <c r="J73" s="237"/>
      <c r="K73" s="41" t="s">
        <v>146</v>
      </c>
      <c r="L73" s="43">
        <f ca="1">I70*50%</f>
        <v>2</v>
      </c>
    </row>
    <row r="74" spans="1:12" ht="15.5" x14ac:dyDescent="0.35">
      <c r="A74" s="244" t="s">
        <v>35</v>
      </c>
      <c r="B74" s="245"/>
      <c r="C74" s="56">
        <f ca="1">L82</f>
        <v>4</v>
      </c>
      <c r="D74" s="246">
        <f ca="1">((100/I70)*C74)/100</f>
        <v>1</v>
      </c>
      <c r="E74" s="247"/>
      <c r="F74" s="233"/>
      <c r="G74" s="233"/>
      <c r="H74" s="238"/>
      <c r="I74" s="239"/>
      <c r="J74" s="240"/>
      <c r="K74" s="41" t="s">
        <v>149</v>
      </c>
      <c r="L74" s="43">
        <f ca="1">I70</f>
        <v>4</v>
      </c>
    </row>
    <row r="75" spans="1:12" ht="15.5" x14ac:dyDescent="0.35">
      <c r="A75" s="261" t="s">
        <v>215</v>
      </c>
      <c r="B75" s="262"/>
      <c r="C75" s="56">
        <v>5</v>
      </c>
      <c r="D75" s="246">
        <f ca="1">((100/(D70+G70+I70))*C75)/100</f>
        <v>1</v>
      </c>
      <c r="E75" s="247"/>
      <c r="F75" s="233"/>
      <c r="G75" s="233"/>
      <c r="H75" s="238"/>
      <c r="I75" s="239"/>
      <c r="J75" s="240"/>
      <c r="K75" s="41" t="s">
        <v>150</v>
      </c>
      <c r="L75" s="44">
        <f ca="1">(IF(B70&gt;1,(I70/(B70+2)),I70/4))</f>
        <v>1</v>
      </c>
    </row>
    <row r="76" spans="1:12" ht="15.5" x14ac:dyDescent="0.35">
      <c r="A76" s="244" t="s">
        <v>202</v>
      </c>
      <c r="B76" s="245" t="s">
        <v>203</v>
      </c>
      <c r="C76" s="55">
        <v>4</v>
      </c>
      <c r="D76" s="246">
        <f ca="1">((100/I70)*C76)/100</f>
        <v>1</v>
      </c>
      <c r="E76" s="247"/>
      <c r="F76" s="233"/>
      <c r="G76" s="233"/>
      <c r="H76" s="238"/>
      <c r="I76" s="239"/>
      <c r="J76" s="240"/>
      <c r="K76" s="41" t="s">
        <v>151</v>
      </c>
      <c r="L76" s="44">
        <f ca="1">(IF(B70&gt;1,(I70/(B70+2)+L75),I70/4+L75))</f>
        <v>2</v>
      </c>
    </row>
    <row r="77" spans="1:12" ht="15.5" x14ac:dyDescent="0.35">
      <c r="A77" s="244" t="s">
        <v>204</v>
      </c>
      <c r="B77" s="245" t="s">
        <v>203</v>
      </c>
      <c r="C77" s="55">
        <v>4</v>
      </c>
      <c r="D77" s="246">
        <f ca="1">((100/I70)*C77)/100</f>
        <v>1</v>
      </c>
      <c r="E77" s="247"/>
      <c r="F77" s="233"/>
      <c r="G77" s="233"/>
      <c r="H77" s="238"/>
      <c r="I77" s="239"/>
      <c r="J77" s="240"/>
      <c r="K77" s="41" t="s">
        <v>205</v>
      </c>
      <c r="L77" s="44">
        <f>(IF(B70&gt;1,(I70/(B70+2)+L76),0))</f>
        <v>0</v>
      </c>
    </row>
    <row r="78" spans="1:12" ht="15.5" x14ac:dyDescent="0.35">
      <c r="A78" s="244" t="s">
        <v>206</v>
      </c>
      <c r="B78" s="245" t="s">
        <v>207</v>
      </c>
      <c r="C78" s="55">
        <v>4</v>
      </c>
      <c r="D78" s="246">
        <f ca="1">((100/(I70))*C78)/100</f>
        <v>1</v>
      </c>
      <c r="E78" s="247"/>
      <c r="F78" s="233"/>
      <c r="G78" s="233"/>
      <c r="H78" s="238"/>
      <c r="I78" s="239"/>
      <c r="J78" s="240"/>
      <c r="K78" s="41" t="s">
        <v>208</v>
      </c>
      <c r="L78" s="44">
        <f>(IF(B70&gt;2,(I70/(B70+2)+L77),0))</f>
        <v>0</v>
      </c>
    </row>
    <row r="79" spans="1:12" ht="15.5" x14ac:dyDescent="0.35">
      <c r="A79" s="244" t="s">
        <v>209</v>
      </c>
      <c r="B79" s="245" t="s">
        <v>209</v>
      </c>
      <c r="C79" s="55">
        <v>2</v>
      </c>
      <c r="D79" s="246">
        <f ca="1">((100/I70)*C79)/100</f>
        <v>0.5</v>
      </c>
      <c r="E79" s="247"/>
      <c r="F79" s="233"/>
      <c r="G79" s="233"/>
      <c r="H79" s="238"/>
      <c r="I79" s="239"/>
      <c r="J79" s="240"/>
      <c r="K79" s="41" t="s">
        <v>210</v>
      </c>
      <c r="L79" s="45">
        <f>(IF(B70&gt;3,(I70/(B70+2)+L78),0))</f>
        <v>0</v>
      </c>
    </row>
    <row r="80" spans="1:12" ht="15.5" x14ac:dyDescent="0.35">
      <c r="A80" s="244" t="s">
        <v>211</v>
      </c>
      <c r="B80" s="245"/>
      <c r="C80" s="55">
        <v>2</v>
      </c>
      <c r="D80" s="246">
        <f ca="1">((100/I70)*C80)/100</f>
        <v>0.5</v>
      </c>
      <c r="E80" s="247"/>
      <c r="F80" s="233"/>
      <c r="G80" s="233"/>
      <c r="H80" s="238"/>
      <c r="I80" s="239"/>
      <c r="J80" s="240"/>
      <c r="K80" s="41" t="s">
        <v>212</v>
      </c>
      <c r="L80" s="44">
        <f>(IF(B70&gt;4,(I70/(B70+2)+L79),0))</f>
        <v>0</v>
      </c>
    </row>
    <row r="81" spans="1:12" ht="15.5" x14ac:dyDescent="0.35">
      <c r="A81" s="244" t="s">
        <v>213</v>
      </c>
      <c r="B81" s="245" t="s">
        <v>213</v>
      </c>
      <c r="C81" s="55">
        <v>0</v>
      </c>
      <c r="D81" s="246">
        <f ca="1">((100/(I70))*C81)/100</f>
        <v>0</v>
      </c>
      <c r="E81" s="247"/>
      <c r="F81" s="233"/>
      <c r="G81" s="233"/>
      <c r="H81" s="238"/>
      <c r="I81" s="239"/>
      <c r="J81" s="240"/>
      <c r="K81" s="41" t="s">
        <v>152</v>
      </c>
      <c r="L81" s="44">
        <f ca="1">(IF(B70=1,(I70/(B70+3)+L76),IF(B70=0,(I70/4+L76),IF(B70&gt;1,0))))</f>
        <v>3</v>
      </c>
    </row>
    <row r="82" spans="1:12" ht="16" thickBot="1" x14ac:dyDescent="0.4">
      <c r="A82" s="263" t="s">
        <v>214</v>
      </c>
      <c r="B82" s="264"/>
      <c r="C82" s="57">
        <v>0</v>
      </c>
      <c r="D82" s="250">
        <f ca="1">((100/(I70))*C82)/100</f>
        <v>0</v>
      </c>
      <c r="E82" s="251"/>
      <c r="F82" s="234"/>
      <c r="G82" s="234"/>
      <c r="H82" s="241"/>
      <c r="I82" s="242"/>
      <c r="J82" s="243"/>
      <c r="K82" s="46" t="s">
        <v>153</v>
      </c>
      <c r="L82" s="47">
        <f ca="1">(IF(B70&gt;1.5,(I70/(B70+2)+L76+MAX(0,L77-L76)+MAX(0,L78-L77)+MAX(0,L79-L78)+MAX(0,L80-L79)+MAX(0,L81-L80)),IF(B70=1,(I70/(B70+3)+L81),IF(B70=0,I70/4+L81))))</f>
        <v>4</v>
      </c>
    </row>
    <row r="83" spans="1:12" ht="15.65" customHeight="1" x14ac:dyDescent="0.35">
      <c r="A83" s="325" t="s">
        <v>191</v>
      </c>
      <c r="B83" s="326"/>
      <c r="C83" s="327" t="str">
        <f>D57</f>
        <v>Building No.2 (Wing A &amp; B) = Gr + 1st to 6th Floor</v>
      </c>
      <c r="D83" s="328"/>
      <c r="E83" s="328"/>
      <c r="F83" s="328"/>
      <c r="G83" s="328"/>
      <c r="H83" s="328"/>
      <c r="I83" s="328"/>
      <c r="J83" s="329"/>
      <c r="K83" s="37" t="str">
        <f ca="1">(IF(F87&gt;99%,"All work completed. Please provide OC.",IF(F87&gt;89.8%,"Plinth, RCC, Brick, Plaster, Flooring, Painting work Completed. Finishing work is in process.",IF(F87&lt;94%,(IF(C87=0,"Work not yet Started.",IF(D87=25%,"Piling work in process",IF(D87=50%,"Excavation work in process",IF(D87=100%,"Excavation work Completed. ","0")))&amp;(IF(C88=0%,"",IF(C88=L89,"Footing work is process",IF(C88=L90,"Footing work Completed",IF(C88=L91,"1st Basement Completed",IF(C88=L92,"1st &amp; 2nd Basement Completed",IF(C88=L93,"1st to 3rd Basement Completed",IF(C88=L94,"1st to 4th Basement Completed",IF(C88=L95,"Plinth work is process",IF(C88=L96,"Plinth work completed","0")))))))))))&amp;(IF(C89=(D84+G84+I84),", RCC Slab",IF(C89&gt;0,", RCC upto "&amp;C89&amp;" Slab",""))&amp;(IF(C90=I84,", Brickwork",IF(C90&gt;0,", Brickwork upto "&amp;C90&amp;" Floor",""))&amp;(IF(C91=I84,", Internal Plaster",IF(C91&gt;0,", Internal Plaster upto "&amp;C91&amp;" Floor",""))&amp;(IF(C92=I84,", External Plaster",IF(C92&gt;0,", External Plaster upto "&amp;C92&amp;" Floor",""))&amp;(IF(C93=I84,", Flooring",IF(C93&gt;0,", Flooring upto "&amp;C93&amp;" Floor",""))&amp;(IF(C94=I84,", Painting",IF(C94&gt;0,", Painting upto "&amp;C94&amp;" Floor",""))&amp;(IF(C95&gt;0,", Finishing upto "&amp;C95&amp;" Floor","")&amp;(IF(C89&gt;0.5," Completed",""))))))))))))))</f>
        <v>Excavation work Completed. Plinth work completed, RCC upto 5 Slab, Brickwork upto 4 Floor, Internal Plaster upto 4 Floor, External Plaster upto 3 Floor Completed</v>
      </c>
      <c r="L83" s="38"/>
    </row>
    <row r="84" spans="1:12" ht="15.5" x14ac:dyDescent="0.35">
      <c r="A84" s="49" t="s">
        <v>126</v>
      </c>
      <c r="B84" s="50">
        <v>0</v>
      </c>
      <c r="C84" s="50" t="s">
        <v>128</v>
      </c>
      <c r="D84" s="50">
        <v>1</v>
      </c>
      <c r="E84" s="248" t="s">
        <v>127</v>
      </c>
      <c r="F84" s="249"/>
      <c r="G84" s="50">
        <v>0</v>
      </c>
      <c r="H84" s="50" t="s">
        <v>192</v>
      </c>
      <c r="I84" s="248">
        <f ca="1">--TRIM(RIGHT(SUBSTITUTE(LEFT(C83,_xlfn.AGGREGATE(16,6,FIND({0,1,2,3,4,5,6,7,8,9},C83,ROW(INDIRECT("1:"&amp;LEN(C83)))),1))," ",REPT(" ",LEN(C83))),LEN(C83)))</f>
        <v>6</v>
      </c>
      <c r="J84" s="252"/>
      <c r="K84" s="39"/>
      <c r="L84" s="40"/>
    </row>
    <row r="85" spans="1:12" ht="33" customHeight="1" x14ac:dyDescent="0.35">
      <c r="A85" s="253" t="s">
        <v>193</v>
      </c>
      <c r="B85" s="254"/>
      <c r="C85" s="255" t="str">
        <f ca="1">K83</f>
        <v>Excavation work Completed. Plinth work completed, RCC upto 5 Slab, Brickwork upto 4 Floor, Internal Plaster upto 4 Floor, External Plaster upto 3 Floor Completed</v>
      </c>
      <c r="D85" s="256"/>
      <c r="E85" s="256"/>
      <c r="F85" s="256"/>
      <c r="G85" s="256"/>
      <c r="H85" s="256"/>
      <c r="I85" s="256"/>
      <c r="J85" s="257"/>
      <c r="K85" s="39" t="s">
        <v>194</v>
      </c>
      <c r="L85" s="40"/>
    </row>
    <row r="86" spans="1:12" ht="15.65" customHeight="1" x14ac:dyDescent="0.35">
      <c r="A86" s="258" t="s">
        <v>33</v>
      </c>
      <c r="B86" s="259"/>
      <c r="C86" s="48" t="s">
        <v>195</v>
      </c>
      <c r="D86" s="245" t="s">
        <v>196</v>
      </c>
      <c r="E86" s="245"/>
      <c r="F86" s="245" t="s">
        <v>197</v>
      </c>
      <c r="G86" s="245"/>
      <c r="H86" s="245" t="s">
        <v>198</v>
      </c>
      <c r="I86" s="245"/>
      <c r="J86" s="260"/>
      <c r="K86" s="41" t="s">
        <v>199</v>
      </c>
      <c r="L86" s="42">
        <f ca="1">I84*25%</f>
        <v>1.5</v>
      </c>
    </row>
    <row r="87" spans="1:12" ht="15.65" customHeight="1" x14ac:dyDescent="0.35">
      <c r="A87" s="244" t="s">
        <v>200</v>
      </c>
      <c r="B87" s="245"/>
      <c r="C87" s="55">
        <f ca="1">L88</f>
        <v>6</v>
      </c>
      <c r="D87" s="246">
        <f ca="1">((100/I84)*C87)/100</f>
        <v>1</v>
      </c>
      <c r="E87" s="247"/>
      <c r="F87" s="233">
        <f ca="1">(((C88/I84*10)+(40/(D84+G84+I84)*C89)+(7.5/(I84)*C90)+(7.5/(I84)*C91)+(10/I84*C92)+(10/I84*C93)+(5/I84*C94)+(5/I84*C95)+(5/I84*C96))/100)</f>
        <v>0.5357142857142857</v>
      </c>
      <c r="G87" s="233"/>
      <c r="H87" s="235">
        <f ca="1">((((C87/I84)*20)+((C88/I84)*25)+(30/(I84+G84+D84)*C89)+(5/I84*C90)+(5/I84*C91)+(5/I84*C92)+(5/I84*C93)+(0/I84*C94)+(0/I84*C95)+(5/I84*C96))/100)</f>
        <v>0.75595238095238093</v>
      </c>
      <c r="I87" s="236"/>
      <c r="J87" s="237"/>
      <c r="K87" s="41" t="s">
        <v>146</v>
      </c>
      <c r="L87" s="43">
        <f ca="1">I84*50%</f>
        <v>3</v>
      </c>
    </row>
    <row r="88" spans="1:12" ht="15.5" x14ac:dyDescent="0.35">
      <c r="A88" s="244" t="s">
        <v>35</v>
      </c>
      <c r="B88" s="245"/>
      <c r="C88" s="56">
        <f ca="1">L96</f>
        <v>6</v>
      </c>
      <c r="D88" s="246">
        <f ca="1">((100/I84)*C88)/100</f>
        <v>1</v>
      </c>
      <c r="E88" s="247"/>
      <c r="F88" s="233"/>
      <c r="G88" s="233"/>
      <c r="H88" s="238"/>
      <c r="I88" s="239"/>
      <c r="J88" s="240"/>
      <c r="K88" s="41" t="s">
        <v>149</v>
      </c>
      <c r="L88" s="43">
        <f ca="1">I84</f>
        <v>6</v>
      </c>
    </row>
    <row r="89" spans="1:12" ht="15.65" customHeight="1" x14ac:dyDescent="0.35">
      <c r="A89" s="244" t="s">
        <v>201</v>
      </c>
      <c r="B89" s="245"/>
      <c r="C89" s="56">
        <v>5</v>
      </c>
      <c r="D89" s="246">
        <f ca="1">((100/(D84+G84+I84))*C89)/100</f>
        <v>0.7142857142857143</v>
      </c>
      <c r="E89" s="247"/>
      <c r="F89" s="233"/>
      <c r="G89" s="233"/>
      <c r="H89" s="238"/>
      <c r="I89" s="239"/>
      <c r="J89" s="240"/>
      <c r="K89" s="41" t="s">
        <v>150</v>
      </c>
      <c r="L89" s="44">
        <f ca="1">(IF(B84&gt;1,(I84/(B84+2)),I84/4))</f>
        <v>1.5</v>
      </c>
    </row>
    <row r="90" spans="1:12" ht="15.65" customHeight="1" x14ac:dyDescent="0.35">
      <c r="A90" s="244" t="s">
        <v>202</v>
      </c>
      <c r="B90" s="245" t="s">
        <v>203</v>
      </c>
      <c r="C90" s="55">
        <v>4</v>
      </c>
      <c r="D90" s="246">
        <f ca="1">((100/I84)*C90)/100</f>
        <v>0.66666666666666674</v>
      </c>
      <c r="E90" s="247"/>
      <c r="F90" s="233"/>
      <c r="G90" s="233"/>
      <c r="H90" s="238"/>
      <c r="I90" s="239"/>
      <c r="J90" s="240"/>
      <c r="K90" s="41" t="s">
        <v>151</v>
      </c>
      <c r="L90" s="44">
        <f ca="1">(IF(B84&gt;1,(I84/(B84+2)+L89),I84/4+L89))</f>
        <v>3</v>
      </c>
    </row>
    <row r="91" spans="1:12" ht="15.65" customHeight="1" x14ac:dyDescent="0.35">
      <c r="A91" s="244" t="s">
        <v>204</v>
      </c>
      <c r="B91" s="245" t="s">
        <v>203</v>
      </c>
      <c r="C91" s="55">
        <v>4</v>
      </c>
      <c r="D91" s="246">
        <f ca="1">((100/I84)*C91)/100</f>
        <v>0.66666666666666674</v>
      </c>
      <c r="E91" s="247"/>
      <c r="F91" s="233"/>
      <c r="G91" s="233"/>
      <c r="H91" s="238"/>
      <c r="I91" s="239"/>
      <c r="J91" s="240"/>
      <c r="K91" s="41" t="s">
        <v>205</v>
      </c>
      <c r="L91" s="44">
        <f>(IF(B84&gt;1,(I84/(B84+2)+L90),0))</f>
        <v>0</v>
      </c>
    </row>
    <row r="92" spans="1:12" ht="15.65" customHeight="1" x14ac:dyDescent="0.35">
      <c r="A92" s="244" t="s">
        <v>206</v>
      </c>
      <c r="B92" s="245" t="s">
        <v>207</v>
      </c>
      <c r="C92" s="55">
        <v>3</v>
      </c>
      <c r="D92" s="246">
        <f ca="1">((100/(I84))*C92)/100</f>
        <v>0.5</v>
      </c>
      <c r="E92" s="247"/>
      <c r="F92" s="233"/>
      <c r="G92" s="233"/>
      <c r="H92" s="238"/>
      <c r="I92" s="239"/>
      <c r="J92" s="240"/>
      <c r="K92" s="41" t="s">
        <v>208</v>
      </c>
      <c r="L92" s="44">
        <f>(IF(B84&gt;2,(I84/(B84+2)+L91),0))</f>
        <v>0</v>
      </c>
    </row>
    <row r="93" spans="1:12" ht="15.65" customHeight="1" x14ac:dyDescent="0.35">
      <c r="A93" s="244" t="s">
        <v>209</v>
      </c>
      <c r="B93" s="245" t="s">
        <v>209</v>
      </c>
      <c r="C93" s="55">
        <v>0</v>
      </c>
      <c r="D93" s="246">
        <f ca="1">((100/I84)*C93)/100</f>
        <v>0</v>
      </c>
      <c r="E93" s="247"/>
      <c r="F93" s="233"/>
      <c r="G93" s="233"/>
      <c r="H93" s="238"/>
      <c r="I93" s="239"/>
      <c r="J93" s="240"/>
      <c r="K93" s="41" t="s">
        <v>210</v>
      </c>
      <c r="L93" s="45">
        <f>(IF(B84&gt;3,(I84/(B84+2)+L92),0))</f>
        <v>0</v>
      </c>
    </row>
    <row r="94" spans="1:12" ht="15.65" customHeight="1" x14ac:dyDescent="0.35">
      <c r="A94" s="244" t="s">
        <v>211</v>
      </c>
      <c r="B94" s="245"/>
      <c r="C94" s="55">
        <v>0</v>
      </c>
      <c r="D94" s="246">
        <f ca="1">((100/I84)*C94)/100</f>
        <v>0</v>
      </c>
      <c r="E94" s="247"/>
      <c r="F94" s="233"/>
      <c r="G94" s="233"/>
      <c r="H94" s="238"/>
      <c r="I94" s="239"/>
      <c r="J94" s="240"/>
      <c r="K94" s="41" t="s">
        <v>212</v>
      </c>
      <c r="L94" s="44">
        <f>(IF(B84&gt;4,(I84/(B84+2)+L93),0))</f>
        <v>0</v>
      </c>
    </row>
    <row r="95" spans="1:12" ht="15.65" customHeight="1" x14ac:dyDescent="0.35">
      <c r="A95" s="244" t="s">
        <v>213</v>
      </c>
      <c r="B95" s="245" t="s">
        <v>213</v>
      </c>
      <c r="C95" s="55">
        <v>0</v>
      </c>
      <c r="D95" s="246">
        <f ca="1">((100/(I84))*C95)/100</f>
        <v>0</v>
      </c>
      <c r="E95" s="247"/>
      <c r="F95" s="233"/>
      <c r="G95" s="233"/>
      <c r="H95" s="238"/>
      <c r="I95" s="239"/>
      <c r="J95" s="240"/>
      <c r="K95" s="41" t="s">
        <v>152</v>
      </c>
      <c r="L95" s="44">
        <f ca="1">(IF(B84=1,(I84/(B84+3)+L90),IF(B84=0,(I84/4+L90),IF(B84&gt;1,0))))</f>
        <v>4.5</v>
      </c>
    </row>
    <row r="96" spans="1:12" ht="16" customHeight="1" thickBot="1" x14ac:dyDescent="0.4">
      <c r="A96" s="263" t="s">
        <v>214</v>
      </c>
      <c r="B96" s="264"/>
      <c r="C96" s="57">
        <v>0</v>
      </c>
      <c r="D96" s="250">
        <f ca="1">((100/(I84))*C96)/100</f>
        <v>0</v>
      </c>
      <c r="E96" s="251"/>
      <c r="F96" s="234"/>
      <c r="G96" s="234"/>
      <c r="H96" s="241"/>
      <c r="I96" s="242"/>
      <c r="J96" s="243"/>
      <c r="K96" s="46" t="s">
        <v>153</v>
      </c>
      <c r="L96" s="47">
        <f ca="1">(IF(B84&gt;1.5,(I84/(B84+2)+L90+MAX(0,L91-L90)+MAX(0,L92-L91)+MAX(0,L93-L92)+MAX(0,L94-L93)+MAX(0,L95-L94)),IF(B84=1,(I84/(B84+3)+L95),IF(B84=0,I84/4+L95))))</f>
        <v>6</v>
      </c>
    </row>
    <row r="97" spans="1:12" ht="15.5" x14ac:dyDescent="0.35">
      <c r="A97" s="325" t="s">
        <v>191</v>
      </c>
      <c r="B97" s="326"/>
      <c r="C97" s="327" t="s">
        <v>313</v>
      </c>
      <c r="D97" s="328"/>
      <c r="E97" s="328"/>
      <c r="F97" s="328"/>
      <c r="G97" s="328"/>
      <c r="H97" s="328"/>
      <c r="I97" s="328"/>
      <c r="J97" s="329"/>
      <c r="K97" s="37" t="str">
        <f ca="1">(IF(F101&gt;99%,"All work completed. Please provide OC.",IF(F101&gt;89.8%,"Plinth, RCC, Brick, Plaster, Flooring, Painting work Completed. Finishing work is in process.",IF(F101&lt;94%,(IF(C101=0,"Work not yet Started.",IF(D101=25%,"Piling work in process",IF(D101=50%,"Excavation work in process",IF(D101=100%,"Excavation work Completed. ","0")))&amp;(IF(C102=0%,"",IF(C102=L103,"Footing work is process",IF(C102=L104,"Footing work Completed",IF(C102=L105,"1st Basement Completed",IF(C102=L106,"1st &amp; 2nd Basement Completed",IF(C102=L107,"1st to 3rd Basement Completed",IF(C102=L108,"1st to 4th Basement Completed",IF(C102=L109,"Plinth work is process",IF(C102=L110,"Plinth work completed","0")))))))))))&amp;(IF(C103=(D98+G98+I98),", RCC Slab",IF(C103&gt;0,", RCC upto "&amp;C103&amp;" Slab",""))&amp;(IF(C104=I98,", Brickwork",IF(C104&gt;0,", Brickwork upto "&amp;C104&amp;" Floor",""))&amp;(IF(C105=I98,", Internal Plaster",IF(C105&gt;0,", Internal Plaster upto "&amp;C105&amp;" Floor",""))&amp;(IF(C106=I98,", External Plaster",IF(C106&gt;0,", External Plaster upto "&amp;C106&amp;" Floor",""))&amp;(IF(C107=I98,", Flooring",IF(C107&gt;0,", Flooring upto "&amp;C107&amp;" Floor",""))&amp;(IF(C108=I98,", Painting",IF(C108&gt;0,", Painting upto "&amp;C108&amp;" Floor",""))&amp;(IF(C109&gt;0,", Finishing upto "&amp;C109&amp;" Floor","")&amp;(IF(C103&gt;0.5," Completed",""))))))))))))))</f>
        <v>Excavation work Completed. Plinth work completed, RCC Slab, Brickwork, Internal Plaster, External Plaster, Flooring upto 2 Floor, Painting upto 2 Floor Completed</v>
      </c>
      <c r="L97" s="38"/>
    </row>
    <row r="98" spans="1:12" ht="15.5" x14ac:dyDescent="0.35">
      <c r="A98" s="49" t="s">
        <v>126</v>
      </c>
      <c r="B98" s="50">
        <v>0</v>
      </c>
      <c r="C98" s="50" t="s">
        <v>128</v>
      </c>
      <c r="D98" s="50">
        <v>1</v>
      </c>
      <c r="E98" s="248" t="s">
        <v>127</v>
      </c>
      <c r="F98" s="249"/>
      <c r="G98" s="50">
        <v>0</v>
      </c>
      <c r="H98" s="50" t="s">
        <v>192</v>
      </c>
      <c r="I98" s="248">
        <f ca="1">--TRIM(RIGHT(SUBSTITUTE(LEFT(C97,_xlfn.AGGREGATE(16,6,FIND({0,1,2,3,4,5,6,7,8,9},C97,ROW(INDIRECT("1:"&amp;LEN(C97)))),1))," ",REPT(" ",LEN(C97))),LEN(C97)))</f>
        <v>4</v>
      </c>
      <c r="J98" s="252"/>
      <c r="K98" s="39"/>
      <c r="L98" s="40"/>
    </row>
    <row r="99" spans="1:12" ht="33" customHeight="1" x14ac:dyDescent="0.35">
      <c r="A99" s="253" t="s">
        <v>193</v>
      </c>
      <c r="B99" s="254"/>
      <c r="C99" s="255" t="str">
        <f ca="1">K97</f>
        <v>Excavation work Completed. Plinth work completed, RCC Slab, Brickwork, Internal Plaster, External Plaster, Flooring upto 2 Floor, Painting upto 2 Floor Completed</v>
      </c>
      <c r="D99" s="256"/>
      <c r="E99" s="256"/>
      <c r="F99" s="256"/>
      <c r="G99" s="256"/>
      <c r="H99" s="256"/>
      <c r="I99" s="256"/>
      <c r="J99" s="257"/>
      <c r="K99" s="39" t="s">
        <v>194</v>
      </c>
      <c r="L99" s="40"/>
    </row>
    <row r="100" spans="1:12" ht="15.5" x14ac:dyDescent="0.35">
      <c r="A100" s="258" t="s">
        <v>33</v>
      </c>
      <c r="B100" s="259"/>
      <c r="C100" s="48" t="s">
        <v>195</v>
      </c>
      <c r="D100" s="245" t="s">
        <v>196</v>
      </c>
      <c r="E100" s="245"/>
      <c r="F100" s="245" t="s">
        <v>197</v>
      </c>
      <c r="G100" s="245"/>
      <c r="H100" s="245" t="s">
        <v>198</v>
      </c>
      <c r="I100" s="245"/>
      <c r="J100" s="260"/>
      <c r="K100" s="41" t="s">
        <v>199</v>
      </c>
      <c r="L100" s="42">
        <f ca="1">I98*25%</f>
        <v>1</v>
      </c>
    </row>
    <row r="101" spans="1:12" ht="15.5" x14ac:dyDescent="0.35">
      <c r="A101" s="244" t="s">
        <v>200</v>
      </c>
      <c r="B101" s="245"/>
      <c r="C101" s="55">
        <f ca="1">L102</f>
        <v>4</v>
      </c>
      <c r="D101" s="246">
        <f ca="1">((100/I98)*C101)/100</f>
        <v>1</v>
      </c>
      <c r="E101" s="247"/>
      <c r="F101" s="233">
        <f ca="1">(((C102/I98*10)+(40/(D98+G98+I98)*C103)+(7.5/(I98)*C104)+(7.5/(I98)*C105)+(10/I98*C106)+(10/I98*C107)+(5/I98*C108)+(5/I98*C109)+(5/I98*C110))/100)</f>
        <v>0.82499999999999996</v>
      </c>
      <c r="G101" s="233"/>
      <c r="H101" s="235">
        <f ca="1">((((C101/I98)*20)+((C102/I98)*25)+(30/(I98+G98+D98)*C103)+(5/I98*C104)+(5/I98*C105)+(5/I98*C106)+(5/I98*C107)+(0/I98*C108)+(0/I98*C109)+(5/I98*C110))/100)</f>
        <v>0.92500000000000004</v>
      </c>
      <c r="I101" s="236"/>
      <c r="J101" s="237"/>
      <c r="K101" s="41" t="s">
        <v>146</v>
      </c>
      <c r="L101" s="43">
        <f ca="1">I98*50%</f>
        <v>2</v>
      </c>
    </row>
    <row r="102" spans="1:12" ht="15.5" x14ac:dyDescent="0.35">
      <c r="A102" s="244" t="s">
        <v>35</v>
      </c>
      <c r="B102" s="245"/>
      <c r="C102" s="56">
        <f ca="1">L110</f>
        <v>4</v>
      </c>
      <c r="D102" s="246">
        <f ca="1">((100/I98)*C102)/100</f>
        <v>1</v>
      </c>
      <c r="E102" s="247"/>
      <c r="F102" s="233"/>
      <c r="G102" s="233"/>
      <c r="H102" s="238"/>
      <c r="I102" s="239"/>
      <c r="J102" s="240"/>
      <c r="K102" s="41" t="s">
        <v>149</v>
      </c>
      <c r="L102" s="43">
        <f ca="1">I98</f>
        <v>4</v>
      </c>
    </row>
    <row r="103" spans="1:12" ht="15.5" x14ac:dyDescent="0.35">
      <c r="A103" s="244" t="s">
        <v>201</v>
      </c>
      <c r="B103" s="245"/>
      <c r="C103" s="56">
        <f ca="1">D98+I98</f>
        <v>5</v>
      </c>
      <c r="D103" s="246">
        <f ca="1">((100/(D98+G98+I98))*C103)/100</f>
        <v>1</v>
      </c>
      <c r="E103" s="247"/>
      <c r="F103" s="233"/>
      <c r="G103" s="233"/>
      <c r="H103" s="238"/>
      <c r="I103" s="239"/>
      <c r="J103" s="240"/>
      <c r="K103" s="41" t="s">
        <v>150</v>
      </c>
      <c r="L103" s="44">
        <f ca="1">(IF(B98&gt;1,(I98/(B98+2)),I98/4))</f>
        <v>1</v>
      </c>
    </row>
    <row r="104" spans="1:12" ht="15.5" x14ac:dyDescent="0.35">
      <c r="A104" s="244" t="s">
        <v>202</v>
      </c>
      <c r="B104" s="245" t="s">
        <v>203</v>
      </c>
      <c r="C104" s="55">
        <v>4</v>
      </c>
      <c r="D104" s="246">
        <f ca="1">((100/I98)*C104)/100</f>
        <v>1</v>
      </c>
      <c r="E104" s="247"/>
      <c r="F104" s="233"/>
      <c r="G104" s="233"/>
      <c r="H104" s="238"/>
      <c r="I104" s="239"/>
      <c r="J104" s="240"/>
      <c r="K104" s="41" t="s">
        <v>151</v>
      </c>
      <c r="L104" s="44">
        <f ca="1">(IF(B98&gt;1,(I98/(B98+2)+L103),I98/4+L103))</f>
        <v>2</v>
      </c>
    </row>
    <row r="105" spans="1:12" ht="15.5" x14ac:dyDescent="0.35">
      <c r="A105" s="244" t="s">
        <v>204</v>
      </c>
      <c r="B105" s="245" t="s">
        <v>203</v>
      </c>
      <c r="C105" s="55">
        <v>4</v>
      </c>
      <c r="D105" s="246">
        <f ca="1">((100/I98)*C105)/100</f>
        <v>1</v>
      </c>
      <c r="E105" s="247"/>
      <c r="F105" s="233"/>
      <c r="G105" s="233"/>
      <c r="H105" s="238"/>
      <c r="I105" s="239"/>
      <c r="J105" s="240"/>
      <c r="K105" s="41" t="s">
        <v>205</v>
      </c>
      <c r="L105" s="44">
        <f>(IF(B98&gt;1,(I98/(B98+2)+L104),0))</f>
        <v>0</v>
      </c>
    </row>
    <row r="106" spans="1:12" ht="15.5" x14ac:dyDescent="0.35">
      <c r="A106" s="244" t="s">
        <v>206</v>
      </c>
      <c r="B106" s="245" t="s">
        <v>207</v>
      </c>
      <c r="C106" s="55">
        <v>4</v>
      </c>
      <c r="D106" s="246">
        <f ca="1">((100/(I98))*C106)/100</f>
        <v>1</v>
      </c>
      <c r="E106" s="247"/>
      <c r="F106" s="233"/>
      <c r="G106" s="233"/>
      <c r="H106" s="238"/>
      <c r="I106" s="239"/>
      <c r="J106" s="240"/>
      <c r="K106" s="41" t="s">
        <v>208</v>
      </c>
      <c r="L106" s="44">
        <f>(IF(B98&gt;2,(I98/(B98+2)+L105),0))</f>
        <v>0</v>
      </c>
    </row>
    <row r="107" spans="1:12" ht="15.5" x14ac:dyDescent="0.35">
      <c r="A107" s="244" t="s">
        <v>209</v>
      </c>
      <c r="B107" s="245" t="s">
        <v>209</v>
      </c>
      <c r="C107" s="55">
        <v>2</v>
      </c>
      <c r="D107" s="246">
        <f ca="1">((100/I98)*C107)/100</f>
        <v>0.5</v>
      </c>
      <c r="E107" s="247"/>
      <c r="F107" s="233"/>
      <c r="G107" s="233"/>
      <c r="H107" s="238"/>
      <c r="I107" s="239"/>
      <c r="J107" s="240"/>
      <c r="K107" s="41" t="s">
        <v>210</v>
      </c>
      <c r="L107" s="45">
        <f>(IF(B98&gt;3,(I98/(B98+2)+L106),0))</f>
        <v>0</v>
      </c>
    </row>
    <row r="108" spans="1:12" ht="15.5" x14ac:dyDescent="0.35">
      <c r="A108" s="244" t="s">
        <v>211</v>
      </c>
      <c r="B108" s="245"/>
      <c r="C108" s="55">
        <v>2</v>
      </c>
      <c r="D108" s="246">
        <f ca="1">((100/I98)*C108)/100</f>
        <v>0.5</v>
      </c>
      <c r="E108" s="247"/>
      <c r="F108" s="233"/>
      <c r="G108" s="233"/>
      <c r="H108" s="238"/>
      <c r="I108" s="239"/>
      <c r="J108" s="240"/>
      <c r="K108" s="41" t="s">
        <v>212</v>
      </c>
      <c r="L108" s="44">
        <f>(IF(B98&gt;4,(I98/(B98+2)+L107),0))</f>
        <v>0</v>
      </c>
    </row>
    <row r="109" spans="1:12" ht="15.5" x14ac:dyDescent="0.35">
      <c r="A109" s="244" t="s">
        <v>213</v>
      </c>
      <c r="B109" s="245" t="s">
        <v>213</v>
      </c>
      <c r="C109" s="55">
        <v>0</v>
      </c>
      <c r="D109" s="246">
        <f ca="1">((100/(I98))*C109)/100</f>
        <v>0</v>
      </c>
      <c r="E109" s="247"/>
      <c r="F109" s="233"/>
      <c r="G109" s="233"/>
      <c r="H109" s="238"/>
      <c r="I109" s="239"/>
      <c r="J109" s="240"/>
      <c r="K109" s="41" t="s">
        <v>152</v>
      </c>
      <c r="L109" s="44">
        <f ca="1">(IF(B98=1,(I98/(B98+3)+L104),IF(B98=0,(I98/4+L104),IF(B98&gt;1,0))))</f>
        <v>3</v>
      </c>
    </row>
    <row r="110" spans="1:12" ht="16" thickBot="1" x14ac:dyDescent="0.4">
      <c r="A110" s="263" t="s">
        <v>214</v>
      </c>
      <c r="B110" s="264"/>
      <c r="C110" s="57">
        <v>0</v>
      </c>
      <c r="D110" s="250">
        <f ca="1">((100/(I98))*C110)/100</f>
        <v>0</v>
      </c>
      <c r="E110" s="251"/>
      <c r="F110" s="234"/>
      <c r="G110" s="234"/>
      <c r="H110" s="241"/>
      <c r="I110" s="242"/>
      <c r="J110" s="243"/>
      <c r="K110" s="46" t="s">
        <v>153</v>
      </c>
      <c r="L110" s="47">
        <f ca="1">(IF(B98&gt;1.5,(I98/(B98+2)+L104+MAX(0,L105-L104)+MAX(0,L106-L105)+MAX(0,L107-L106)+MAX(0,L108-L107)+MAX(0,L109-L108)),IF(B98=1,(I98/(B98+3)+L109),IF(B98=0,I98/4+L109))))</f>
        <v>4</v>
      </c>
    </row>
    <row r="111" spans="1:12" ht="15.65" customHeight="1" x14ac:dyDescent="0.35">
      <c r="A111" s="265" t="s">
        <v>191</v>
      </c>
      <c r="B111" s="266"/>
      <c r="C111" s="267" t="str">
        <f>D59</f>
        <v>Building No.4 (Wing A &amp; B) = Gr + 1st to 4th Floor</v>
      </c>
      <c r="D111" s="268"/>
      <c r="E111" s="268"/>
      <c r="F111" s="268"/>
      <c r="G111" s="268"/>
      <c r="H111" s="268"/>
      <c r="I111" s="268"/>
      <c r="J111" s="269"/>
      <c r="K111" s="37" t="str">
        <f ca="1">(IF(F115&gt;99%,"All work completed. Please provide OC.",IF(F115&gt;89.8%,"Plinth, RCC, Brick, Plaster, Flooring, Painting work Completed. Finishing work is in process.",IF(F115&lt;94%,(IF(C115=0,"Work not yet Started.",IF(D115=25%,"Piling work in process",IF(D115=50%,"Excavation work in process",IF(D115=100%,"Excavation work Completed. ","0")))&amp;(IF(C116=0%,"",IF(C116=L117,"Footing work is process",IF(C116=L118,"Footing work Completed",IF(C116=L119,"1st Basement Completed",IF(C116=L120,"1st &amp; 2nd Basement Completed",IF(C116=L121,"1st to 3rd Basement Completed",IF(C116=L122,"1st to 4th Basement Completed",IF(C116=L123,"Plinth work is process",IF(C116=L124,"Plinth work completed","0")))))))))))&amp;(IF(C117=(D112+G112+I112),", RCC Slab",IF(C117&gt;0,", RCC upto "&amp;C117&amp;" Slab",""))&amp;(IF(C118=I112,", Brickwork",IF(C118&gt;0,", Brickwork upto "&amp;C118&amp;" Floor",""))&amp;(IF(C119=I112,", Internal Plaster",IF(C119&gt;0,", Internal Plaster upto "&amp;C119&amp;" Floor",""))&amp;(IF(C120=I112,", External Plaster",IF(C120&gt;0,", External Plaster upto "&amp;C120&amp;" Floor",""))&amp;(IF(C121=I112,", Flooring",IF(C121&gt;0,", Flooring upto "&amp;C121&amp;" Floor",""))&amp;(IF(C122=I112,", Painting",IF(C122&gt;0,", Painting upto "&amp;C122&amp;" Floor",""))&amp;(IF(C123&gt;0,", Finishing upto "&amp;C123&amp;" Floor","")&amp;(IF(C117&gt;0.5," Completed",""))))))))))))))</f>
        <v>Excavation work Completed. Plinth work completed, RCC Slab, Brickwork, Internal Plaster, External Plaster, Flooring upto 2 Floor, Painting upto 2 Floor Completed</v>
      </c>
      <c r="L111" s="38"/>
    </row>
    <row r="112" spans="1:12" ht="15.5" x14ac:dyDescent="0.35">
      <c r="A112" s="49" t="s">
        <v>126</v>
      </c>
      <c r="B112" s="50">
        <v>0</v>
      </c>
      <c r="C112" s="50" t="s">
        <v>128</v>
      </c>
      <c r="D112" s="50">
        <v>1</v>
      </c>
      <c r="E112" s="248" t="s">
        <v>127</v>
      </c>
      <c r="F112" s="249"/>
      <c r="G112" s="50">
        <v>0</v>
      </c>
      <c r="H112" s="50" t="s">
        <v>192</v>
      </c>
      <c r="I112" s="248">
        <f ca="1">--TRIM(RIGHT(SUBSTITUTE(LEFT(C111,_xlfn.AGGREGATE(16,6,FIND({0,1,2,3,4,5,6,7,8,9},C111,ROW(INDIRECT("1:"&amp;LEN(C111)))),1))," ",REPT(" ",LEN(C111))),LEN(C111)))</f>
        <v>4</v>
      </c>
      <c r="J112" s="252"/>
      <c r="K112" s="39"/>
      <c r="L112" s="40"/>
    </row>
    <row r="113" spans="1:12" ht="33.75" customHeight="1" x14ac:dyDescent="0.35">
      <c r="A113" s="253" t="s">
        <v>193</v>
      </c>
      <c r="B113" s="254"/>
      <c r="C113" s="255" t="str">
        <f ca="1">K111</f>
        <v>Excavation work Completed. Plinth work completed, RCC Slab, Brickwork, Internal Plaster, External Plaster, Flooring upto 2 Floor, Painting upto 2 Floor Completed</v>
      </c>
      <c r="D113" s="256"/>
      <c r="E113" s="256"/>
      <c r="F113" s="256"/>
      <c r="G113" s="256"/>
      <c r="H113" s="256"/>
      <c r="I113" s="256"/>
      <c r="J113" s="257"/>
      <c r="K113" s="39" t="s">
        <v>194</v>
      </c>
      <c r="L113" s="40"/>
    </row>
    <row r="114" spans="1:12" ht="15.65" customHeight="1" x14ac:dyDescent="0.35">
      <c r="A114" s="258" t="s">
        <v>33</v>
      </c>
      <c r="B114" s="259"/>
      <c r="C114" s="48" t="s">
        <v>195</v>
      </c>
      <c r="D114" s="245" t="s">
        <v>196</v>
      </c>
      <c r="E114" s="245"/>
      <c r="F114" s="245" t="s">
        <v>197</v>
      </c>
      <c r="G114" s="245"/>
      <c r="H114" s="245" t="s">
        <v>198</v>
      </c>
      <c r="I114" s="245"/>
      <c r="J114" s="260"/>
      <c r="K114" s="41" t="s">
        <v>199</v>
      </c>
      <c r="L114" s="42">
        <f ca="1">I112*25%</f>
        <v>1</v>
      </c>
    </row>
    <row r="115" spans="1:12" ht="15.65" customHeight="1" x14ac:dyDescent="0.35">
      <c r="A115" s="245" t="s">
        <v>200</v>
      </c>
      <c r="B115" s="245"/>
      <c r="C115" s="55">
        <f ca="1">L116</f>
        <v>4</v>
      </c>
      <c r="D115" s="233">
        <f ca="1">((100/I112)*C115)/100</f>
        <v>1</v>
      </c>
      <c r="E115" s="233"/>
      <c r="F115" s="233">
        <f ca="1">(((C116/I112*10)+(40/(D112+G112+I112)*C117)+(7.5/(I112)*C118)+(7.5/(I112)*C119)+(10/I112*C120)+(10/I112*C121)+(5/I112*C122)+(5/I112*C123)+(5/I112*C124))/100)</f>
        <v>0.82499999999999996</v>
      </c>
      <c r="G115" s="233"/>
      <c r="H115" s="233">
        <f ca="1">((((C115/I112)*20)+((C116/I112)*25)+(30/(I112+G112+D112)*C117)+(5/I112*C118)+(5/I112*C119)+(5/I112*C120)+(5/I112*C121)+(0/I112*C122)+(0/I112*C123)+(5/I112*C124))/100)</f>
        <v>0.92500000000000004</v>
      </c>
      <c r="I115" s="233"/>
      <c r="J115" s="233"/>
      <c r="K115" s="41" t="s">
        <v>146</v>
      </c>
      <c r="L115" s="43">
        <f ca="1">I112*50%</f>
        <v>2</v>
      </c>
    </row>
    <row r="116" spans="1:12" ht="15.5" x14ac:dyDescent="0.35">
      <c r="A116" s="245" t="s">
        <v>35</v>
      </c>
      <c r="B116" s="245"/>
      <c r="C116" s="56">
        <f ca="1">L124</f>
        <v>4</v>
      </c>
      <c r="D116" s="233">
        <f ca="1">((100/I112)*C116)/100</f>
        <v>1</v>
      </c>
      <c r="E116" s="233"/>
      <c r="F116" s="233"/>
      <c r="G116" s="233"/>
      <c r="H116" s="233"/>
      <c r="I116" s="233"/>
      <c r="J116" s="233"/>
      <c r="K116" s="41" t="s">
        <v>149</v>
      </c>
      <c r="L116" s="43">
        <f ca="1">I112</f>
        <v>4</v>
      </c>
    </row>
    <row r="117" spans="1:12" ht="15.65" customHeight="1" x14ac:dyDescent="0.35">
      <c r="A117" s="262" t="s">
        <v>201</v>
      </c>
      <c r="B117" s="262"/>
      <c r="C117" s="56">
        <f ca="1">D112+I112</f>
        <v>5</v>
      </c>
      <c r="D117" s="233">
        <f ca="1">((100/(D112+G112+I112))*C117)/100</f>
        <v>1</v>
      </c>
      <c r="E117" s="233"/>
      <c r="F117" s="233"/>
      <c r="G117" s="233"/>
      <c r="H117" s="233"/>
      <c r="I117" s="233"/>
      <c r="J117" s="233"/>
      <c r="K117" s="41" t="s">
        <v>150</v>
      </c>
      <c r="L117" s="44">
        <f ca="1">(IF(B112&gt;1,(I112/(B112+2)),I112/4))</f>
        <v>1</v>
      </c>
    </row>
    <row r="118" spans="1:12" ht="15.65" customHeight="1" x14ac:dyDescent="0.35">
      <c r="A118" s="245" t="s">
        <v>202</v>
      </c>
      <c r="B118" s="245" t="s">
        <v>203</v>
      </c>
      <c r="C118" s="55">
        <v>4</v>
      </c>
      <c r="D118" s="233">
        <f ca="1">((100/I112)*C118)/100</f>
        <v>1</v>
      </c>
      <c r="E118" s="233"/>
      <c r="F118" s="233"/>
      <c r="G118" s="233"/>
      <c r="H118" s="233"/>
      <c r="I118" s="233"/>
      <c r="J118" s="233"/>
      <c r="K118" s="41" t="s">
        <v>151</v>
      </c>
      <c r="L118" s="44">
        <f ca="1">(IF(B112&gt;1,(I112/(B112+2)+L117),I112/4+L117))</f>
        <v>2</v>
      </c>
    </row>
    <row r="119" spans="1:12" ht="15.65" customHeight="1" x14ac:dyDescent="0.35">
      <c r="A119" s="245" t="s">
        <v>204</v>
      </c>
      <c r="B119" s="245" t="s">
        <v>203</v>
      </c>
      <c r="C119" s="55">
        <v>4</v>
      </c>
      <c r="D119" s="233">
        <f ca="1">((100/I112)*C119)/100</f>
        <v>1</v>
      </c>
      <c r="E119" s="233"/>
      <c r="F119" s="233"/>
      <c r="G119" s="233"/>
      <c r="H119" s="233"/>
      <c r="I119" s="233"/>
      <c r="J119" s="233"/>
      <c r="K119" s="41" t="s">
        <v>205</v>
      </c>
      <c r="L119" s="44">
        <f>(IF(B112&gt;1,(I112/(B112+2)+L118),0))</f>
        <v>0</v>
      </c>
    </row>
    <row r="120" spans="1:12" ht="15.65" customHeight="1" x14ac:dyDescent="0.35">
      <c r="A120" s="262" t="s">
        <v>206</v>
      </c>
      <c r="B120" s="262" t="s">
        <v>207</v>
      </c>
      <c r="C120" s="55">
        <v>4</v>
      </c>
      <c r="D120" s="233">
        <f ca="1">((100/(I112))*C120)/100</f>
        <v>1</v>
      </c>
      <c r="E120" s="233"/>
      <c r="F120" s="233"/>
      <c r="G120" s="233"/>
      <c r="H120" s="233"/>
      <c r="I120" s="233"/>
      <c r="J120" s="233"/>
      <c r="K120" s="41" t="s">
        <v>208</v>
      </c>
      <c r="L120" s="44">
        <f>(IF(B112&gt;2,(I112/(B112+2)+L119),0))</f>
        <v>0</v>
      </c>
    </row>
    <row r="121" spans="1:12" ht="15.65" customHeight="1" x14ac:dyDescent="0.35">
      <c r="A121" s="245" t="s">
        <v>209</v>
      </c>
      <c r="B121" s="245" t="s">
        <v>209</v>
      </c>
      <c r="C121" s="55">
        <v>2</v>
      </c>
      <c r="D121" s="233">
        <f ca="1">((100/I112)*C121)/100</f>
        <v>0.5</v>
      </c>
      <c r="E121" s="233"/>
      <c r="F121" s="233"/>
      <c r="G121" s="233"/>
      <c r="H121" s="233"/>
      <c r="I121" s="233"/>
      <c r="J121" s="233"/>
      <c r="K121" s="41" t="s">
        <v>210</v>
      </c>
      <c r="L121" s="45">
        <f>(IF(B112&gt;3,(I112/(B112+2)+L120),0))</f>
        <v>0</v>
      </c>
    </row>
    <row r="122" spans="1:12" ht="15.65" customHeight="1" x14ac:dyDescent="0.35">
      <c r="A122" s="245" t="s">
        <v>211</v>
      </c>
      <c r="B122" s="245"/>
      <c r="C122" s="55">
        <v>2</v>
      </c>
      <c r="D122" s="233">
        <f ca="1">((100/I112)*C122)/100</f>
        <v>0.5</v>
      </c>
      <c r="E122" s="233"/>
      <c r="F122" s="233"/>
      <c r="G122" s="233"/>
      <c r="H122" s="233"/>
      <c r="I122" s="233"/>
      <c r="J122" s="233"/>
      <c r="K122" s="41" t="s">
        <v>212</v>
      </c>
      <c r="L122" s="44">
        <f>(IF(B112&gt;4,(I112/(B112+2)+L121),0))</f>
        <v>0</v>
      </c>
    </row>
    <row r="123" spans="1:12" ht="15.65" customHeight="1" x14ac:dyDescent="0.35">
      <c r="A123" s="245" t="s">
        <v>213</v>
      </c>
      <c r="B123" s="245" t="s">
        <v>213</v>
      </c>
      <c r="C123" s="55">
        <v>0</v>
      </c>
      <c r="D123" s="233">
        <f ca="1">((100/(I112))*C123)/100</f>
        <v>0</v>
      </c>
      <c r="E123" s="233"/>
      <c r="F123" s="233"/>
      <c r="G123" s="233"/>
      <c r="H123" s="233"/>
      <c r="I123" s="233"/>
      <c r="J123" s="233"/>
      <c r="K123" s="41" t="s">
        <v>152</v>
      </c>
      <c r="L123" s="44">
        <f ca="1">(IF(B112=1,(I112/(B112+3)+L118),IF(B112=0,(I112/4+L118),IF(B112&gt;1,0))))</f>
        <v>3</v>
      </c>
    </row>
    <row r="124" spans="1:12" ht="16" customHeight="1" thickBot="1" x14ac:dyDescent="0.4">
      <c r="A124" s="245" t="s">
        <v>214</v>
      </c>
      <c r="B124" s="245"/>
      <c r="C124" s="55">
        <v>0</v>
      </c>
      <c r="D124" s="233">
        <f ca="1">((100/(I112))*C124)/100</f>
        <v>0</v>
      </c>
      <c r="E124" s="233"/>
      <c r="F124" s="233"/>
      <c r="G124" s="233"/>
      <c r="H124" s="233"/>
      <c r="I124" s="233"/>
      <c r="J124" s="233"/>
      <c r="K124" s="46" t="s">
        <v>153</v>
      </c>
      <c r="L124" s="47">
        <f ca="1">(IF(B112&gt;1.5,(I112/(B112+2)+L118+MAX(0,L119-L118)+MAX(0,L120-L119)+MAX(0,L121-L120)+MAX(0,L122-L121)+MAX(0,L123-L122)),IF(B112=1,(I112/(B112+3)+L123),IF(B112=0,I112/4+L123))))</f>
        <v>4</v>
      </c>
    </row>
    <row r="125" spans="1:12" ht="15.65" customHeight="1" x14ac:dyDescent="0.35">
      <c r="A125" s="432" t="s">
        <v>191</v>
      </c>
      <c r="B125" s="432"/>
      <c r="C125" s="433" t="s">
        <v>322</v>
      </c>
      <c r="D125" s="433"/>
      <c r="E125" s="433"/>
      <c r="F125" s="433"/>
      <c r="G125" s="433"/>
      <c r="H125" s="433"/>
      <c r="I125" s="433"/>
      <c r="J125" s="433"/>
      <c r="K125" s="37" t="str">
        <f ca="1">(IF(F129&gt;99%,"All work completed. Please provide OC.",IF(F129&gt;89.8%,"Plinth, RCC, Brick, Plaster, Flooring, Painting work Completed. Finishing work is in process.",IF(F129&lt;94%,(IF(C129=0,"Work not yet Started.",IF(D129=25%,"Piling work in process",IF(D129=50%,"Excavation work in process",IF(D129=100%,"Excavation work Completed. ","0")))&amp;(IF(C130=0%,"",IF(C130=L131,"Footing work is process",IF(C130=L132,"Footing work Completed",IF(C130=L133,"1st Basement Completed",IF(C130=L134,"1st &amp; 2nd Basement Completed",IF(C130=L135,"1st to 3rd Basement Completed",IF(C130=L136,"1st to 4th Basement Completed",IF(C130=L137,"Plinth work is process",IF(C130=L138,"Plinth work completed","0")))))))))))&amp;(IF(C131=(D126+G126+I126),", RCC Slab",IF(C131&gt;0,", RCC upto "&amp;C131&amp;" Slab",""))&amp;(IF(C132=I126,", Brickwork",IF(C132&gt;0,", Brickwork upto "&amp;C132&amp;" Floor",""))&amp;(IF(C133=I126,", Internal Plaster",IF(C133&gt;0,", Internal Plaster upto "&amp;C133&amp;" Floor",""))&amp;(IF(C134=I126,", External Plaster",IF(C134&gt;0,", External Plaster upto "&amp;C134&amp;" Floor",""))&amp;(IF(C135=I126,", Flooring",IF(C135&gt;0,", Flooring upto "&amp;C135&amp;" Floor",""))&amp;(IF(C136=I126,", Painting",IF(C136&gt;0,", Painting upto "&amp;C136&amp;" Floor",""))&amp;(IF(C137&gt;0,", Finishing upto "&amp;C137&amp;" Floor","")&amp;(IF(C131&gt;0.5," Completed",""))))))))))))))</f>
        <v>Excavation work Completed. Plinth work completed, RCC Slab, Brickwork, Internal Plaster, External Plaster, Flooring upto 3.5 Floor, Painting upto 2.5 Floor Completed</v>
      </c>
      <c r="L125" s="38"/>
    </row>
    <row r="126" spans="1:12" ht="15.5" x14ac:dyDescent="0.35">
      <c r="A126" s="111" t="s">
        <v>126</v>
      </c>
      <c r="B126" s="111">
        <v>0</v>
      </c>
      <c r="C126" s="111" t="s">
        <v>128</v>
      </c>
      <c r="D126" s="111">
        <v>1</v>
      </c>
      <c r="E126" s="262" t="s">
        <v>127</v>
      </c>
      <c r="F126" s="262"/>
      <c r="G126" s="111">
        <v>0</v>
      </c>
      <c r="H126" s="111" t="s">
        <v>192</v>
      </c>
      <c r="I126" s="262">
        <f ca="1">--TRIM(RIGHT(SUBSTITUTE(LEFT(C125,_xlfn.AGGREGATE(16,6,FIND({0,1,2,3,4,5,6,7,8,9},C125,ROW(INDIRECT("1:"&amp;LEN(C125)))),1))," ",REPT(" ",LEN(C125))),LEN(C125)))</f>
        <v>4</v>
      </c>
      <c r="J126" s="262"/>
      <c r="K126" s="39"/>
      <c r="L126" s="40"/>
    </row>
    <row r="127" spans="1:12" ht="33.75" customHeight="1" x14ac:dyDescent="0.35">
      <c r="A127" s="254" t="s">
        <v>193</v>
      </c>
      <c r="B127" s="254"/>
      <c r="C127" s="433" t="str">
        <f ca="1">K125</f>
        <v>Excavation work Completed. Plinth work completed, RCC Slab, Brickwork, Internal Plaster, External Plaster, Flooring upto 3.5 Floor, Painting upto 2.5 Floor Completed</v>
      </c>
      <c r="D127" s="433"/>
      <c r="E127" s="433"/>
      <c r="F127" s="433"/>
      <c r="G127" s="433"/>
      <c r="H127" s="433"/>
      <c r="I127" s="433"/>
      <c r="J127" s="433"/>
      <c r="K127" s="39" t="s">
        <v>194</v>
      </c>
      <c r="L127" s="40"/>
    </row>
    <row r="128" spans="1:12" ht="15.65" customHeight="1" x14ac:dyDescent="0.35">
      <c r="A128" s="245" t="s">
        <v>33</v>
      </c>
      <c r="B128" s="245"/>
      <c r="C128" s="110" t="s">
        <v>195</v>
      </c>
      <c r="D128" s="245" t="s">
        <v>196</v>
      </c>
      <c r="E128" s="245"/>
      <c r="F128" s="245" t="s">
        <v>197</v>
      </c>
      <c r="G128" s="245"/>
      <c r="H128" s="245" t="s">
        <v>198</v>
      </c>
      <c r="I128" s="245"/>
      <c r="J128" s="245"/>
      <c r="K128" s="41" t="s">
        <v>199</v>
      </c>
      <c r="L128" s="42">
        <f ca="1">I126*25%</f>
        <v>1</v>
      </c>
    </row>
    <row r="129" spans="1:12" ht="15.65" customHeight="1" x14ac:dyDescent="0.35">
      <c r="A129" s="245" t="s">
        <v>200</v>
      </c>
      <c r="B129" s="245"/>
      <c r="C129" s="55">
        <f ca="1">L130</f>
        <v>4</v>
      </c>
      <c r="D129" s="233">
        <f ca="1">((100/I126)*C129)/100</f>
        <v>1</v>
      </c>
      <c r="E129" s="233"/>
      <c r="F129" s="233">
        <f ca="1">(((C130/I126*10)+(40/(D126+G126+I126)*C131)+(7.5/(I126)*C132)+(7.5/(I126)*C133)+(10/I126*C134)+(10/I126*C135)+(5/I126*C136)+(5/I126*C137)+(5/I126*C138))/100)</f>
        <v>0.86875000000000002</v>
      </c>
      <c r="G129" s="233"/>
      <c r="H129" s="233">
        <f ca="1">((((C129/I126)*20)+((C130/I126)*25)+(30/(I126+G126+D126)*C131)+(5/I126*C132)+(5/I126*C133)+(5/I126*C134)+(5/I126*C135)+(0/I126*C136)+(0/I126*C137)+(5/I126*C138))/100)</f>
        <v>0.94374999999999998</v>
      </c>
      <c r="I129" s="233"/>
      <c r="J129" s="233"/>
      <c r="K129" s="41" t="s">
        <v>146</v>
      </c>
      <c r="L129" s="43">
        <f ca="1">I126*50%</f>
        <v>2</v>
      </c>
    </row>
    <row r="130" spans="1:12" ht="15.5" x14ac:dyDescent="0.35">
      <c r="A130" s="245" t="s">
        <v>35</v>
      </c>
      <c r="B130" s="245"/>
      <c r="C130" s="56">
        <f ca="1">L138</f>
        <v>4</v>
      </c>
      <c r="D130" s="233">
        <f ca="1">((100/I126)*C130)/100</f>
        <v>1</v>
      </c>
      <c r="E130" s="233"/>
      <c r="F130" s="233"/>
      <c r="G130" s="233"/>
      <c r="H130" s="233"/>
      <c r="I130" s="233"/>
      <c r="J130" s="233"/>
      <c r="K130" s="41" t="s">
        <v>149</v>
      </c>
      <c r="L130" s="43">
        <f ca="1">I126</f>
        <v>4</v>
      </c>
    </row>
    <row r="131" spans="1:12" ht="15.65" customHeight="1" x14ac:dyDescent="0.35">
      <c r="A131" s="262" t="s">
        <v>201</v>
      </c>
      <c r="B131" s="262"/>
      <c r="C131" s="56">
        <f ca="1">D126+I126</f>
        <v>5</v>
      </c>
      <c r="D131" s="233">
        <f ca="1">((100/(D126+G126+I126))*C131)/100</f>
        <v>1</v>
      </c>
      <c r="E131" s="233"/>
      <c r="F131" s="233"/>
      <c r="G131" s="233"/>
      <c r="H131" s="233"/>
      <c r="I131" s="233"/>
      <c r="J131" s="233"/>
      <c r="K131" s="41" t="s">
        <v>150</v>
      </c>
      <c r="L131" s="44">
        <f ca="1">(IF(B126&gt;1,(I126/(B126+2)),I126/4))</f>
        <v>1</v>
      </c>
    </row>
    <row r="132" spans="1:12" ht="15.65" customHeight="1" x14ac:dyDescent="0.35">
      <c r="A132" s="245" t="s">
        <v>202</v>
      </c>
      <c r="B132" s="245" t="s">
        <v>203</v>
      </c>
      <c r="C132" s="55">
        <v>4</v>
      </c>
      <c r="D132" s="233">
        <f ca="1">((100/I126)*C132)/100</f>
        <v>1</v>
      </c>
      <c r="E132" s="233"/>
      <c r="F132" s="233"/>
      <c r="G132" s="233"/>
      <c r="H132" s="233"/>
      <c r="I132" s="233"/>
      <c r="J132" s="233"/>
      <c r="K132" s="41" t="s">
        <v>151</v>
      </c>
      <c r="L132" s="44">
        <f ca="1">(IF(B126&gt;1,(I126/(B126+2)+L131),I126/4+L131))</f>
        <v>2</v>
      </c>
    </row>
    <row r="133" spans="1:12" ht="15.65" customHeight="1" x14ac:dyDescent="0.35">
      <c r="A133" s="245" t="s">
        <v>204</v>
      </c>
      <c r="B133" s="245" t="s">
        <v>203</v>
      </c>
      <c r="C133" s="56">
        <v>4</v>
      </c>
      <c r="D133" s="233">
        <f ca="1">((100/I126)*C133)/100</f>
        <v>1</v>
      </c>
      <c r="E133" s="233"/>
      <c r="F133" s="233"/>
      <c r="G133" s="233"/>
      <c r="H133" s="233"/>
      <c r="I133" s="233"/>
      <c r="J133" s="233"/>
      <c r="K133" s="41" t="s">
        <v>205</v>
      </c>
      <c r="L133" s="44">
        <f>(IF(B126&gt;1,(I126/(B126+2)+L132),0))</f>
        <v>0</v>
      </c>
    </row>
    <row r="134" spans="1:12" ht="15.65" customHeight="1" x14ac:dyDescent="0.35">
      <c r="A134" s="262" t="s">
        <v>206</v>
      </c>
      <c r="B134" s="262" t="s">
        <v>207</v>
      </c>
      <c r="C134" s="55">
        <v>4</v>
      </c>
      <c r="D134" s="233">
        <f ca="1">((100/(I126))*C134)/100</f>
        <v>1</v>
      </c>
      <c r="E134" s="233"/>
      <c r="F134" s="233"/>
      <c r="G134" s="233"/>
      <c r="H134" s="233"/>
      <c r="I134" s="233"/>
      <c r="J134" s="233"/>
      <c r="K134" s="41" t="s">
        <v>208</v>
      </c>
      <c r="L134" s="44">
        <f>(IF(B126&gt;2,(I126/(B126+2)+L133),0))</f>
        <v>0</v>
      </c>
    </row>
    <row r="135" spans="1:12" ht="15.65" customHeight="1" x14ac:dyDescent="0.35">
      <c r="A135" s="245" t="s">
        <v>209</v>
      </c>
      <c r="B135" s="245" t="s">
        <v>209</v>
      </c>
      <c r="C135" s="55">
        <v>3.5</v>
      </c>
      <c r="D135" s="233">
        <f ca="1">((100/I126)*C135)/100</f>
        <v>0.875</v>
      </c>
      <c r="E135" s="233"/>
      <c r="F135" s="233"/>
      <c r="G135" s="233"/>
      <c r="H135" s="233"/>
      <c r="I135" s="233"/>
      <c r="J135" s="233"/>
      <c r="K135" s="41" t="s">
        <v>210</v>
      </c>
      <c r="L135" s="45">
        <f>(IF(B126&gt;3,(I126/(B126+2)+L134),0))</f>
        <v>0</v>
      </c>
    </row>
    <row r="136" spans="1:12" ht="15.65" customHeight="1" x14ac:dyDescent="0.35">
      <c r="A136" s="245" t="s">
        <v>211</v>
      </c>
      <c r="B136" s="245"/>
      <c r="C136" s="55">
        <v>2.5</v>
      </c>
      <c r="D136" s="233">
        <f ca="1">((100/I126)*C136)/100</f>
        <v>0.625</v>
      </c>
      <c r="E136" s="233"/>
      <c r="F136" s="233"/>
      <c r="G136" s="233"/>
      <c r="H136" s="233"/>
      <c r="I136" s="233"/>
      <c r="J136" s="233"/>
      <c r="K136" s="41" t="s">
        <v>212</v>
      </c>
      <c r="L136" s="44">
        <f>(IF(B126&gt;4,(I126/(B126+2)+L135),0))</f>
        <v>0</v>
      </c>
    </row>
    <row r="137" spans="1:12" ht="15.65" customHeight="1" x14ac:dyDescent="0.35">
      <c r="A137" s="245" t="s">
        <v>213</v>
      </c>
      <c r="B137" s="245" t="s">
        <v>213</v>
      </c>
      <c r="C137" s="55">
        <v>0</v>
      </c>
      <c r="D137" s="233">
        <f ca="1">((100/(I126))*C137)/100</f>
        <v>0</v>
      </c>
      <c r="E137" s="233"/>
      <c r="F137" s="233"/>
      <c r="G137" s="233"/>
      <c r="H137" s="233"/>
      <c r="I137" s="233"/>
      <c r="J137" s="233"/>
      <c r="K137" s="41" t="s">
        <v>152</v>
      </c>
      <c r="L137" s="44">
        <f ca="1">(IF(B126=1,(I126/(B126+3)+L132),IF(B126=0,(I126/4+L132),IF(B126&gt;1,0))))</f>
        <v>3</v>
      </c>
    </row>
    <row r="138" spans="1:12" ht="16" customHeight="1" thickBot="1" x14ac:dyDescent="0.4">
      <c r="A138" s="245" t="s">
        <v>214</v>
      </c>
      <c r="B138" s="245"/>
      <c r="C138" s="55">
        <v>0</v>
      </c>
      <c r="D138" s="233">
        <f ca="1">((100/(I126))*C138)/100</f>
        <v>0</v>
      </c>
      <c r="E138" s="233"/>
      <c r="F138" s="233"/>
      <c r="G138" s="233"/>
      <c r="H138" s="233"/>
      <c r="I138" s="233"/>
      <c r="J138" s="233"/>
      <c r="K138" s="46" t="s">
        <v>153</v>
      </c>
      <c r="L138" s="47">
        <f ca="1">(IF(B126&gt;1.5,(I126/(B126+2)+L132+MAX(0,L133-L132)+MAX(0,L134-L133)+MAX(0,L135-L134)+MAX(0,L136-L135)+MAX(0,L137-L136)),IF(B126=1,(I126/(B126+3)+L137),IF(B126=0,I126/4+L137))))</f>
        <v>4</v>
      </c>
    </row>
    <row r="139" spans="1:12" ht="15.65" customHeight="1" x14ac:dyDescent="0.35">
      <c r="A139" s="432" t="s">
        <v>191</v>
      </c>
      <c r="B139" s="432"/>
      <c r="C139" s="433" t="s">
        <v>321</v>
      </c>
      <c r="D139" s="433"/>
      <c r="E139" s="433"/>
      <c r="F139" s="433"/>
      <c r="G139" s="433"/>
      <c r="H139" s="433"/>
      <c r="I139" s="433"/>
      <c r="J139" s="433"/>
      <c r="K139" s="37" t="str">
        <f ca="1">(IF(F143&gt;99%,"All work completed. Please provide OC.",IF(F143&gt;89.8%,"Plinth, RCC, Brick, Plaster, Flooring, Painting work Completed. Finishing work is in process.",IF(F143&lt;94%,(IF(C143=0,"Work not yet Started.",IF(D143=25%,"Piling work in process",IF(D143=50%,"Excavation work in process",IF(D143=100%,"Excavation work Completed. ","0")))&amp;(IF(C144=0%,"",IF(C144=L145,"Footing work is process",IF(C144=L146,"Footing work Completed",IF(C144=L147,"1st Basement Completed",IF(C144=L148,"1st &amp; 2nd Basement Completed",IF(C144=L149,"1st to 3rd Basement Completed",IF(C144=L150,"1st to 4th Basement Completed",IF(C144=L151,"Plinth work is process",IF(C144=L152,"Plinth work completed","0")))))))))))&amp;(IF(C145=(D140+G140+I140),", RCC Slab",IF(C145&gt;0,", RCC upto "&amp;C145&amp;" Slab",""))&amp;(IF(C146=I140,", Brickwork",IF(C146&gt;0,", Brickwork upto "&amp;C146&amp;" Floor",""))&amp;(IF(C147=I140,", Internal Plaster",IF(C147&gt;0,", Internal Plaster upto "&amp;C147&amp;" Floor",""))&amp;(IF(C148=I140,", External Plaster",IF(C148&gt;0,", External Plaster upto "&amp;C148&amp;" Floor",""))&amp;(IF(C149=I140,", Flooring",IF(C149&gt;0,", Flooring upto "&amp;C149&amp;" Floor",""))&amp;(IF(C150=I140,", Painting",IF(C150&gt;0,", Painting upto "&amp;C150&amp;" Floor",""))&amp;(IF(C151&gt;0,", Finishing upto "&amp;C151&amp;" Floor","")&amp;(IF(C145&gt;0.5," Completed",""))))))))))))))</f>
        <v>Excavation work Completed. Plinth work completed, RCC Slab, Brickwork, Internal Plaster, External Plaster, Flooring upto 3 Floor, Painting upto 2 Floor Completed</v>
      </c>
      <c r="L139" s="38"/>
    </row>
    <row r="140" spans="1:12" ht="15.5" x14ac:dyDescent="0.35">
      <c r="A140" s="111" t="s">
        <v>126</v>
      </c>
      <c r="B140" s="111">
        <v>0</v>
      </c>
      <c r="C140" s="111" t="s">
        <v>128</v>
      </c>
      <c r="D140" s="111">
        <v>1</v>
      </c>
      <c r="E140" s="262" t="s">
        <v>127</v>
      </c>
      <c r="F140" s="262"/>
      <c r="G140" s="111">
        <v>0</v>
      </c>
      <c r="H140" s="111" t="s">
        <v>192</v>
      </c>
      <c r="I140" s="262">
        <f ca="1">--TRIM(RIGHT(SUBSTITUTE(LEFT(C139,_xlfn.AGGREGATE(16,6,FIND({0,1,2,3,4,5,6,7,8,9},C139,ROW(INDIRECT("1:"&amp;LEN(C139)))),1))," ",REPT(" ",LEN(C139))),LEN(C139)))</f>
        <v>4</v>
      </c>
      <c r="J140" s="262"/>
      <c r="K140" s="39"/>
      <c r="L140" s="40"/>
    </row>
    <row r="141" spans="1:12" ht="33.75" customHeight="1" x14ac:dyDescent="0.35">
      <c r="A141" s="254" t="s">
        <v>193</v>
      </c>
      <c r="B141" s="254"/>
      <c r="C141" s="433" t="str">
        <f ca="1">K139</f>
        <v>Excavation work Completed. Plinth work completed, RCC Slab, Brickwork, Internal Plaster, External Plaster, Flooring upto 3 Floor, Painting upto 2 Floor Completed</v>
      </c>
      <c r="D141" s="433"/>
      <c r="E141" s="433"/>
      <c r="F141" s="433"/>
      <c r="G141" s="433"/>
      <c r="H141" s="433"/>
      <c r="I141" s="433"/>
      <c r="J141" s="433"/>
      <c r="K141" s="39" t="s">
        <v>194</v>
      </c>
      <c r="L141" s="40"/>
    </row>
    <row r="142" spans="1:12" ht="15.65" customHeight="1" x14ac:dyDescent="0.35">
      <c r="A142" s="245" t="s">
        <v>33</v>
      </c>
      <c r="B142" s="245"/>
      <c r="C142" s="110" t="s">
        <v>195</v>
      </c>
      <c r="D142" s="245" t="s">
        <v>196</v>
      </c>
      <c r="E142" s="245"/>
      <c r="F142" s="245" t="s">
        <v>197</v>
      </c>
      <c r="G142" s="245"/>
      <c r="H142" s="245" t="s">
        <v>198</v>
      </c>
      <c r="I142" s="245"/>
      <c r="J142" s="245"/>
      <c r="K142" s="41" t="s">
        <v>199</v>
      </c>
      <c r="L142" s="42">
        <f ca="1">I140*25%</f>
        <v>1</v>
      </c>
    </row>
    <row r="143" spans="1:12" ht="15.65" customHeight="1" x14ac:dyDescent="0.35">
      <c r="A143" s="245" t="s">
        <v>200</v>
      </c>
      <c r="B143" s="245"/>
      <c r="C143" s="55">
        <f ca="1">L144</f>
        <v>4</v>
      </c>
      <c r="D143" s="233">
        <f ca="1">((100/I140)*C143)/100</f>
        <v>1</v>
      </c>
      <c r="E143" s="233"/>
      <c r="F143" s="233">
        <f ca="1">(((C144/I140*10)+(40/(D140+G140+I140)*C145)+(7.5/(I140)*C146)+(7.5/(I140)*C147)+(10/I140*C148)+(10/I140*C149)+(5/I140*C150)+(5/I140*C151)+(5/I140*C152))/100)</f>
        <v>0.85</v>
      </c>
      <c r="G143" s="233"/>
      <c r="H143" s="233">
        <f ca="1">((((C143/I140)*20)+((C144/I140)*25)+(30/(I140+G140+D140)*C145)+(5/I140*C146)+(5/I140*C147)+(5/I140*C148)+(5/I140*C149)+(0/I140*C150)+(0/I140*C151)+(5/I140*C152))/100)</f>
        <v>0.9375</v>
      </c>
      <c r="I143" s="233"/>
      <c r="J143" s="233"/>
      <c r="K143" s="41" t="s">
        <v>146</v>
      </c>
      <c r="L143" s="43">
        <f ca="1">I140*50%</f>
        <v>2</v>
      </c>
    </row>
    <row r="144" spans="1:12" ht="15.5" x14ac:dyDescent="0.35">
      <c r="A144" s="245" t="s">
        <v>35</v>
      </c>
      <c r="B144" s="245"/>
      <c r="C144" s="56">
        <f ca="1">L152</f>
        <v>4</v>
      </c>
      <c r="D144" s="233">
        <f ca="1">((100/I140)*C144)/100</f>
        <v>1</v>
      </c>
      <c r="E144" s="233"/>
      <c r="F144" s="233"/>
      <c r="G144" s="233"/>
      <c r="H144" s="233"/>
      <c r="I144" s="233"/>
      <c r="J144" s="233"/>
      <c r="K144" s="41" t="s">
        <v>149</v>
      </c>
      <c r="L144" s="43">
        <f ca="1">I140</f>
        <v>4</v>
      </c>
    </row>
    <row r="145" spans="1:12" ht="15.65" customHeight="1" x14ac:dyDescent="0.35">
      <c r="A145" s="262" t="s">
        <v>201</v>
      </c>
      <c r="B145" s="262"/>
      <c r="C145" s="56">
        <f ca="1">D140+I140</f>
        <v>5</v>
      </c>
      <c r="D145" s="233">
        <f ca="1">((100/(D140+G140+I140))*C145)/100</f>
        <v>1</v>
      </c>
      <c r="E145" s="233"/>
      <c r="F145" s="233"/>
      <c r="G145" s="233"/>
      <c r="H145" s="233"/>
      <c r="I145" s="233"/>
      <c r="J145" s="233"/>
      <c r="K145" s="41" t="s">
        <v>150</v>
      </c>
      <c r="L145" s="44">
        <f ca="1">(IF(B140&gt;1,(I140/(B140+2)),I140/4))</f>
        <v>1</v>
      </c>
    </row>
    <row r="146" spans="1:12" ht="15.65" customHeight="1" x14ac:dyDescent="0.35">
      <c r="A146" s="245" t="s">
        <v>202</v>
      </c>
      <c r="B146" s="245" t="s">
        <v>203</v>
      </c>
      <c r="C146" s="55">
        <v>4</v>
      </c>
      <c r="D146" s="233">
        <f ca="1">((100/I140)*C146)/100</f>
        <v>1</v>
      </c>
      <c r="E146" s="233"/>
      <c r="F146" s="233"/>
      <c r="G146" s="233"/>
      <c r="H146" s="233"/>
      <c r="I146" s="233"/>
      <c r="J146" s="233"/>
      <c r="K146" s="41" t="s">
        <v>151</v>
      </c>
      <c r="L146" s="44">
        <f ca="1">(IF(B140&gt;1,(I140/(B140+2)+L145),I140/4+L145))</f>
        <v>2</v>
      </c>
    </row>
    <row r="147" spans="1:12" ht="15.65" customHeight="1" x14ac:dyDescent="0.35">
      <c r="A147" s="245" t="s">
        <v>204</v>
      </c>
      <c r="B147" s="245" t="s">
        <v>203</v>
      </c>
      <c r="C147" s="56">
        <v>4</v>
      </c>
      <c r="D147" s="233">
        <f ca="1">((100/I140)*C147)/100</f>
        <v>1</v>
      </c>
      <c r="E147" s="233"/>
      <c r="F147" s="233"/>
      <c r="G147" s="233"/>
      <c r="H147" s="233"/>
      <c r="I147" s="233"/>
      <c r="J147" s="233"/>
      <c r="K147" s="41" t="s">
        <v>205</v>
      </c>
      <c r="L147" s="44">
        <f>(IF(B140&gt;1,(I140/(B140+2)+L146),0))</f>
        <v>0</v>
      </c>
    </row>
    <row r="148" spans="1:12" ht="15.65" customHeight="1" x14ac:dyDescent="0.35">
      <c r="A148" s="262" t="s">
        <v>206</v>
      </c>
      <c r="B148" s="262" t="s">
        <v>207</v>
      </c>
      <c r="C148" s="55">
        <v>4</v>
      </c>
      <c r="D148" s="233">
        <f ca="1">((100/(I140))*C148)/100</f>
        <v>1</v>
      </c>
      <c r="E148" s="233"/>
      <c r="F148" s="233"/>
      <c r="G148" s="233"/>
      <c r="H148" s="233"/>
      <c r="I148" s="233"/>
      <c r="J148" s="233"/>
      <c r="K148" s="41" t="s">
        <v>208</v>
      </c>
      <c r="L148" s="44">
        <f>(IF(B140&gt;2,(I140/(B140+2)+L147),0))</f>
        <v>0</v>
      </c>
    </row>
    <row r="149" spans="1:12" ht="15.65" customHeight="1" x14ac:dyDescent="0.35">
      <c r="A149" s="245" t="s">
        <v>209</v>
      </c>
      <c r="B149" s="245" t="s">
        <v>209</v>
      </c>
      <c r="C149" s="55">
        <v>3</v>
      </c>
      <c r="D149" s="233">
        <f ca="1">((100/I140)*C149)/100</f>
        <v>0.75</v>
      </c>
      <c r="E149" s="233"/>
      <c r="F149" s="233"/>
      <c r="G149" s="233"/>
      <c r="H149" s="233"/>
      <c r="I149" s="233"/>
      <c r="J149" s="233"/>
      <c r="K149" s="41" t="s">
        <v>210</v>
      </c>
      <c r="L149" s="45">
        <f>(IF(B140&gt;3,(I140/(B140+2)+L148),0))</f>
        <v>0</v>
      </c>
    </row>
    <row r="150" spans="1:12" ht="15.65" customHeight="1" x14ac:dyDescent="0.35">
      <c r="A150" s="245" t="s">
        <v>211</v>
      </c>
      <c r="B150" s="245"/>
      <c r="C150" s="55">
        <v>2</v>
      </c>
      <c r="D150" s="233">
        <f ca="1">((100/I140)*C150)/100</f>
        <v>0.5</v>
      </c>
      <c r="E150" s="233"/>
      <c r="F150" s="233"/>
      <c r="G150" s="233"/>
      <c r="H150" s="233"/>
      <c r="I150" s="233"/>
      <c r="J150" s="233"/>
      <c r="K150" s="41" t="s">
        <v>212</v>
      </c>
      <c r="L150" s="44">
        <f>(IF(B140&gt;4,(I140/(B140+2)+L149),0))</f>
        <v>0</v>
      </c>
    </row>
    <row r="151" spans="1:12" ht="15.65" customHeight="1" x14ac:dyDescent="0.35">
      <c r="A151" s="245" t="s">
        <v>213</v>
      </c>
      <c r="B151" s="245" t="s">
        <v>213</v>
      </c>
      <c r="C151" s="55">
        <v>0</v>
      </c>
      <c r="D151" s="233">
        <f ca="1">((100/(I140))*C151)/100</f>
        <v>0</v>
      </c>
      <c r="E151" s="233"/>
      <c r="F151" s="233"/>
      <c r="G151" s="233"/>
      <c r="H151" s="233"/>
      <c r="I151" s="233"/>
      <c r="J151" s="233"/>
      <c r="K151" s="41" t="s">
        <v>152</v>
      </c>
      <c r="L151" s="44">
        <f ca="1">(IF(B140=1,(I140/(B140+3)+L146),IF(B140=0,(I140/4+L146),IF(B140&gt;1,0))))</f>
        <v>3</v>
      </c>
    </row>
    <row r="152" spans="1:12" ht="16" customHeight="1" thickBot="1" x14ac:dyDescent="0.4">
      <c r="A152" s="245" t="s">
        <v>214</v>
      </c>
      <c r="B152" s="245"/>
      <c r="C152" s="55">
        <v>0</v>
      </c>
      <c r="D152" s="233">
        <f ca="1">((100/(I140))*C152)/100</f>
        <v>0</v>
      </c>
      <c r="E152" s="233"/>
      <c r="F152" s="233"/>
      <c r="G152" s="233"/>
      <c r="H152" s="233"/>
      <c r="I152" s="233"/>
      <c r="J152" s="233"/>
      <c r="K152" s="46" t="s">
        <v>153</v>
      </c>
      <c r="L152" s="47">
        <f ca="1">(IF(B140&gt;1.5,(I140/(B140+2)+L146+MAX(0,L147-L146)+MAX(0,L148-L147)+MAX(0,L149-L148)+MAX(0,L150-L149)+MAX(0,L151-L150)),IF(B140=1,(I140/(B140+3)+L151),IF(B140=0,I140/4+L151))))</f>
        <v>4</v>
      </c>
    </row>
    <row r="153" spans="1:12" ht="15.65" customHeight="1" x14ac:dyDescent="0.35">
      <c r="A153" s="432" t="s">
        <v>191</v>
      </c>
      <c r="B153" s="432"/>
      <c r="C153" s="433" t="str">
        <f>D61</f>
        <v>Building No.6 (Wing A &amp; B)  = Gr + 1st to 7th Floor</v>
      </c>
      <c r="D153" s="433"/>
      <c r="E153" s="433"/>
      <c r="F153" s="433"/>
      <c r="G153" s="433"/>
      <c r="H153" s="433"/>
      <c r="I153" s="433"/>
      <c r="J153" s="433"/>
      <c r="K153" s="37" t="str">
        <f ca="1">(IF(F157&gt;99%,"All work completed. Please provide OC.",IF(F157&gt;89.8%,"Plinth, RCC, Brick, Plaster, Flooring, Painting work Completed. Finishing work is in process.",IF(F157&lt;94%,(IF(C157=0,"Work not yet Started.",IF(D157=25%,"Piling work in process",IF(D157=50%,"Excavation work in process",IF(D157=100%,"Excavation work Completed. ","0")))&amp;(IF(C158=0%,"",IF(C158=L159,"Footing work is process",IF(C158=L160,"Footing work Completed",IF(C158=L161,"1st Basement Completed",IF(C158=L162,"1st &amp; 2nd Basement Completed",IF(C158=L163,"1st to 3rd Basement Completed",IF(C158=L164,"1st to 4th Basement Completed",IF(C158=L165,"Plinth work is process",IF(C158=L166,"Plinth work completed","0")))))))))))&amp;(IF(C159=(D154+G154+I154),", RCC Slab",IF(C159&gt;0,", RCC upto "&amp;C159&amp;" Slab",""))&amp;(IF(C160=I154,", Brickwork",IF(C160&gt;0,", Brickwork upto "&amp;C160&amp;" Floor",""))&amp;(IF(C161=I154,", Internal Plaster",IF(C161&gt;0,", Internal Plaster upto "&amp;C161&amp;" Floor",""))&amp;(IF(C162=I154,", External Plaster",IF(C162&gt;0,", External Plaster upto "&amp;C162&amp;" Floor",""))&amp;(IF(C163=I154,", Flooring",IF(C163&gt;0,", Flooring upto "&amp;C163&amp;" Floor",""))&amp;(IF(C164=I154,", Painting",IF(C164&gt;0,", Painting upto "&amp;C164&amp;" Floor",""))&amp;(IF(C165&gt;0,", Finishing upto "&amp;C165&amp;" Floor","")&amp;(IF(C159&gt;0.5," Completed",""))))))))))))))</f>
        <v>Excavation work Completed. Plinth work completed, RCC upto 1 Slab Completed</v>
      </c>
      <c r="L153" s="38"/>
    </row>
    <row r="154" spans="1:12" ht="15.5" x14ac:dyDescent="0.35">
      <c r="A154" s="111" t="s">
        <v>126</v>
      </c>
      <c r="B154" s="111">
        <v>0</v>
      </c>
      <c r="C154" s="111" t="s">
        <v>128</v>
      </c>
      <c r="D154" s="111">
        <v>1</v>
      </c>
      <c r="E154" s="262" t="s">
        <v>127</v>
      </c>
      <c r="F154" s="262"/>
      <c r="G154" s="111">
        <v>0</v>
      </c>
      <c r="H154" s="111" t="s">
        <v>192</v>
      </c>
      <c r="I154" s="262">
        <f ca="1">--TRIM(RIGHT(SUBSTITUTE(LEFT(C153,_xlfn.AGGREGATE(16,6,FIND({0,1,2,3,4,5,6,7,8,9},C153,ROW(INDIRECT("1:"&amp;LEN(C153)))),1))," ",REPT(" ",LEN(C153))),LEN(C153)))</f>
        <v>7</v>
      </c>
      <c r="J154" s="262"/>
      <c r="K154" s="39"/>
      <c r="L154" s="40"/>
    </row>
    <row r="155" spans="1:12" ht="15.5" x14ac:dyDescent="0.35">
      <c r="A155" s="254" t="s">
        <v>193</v>
      </c>
      <c r="B155" s="254"/>
      <c r="C155" s="433" t="str">
        <f ca="1">K153</f>
        <v>Excavation work Completed. Plinth work completed, RCC upto 1 Slab Completed</v>
      </c>
      <c r="D155" s="433"/>
      <c r="E155" s="433"/>
      <c r="F155" s="433"/>
      <c r="G155" s="433"/>
      <c r="H155" s="433"/>
      <c r="I155" s="433"/>
      <c r="J155" s="433"/>
      <c r="K155" s="39" t="s">
        <v>194</v>
      </c>
      <c r="L155" s="40"/>
    </row>
    <row r="156" spans="1:12" ht="15.65" customHeight="1" x14ac:dyDescent="0.35">
      <c r="A156" s="245" t="s">
        <v>33</v>
      </c>
      <c r="B156" s="245"/>
      <c r="C156" s="110" t="s">
        <v>195</v>
      </c>
      <c r="D156" s="245" t="s">
        <v>196</v>
      </c>
      <c r="E156" s="245"/>
      <c r="F156" s="245" t="s">
        <v>197</v>
      </c>
      <c r="G156" s="245"/>
      <c r="H156" s="245" t="s">
        <v>198</v>
      </c>
      <c r="I156" s="245"/>
      <c r="J156" s="245"/>
      <c r="K156" s="41" t="s">
        <v>199</v>
      </c>
      <c r="L156" s="42">
        <f ca="1">I154*25%</f>
        <v>1.75</v>
      </c>
    </row>
    <row r="157" spans="1:12" ht="15.65" customHeight="1" x14ac:dyDescent="0.35">
      <c r="A157" s="245" t="s">
        <v>200</v>
      </c>
      <c r="B157" s="245"/>
      <c r="C157" s="55">
        <f ca="1">L158</f>
        <v>7</v>
      </c>
      <c r="D157" s="233">
        <f ca="1">((100/I154)*C157)/100</f>
        <v>1</v>
      </c>
      <c r="E157" s="233"/>
      <c r="F157" s="233">
        <f ca="1">(((C158/I154*10)+(40/(D154+G154+I154)*C159)+(7.5/(I154)*C160)+(7.5/(I154)*C161)+(10/I154*C162)+(10/I154*C163)+(5/I154*C164)+(5/I154*C165)+(5/I154*C166))/100)</f>
        <v>0.15</v>
      </c>
      <c r="G157" s="233"/>
      <c r="H157" s="233">
        <f ca="1">((((C157/I154)*20)+((C158/I154)*25)+(30/(I154+G154+D154)*C159)+(5/I154*C160)+(5/I154*C161)+(5/I154*C162)+(5/I154*C163)+(0/I154*C164)+(0/I154*C165)+(5/I154*C166))/100)</f>
        <v>0.48749999999999999</v>
      </c>
      <c r="I157" s="233"/>
      <c r="J157" s="233"/>
      <c r="K157" s="41" t="s">
        <v>146</v>
      </c>
      <c r="L157" s="43">
        <f ca="1">I154*50%</f>
        <v>3.5</v>
      </c>
    </row>
    <row r="158" spans="1:12" ht="15.5" x14ac:dyDescent="0.35">
      <c r="A158" s="245" t="s">
        <v>35</v>
      </c>
      <c r="B158" s="245"/>
      <c r="C158" s="56">
        <f>7</f>
        <v>7</v>
      </c>
      <c r="D158" s="233">
        <f ca="1">((100/I154)*C158)/100</f>
        <v>1</v>
      </c>
      <c r="E158" s="233"/>
      <c r="F158" s="233"/>
      <c r="G158" s="233"/>
      <c r="H158" s="233"/>
      <c r="I158" s="233"/>
      <c r="J158" s="233"/>
      <c r="K158" s="41" t="s">
        <v>149</v>
      </c>
      <c r="L158" s="43">
        <f ca="1">I154</f>
        <v>7</v>
      </c>
    </row>
    <row r="159" spans="1:12" ht="15.65" customHeight="1" x14ac:dyDescent="0.35">
      <c r="A159" s="245" t="s">
        <v>201</v>
      </c>
      <c r="B159" s="245"/>
      <c r="C159" s="56">
        <v>1</v>
      </c>
      <c r="D159" s="233">
        <f ca="1">((100/(D154+G154+I154))*C159)/100</f>
        <v>0.125</v>
      </c>
      <c r="E159" s="233"/>
      <c r="F159" s="233"/>
      <c r="G159" s="233"/>
      <c r="H159" s="233"/>
      <c r="I159" s="233"/>
      <c r="J159" s="233"/>
      <c r="K159" s="41" t="s">
        <v>150</v>
      </c>
      <c r="L159" s="44">
        <f ca="1">(IF(B154&gt;1,(I154/(B154+2)),I154/4))</f>
        <v>1.75</v>
      </c>
    </row>
    <row r="160" spans="1:12" ht="15.65" customHeight="1" x14ac:dyDescent="0.35">
      <c r="A160" s="245" t="s">
        <v>202</v>
      </c>
      <c r="B160" s="245" t="s">
        <v>203</v>
      </c>
      <c r="C160" s="55">
        <v>0</v>
      </c>
      <c r="D160" s="233">
        <f ca="1">((100/I154)*C160)/100</f>
        <v>0</v>
      </c>
      <c r="E160" s="233"/>
      <c r="F160" s="233"/>
      <c r="G160" s="233"/>
      <c r="H160" s="233"/>
      <c r="I160" s="233"/>
      <c r="J160" s="233"/>
      <c r="K160" s="41" t="s">
        <v>151</v>
      </c>
      <c r="L160" s="44">
        <f ca="1">(IF(B154&gt;1,(I154/(B154+2)+L159),I154/4+L159))</f>
        <v>3.5</v>
      </c>
    </row>
    <row r="161" spans="1:12" ht="15.65" customHeight="1" x14ac:dyDescent="0.35">
      <c r="A161" s="245" t="s">
        <v>204</v>
      </c>
      <c r="B161" s="245" t="s">
        <v>203</v>
      </c>
      <c r="C161" s="55">
        <v>0</v>
      </c>
      <c r="D161" s="233">
        <f ca="1">((100/I154)*C161)/100</f>
        <v>0</v>
      </c>
      <c r="E161" s="233"/>
      <c r="F161" s="233"/>
      <c r="G161" s="233"/>
      <c r="H161" s="233"/>
      <c r="I161" s="233"/>
      <c r="J161" s="233"/>
      <c r="K161" s="41" t="s">
        <v>205</v>
      </c>
      <c r="L161" s="44">
        <f>(IF(B154&gt;1,(I154/(B154+2)+L160),0))</f>
        <v>0</v>
      </c>
    </row>
    <row r="162" spans="1:12" ht="15.65" customHeight="1" x14ac:dyDescent="0.35">
      <c r="A162" s="245" t="s">
        <v>206</v>
      </c>
      <c r="B162" s="245" t="s">
        <v>207</v>
      </c>
      <c r="C162" s="55">
        <v>0</v>
      </c>
      <c r="D162" s="233">
        <f ca="1">((100/(I154))*C162)/100</f>
        <v>0</v>
      </c>
      <c r="E162" s="233"/>
      <c r="F162" s="233"/>
      <c r="G162" s="233"/>
      <c r="H162" s="233"/>
      <c r="I162" s="233"/>
      <c r="J162" s="233"/>
      <c r="K162" s="41" t="s">
        <v>208</v>
      </c>
      <c r="L162" s="44">
        <f>(IF(B154&gt;2,(I154/(B154+2)+L161),0))</f>
        <v>0</v>
      </c>
    </row>
    <row r="163" spans="1:12" ht="15.65" customHeight="1" x14ac:dyDescent="0.35">
      <c r="A163" s="245" t="s">
        <v>209</v>
      </c>
      <c r="B163" s="245" t="s">
        <v>209</v>
      </c>
      <c r="C163" s="55">
        <v>0</v>
      </c>
      <c r="D163" s="233">
        <f ca="1">((100/I154)*C163)/100</f>
        <v>0</v>
      </c>
      <c r="E163" s="233"/>
      <c r="F163" s="233"/>
      <c r="G163" s="233"/>
      <c r="H163" s="233"/>
      <c r="I163" s="233"/>
      <c r="J163" s="233"/>
      <c r="K163" s="41" t="s">
        <v>210</v>
      </c>
      <c r="L163" s="45">
        <f>(IF(B154&gt;3,(I154/(B154+2)+L162),0))</f>
        <v>0</v>
      </c>
    </row>
    <row r="164" spans="1:12" ht="15.65" customHeight="1" x14ac:dyDescent="0.35">
      <c r="A164" s="245" t="s">
        <v>211</v>
      </c>
      <c r="B164" s="245"/>
      <c r="C164" s="55">
        <v>0</v>
      </c>
      <c r="D164" s="233">
        <f ca="1">((100/I154)*C164)/100</f>
        <v>0</v>
      </c>
      <c r="E164" s="233"/>
      <c r="F164" s="233"/>
      <c r="G164" s="233"/>
      <c r="H164" s="233"/>
      <c r="I164" s="233"/>
      <c r="J164" s="233"/>
      <c r="K164" s="41" t="s">
        <v>212</v>
      </c>
      <c r="L164" s="44">
        <f>(IF(B154&gt;4,(I154/(B154+2)+L163),0))</f>
        <v>0</v>
      </c>
    </row>
    <row r="165" spans="1:12" ht="15.65" customHeight="1" x14ac:dyDescent="0.35">
      <c r="A165" s="245" t="s">
        <v>213</v>
      </c>
      <c r="B165" s="245" t="s">
        <v>213</v>
      </c>
      <c r="C165" s="55">
        <v>0</v>
      </c>
      <c r="D165" s="233">
        <f ca="1">((100/(I154))*C165)/100</f>
        <v>0</v>
      </c>
      <c r="E165" s="233"/>
      <c r="F165" s="233"/>
      <c r="G165" s="233"/>
      <c r="H165" s="233"/>
      <c r="I165" s="233"/>
      <c r="J165" s="233"/>
      <c r="K165" s="41" t="s">
        <v>152</v>
      </c>
      <c r="L165" s="44">
        <f ca="1">(IF(B154=1,(I154/(B154+3)+L160),IF(B154=0,(I154/4+L160),IF(B154&gt;1,0))))</f>
        <v>5.25</v>
      </c>
    </row>
    <row r="166" spans="1:12" ht="16" customHeight="1" thickBot="1" x14ac:dyDescent="0.4">
      <c r="A166" s="245" t="s">
        <v>214</v>
      </c>
      <c r="B166" s="245"/>
      <c r="C166" s="55">
        <v>0</v>
      </c>
      <c r="D166" s="233">
        <f ca="1">((100/(I154))*C166)/100</f>
        <v>0</v>
      </c>
      <c r="E166" s="233"/>
      <c r="F166" s="233"/>
      <c r="G166" s="233"/>
      <c r="H166" s="233"/>
      <c r="I166" s="233"/>
      <c r="J166" s="233"/>
      <c r="K166" s="46" t="s">
        <v>153</v>
      </c>
      <c r="L166" s="47">
        <f ca="1">(IF(B154&gt;1.5,(I154/(B154+2)+L160+MAX(0,L161-L160)+MAX(0,L162-L161)+MAX(0,L163-L162)+MAX(0,L164-L163)+MAX(0,L165-L164)),IF(B154=1,(I154/(B154+3)+L165),IF(B154=0,I154/4+L165))))</f>
        <v>7</v>
      </c>
    </row>
    <row r="167" spans="1:12" ht="30.65" hidden="1" customHeight="1" x14ac:dyDescent="0.3">
      <c r="A167" s="429" t="s">
        <v>179</v>
      </c>
      <c r="B167" s="430"/>
      <c r="C167" s="430"/>
      <c r="D167" s="430"/>
      <c r="E167" s="430"/>
      <c r="F167" s="430"/>
      <c r="G167" s="430"/>
      <c r="H167" s="430"/>
      <c r="I167" s="430"/>
      <c r="J167" s="431"/>
    </row>
    <row r="168" spans="1:12" ht="15" hidden="1" customHeight="1" x14ac:dyDescent="0.3">
      <c r="A168" s="214" t="s">
        <v>178</v>
      </c>
      <c r="B168" s="215"/>
      <c r="C168" s="222" t="s">
        <v>33</v>
      </c>
      <c r="D168" s="223"/>
      <c r="E168" s="221"/>
      <c r="F168" s="222" t="s">
        <v>34</v>
      </c>
      <c r="G168" s="221"/>
      <c r="H168" s="224"/>
      <c r="I168" s="225"/>
      <c r="J168" s="226"/>
    </row>
    <row r="169" spans="1:12" hidden="1" x14ac:dyDescent="0.3">
      <c r="A169" s="216"/>
      <c r="B169" s="217"/>
      <c r="C169" s="222" t="s">
        <v>35</v>
      </c>
      <c r="D169" s="223"/>
      <c r="E169" s="221"/>
      <c r="F169" s="220">
        <f>'5%'!D6</f>
        <v>1</v>
      </c>
      <c r="G169" s="221"/>
      <c r="H169" s="227"/>
      <c r="I169" s="228"/>
      <c r="J169" s="229"/>
    </row>
    <row r="170" spans="1:12" hidden="1" x14ac:dyDescent="0.3">
      <c r="A170" s="216"/>
      <c r="B170" s="217"/>
      <c r="C170" s="222" t="s">
        <v>36</v>
      </c>
      <c r="D170" s="223"/>
      <c r="E170" s="221"/>
      <c r="F170" s="220">
        <f>'5%'!D7</f>
        <v>0.8</v>
      </c>
      <c r="G170" s="221"/>
      <c r="H170" s="227"/>
      <c r="I170" s="228"/>
      <c r="J170" s="229"/>
    </row>
    <row r="171" spans="1:12" hidden="1" x14ac:dyDescent="0.3">
      <c r="A171" s="216"/>
      <c r="B171" s="217"/>
      <c r="C171" s="222" t="s">
        <v>37</v>
      </c>
      <c r="D171" s="223"/>
      <c r="E171" s="221"/>
      <c r="F171" s="220">
        <f>'5%'!D8</f>
        <v>0.75</v>
      </c>
      <c r="G171" s="221"/>
      <c r="H171" s="227"/>
      <c r="I171" s="228"/>
      <c r="J171" s="229"/>
    </row>
    <row r="172" spans="1:12" hidden="1" x14ac:dyDescent="0.3">
      <c r="A172" s="216"/>
      <c r="B172" s="217"/>
      <c r="C172" s="222" t="s">
        <v>38</v>
      </c>
      <c r="D172" s="223"/>
      <c r="E172" s="221"/>
      <c r="F172" s="220">
        <f>'5%'!D9</f>
        <v>0</v>
      </c>
      <c r="G172" s="221"/>
      <c r="H172" s="227"/>
      <c r="I172" s="228"/>
      <c r="J172" s="229"/>
    </row>
    <row r="173" spans="1:12" hidden="1" x14ac:dyDescent="0.3">
      <c r="A173" s="216"/>
      <c r="B173" s="217"/>
      <c r="C173" s="222" t="s">
        <v>44</v>
      </c>
      <c r="D173" s="223"/>
      <c r="E173" s="221"/>
      <c r="F173" s="220">
        <f>'5%'!D10</f>
        <v>0</v>
      </c>
      <c r="G173" s="221"/>
      <c r="H173" s="227"/>
      <c r="I173" s="228"/>
      <c r="J173" s="229"/>
    </row>
    <row r="174" spans="1:12" ht="15" hidden="1" customHeight="1" x14ac:dyDescent="0.3">
      <c r="A174" s="216"/>
      <c r="B174" s="217"/>
      <c r="C174" s="222" t="s">
        <v>45</v>
      </c>
      <c r="D174" s="223"/>
      <c r="E174" s="221"/>
      <c r="F174" s="220">
        <f>'5%'!D11</f>
        <v>0</v>
      </c>
      <c r="G174" s="221"/>
      <c r="H174" s="227"/>
      <c r="I174" s="228"/>
      <c r="J174" s="229"/>
    </row>
    <row r="175" spans="1:12" hidden="1" x14ac:dyDescent="0.3">
      <c r="A175" s="218"/>
      <c r="B175" s="219"/>
      <c r="C175" s="222" t="s">
        <v>46</v>
      </c>
      <c r="D175" s="223"/>
      <c r="E175" s="221"/>
      <c r="F175" s="220">
        <f>'5%'!D12</f>
        <v>0</v>
      </c>
      <c r="G175" s="221"/>
      <c r="H175" s="230"/>
      <c r="I175" s="231"/>
      <c r="J175" s="232"/>
    </row>
    <row r="176" spans="1:12" hidden="1" x14ac:dyDescent="0.3">
      <c r="A176" s="409" t="s">
        <v>31</v>
      </c>
      <c r="B176" s="410"/>
      <c r="C176" s="411"/>
      <c r="D176" s="208">
        <f>'5%'!B14</f>
        <v>0.53249999999999997</v>
      </c>
      <c r="E176" s="209"/>
      <c r="F176" s="208" t="s">
        <v>32</v>
      </c>
      <c r="G176" s="210"/>
      <c r="H176" s="209"/>
      <c r="I176" s="208">
        <f>'5%'!C14</f>
        <v>0.65249999999999997</v>
      </c>
      <c r="J176" s="209"/>
    </row>
    <row r="177" spans="1:16" x14ac:dyDescent="0.3">
      <c r="A177" s="334" t="s">
        <v>22</v>
      </c>
      <c r="B177" s="335"/>
      <c r="C177" s="335"/>
      <c r="D177" s="335"/>
      <c r="E177" s="335"/>
      <c r="F177" s="335"/>
      <c r="G177" s="335"/>
      <c r="H177" s="335"/>
      <c r="I177" s="335"/>
      <c r="J177" s="336"/>
    </row>
    <row r="178" spans="1:16" x14ac:dyDescent="0.3">
      <c r="A178" s="160" t="s">
        <v>122</v>
      </c>
      <c r="B178" s="161"/>
      <c r="C178" s="161"/>
      <c r="D178" s="161"/>
      <c r="E178" s="161"/>
      <c r="F178" s="162"/>
      <c r="G178" s="334">
        <v>4500</v>
      </c>
      <c r="H178" s="335"/>
      <c r="I178" s="335"/>
      <c r="J178" s="336"/>
      <c r="L178" s="36" t="s">
        <v>216</v>
      </c>
      <c r="M178" s="36"/>
      <c r="N178" s="36" t="s">
        <v>217</v>
      </c>
      <c r="O178" s="36" t="s">
        <v>218</v>
      </c>
      <c r="P178" s="64">
        <v>44947</v>
      </c>
    </row>
    <row r="179" spans="1:16" x14ac:dyDescent="0.3">
      <c r="A179" s="190" t="s">
        <v>221</v>
      </c>
      <c r="B179" s="191"/>
      <c r="C179" s="191"/>
      <c r="D179" s="191"/>
      <c r="E179" s="191"/>
      <c r="F179" s="192"/>
      <c r="G179" s="164" t="s">
        <v>219</v>
      </c>
      <c r="H179" s="165"/>
      <c r="I179" s="165"/>
      <c r="J179" s="166"/>
    </row>
    <row r="180" spans="1:16" hidden="1" x14ac:dyDescent="0.3">
      <c r="A180" s="164" t="s">
        <v>120</v>
      </c>
      <c r="B180" s="165"/>
      <c r="C180" s="165"/>
      <c r="D180" s="165"/>
      <c r="E180" s="165"/>
      <c r="F180" s="166"/>
      <c r="G180" s="164" t="s">
        <v>121</v>
      </c>
      <c r="H180" s="165"/>
      <c r="I180" s="165"/>
      <c r="J180" s="166"/>
    </row>
    <row r="181" spans="1:16" ht="15" hidden="1" customHeight="1" x14ac:dyDescent="0.3">
      <c r="A181" s="190" t="s">
        <v>72</v>
      </c>
      <c r="B181" s="191"/>
      <c r="C181" s="191"/>
      <c r="D181" s="191"/>
      <c r="E181" s="191"/>
      <c r="F181" s="192"/>
      <c r="G181" s="164" t="s">
        <v>112</v>
      </c>
      <c r="H181" s="165"/>
      <c r="I181" s="165"/>
      <c r="J181" s="166"/>
    </row>
    <row r="182" spans="1:16" x14ac:dyDescent="0.3">
      <c r="A182" s="190" t="s">
        <v>73</v>
      </c>
      <c r="B182" s="191"/>
      <c r="C182" s="191"/>
      <c r="D182" s="191"/>
      <c r="E182" s="191"/>
      <c r="F182" s="192"/>
      <c r="G182" s="164" t="s">
        <v>190</v>
      </c>
      <c r="H182" s="165"/>
      <c r="I182" s="165"/>
      <c r="J182" s="166"/>
    </row>
    <row r="183" spans="1:16" ht="15" customHeight="1" x14ac:dyDescent="0.3">
      <c r="A183" s="190" t="s">
        <v>250</v>
      </c>
      <c r="B183" s="191"/>
      <c r="C183" s="191"/>
      <c r="D183" s="191"/>
      <c r="E183" s="191"/>
      <c r="F183" s="192"/>
      <c r="G183" s="164" t="s">
        <v>220</v>
      </c>
      <c r="H183" s="165"/>
      <c r="I183" s="165"/>
      <c r="J183" s="166"/>
    </row>
    <row r="184" spans="1:16" s="33" customFormat="1" ht="14.5" customHeight="1" x14ac:dyDescent="0.3">
      <c r="A184" s="195" t="s">
        <v>79</v>
      </c>
      <c r="B184" s="196"/>
      <c r="C184" s="196"/>
      <c r="D184" s="196"/>
      <c r="E184" s="196"/>
      <c r="F184" s="197"/>
      <c r="G184" s="190">
        <f>G178*0.8</f>
        <v>3600</v>
      </c>
      <c r="H184" s="191"/>
      <c r="I184" s="191"/>
      <c r="J184" s="192"/>
    </row>
    <row r="185" spans="1:16" s="65" customFormat="1" ht="15.5" x14ac:dyDescent="0.35">
      <c r="A185" s="270" t="s">
        <v>306</v>
      </c>
      <c r="B185" s="271"/>
      <c r="C185" s="271"/>
      <c r="D185" s="271"/>
      <c r="E185" s="271"/>
      <c r="F185" s="271"/>
      <c r="G185" s="271"/>
      <c r="H185" s="271"/>
      <c r="I185" s="271"/>
      <c r="J185" s="272"/>
    </row>
    <row r="186" spans="1:16" s="65" customFormat="1" ht="16" thickBot="1" x14ac:dyDescent="0.4">
      <c r="A186" s="146" t="s">
        <v>225</v>
      </c>
      <c r="B186" s="147"/>
      <c r="C186" s="85" t="s">
        <v>226</v>
      </c>
      <c r="D186" s="148" t="s">
        <v>227</v>
      </c>
      <c r="E186" s="149"/>
      <c r="F186" s="150"/>
      <c r="G186" s="146" t="s">
        <v>228</v>
      </c>
      <c r="H186" s="151"/>
      <c r="I186" s="151"/>
      <c r="J186" s="147"/>
    </row>
    <row r="187" spans="1:16" s="65" customFormat="1" ht="15.75" customHeight="1" x14ac:dyDescent="0.35">
      <c r="A187" s="125" t="s">
        <v>298</v>
      </c>
      <c r="B187" s="86" t="s">
        <v>284</v>
      </c>
      <c r="C187" s="102">
        <f>COUNT(C222:C223)+COUNT(C225:C228)*2+COUNT(C230:C233)*2</f>
        <v>18</v>
      </c>
      <c r="D187" s="363">
        <f>SUM(C222:C223)+SUM(C225:C228)*2+SUM(C230:C233)*2</f>
        <v>5848.0166159999999</v>
      </c>
      <c r="E187" s="363"/>
      <c r="F187" s="363"/>
      <c r="G187" s="364">
        <f>SUM(G222:G223)+SUM(G225:G228)*2+SUM(G230:G233)*2</f>
        <v>9942.6529800000008</v>
      </c>
      <c r="H187" s="364"/>
      <c r="I187" s="364"/>
      <c r="J187" s="365"/>
      <c r="L187" s="81">
        <f>C187+C188+C189</f>
        <v>44</v>
      </c>
    </row>
    <row r="188" spans="1:16" s="65" customFormat="1" ht="15.5" x14ac:dyDescent="0.35">
      <c r="A188" s="126"/>
      <c r="B188" s="77" t="s">
        <v>285</v>
      </c>
      <c r="C188" s="103">
        <f>COUNT(C236:C237)+COUNT(C239:C242)*2+COUNT(C244:C247)*2</f>
        <v>18</v>
      </c>
      <c r="D188" s="366">
        <f>SUM(C236:C237)+SUM(C239:C242)*2+SUM(C244:C247)*2</f>
        <v>5848.0166159999999</v>
      </c>
      <c r="E188" s="366"/>
      <c r="F188" s="366"/>
      <c r="G188" s="367">
        <f>SUM(G236:G237)+SUM(G239:G242)*2+SUM(G244:G247)*2</f>
        <v>9936.2806920000003</v>
      </c>
      <c r="H188" s="367"/>
      <c r="I188" s="367"/>
      <c r="J188" s="368"/>
    </row>
    <row r="189" spans="1:16" s="65" customFormat="1" ht="15.75" customHeight="1" thickBot="1" x14ac:dyDescent="0.4">
      <c r="A189" s="127"/>
      <c r="B189" s="88" t="s">
        <v>299</v>
      </c>
      <c r="C189" s="104">
        <f>COUNT(C251:C252)*2+COUNT(C254:C255)*2</f>
        <v>8</v>
      </c>
      <c r="D189" s="322">
        <f>SUM(C251:C252)*2+SUM(C254:C255)*2</f>
        <v>1907.5099679999998</v>
      </c>
      <c r="E189" s="322"/>
      <c r="F189" s="322"/>
      <c r="G189" s="323">
        <f>SUM(G251:G252)*2+SUM(G254:G255)*2</f>
        <v>3080.8936079999994</v>
      </c>
      <c r="H189" s="323"/>
      <c r="I189" s="323"/>
      <c r="J189" s="324"/>
    </row>
    <row r="190" spans="1:16" s="65" customFormat="1" ht="15.5" x14ac:dyDescent="0.35">
      <c r="A190" s="128" t="s">
        <v>300</v>
      </c>
      <c r="B190" s="86" t="s">
        <v>284</v>
      </c>
      <c r="C190" s="102">
        <f>COUNT(C260:C262)*2+COUNT(C264:C266)*2+COUNT(C268)+COUNT(C271)</f>
        <v>14</v>
      </c>
      <c r="D190" s="131">
        <f>SUM(C260:C262)*2+SUM(C264:C266)*2+SUM(C268)+SUM(C271)</f>
        <v>5753.7347399999999</v>
      </c>
      <c r="E190" s="132"/>
      <c r="F190" s="133"/>
      <c r="G190" s="134">
        <f>SUM(G260:G262)*2+SUM(G264:G266)*2+SUM(G268)+SUM(G271)</f>
        <v>9631.1804939999984</v>
      </c>
      <c r="H190" s="135"/>
      <c r="I190" s="135"/>
      <c r="J190" s="136"/>
      <c r="L190" s="81">
        <f>C190+C210</f>
        <v>16</v>
      </c>
    </row>
    <row r="191" spans="1:16" s="65" customFormat="1" ht="16" thickBot="1" x14ac:dyDescent="0.4">
      <c r="A191" s="130"/>
      <c r="B191" s="88" t="s">
        <v>285</v>
      </c>
      <c r="C191" s="104">
        <f>COUNT(C276:C279)*2+COUNT(C281:C284)*2</f>
        <v>16</v>
      </c>
      <c r="D191" s="137">
        <f>SUM(C276:C279)*2+SUM(C281:C284)*2</f>
        <v>5205.6426239999992</v>
      </c>
      <c r="E191" s="138"/>
      <c r="F191" s="139"/>
      <c r="G191" s="140">
        <f>SUM(G276:G279)*2+SUM(G281:G284)*2</f>
        <v>8846.1565919999994</v>
      </c>
      <c r="H191" s="141"/>
      <c r="I191" s="141"/>
      <c r="J191" s="142"/>
      <c r="L191" s="81">
        <f>C191+C211</f>
        <v>24</v>
      </c>
    </row>
    <row r="192" spans="1:16" s="65" customFormat="1" ht="15.75" customHeight="1" x14ac:dyDescent="0.35">
      <c r="A192" s="125" t="s">
        <v>301</v>
      </c>
      <c r="B192" s="86" t="s">
        <v>284</v>
      </c>
      <c r="C192" s="102">
        <f>COUNT(C298:C299)+COUNT(C301:C304)*2+COUNT(C306:C309)*2</f>
        <v>18</v>
      </c>
      <c r="D192" s="131">
        <f>SUM(C298:C299)+SUM(C301:C304)*2+SUM(C306:C309)*2</f>
        <v>5848.0166159999999</v>
      </c>
      <c r="E192" s="132"/>
      <c r="F192" s="133"/>
      <c r="G192" s="134">
        <f>SUM(G298:G299)+SUM(G301:G304)*2+SUM(G306:G309)*2</f>
        <v>9937.3140359999998</v>
      </c>
      <c r="H192" s="135"/>
      <c r="I192" s="135"/>
      <c r="J192" s="136"/>
      <c r="L192" s="81">
        <f>C192+C193+C194</f>
        <v>45</v>
      </c>
    </row>
    <row r="193" spans="1:14" s="65" customFormat="1" ht="15.5" x14ac:dyDescent="0.35">
      <c r="A193" s="126"/>
      <c r="B193" s="77" t="s">
        <v>285</v>
      </c>
      <c r="C193" s="103">
        <f>COUNT(C312:C313)+COUNT(C315:C318)*2+COUNT(C320:C323)*2</f>
        <v>18</v>
      </c>
      <c r="D193" s="285">
        <f>SUM(C312:C313)+SUM(C315:C318)*2+SUM(C320:C323)*2</f>
        <v>5848.0166159999999</v>
      </c>
      <c r="E193" s="286"/>
      <c r="F193" s="287"/>
      <c r="G193" s="288">
        <f>SUM(G312:G313)+SUM(G315:G318)*2+SUM(G320:G323)*2</f>
        <v>9931.9750920000006</v>
      </c>
      <c r="H193" s="289"/>
      <c r="I193" s="289"/>
      <c r="J193" s="290"/>
    </row>
    <row r="194" spans="1:14" s="65" customFormat="1" ht="15.75" customHeight="1" thickBot="1" x14ac:dyDescent="0.4">
      <c r="A194" s="127"/>
      <c r="B194" s="88" t="s">
        <v>299</v>
      </c>
      <c r="C194" s="104">
        <f>COUNT(C326)+COUNT(C328:C329)*2+COUNT(C331:C332)*2</f>
        <v>9</v>
      </c>
      <c r="D194" s="137">
        <f>SUM(C326)+SUM(C328:C329)*2+SUM(C331:C332)*2</f>
        <v>2142.1974599999999</v>
      </c>
      <c r="E194" s="138"/>
      <c r="F194" s="139"/>
      <c r="G194" s="140">
        <f>SUM(G326)+SUM(G328:G329)*2+SUM(G331:G332)*2</f>
        <v>3432.9248459999999</v>
      </c>
      <c r="H194" s="141"/>
      <c r="I194" s="141"/>
      <c r="J194" s="142"/>
    </row>
    <row r="195" spans="1:14" s="65" customFormat="1" ht="15.75" customHeight="1" x14ac:dyDescent="0.35">
      <c r="A195" s="128" t="s">
        <v>302</v>
      </c>
      <c r="B195" s="86" t="s">
        <v>284</v>
      </c>
      <c r="C195" s="105">
        <f>COUNT(C337:C340)*2+COUNT(C342:C345)*2</f>
        <v>16</v>
      </c>
      <c r="D195" s="345">
        <f>SUM(C337:C340)*2+SUM(C342:C345)*2</f>
        <v>5212.7683919999999</v>
      </c>
      <c r="E195" s="346"/>
      <c r="F195" s="347"/>
      <c r="G195" s="348">
        <f>SUM(G337:G340)*2+SUM(G342:G345)*2</f>
        <v>8984.4201719999983</v>
      </c>
      <c r="H195" s="349"/>
      <c r="I195" s="349"/>
      <c r="J195" s="350"/>
    </row>
    <row r="196" spans="1:14" s="65" customFormat="1" ht="16" thickBot="1" x14ac:dyDescent="0.4">
      <c r="A196" s="129"/>
      <c r="B196" s="90" t="s">
        <v>285</v>
      </c>
      <c r="C196" s="106">
        <f>COUNT(C349:C351)*2+COUNT(C353:C355)*2</f>
        <v>12</v>
      </c>
      <c r="D196" s="351">
        <f>SUM(C349:C351)*2+SUM(C353:C355)*2</f>
        <v>3893.1019919999994</v>
      </c>
      <c r="E196" s="352"/>
      <c r="F196" s="353"/>
      <c r="G196" s="354">
        <f>SUM(G349:G351)*2+SUM(G353:G355)*2</f>
        <v>6560.9055719999997</v>
      </c>
      <c r="H196" s="355"/>
      <c r="I196" s="355"/>
      <c r="J196" s="356"/>
    </row>
    <row r="197" spans="1:14" s="65" customFormat="1" ht="15.75" customHeight="1" x14ac:dyDescent="0.35">
      <c r="A197" s="125" t="s">
        <v>304</v>
      </c>
      <c r="B197" s="86" t="s">
        <v>284</v>
      </c>
      <c r="C197" s="102">
        <f>COUNT(C359:C362)+COUNT(C364:C367)*2+COUNT(C369:C372)*2</f>
        <v>20</v>
      </c>
      <c r="D197" s="131">
        <f>SUM(C359:C362)+SUM(C364:C367)*2+SUM(C369:C372)*2</f>
        <v>6483.1141440000001</v>
      </c>
      <c r="E197" s="132"/>
      <c r="F197" s="133"/>
      <c r="G197" s="134">
        <f>SUM(G359:G362)+SUM(G364:G367)*2+SUM(G369:G372)*2</f>
        <v>10889.960328000001</v>
      </c>
      <c r="H197" s="135"/>
      <c r="I197" s="135"/>
      <c r="J197" s="136"/>
      <c r="L197" s="65">
        <f>224+3</f>
        <v>227</v>
      </c>
    </row>
    <row r="198" spans="1:14" s="65" customFormat="1" ht="15.75" customHeight="1" x14ac:dyDescent="0.35">
      <c r="A198" s="126"/>
      <c r="B198" s="77" t="s">
        <v>285</v>
      </c>
      <c r="C198" s="103">
        <f>COUNT(C375:C378)+COUNT(C380:C383)*2+COUNT(C385:C388)*2</f>
        <v>20</v>
      </c>
      <c r="D198" s="285">
        <f>SUM(C375:C378)+SUM(C380:C383)*2+SUM(C385:C388)*2</f>
        <v>6406.1838360000002</v>
      </c>
      <c r="E198" s="286"/>
      <c r="F198" s="287"/>
      <c r="G198" s="288">
        <f>SUM(G375:G378)+SUM(G380:G383)*2+SUM(G385:G388)*2</f>
        <v>10769.225922000001</v>
      </c>
      <c r="H198" s="289"/>
      <c r="I198" s="289"/>
      <c r="J198" s="290"/>
    </row>
    <row r="199" spans="1:14" s="65" customFormat="1" ht="15.75" customHeight="1" thickBot="1" x14ac:dyDescent="0.4">
      <c r="A199" s="127"/>
      <c r="B199" s="88" t="s">
        <v>299</v>
      </c>
      <c r="C199" s="104">
        <f>COUNT(C391)+COUNT(C393:C394)*2+COUNT(C396:C397)*2</f>
        <v>9</v>
      </c>
      <c r="D199" s="137">
        <f>SUM(C391)+SUM(C393:C394)*2+SUM(C396:C397)*2</f>
        <v>2142.1974599999999</v>
      </c>
      <c r="E199" s="138"/>
      <c r="F199" s="139"/>
      <c r="G199" s="140">
        <f>SUM(G391)+SUM(G393:G394)*2+SUM(G396:G397)*2</f>
        <v>3432.9248459999999</v>
      </c>
      <c r="H199" s="141"/>
      <c r="I199" s="141"/>
      <c r="J199" s="142"/>
    </row>
    <row r="200" spans="1:14" s="65" customFormat="1" ht="15.5" x14ac:dyDescent="0.35">
      <c r="A200" s="128" t="s">
        <v>305</v>
      </c>
      <c r="B200" s="86" t="s">
        <v>284</v>
      </c>
      <c r="C200" s="87">
        <f>COUNT(C401:C402)+COUNT(C414:C417)+COUNT(C419:C422)*2</f>
        <v>14</v>
      </c>
      <c r="D200" s="131">
        <f>SUM(C401:C402)+SUM(C414:C417)+SUM(C419:C422)*2</f>
        <v>5972.62068</v>
      </c>
      <c r="E200" s="132"/>
      <c r="F200" s="133"/>
      <c r="G200" s="134">
        <f>SUM(G401:G402)+SUM(G414:G417)+SUM(G419:G422)*2</f>
        <v>9072.3835799999997</v>
      </c>
      <c r="H200" s="135"/>
      <c r="I200" s="135"/>
      <c r="J200" s="136"/>
      <c r="L200" s="94">
        <f>C200+C212+C205</f>
        <v>30</v>
      </c>
    </row>
    <row r="201" spans="1:14" s="65" customFormat="1" ht="16" thickBot="1" x14ac:dyDescent="0.4">
      <c r="A201" s="130"/>
      <c r="B201" s="88" t="s">
        <v>285</v>
      </c>
      <c r="C201" s="89">
        <f>COUNT(C425:C426)+COUNT(C438:C441)+COUNT(C443:C446)*2</f>
        <v>14</v>
      </c>
      <c r="D201" s="137">
        <f>SUM(C425:C426)+SUM(C438:C441)+SUM(C443:C446)*2</f>
        <v>5972.62068</v>
      </c>
      <c r="E201" s="138"/>
      <c r="F201" s="139"/>
      <c r="G201" s="140">
        <f>SUM(G425:G426)+SUM(G438:G441)+SUM(G443:G446)*2</f>
        <v>9072.3835799999997</v>
      </c>
      <c r="H201" s="141"/>
      <c r="I201" s="141"/>
      <c r="J201" s="142"/>
      <c r="L201" s="81">
        <f>C201+C213+C206</f>
        <v>30</v>
      </c>
    </row>
    <row r="202" spans="1:14" s="65" customFormat="1" ht="16" thickBot="1" x14ac:dyDescent="0.4">
      <c r="A202" s="369" t="s">
        <v>229</v>
      </c>
      <c r="B202" s="370"/>
      <c r="C202" s="91">
        <f t="shared" ref="C202" si="0">SUM(C187:C201)</f>
        <v>224</v>
      </c>
      <c r="D202" s="304">
        <f>SUM(D187:D201)</f>
        <v>74483.758440000005</v>
      </c>
      <c r="E202" s="305"/>
      <c r="F202" s="306"/>
      <c r="G202" s="297">
        <f>SUM(G187:G201)</f>
        <v>123521.58233999998</v>
      </c>
      <c r="H202" s="298"/>
      <c r="I202" s="298"/>
      <c r="J202" s="299"/>
      <c r="L202" s="92">
        <f>228+38</f>
        <v>266</v>
      </c>
      <c r="N202" s="65">
        <f>16+14</f>
        <v>30</v>
      </c>
    </row>
    <row r="203" spans="1:14" s="65" customFormat="1" ht="15.75" customHeight="1" x14ac:dyDescent="0.35">
      <c r="A203" s="155" t="s">
        <v>294</v>
      </c>
      <c r="B203" s="156"/>
      <c r="C203" s="156"/>
      <c r="D203" s="156"/>
      <c r="E203" s="156"/>
      <c r="F203" s="156"/>
      <c r="G203" s="156"/>
      <c r="H203" s="156"/>
      <c r="I203" s="156"/>
      <c r="J203" s="157"/>
    </row>
    <row r="204" spans="1:14" s="65" customFormat="1" ht="16" thickBot="1" x14ac:dyDescent="0.4">
      <c r="A204" s="158" t="s">
        <v>225</v>
      </c>
      <c r="B204" s="159"/>
      <c r="C204" s="95" t="s">
        <v>226</v>
      </c>
      <c r="D204" s="308" t="s">
        <v>227</v>
      </c>
      <c r="E204" s="309"/>
      <c r="F204" s="310"/>
      <c r="G204" s="158" t="s">
        <v>228</v>
      </c>
      <c r="H204" s="311"/>
      <c r="I204" s="311"/>
      <c r="J204" s="159"/>
    </row>
    <row r="205" spans="1:14" s="65" customFormat="1" ht="15.75" customHeight="1" x14ac:dyDescent="0.35">
      <c r="A205" s="300" t="s">
        <v>305</v>
      </c>
      <c r="B205" s="93" t="s">
        <v>284</v>
      </c>
      <c r="C205" s="96">
        <f>COUNT(C411:C412)</f>
        <v>2</v>
      </c>
      <c r="D205" s="315">
        <f>SUM(C411:C412)</f>
        <v>998.14571999999998</v>
      </c>
      <c r="E205" s="316"/>
      <c r="F205" s="317"/>
      <c r="G205" s="315">
        <f>SUM(G411:G412)</f>
        <v>1497.21858</v>
      </c>
      <c r="H205" s="316"/>
      <c r="I205" s="316"/>
      <c r="J205" s="408"/>
      <c r="L205" s="65" t="s">
        <v>307</v>
      </c>
      <c r="N205" s="92">
        <f>2+8+6+8+12+3</f>
        <v>39</v>
      </c>
    </row>
    <row r="206" spans="1:14" s="65" customFormat="1" ht="16" thickBot="1" x14ac:dyDescent="0.4">
      <c r="A206" s="301"/>
      <c r="B206" s="97" t="s">
        <v>285</v>
      </c>
      <c r="C206" s="98">
        <f>COUNT(C435)</f>
        <v>1</v>
      </c>
      <c r="D206" s="404">
        <f>SUM(C435)</f>
        <v>499.07285999999999</v>
      </c>
      <c r="E206" s="405"/>
      <c r="F206" s="406"/>
      <c r="G206" s="404">
        <f>SUM(G435)</f>
        <v>748.60928999999999</v>
      </c>
      <c r="H206" s="405"/>
      <c r="I206" s="405"/>
      <c r="J206" s="407"/>
    </row>
    <row r="207" spans="1:14" s="65" customFormat="1" ht="16" thickBot="1" x14ac:dyDescent="0.4">
      <c r="A207" s="402" t="s">
        <v>229</v>
      </c>
      <c r="B207" s="403"/>
      <c r="C207" s="99">
        <f>SUM(C205:C206)</f>
        <v>3</v>
      </c>
      <c r="D207" s="304">
        <f>SUM(D205:D206)</f>
        <v>1497.21858</v>
      </c>
      <c r="E207" s="305"/>
      <c r="F207" s="306"/>
      <c r="G207" s="304">
        <f>SUM(G205:G206)</f>
        <v>2245.8278700000001</v>
      </c>
      <c r="H207" s="305"/>
      <c r="I207" s="305"/>
      <c r="J207" s="307"/>
      <c r="L207" s="81" t="e">
        <f>C212+#REF!+C205</f>
        <v>#REF!</v>
      </c>
      <c r="M207" s="92">
        <f>4*2+3*2</f>
        <v>14</v>
      </c>
    </row>
    <row r="208" spans="1:14" s="65" customFormat="1" ht="15.5" x14ac:dyDescent="0.35">
      <c r="A208" s="143" t="s">
        <v>271</v>
      </c>
      <c r="B208" s="144"/>
      <c r="C208" s="144"/>
      <c r="D208" s="144"/>
      <c r="E208" s="144"/>
      <c r="F208" s="144"/>
      <c r="G208" s="144"/>
      <c r="H208" s="144"/>
      <c r="I208" s="144"/>
      <c r="J208" s="145"/>
      <c r="M208" s="92">
        <f>4*3+3</f>
        <v>15</v>
      </c>
    </row>
    <row r="209" spans="1:16" s="65" customFormat="1" ht="16" thickBot="1" x14ac:dyDescent="0.4">
      <c r="A209" s="146" t="s">
        <v>225</v>
      </c>
      <c r="B209" s="147"/>
      <c r="C209" s="85" t="s">
        <v>226</v>
      </c>
      <c r="D209" s="148" t="s">
        <v>227</v>
      </c>
      <c r="E209" s="149"/>
      <c r="F209" s="150"/>
      <c r="G209" s="146" t="s">
        <v>228</v>
      </c>
      <c r="H209" s="151"/>
      <c r="I209" s="151"/>
      <c r="J209" s="147"/>
      <c r="O209" s="65" t="e">
        <f>N205+#REF!</f>
        <v>#REF!</v>
      </c>
    </row>
    <row r="210" spans="1:16" s="65" customFormat="1" ht="15.75" customHeight="1" x14ac:dyDescent="0.35">
      <c r="A210" s="128" t="s">
        <v>300</v>
      </c>
      <c r="B210" s="86" t="s">
        <v>284</v>
      </c>
      <c r="C210" s="87">
        <f>COUNT(C269)+COUNT(C272)</f>
        <v>2</v>
      </c>
      <c r="D210" s="131">
        <f>SUM(C269)+SUM(C272)</f>
        <v>843.31634399999996</v>
      </c>
      <c r="E210" s="132"/>
      <c r="F210" s="133"/>
      <c r="G210" s="152">
        <f>SUM(G269)+SUM(G272)</f>
        <v>1264.974516</v>
      </c>
      <c r="H210" s="153"/>
      <c r="I210" s="153"/>
      <c r="J210" s="154"/>
    </row>
    <row r="211" spans="1:16" s="65" customFormat="1" ht="16" thickBot="1" x14ac:dyDescent="0.4">
      <c r="A211" s="130"/>
      <c r="B211" s="88" t="s">
        <v>285</v>
      </c>
      <c r="C211" s="89">
        <f>COUNT(C286:C289)+COUNT(C291:C294)</f>
        <v>8</v>
      </c>
      <c r="D211" s="137">
        <f>SUM(C286:C289)+SUM(C291:C294)</f>
        <v>2571.7025880000001</v>
      </c>
      <c r="E211" s="138"/>
      <c r="F211" s="139"/>
      <c r="G211" s="312">
        <f>SUM(G286:G289)+SUM(G291:G294)</f>
        <v>4158.4184459999997</v>
      </c>
      <c r="H211" s="313"/>
      <c r="I211" s="313"/>
      <c r="J211" s="314"/>
    </row>
    <row r="212" spans="1:16" s="65" customFormat="1" ht="15.5" x14ac:dyDescent="0.35">
      <c r="A212" s="128" t="s">
        <v>305</v>
      </c>
      <c r="B212" s="86" t="s">
        <v>284</v>
      </c>
      <c r="C212" s="87">
        <f>COUNT(C404:C407)*3+COUNT(C409:C410)</f>
        <v>14</v>
      </c>
      <c r="D212" s="131">
        <f>SUM(C404:C407)*3+SUM(C409:C410)</f>
        <v>6987.0200399999994</v>
      </c>
      <c r="E212" s="132"/>
      <c r="F212" s="133"/>
      <c r="G212" s="152">
        <f>SUM(G404:G407)*3+SUM(G409:G410)</f>
        <v>10480.530060000001</v>
      </c>
      <c r="H212" s="153"/>
      <c r="I212" s="153"/>
      <c r="J212" s="154"/>
    </row>
    <row r="213" spans="1:16" s="65" customFormat="1" ht="16" thickBot="1" x14ac:dyDescent="0.4">
      <c r="A213" s="130"/>
      <c r="B213" s="88" t="s">
        <v>285</v>
      </c>
      <c r="C213" s="89">
        <f>COUNT(C428:C431)*3+COUNT(C433:C434,C436)</f>
        <v>15</v>
      </c>
      <c r="D213" s="137">
        <f>SUM(C428:C431)*3+SUM(C433:C434,C436)</f>
        <v>7486.0928999999996</v>
      </c>
      <c r="E213" s="138"/>
      <c r="F213" s="139"/>
      <c r="G213" s="312">
        <f>SUM(G428:G431)*3+SUM(G433:G434,G436)</f>
        <v>11229.139350000001</v>
      </c>
      <c r="H213" s="313"/>
      <c r="I213" s="313"/>
      <c r="J213" s="314"/>
    </row>
    <row r="214" spans="1:16" s="33" customFormat="1" ht="15.5" thickBot="1" x14ac:dyDescent="0.35">
      <c r="A214" s="369" t="s">
        <v>229</v>
      </c>
      <c r="B214" s="370"/>
      <c r="C214" s="91">
        <f>SUM(C210:C213)</f>
        <v>39</v>
      </c>
      <c r="D214" s="304">
        <f>SUM(D210:D213)</f>
        <v>17888.131871999998</v>
      </c>
      <c r="E214" s="305"/>
      <c r="F214" s="306"/>
      <c r="G214" s="413">
        <f>SUM(G210:G213)</f>
        <v>27133.062372</v>
      </c>
      <c r="H214" s="414"/>
      <c r="I214" s="414"/>
      <c r="J214" s="415"/>
      <c r="M214" s="33">
        <f>30+30+18+18+8+16+24+18+18+9+16+12+20+20+9</f>
        <v>266</v>
      </c>
    </row>
    <row r="215" spans="1:16" ht="15.5" thickBot="1" x14ac:dyDescent="0.35">
      <c r="A215" s="402" t="s">
        <v>275</v>
      </c>
      <c r="B215" s="403"/>
      <c r="C215" s="99">
        <f>C202+C214+C207</f>
        <v>266</v>
      </c>
      <c r="D215" s="304">
        <f>D202+D214+D207</f>
        <v>93869.108892000004</v>
      </c>
      <c r="E215" s="305"/>
      <c r="F215" s="306"/>
      <c r="G215" s="304">
        <f>G202+G214+G207</f>
        <v>152900.47258199999</v>
      </c>
      <c r="H215" s="305"/>
      <c r="I215" s="305"/>
      <c r="J215" s="307"/>
    </row>
    <row r="216" spans="1:16" ht="15" x14ac:dyDescent="0.3">
      <c r="A216" s="291" t="s">
        <v>281</v>
      </c>
      <c r="B216" s="292"/>
      <c r="C216" s="292"/>
      <c r="D216" s="292"/>
      <c r="E216" s="292"/>
      <c r="F216" s="292"/>
      <c r="G216" s="292"/>
      <c r="H216" s="292"/>
      <c r="I216" s="292"/>
      <c r="J216" s="293"/>
    </row>
    <row r="217" spans="1:16" ht="14.5" customHeight="1" x14ac:dyDescent="0.3">
      <c r="A217" s="294" t="s">
        <v>312</v>
      </c>
      <c r="B217" s="295"/>
      <c r="C217" s="295"/>
      <c r="D217" s="295"/>
      <c r="E217" s="295"/>
      <c r="F217" s="295"/>
      <c r="G217" s="295"/>
      <c r="H217" s="295"/>
      <c r="I217" s="295"/>
      <c r="J217" s="296"/>
      <c r="N217" s="74">
        <f>10.764</f>
        <v>10.763999999999999</v>
      </c>
    </row>
    <row r="218" spans="1:16" ht="63" customHeight="1" x14ac:dyDescent="0.3">
      <c r="A218" s="52" t="s">
        <v>29</v>
      </c>
      <c r="B218" s="1" t="s">
        <v>27</v>
      </c>
      <c r="C218" s="1" t="s">
        <v>103</v>
      </c>
      <c r="D218" s="302" t="s">
        <v>104</v>
      </c>
      <c r="E218" s="303"/>
      <c r="F218" s="2" t="s">
        <v>28</v>
      </c>
      <c r="G218" s="108" t="s">
        <v>316</v>
      </c>
      <c r="H218" s="1" t="s">
        <v>308</v>
      </c>
      <c r="I218" s="302" t="s">
        <v>80</v>
      </c>
      <c r="J218" s="303"/>
      <c r="L218" s="71">
        <f>2.75*0.85+2.6*1.65</f>
        <v>6.6274999999999995</v>
      </c>
    </row>
    <row r="219" spans="1:16" ht="15.75" customHeight="1" x14ac:dyDescent="0.3">
      <c r="A219" s="275" t="s">
        <v>283</v>
      </c>
      <c r="B219" s="276"/>
      <c r="C219" s="276"/>
      <c r="D219" s="276"/>
      <c r="E219" s="276"/>
      <c r="F219" s="276"/>
      <c r="G219" s="276"/>
      <c r="H219" s="276"/>
      <c r="I219" s="276"/>
      <c r="J219" s="277"/>
    </row>
    <row r="220" spans="1:16" ht="15" x14ac:dyDescent="0.3">
      <c r="A220" s="120" t="s">
        <v>284</v>
      </c>
      <c r="B220" s="121"/>
      <c r="C220" s="121"/>
      <c r="D220" s="121"/>
      <c r="E220" s="121"/>
      <c r="F220" s="121"/>
      <c r="G220" s="121"/>
      <c r="H220" s="121"/>
      <c r="I220" s="121"/>
      <c r="J220" s="122"/>
      <c r="L220" s="35">
        <f t="shared" ref="L220:L267" si="1">(G222-F222)/C222</f>
        <v>1.5</v>
      </c>
    </row>
    <row r="221" spans="1:16" ht="15" x14ac:dyDescent="0.3">
      <c r="A221" s="120" t="s">
        <v>257</v>
      </c>
      <c r="B221" s="121"/>
      <c r="C221" s="121"/>
      <c r="D221" s="121"/>
      <c r="E221" s="121"/>
      <c r="F221" s="121"/>
      <c r="G221" s="121"/>
      <c r="H221" s="121"/>
      <c r="I221" s="121"/>
      <c r="J221" s="122"/>
      <c r="L221" s="35">
        <f t="shared" si="1"/>
        <v>1.5</v>
      </c>
      <c r="M221" s="34"/>
    </row>
    <row r="222" spans="1:16" ht="14.5" customHeight="1" x14ac:dyDescent="0.3">
      <c r="A222" s="54">
        <v>1</v>
      </c>
      <c r="B222" s="54" t="s">
        <v>97</v>
      </c>
      <c r="C222" s="54">
        <f>(29.503)*10.764</f>
        <v>317.57029199999999</v>
      </c>
      <c r="D222" s="118">
        <f>C222*1.2</f>
        <v>381.08435040000001</v>
      </c>
      <c r="E222" s="119"/>
      <c r="F222" s="54">
        <v>0</v>
      </c>
      <c r="G222" s="109">
        <f>C222*1.5+F222</f>
        <v>476.35543799999999</v>
      </c>
      <c r="H222" s="53" t="s">
        <v>189</v>
      </c>
      <c r="I222" s="114" t="s">
        <v>187</v>
      </c>
      <c r="J222" s="115"/>
      <c r="L222" s="35"/>
      <c r="O222" s="35"/>
    </row>
    <row r="223" spans="1:16" ht="14.5" customHeight="1" x14ac:dyDescent="0.3">
      <c r="A223" s="54">
        <v>2</v>
      </c>
      <c r="B223" s="54" t="s">
        <v>97</v>
      </c>
      <c r="C223" s="67">
        <f>(29.503)*10.764</f>
        <v>317.57029199999999</v>
      </c>
      <c r="D223" s="118">
        <f>C223*1.2</f>
        <v>381.08435040000001</v>
      </c>
      <c r="E223" s="119"/>
      <c r="F223" s="54">
        <v>0</v>
      </c>
      <c r="G223" s="109">
        <f>C223*1.5+F223</f>
        <v>476.35543799999999</v>
      </c>
      <c r="H223" s="53" t="s">
        <v>189</v>
      </c>
      <c r="I223" s="116"/>
      <c r="J223" s="117"/>
      <c r="L223" s="35">
        <f t="shared" si="1"/>
        <v>1.5</v>
      </c>
      <c r="M223" s="32">
        <f>2.65*3.65+2.2*3+2.65*2.6+1.2+0.9*1.2+1.4*0.9+2.2*0.9</f>
        <v>28.682500000000005</v>
      </c>
      <c r="O223" s="35">
        <f>250000/G225</f>
        <v>446.39656160655733</v>
      </c>
      <c r="P223" s="35">
        <f>N223+O223</f>
        <v>446.39656160655733</v>
      </c>
    </row>
    <row r="224" spans="1:16" ht="14.5" customHeight="1" x14ac:dyDescent="0.3">
      <c r="A224" s="120" t="s">
        <v>258</v>
      </c>
      <c r="B224" s="121"/>
      <c r="C224" s="121"/>
      <c r="D224" s="121"/>
      <c r="E224" s="121"/>
      <c r="F224" s="121"/>
      <c r="G224" s="121"/>
      <c r="H224" s="121"/>
      <c r="I224" s="121"/>
      <c r="J224" s="122"/>
      <c r="L224" s="35">
        <f t="shared" si="1"/>
        <v>1.5000000000000002</v>
      </c>
    </row>
    <row r="225" spans="1:14" ht="14.5" customHeight="1" x14ac:dyDescent="0.3">
      <c r="A225" s="54">
        <v>1</v>
      </c>
      <c r="B225" s="54" t="s">
        <v>97</v>
      </c>
      <c r="C225" s="70">
        <f>(30.268)*(10.764)</f>
        <v>325.80475200000001</v>
      </c>
      <c r="D225" s="118">
        <f>C225*1.2</f>
        <v>390.9657024</v>
      </c>
      <c r="E225" s="119"/>
      <c r="F225" s="70">
        <f>(6.627)*(10.764)</f>
        <v>71.333027999999999</v>
      </c>
      <c r="G225" s="109">
        <f t="shared" ref="G225:G228" si="2">C225*1.5+F225</f>
        <v>560.04015600000002</v>
      </c>
      <c r="H225" s="53" t="s">
        <v>189</v>
      </c>
      <c r="I225" s="114" t="str">
        <f>A224</f>
        <v xml:space="preserve">1st &amp; 3rd Floor </v>
      </c>
      <c r="J225" s="115"/>
      <c r="L225" s="35">
        <f t="shared" si="1"/>
        <v>1.5000000000000002</v>
      </c>
      <c r="M225" s="32">
        <f>4*4+2</f>
        <v>18</v>
      </c>
    </row>
    <row r="226" spans="1:14" ht="14.5" customHeight="1" x14ac:dyDescent="0.3">
      <c r="A226" s="54">
        <v>2</v>
      </c>
      <c r="B226" s="54" t="s">
        <v>97</v>
      </c>
      <c r="C226" s="70">
        <f>(30.268)*(10.764)</f>
        <v>325.80475200000001</v>
      </c>
      <c r="D226" s="118">
        <f>C226*1.2</f>
        <v>390.9657024</v>
      </c>
      <c r="E226" s="119"/>
      <c r="F226" s="70">
        <f>(6.875)*(10.764)</f>
        <v>74.002499999999998</v>
      </c>
      <c r="G226" s="109">
        <f t="shared" si="2"/>
        <v>562.70962800000007</v>
      </c>
      <c r="H226" s="53" t="s">
        <v>189</v>
      </c>
      <c r="I226" s="273"/>
      <c r="J226" s="274"/>
      <c r="L226" s="35">
        <f t="shared" si="1"/>
        <v>1.5000000000000002</v>
      </c>
    </row>
    <row r="227" spans="1:14" ht="14.5" customHeight="1" x14ac:dyDescent="0.3">
      <c r="A227" s="54">
        <v>3</v>
      </c>
      <c r="B227" s="54" t="s">
        <v>97</v>
      </c>
      <c r="C227" s="70">
        <f>(30.268)*(10.764)</f>
        <v>325.80475200000001</v>
      </c>
      <c r="D227" s="118">
        <f>C227*1.2</f>
        <v>390.9657024</v>
      </c>
      <c r="E227" s="119"/>
      <c r="F227" s="70">
        <f>(6.875)*(10.764)</f>
        <v>74.002499999999998</v>
      </c>
      <c r="G227" s="109">
        <f t="shared" si="2"/>
        <v>562.70962800000007</v>
      </c>
      <c r="H227" s="53" t="s">
        <v>189</v>
      </c>
      <c r="I227" s="273"/>
      <c r="J227" s="274"/>
      <c r="L227" s="35"/>
    </row>
    <row r="228" spans="1:14" ht="14.5" customHeight="1" x14ac:dyDescent="0.3">
      <c r="A228" s="54">
        <v>4</v>
      </c>
      <c r="B228" s="54" t="s">
        <v>97</v>
      </c>
      <c r="C228" s="70">
        <f>(30.268)*(10.764)</f>
        <v>325.80475200000001</v>
      </c>
      <c r="D228" s="118">
        <f>C228*1.2</f>
        <v>390.9657024</v>
      </c>
      <c r="E228" s="119"/>
      <c r="F228" s="70">
        <f>(6.875)*(10.764)</f>
        <v>74.002499999999998</v>
      </c>
      <c r="G228" s="109">
        <f t="shared" si="2"/>
        <v>562.70962800000007</v>
      </c>
      <c r="H228" s="53" t="s">
        <v>189</v>
      </c>
      <c r="I228" s="116"/>
      <c r="J228" s="117"/>
      <c r="L228" s="35">
        <f>(G230-F230)/C230</f>
        <v>1.5</v>
      </c>
    </row>
    <row r="229" spans="1:14" ht="14.5" customHeight="1" x14ac:dyDescent="0.3">
      <c r="A229" s="270" t="s">
        <v>261</v>
      </c>
      <c r="B229" s="271"/>
      <c r="C229" s="271"/>
      <c r="D229" s="271"/>
      <c r="E229" s="271"/>
      <c r="F229" s="271"/>
      <c r="G229" s="271"/>
      <c r="H229" s="271"/>
      <c r="I229" s="271"/>
      <c r="J229" s="272"/>
      <c r="L229" s="35">
        <f t="shared" si="1"/>
        <v>1.5000000000000002</v>
      </c>
    </row>
    <row r="230" spans="1:14" ht="14.5" customHeight="1" x14ac:dyDescent="0.3">
      <c r="A230" s="72">
        <v>1</v>
      </c>
      <c r="B230" s="72" t="s">
        <v>97</v>
      </c>
      <c r="C230" s="72">
        <f>(30.268)*(10.764)</f>
        <v>325.80475200000001</v>
      </c>
      <c r="D230" s="118">
        <f>C230*1.2</f>
        <v>390.9657024</v>
      </c>
      <c r="E230" s="119"/>
      <c r="F230" s="72">
        <f>(6.687)*(10.764)</f>
        <v>71.978868000000006</v>
      </c>
      <c r="G230" s="109">
        <f t="shared" ref="G230:G233" si="3">C230*1.5+F230</f>
        <v>560.68599600000005</v>
      </c>
      <c r="H230" s="73" t="s">
        <v>189</v>
      </c>
      <c r="I230" s="114" t="str">
        <f>A229</f>
        <v>2nd &amp; 4th Floor</v>
      </c>
      <c r="J230" s="115"/>
      <c r="L230" s="35">
        <f t="shared" si="1"/>
        <v>1.5000000000000002</v>
      </c>
    </row>
    <row r="231" spans="1:14" ht="14.5" customHeight="1" x14ac:dyDescent="0.3">
      <c r="A231" s="72">
        <v>2</v>
      </c>
      <c r="B231" s="72" t="s">
        <v>97</v>
      </c>
      <c r="C231" s="72">
        <f>(30.268)*(10.764)</f>
        <v>325.80475200000001</v>
      </c>
      <c r="D231" s="118">
        <f>C231*1.2</f>
        <v>390.9657024</v>
      </c>
      <c r="E231" s="119"/>
      <c r="F231" s="72">
        <f>(6.688)*(10.764)</f>
        <v>71.989631999999986</v>
      </c>
      <c r="G231" s="109">
        <f t="shared" si="3"/>
        <v>560.69676000000004</v>
      </c>
      <c r="H231" s="73" t="s">
        <v>189</v>
      </c>
      <c r="I231" s="273"/>
      <c r="J231" s="274"/>
      <c r="L231" s="35">
        <f>(G233-F233)/C233</f>
        <v>1.5000000000000002</v>
      </c>
    </row>
    <row r="232" spans="1:14" ht="14.5" customHeight="1" x14ac:dyDescent="0.3">
      <c r="A232" s="72">
        <v>3</v>
      </c>
      <c r="B232" s="72" t="s">
        <v>97</v>
      </c>
      <c r="C232" s="72">
        <f>(30.268)*(10.764)</f>
        <v>325.80475200000001</v>
      </c>
      <c r="D232" s="118">
        <f>C232*1.2</f>
        <v>390.9657024</v>
      </c>
      <c r="E232" s="119"/>
      <c r="F232" s="72">
        <f>(6.875)*(10.764)</f>
        <v>74.002499999999998</v>
      </c>
      <c r="G232" s="109">
        <f t="shared" si="3"/>
        <v>562.70962800000007</v>
      </c>
      <c r="H232" s="73" t="s">
        <v>189</v>
      </c>
      <c r="I232" s="273"/>
      <c r="J232" s="274"/>
      <c r="L232" s="35"/>
    </row>
    <row r="233" spans="1:14" ht="14.5" customHeight="1" x14ac:dyDescent="0.3">
      <c r="A233" s="72">
        <v>4</v>
      </c>
      <c r="B233" s="72" t="s">
        <v>97</v>
      </c>
      <c r="C233" s="72">
        <f>(30.268)*(10.764)</f>
        <v>325.80475200000001</v>
      </c>
      <c r="D233" s="118">
        <f>C233*1.2</f>
        <v>390.9657024</v>
      </c>
      <c r="E233" s="119"/>
      <c r="F233" s="72">
        <f>(6.875)*(10.764)</f>
        <v>74.002499999999998</v>
      </c>
      <c r="G233" s="109">
        <f t="shared" si="3"/>
        <v>562.70962800000007</v>
      </c>
      <c r="H233" s="73" t="s">
        <v>189</v>
      </c>
      <c r="I233" s="116"/>
      <c r="J233" s="117"/>
      <c r="L233" s="35"/>
    </row>
    <row r="234" spans="1:14" ht="15" x14ac:dyDescent="0.3">
      <c r="A234" s="120" t="s">
        <v>285</v>
      </c>
      <c r="B234" s="121"/>
      <c r="C234" s="121"/>
      <c r="D234" s="121"/>
      <c r="E234" s="121"/>
      <c r="F234" s="121"/>
      <c r="G234" s="121"/>
      <c r="H234" s="121"/>
      <c r="I234" s="121"/>
      <c r="J234" s="122"/>
      <c r="L234" s="35">
        <f>(G236-F236)/C236</f>
        <v>1.5</v>
      </c>
    </row>
    <row r="235" spans="1:14" ht="15" x14ac:dyDescent="0.3">
      <c r="A235" s="120" t="s">
        <v>176</v>
      </c>
      <c r="B235" s="121"/>
      <c r="C235" s="121"/>
      <c r="D235" s="121"/>
      <c r="E235" s="121"/>
      <c r="F235" s="121"/>
      <c r="G235" s="121"/>
      <c r="H235" s="121"/>
      <c r="I235" s="121"/>
      <c r="J235" s="122"/>
      <c r="L235" s="35">
        <f>(G237-F237)/C237</f>
        <v>1.5</v>
      </c>
    </row>
    <row r="236" spans="1:14" ht="14.5" customHeight="1" x14ac:dyDescent="0.3">
      <c r="A236" s="54">
        <v>1</v>
      </c>
      <c r="B236" s="54" t="s">
        <v>97</v>
      </c>
      <c r="C236" s="68">
        <f>(29.503)*10.764</f>
        <v>317.57029199999999</v>
      </c>
      <c r="D236" s="118">
        <f>C236*1.2</f>
        <v>381.08435040000001</v>
      </c>
      <c r="E236" s="119"/>
      <c r="F236" s="54">
        <v>0</v>
      </c>
      <c r="G236" s="109">
        <f t="shared" ref="G236:G237" si="4">C236*1.5+F236</f>
        <v>476.35543799999999</v>
      </c>
      <c r="H236" s="53" t="s">
        <v>189</v>
      </c>
      <c r="I236" s="114" t="s">
        <v>187</v>
      </c>
      <c r="J236" s="115"/>
      <c r="K236" s="32">
        <v>2</v>
      </c>
      <c r="L236" s="35"/>
    </row>
    <row r="237" spans="1:14" ht="14.5" customHeight="1" x14ac:dyDescent="0.3">
      <c r="A237" s="54">
        <v>2</v>
      </c>
      <c r="B237" s="54" t="s">
        <v>97</v>
      </c>
      <c r="C237" s="68">
        <f>(29.503)*10.764</f>
        <v>317.57029199999999</v>
      </c>
      <c r="D237" s="118">
        <f>C237*1.2</f>
        <v>381.08435040000001</v>
      </c>
      <c r="E237" s="119"/>
      <c r="F237" s="54">
        <v>0</v>
      </c>
      <c r="G237" s="109">
        <f t="shared" si="4"/>
        <v>476.35543799999999</v>
      </c>
      <c r="H237" s="53" t="s">
        <v>189</v>
      </c>
      <c r="I237" s="116"/>
      <c r="J237" s="117"/>
      <c r="L237" s="35">
        <f t="shared" si="1"/>
        <v>1.5</v>
      </c>
    </row>
    <row r="238" spans="1:14" ht="14.5" customHeight="1" x14ac:dyDescent="0.3">
      <c r="A238" s="120" t="s">
        <v>173</v>
      </c>
      <c r="B238" s="121"/>
      <c r="C238" s="121"/>
      <c r="D238" s="121"/>
      <c r="E238" s="121"/>
      <c r="F238" s="121"/>
      <c r="G238" s="121"/>
      <c r="H238" s="121"/>
      <c r="I238" s="121"/>
      <c r="J238" s="122"/>
      <c r="L238" s="35">
        <f t="shared" si="1"/>
        <v>1.5000000000000002</v>
      </c>
      <c r="N238" s="32">
        <f>2300000/G240</f>
        <v>4087.3656421602932</v>
      </c>
    </row>
    <row r="239" spans="1:14" ht="14.5" customHeight="1" x14ac:dyDescent="0.3">
      <c r="A239" s="54">
        <v>1</v>
      </c>
      <c r="B239" s="54" t="s">
        <v>97</v>
      </c>
      <c r="C239" s="68">
        <f>(30.268)*(10.764)</f>
        <v>325.80475200000001</v>
      </c>
      <c r="D239" s="118">
        <f>C239*1.2</f>
        <v>390.9657024</v>
      </c>
      <c r="E239" s="119"/>
      <c r="F239" s="68">
        <f>(6.627)*(10.764)</f>
        <v>71.333027999999999</v>
      </c>
      <c r="G239" s="109">
        <f t="shared" ref="G239:G242" si="5">C239*1.5+F239</f>
        <v>560.04015600000002</v>
      </c>
      <c r="H239" s="53" t="s">
        <v>189</v>
      </c>
      <c r="I239" s="114" t="str">
        <f>A238</f>
        <v>1st &amp; 3rd Floor</v>
      </c>
      <c r="J239" s="115"/>
      <c r="L239" s="35">
        <f t="shared" si="1"/>
        <v>1.5000000000000002</v>
      </c>
    </row>
    <row r="240" spans="1:14" ht="14.5" customHeight="1" x14ac:dyDescent="0.3">
      <c r="A240" s="54">
        <v>2</v>
      </c>
      <c r="B240" s="54" t="s">
        <v>97</v>
      </c>
      <c r="C240" s="68">
        <f>(30.268)*(10.764)</f>
        <v>325.80475200000001</v>
      </c>
      <c r="D240" s="118">
        <f>C240*1.2</f>
        <v>390.9657024</v>
      </c>
      <c r="E240" s="119"/>
      <c r="F240" s="68">
        <f>(6.875)*(10.764)</f>
        <v>74.002499999999998</v>
      </c>
      <c r="G240" s="109">
        <f t="shared" si="5"/>
        <v>562.70962800000007</v>
      </c>
      <c r="H240" s="53" t="s">
        <v>189</v>
      </c>
      <c r="I240" s="273"/>
      <c r="J240" s="274"/>
      <c r="L240" s="35">
        <f t="shared" si="1"/>
        <v>1.5</v>
      </c>
    </row>
    <row r="241" spans="1:16" ht="14.5" customHeight="1" x14ac:dyDescent="0.3">
      <c r="A241" s="54">
        <v>3</v>
      </c>
      <c r="B241" s="54" t="s">
        <v>97</v>
      </c>
      <c r="C241" s="68">
        <f>(30.268)*(10.764)</f>
        <v>325.80475200000001</v>
      </c>
      <c r="D241" s="118">
        <f>C241*1.2</f>
        <v>390.9657024</v>
      </c>
      <c r="E241" s="119"/>
      <c r="F241" s="68">
        <f>(6.875)*(10.764)</f>
        <v>74.002499999999998</v>
      </c>
      <c r="G241" s="109">
        <f t="shared" si="5"/>
        <v>562.70962800000007</v>
      </c>
      <c r="H241" s="53" t="s">
        <v>189</v>
      </c>
      <c r="I241" s="273"/>
      <c r="J241" s="274"/>
      <c r="K241" s="32">
        <v>1</v>
      </c>
      <c r="L241" s="35"/>
    </row>
    <row r="242" spans="1:16" ht="14.5" customHeight="1" x14ac:dyDescent="0.3">
      <c r="A242" s="54">
        <v>4</v>
      </c>
      <c r="B242" s="54" t="s">
        <v>97</v>
      </c>
      <c r="C242" s="68">
        <f>(30.268)*(10.764)</f>
        <v>325.80475200000001</v>
      </c>
      <c r="D242" s="118">
        <f>C242*1.2</f>
        <v>390.9657024</v>
      </c>
      <c r="E242" s="119"/>
      <c r="F242" s="68">
        <f>(6.627)*(10.764)</f>
        <v>71.333027999999999</v>
      </c>
      <c r="G242" s="109">
        <f t="shared" si="5"/>
        <v>560.04015600000002</v>
      </c>
      <c r="H242" s="53" t="s">
        <v>189</v>
      </c>
      <c r="I242" s="116"/>
      <c r="J242" s="117"/>
      <c r="L242" s="35">
        <f t="shared" si="1"/>
        <v>1.5</v>
      </c>
    </row>
    <row r="243" spans="1:16" ht="14.5" customHeight="1" x14ac:dyDescent="0.3">
      <c r="A243" s="120" t="s">
        <v>261</v>
      </c>
      <c r="B243" s="121"/>
      <c r="C243" s="121"/>
      <c r="D243" s="121"/>
      <c r="E243" s="121"/>
      <c r="F243" s="121"/>
      <c r="G243" s="121"/>
      <c r="H243" s="121"/>
      <c r="I243" s="121"/>
      <c r="J243" s="122"/>
      <c r="L243" s="35">
        <f t="shared" si="1"/>
        <v>1.5000000000000002</v>
      </c>
    </row>
    <row r="244" spans="1:16" ht="14.5" customHeight="1" x14ac:dyDescent="0.3">
      <c r="A244" s="54">
        <v>1</v>
      </c>
      <c r="B244" s="54" t="s">
        <v>97</v>
      </c>
      <c r="C244" s="68">
        <f>(30.268)*(10.764)</f>
        <v>325.80475200000001</v>
      </c>
      <c r="D244" s="118">
        <f>C244*1.2</f>
        <v>390.9657024</v>
      </c>
      <c r="E244" s="119"/>
      <c r="F244" s="68">
        <f>(6.627)*(10.764)</f>
        <v>71.333027999999999</v>
      </c>
      <c r="G244" s="109">
        <f t="shared" ref="G244:G247" si="6">C244*1.5+F244</f>
        <v>560.04015600000002</v>
      </c>
      <c r="H244" s="53" t="s">
        <v>189</v>
      </c>
      <c r="I244" s="114" t="str">
        <f>A243</f>
        <v>2nd &amp; 4th Floor</v>
      </c>
      <c r="J244" s="115"/>
      <c r="L244" s="35">
        <f t="shared" si="1"/>
        <v>1.5</v>
      </c>
    </row>
    <row r="245" spans="1:16" ht="14.5" customHeight="1" x14ac:dyDescent="0.3">
      <c r="A245" s="54">
        <v>2</v>
      </c>
      <c r="B245" s="54" t="s">
        <v>97</v>
      </c>
      <c r="C245" s="70">
        <f>(30.268)*(10.764)</f>
        <v>325.80475200000001</v>
      </c>
      <c r="D245" s="118">
        <f>C245*1.2</f>
        <v>390.9657024</v>
      </c>
      <c r="E245" s="119"/>
      <c r="F245" s="68">
        <f>(6.875)*(10.764)</f>
        <v>74.002499999999998</v>
      </c>
      <c r="G245" s="109">
        <f t="shared" si="6"/>
        <v>562.70962800000007</v>
      </c>
      <c r="H245" s="53" t="s">
        <v>189</v>
      </c>
      <c r="I245" s="273"/>
      <c r="J245" s="274"/>
      <c r="L245" s="35">
        <f t="shared" si="1"/>
        <v>1.5</v>
      </c>
      <c r="O245" s="74">
        <f>10.764</f>
        <v>10.763999999999999</v>
      </c>
    </row>
    <row r="246" spans="1:16" ht="14.5" customHeight="1" x14ac:dyDescent="0.3">
      <c r="A246" s="54">
        <v>3</v>
      </c>
      <c r="B246" s="54" t="s">
        <v>97</v>
      </c>
      <c r="C246" s="70">
        <f>(30.268)*(10.764)</f>
        <v>325.80475200000001</v>
      </c>
      <c r="D246" s="118">
        <f>C246*1.2</f>
        <v>390.9657024</v>
      </c>
      <c r="E246" s="119"/>
      <c r="F246" s="68">
        <f>(6.888)*(10.764)</f>
        <v>74.142431999999999</v>
      </c>
      <c r="G246" s="109">
        <f t="shared" si="6"/>
        <v>562.84956</v>
      </c>
      <c r="H246" s="53" t="s">
        <v>189</v>
      </c>
      <c r="I246" s="273"/>
      <c r="J246" s="274"/>
      <c r="L246" s="35"/>
    </row>
    <row r="247" spans="1:16" ht="14.5" customHeight="1" x14ac:dyDescent="0.3">
      <c r="A247" s="54">
        <v>4</v>
      </c>
      <c r="B247" s="54" t="s">
        <v>97</v>
      </c>
      <c r="C247" s="70">
        <f>(30.268)*(10.764)</f>
        <v>325.80475200000001</v>
      </c>
      <c r="D247" s="118">
        <f>C247*1.2</f>
        <v>390.9657024</v>
      </c>
      <c r="E247" s="119"/>
      <c r="F247" s="68">
        <f>(6.687)*(10.764)</f>
        <v>71.978868000000006</v>
      </c>
      <c r="G247" s="109">
        <f t="shared" si="6"/>
        <v>560.68599600000005</v>
      </c>
      <c r="H247" s="53" t="s">
        <v>189</v>
      </c>
      <c r="I247" s="116"/>
      <c r="J247" s="117"/>
      <c r="L247" s="35"/>
    </row>
    <row r="248" spans="1:16" ht="14.5" customHeight="1" x14ac:dyDescent="0.3">
      <c r="A248" s="120" t="s">
        <v>115</v>
      </c>
      <c r="B248" s="121"/>
      <c r="C248" s="121"/>
      <c r="D248" s="121"/>
      <c r="E248" s="121"/>
      <c r="F248" s="121"/>
      <c r="G248" s="121"/>
      <c r="H248" s="121"/>
      <c r="I248" s="121"/>
      <c r="J248" s="122"/>
      <c r="K248" s="32">
        <v>2</v>
      </c>
      <c r="L248" s="35"/>
    </row>
    <row r="249" spans="1:16" ht="14.5" customHeight="1" x14ac:dyDescent="0.3">
      <c r="A249" s="270" t="s">
        <v>259</v>
      </c>
      <c r="B249" s="271"/>
      <c r="C249" s="271"/>
      <c r="D249" s="271"/>
      <c r="E249" s="271"/>
      <c r="F249" s="271"/>
      <c r="G249" s="271"/>
      <c r="H249" s="271"/>
      <c r="I249" s="271"/>
      <c r="J249" s="272"/>
      <c r="L249" s="35">
        <f>(G251-F251)/C251</f>
        <v>1.4999999999999998</v>
      </c>
      <c r="N249" s="32">
        <f>2.65*3.65+2.2*2.75+1.2+0.9*1.2+2.2*0.9+0.9</f>
        <v>20.882499999999997</v>
      </c>
      <c r="O249" s="35"/>
      <c r="P249" s="35"/>
    </row>
    <row r="250" spans="1:16" ht="14.5" customHeight="1" x14ac:dyDescent="0.3">
      <c r="A250" s="270" t="s">
        <v>173</v>
      </c>
      <c r="B250" s="271"/>
      <c r="C250" s="271"/>
      <c r="D250" s="271"/>
      <c r="E250" s="271"/>
      <c r="F250" s="271"/>
      <c r="G250" s="271"/>
      <c r="H250" s="271"/>
      <c r="I250" s="271"/>
      <c r="J250" s="272"/>
      <c r="L250" s="35">
        <f>(G252-F252)/C252</f>
        <v>1.4999999999999998</v>
      </c>
      <c r="N250" s="32">
        <f>2.75*1.9</f>
        <v>5.2249999999999996</v>
      </c>
    </row>
    <row r="251" spans="1:16" ht="14.5" customHeight="1" x14ac:dyDescent="0.35">
      <c r="A251" s="54">
        <v>1</v>
      </c>
      <c r="B251" s="54" t="s">
        <v>102</v>
      </c>
      <c r="C251" s="68">
        <f>(22.5)*(10.764)</f>
        <v>242.19</v>
      </c>
      <c r="D251" s="118">
        <f>C251*1.2</f>
        <v>290.62799999999999</v>
      </c>
      <c r="E251" s="119"/>
      <c r="F251" s="75">
        <f>(4.977)*(10.764)</f>
        <v>53.572428000000002</v>
      </c>
      <c r="G251" s="109">
        <f t="shared" ref="G251:G255" si="7">C251*1.5+F251</f>
        <v>416.85742799999997</v>
      </c>
      <c r="H251" s="53" t="s">
        <v>189</v>
      </c>
      <c r="I251" s="114" t="str">
        <f>A250</f>
        <v>1st &amp; 3rd Floor</v>
      </c>
      <c r="J251" s="115"/>
      <c r="L251" s="35"/>
    </row>
    <row r="252" spans="1:16" ht="14.5" customHeight="1" x14ac:dyDescent="0.35">
      <c r="A252" s="54">
        <v>2</v>
      </c>
      <c r="B252" s="54" t="s">
        <v>102</v>
      </c>
      <c r="C252" s="68">
        <f>(22.5)*(10.764)</f>
        <v>242.19</v>
      </c>
      <c r="D252" s="118">
        <f>C252*1.2</f>
        <v>290.62799999999999</v>
      </c>
      <c r="E252" s="119"/>
      <c r="F252" s="75">
        <f>(5.225)*(10.764)</f>
        <v>56.241899999999994</v>
      </c>
      <c r="G252" s="109">
        <f t="shared" si="7"/>
        <v>419.52689999999996</v>
      </c>
      <c r="H252" s="53" t="s">
        <v>189</v>
      </c>
      <c r="I252" s="116"/>
      <c r="J252" s="117"/>
      <c r="L252" s="35">
        <f t="shared" si="1"/>
        <v>1.5</v>
      </c>
    </row>
    <row r="253" spans="1:16" ht="14.5" customHeight="1" x14ac:dyDescent="0.3">
      <c r="A253" s="394" t="s">
        <v>261</v>
      </c>
      <c r="B253" s="394"/>
      <c r="C253" s="394"/>
      <c r="D253" s="394"/>
      <c r="E253" s="394"/>
      <c r="F253" s="394"/>
      <c r="G253" s="394"/>
      <c r="H253" s="394"/>
      <c r="I253" s="394"/>
      <c r="J253" s="394"/>
      <c r="L253" s="35">
        <f t="shared" si="1"/>
        <v>1.5</v>
      </c>
    </row>
    <row r="254" spans="1:16" ht="14.5" customHeight="1" x14ac:dyDescent="0.3">
      <c r="A254" s="113">
        <v>1</v>
      </c>
      <c r="B254" s="113" t="s">
        <v>102</v>
      </c>
      <c r="C254" s="113">
        <f>(21.803)*(10.764)</f>
        <v>234.68749199999999</v>
      </c>
      <c r="D254" s="278">
        <f>C254*1.2</f>
        <v>281.6249904</v>
      </c>
      <c r="E254" s="278"/>
      <c r="F254" s="113">
        <v>0</v>
      </c>
      <c r="G254" s="109">
        <f>C254*1.5+F254</f>
        <v>352.03123799999997</v>
      </c>
      <c r="H254" s="112" t="s">
        <v>189</v>
      </c>
      <c r="I254" s="278" t="str">
        <f>A253</f>
        <v>2nd &amp; 4th Floor</v>
      </c>
      <c r="J254" s="278"/>
      <c r="L254" s="35">
        <f>4*2</f>
        <v>8</v>
      </c>
    </row>
    <row r="255" spans="1:16" ht="14.5" customHeight="1" x14ac:dyDescent="0.3">
      <c r="A255" s="113">
        <v>2</v>
      </c>
      <c r="B255" s="113" t="s">
        <v>102</v>
      </c>
      <c r="C255" s="113">
        <f>(21.803)*(10.764)</f>
        <v>234.68749199999999</v>
      </c>
      <c r="D255" s="278">
        <f>C255*1.2</f>
        <v>281.6249904</v>
      </c>
      <c r="E255" s="278"/>
      <c r="F255" s="113">
        <v>0</v>
      </c>
      <c r="G255" s="109">
        <f t="shared" si="7"/>
        <v>352.03123799999997</v>
      </c>
      <c r="H255" s="112" t="s">
        <v>189</v>
      </c>
      <c r="I255" s="278"/>
      <c r="J255" s="278"/>
      <c r="L255" s="35"/>
    </row>
    <row r="256" spans="1:16" ht="14.5" customHeight="1" x14ac:dyDescent="0.3">
      <c r="A256" s="434" t="s">
        <v>116</v>
      </c>
      <c r="B256" s="434"/>
      <c r="C256" s="434"/>
      <c r="D256" s="434"/>
      <c r="E256" s="434"/>
      <c r="F256" s="434"/>
      <c r="G256" s="434"/>
      <c r="H256" s="434"/>
      <c r="I256" s="434"/>
      <c r="J256" s="434"/>
      <c r="L256" s="35"/>
    </row>
    <row r="257" spans="1:14" ht="14.5" customHeight="1" x14ac:dyDescent="0.3">
      <c r="A257" s="394" t="s">
        <v>286</v>
      </c>
      <c r="B257" s="394"/>
      <c r="C257" s="394"/>
      <c r="D257" s="394"/>
      <c r="E257" s="394"/>
      <c r="F257" s="394"/>
      <c r="G257" s="394"/>
      <c r="H257" s="394"/>
      <c r="I257" s="394"/>
      <c r="J257" s="394"/>
      <c r="L257" s="35"/>
    </row>
    <row r="258" spans="1:14" ht="14.5" customHeight="1" x14ac:dyDescent="0.3">
      <c r="A258" s="394" t="s">
        <v>259</v>
      </c>
      <c r="B258" s="394"/>
      <c r="C258" s="394"/>
      <c r="D258" s="394"/>
      <c r="E258" s="394"/>
      <c r="F258" s="394"/>
      <c r="G258" s="394"/>
      <c r="H258" s="394"/>
      <c r="I258" s="394"/>
      <c r="J258" s="394"/>
      <c r="L258" s="35">
        <f t="shared" si="1"/>
        <v>1.5</v>
      </c>
    </row>
    <row r="259" spans="1:14" ht="14.5" customHeight="1" x14ac:dyDescent="0.3">
      <c r="A259" s="394" t="s">
        <v>287</v>
      </c>
      <c r="B259" s="394"/>
      <c r="C259" s="394"/>
      <c r="D259" s="394"/>
      <c r="E259" s="394"/>
      <c r="F259" s="394"/>
      <c r="G259" s="394"/>
      <c r="H259" s="394"/>
      <c r="I259" s="394"/>
      <c r="J259" s="394"/>
      <c r="L259" s="35">
        <f t="shared" si="1"/>
        <v>1.5</v>
      </c>
    </row>
    <row r="260" spans="1:14" ht="14.5" customHeight="1" x14ac:dyDescent="0.35">
      <c r="A260" s="113">
        <v>1</v>
      </c>
      <c r="B260" s="113" t="s">
        <v>117</v>
      </c>
      <c r="C260" s="75">
        <f>(42.235+9.307)*(10.764)</f>
        <v>554.79808800000001</v>
      </c>
      <c r="D260" s="278">
        <f>C260*1.2</f>
        <v>665.75770560000001</v>
      </c>
      <c r="E260" s="278"/>
      <c r="F260" s="75">
        <f>(8.375)*(10.764)</f>
        <v>90.148499999999999</v>
      </c>
      <c r="G260" s="109">
        <f t="shared" ref="G260:G262" si="8">C260*1.5+F260</f>
        <v>922.34563200000002</v>
      </c>
      <c r="H260" s="112" t="s">
        <v>189</v>
      </c>
      <c r="I260" s="278" t="str">
        <f>A259</f>
        <v>1st &amp; 3rd Floor For Residential</v>
      </c>
      <c r="J260" s="278"/>
      <c r="L260" s="35">
        <f t="shared" si="1"/>
        <v>1.5000000000000002</v>
      </c>
    </row>
    <row r="261" spans="1:14" ht="14.5" customHeight="1" x14ac:dyDescent="0.35">
      <c r="A261" s="113">
        <v>2</v>
      </c>
      <c r="B261" s="113" t="s">
        <v>97</v>
      </c>
      <c r="C261" s="75">
        <f>(29.567)*(10.764)</f>
        <v>318.25918799999999</v>
      </c>
      <c r="D261" s="278">
        <f>C261*1.2</f>
        <v>381.91102559999996</v>
      </c>
      <c r="E261" s="278"/>
      <c r="F261" s="75">
        <f>(3.713)*(10.764)</f>
        <v>39.966732</v>
      </c>
      <c r="G261" s="109">
        <f t="shared" si="8"/>
        <v>517.35551399999997</v>
      </c>
      <c r="H261" s="112" t="s">
        <v>189</v>
      </c>
      <c r="I261" s="278"/>
      <c r="J261" s="278"/>
      <c r="L261" s="35"/>
    </row>
    <row r="262" spans="1:14" ht="14.5" customHeight="1" x14ac:dyDescent="0.35">
      <c r="A262" s="113">
        <v>3</v>
      </c>
      <c r="B262" s="113" t="s">
        <v>97</v>
      </c>
      <c r="C262" s="75">
        <f>(29.68)*(10.764)</f>
        <v>319.47551999999996</v>
      </c>
      <c r="D262" s="278">
        <f>C262*1.2</f>
        <v>383.37062399999996</v>
      </c>
      <c r="E262" s="278"/>
      <c r="F262" s="75">
        <f>(5.94)*(10.764)</f>
        <v>63.938160000000003</v>
      </c>
      <c r="G262" s="109">
        <f t="shared" si="8"/>
        <v>543.15143999999998</v>
      </c>
      <c r="H262" s="112" t="s">
        <v>189</v>
      </c>
      <c r="I262" s="278"/>
      <c r="J262" s="278"/>
      <c r="L262" s="35">
        <f t="shared" si="1"/>
        <v>1.5</v>
      </c>
    </row>
    <row r="263" spans="1:14" ht="14.5" customHeight="1" x14ac:dyDescent="0.3">
      <c r="A263" s="394" t="s">
        <v>261</v>
      </c>
      <c r="B263" s="394"/>
      <c r="C263" s="394"/>
      <c r="D263" s="394"/>
      <c r="E263" s="394"/>
      <c r="F263" s="394"/>
      <c r="G263" s="394"/>
      <c r="H263" s="394"/>
      <c r="I263" s="394"/>
      <c r="J263" s="394"/>
      <c r="L263" s="35">
        <f t="shared" si="1"/>
        <v>1.4999999999999998</v>
      </c>
    </row>
    <row r="264" spans="1:14" ht="14.5" customHeight="1" x14ac:dyDescent="0.35">
      <c r="A264" s="54">
        <v>1</v>
      </c>
      <c r="B264" s="54" t="s">
        <v>117</v>
      </c>
      <c r="C264" s="75">
        <f>(42.67+9.307)*(10.764)</f>
        <v>559.48042799999996</v>
      </c>
      <c r="D264" s="118">
        <f>C264*1.2</f>
        <v>671.37651359999995</v>
      </c>
      <c r="E264" s="119"/>
      <c r="F264" s="75">
        <f>(8.375)*(10.764)</f>
        <v>90.148499999999999</v>
      </c>
      <c r="G264" s="109">
        <f t="shared" ref="G264:G266" si="9">C264*1.5+F264</f>
        <v>929.36914200000001</v>
      </c>
      <c r="H264" s="53" t="s">
        <v>189</v>
      </c>
      <c r="I264" s="114" t="str">
        <f>A263</f>
        <v>2nd &amp; 4th Floor</v>
      </c>
      <c r="J264" s="115"/>
      <c r="L264" s="35">
        <f t="shared" si="1"/>
        <v>1.4999999999999998</v>
      </c>
    </row>
    <row r="265" spans="1:14" ht="14.5" customHeight="1" x14ac:dyDescent="0.35">
      <c r="A265" s="54">
        <v>2</v>
      </c>
      <c r="B265" s="54" t="s">
        <v>97</v>
      </c>
      <c r="C265" s="75">
        <f>(29.68)*(10.764)</f>
        <v>319.47551999999996</v>
      </c>
      <c r="D265" s="118">
        <f>C265*1.2</f>
        <v>383.37062399999996</v>
      </c>
      <c r="E265" s="119"/>
      <c r="F265" s="75">
        <f>(5.85)*(10.764)</f>
        <v>62.969399999999993</v>
      </c>
      <c r="G265" s="109">
        <f t="shared" si="9"/>
        <v>542.18267999999989</v>
      </c>
      <c r="H265" s="53" t="s">
        <v>189</v>
      </c>
      <c r="I265" s="273"/>
      <c r="J265" s="274"/>
      <c r="K265" s="32">
        <f>4*3+4</f>
        <v>16</v>
      </c>
      <c r="L265" s="35"/>
    </row>
    <row r="266" spans="1:14" ht="14.5" customHeight="1" x14ac:dyDescent="0.35">
      <c r="A266" s="54">
        <v>3</v>
      </c>
      <c r="B266" s="54" t="s">
        <v>97</v>
      </c>
      <c r="C266" s="75">
        <f>(29.68)*(10.764)</f>
        <v>319.47551999999996</v>
      </c>
      <c r="D266" s="118">
        <f>C266*1.2</f>
        <v>383.37062399999996</v>
      </c>
      <c r="E266" s="119"/>
      <c r="F266" s="75">
        <f>(5.85)*(10.764)</f>
        <v>62.969399999999993</v>
      </c>
      <c r="G266" s="109">
        <f t="shared" si="9"/>
        <v>542.18267999999989</v>
      </c>
      <c r="H266" s="53" t="s">
        <v>189</v>
      </c>
      <c r="I266" s="116"/>
      <c r="J266" s="117"/>
      <c r="L266" s="35">
        <f t="shared" si="1"/>
        <v>1.5</v>
      </c>
      <c r="N266" s="70">
        <f>((45.397)+(2.9*2+3.05*1.15))*10.764</f>
        <v>588.83923799999991</v>
      </c>
    </row>
    <row r="267" spans="1:14" ht="14.5" customHeight="1" x14ac:dyDescent="0.3">
      <c r="A267" s="120" t="s">
        <v>262</v>
      </c>
      <c r="B267" s="121"/>
      <c r="C267" s="121"/>
      <c r="D267" s="121"/>
      <c r="E267" s="121"/>
      <c r="F267" s="121"/>
      <c r="G267" s="121"/>
      <c r="H267" s="121"/>
      <c r="I267" s="121"/>
      <c r="J267" s="122"/>
      <c r="L267" s="35">
        <f t="shared" si="1"/>
        <v>1.5</v>
      </c>
      <c r="N267" s="70">
        <f>(29.68)*10.764</f>
        <v>319.47551999999996</v>
      </c>
    </row>
    <row r="268" spans="1:14" ht="14.5" customHeight="1" x14ac:dyDescent="0.35">
      <c r="A268" s="54">
        <v>1</v>
      </c>
      <c r="B268" s="54" t="s">
        <v>117</v>
      </c>
      <c r="C268" s="75">
        <f>(42.235+5.8)*(10.764)</f>
        <v>517.04873999999995</v>
      </c>
      <c r="D268" s="118">
        <f>C268*1.2</f>
        <v>620.45848799999987</v>
      </c>
      <c r="E268" s="119"/>
      <c r="F268" s="75">
        <f>(8.375)*(10.764)</f>
        <v>90.148499999999999</v>
      </c>
      <c r="G268" s="109">
        <f t="shared" ref="G268:G269" si="10">C268*1.5+F268</f>
        <v>865.72160999999994</v>
      </c>
      <c r="H268" s="53" t="s">
        <v>189</v>
      </c>
      <c r="I268" s="114" t="str">
        <f>A267</f>
        <v>5th Floor</v>
      </c>
      <c r="J268" s="115"/>
      <c r="L268" s="35"/>
    </row>
    <row r="269" spans="1:14" ht="14.5" customHeight="1" x14ac:dyDescent="0.35">
      <c r="A269" s="54">
        <v>2</v>
      </c>
      <c r="B269" s="54" t="s">
        <v>117</v>
      </c>
      <c r="C269" s="75">
        <f>(39.173)*(10.764)</f>
        <v>421.65817199999998</v>
      </c>
      <c r="D269" s="118">
        <f>C269*1.2</f>
        <v>505.98980639999996</v>
      </c>
      <c r="E269" s="119"/>
      <c r="F269" s="54">
        <v>0</v>
      </c>
      <c r="G269" s="109">
        <f t="shared" si="10"/>
        <v>632.487258</v>
      </c>
      <c r="H269" s="53" t="s">
        <v>188</v>
      </c>
      <c r="I269" s="273"/>
      <c r="J269" s="274"/>
      <c r="L269" s="35">
        <f t="shared" ref="L269:L270" si="11">(G271-F271)/C271</f>
        <v>1.5</v>
      </c>
    </row>
    <row r="270" spans="1:14" ht="14.5" customHeight="1" x14ac:dyDescent="0.3">
      <c r="A270" s="120" t="s">
        <v>260</v>
      </c>
      <c r="B270" s="121"/>
      <c r="C270" s="121"/>
      <c r="D270" s="121"/>
      <c r="E270" s="121"/>
      <c r="F270" s="121"/>
      <c r="G270" s="121"/>
      <c r="H270" s="121"/>
      <c r="I270" s="121"/>
      <c r="J270" s="122"/>
      <c r="L270" s="35">
        <f t="shared" si="11"/>
        <v>1.5</v>
      </c>
    </row>
    <row r="271" spans="1:14" ht="14.5" customHeight="1" x14ac:dyDescent="0.35">
      <c r="A271" s="70">
        <v>1</v>
      </c>
      <c r="B271" s="70" t="s">
        <v>117</v>
      </c>
      <c r="C271" s="75">
        <f>(36.448+5.8)*(10.764)</f>
        <v>454.75747199999995</v>
      </c>
      <c r="D271" s="118">
        <f>C271*1.2</f>
        <v>545.70896639999989</v>
      </c>
      <c r="E271" s="119"/>
      <c r="F271" s="75">
        <f>(8.375)*(10.764)</f>
        <v>90.148499999999999</v>
      </c>
      <c r="G271" s="109">
        <f t="shared" ref="G271:G272" si="12">C271*1.5+F271</f>
        <v>772.28470799999991</v>
      </c>
      <c r="H271" s="69" t="s">
        <v>189</v>
      </c>
      <c r="I271" s="114" t="str">
        <f>A270</f>
        <v>6th Floor</v>
      </c>
      <c r="J271" s="115"/>
      <c r="L271" s="35"/>
    </row>
    <row r="272" spans="1:14" ht="14.5" customHeight="1" x14ac:dyDescent="0.35">
      <c r="A272" s="70">
        <v>2</v>
      </c>
      <c r="B272" s="70" t="s">
        <v>117</v>
      </c>
      <c r="C272" s="75">
        <f>(39.173)*(10.764)</f>
        <v>421.65817199999998</v>
      </c>
      <c r="D272" s="118">
        <f>C272*1.2</f>
        <v>505.98980639999996</v>
      </c>
      <c r="E272" s="119"/>
      <c r="F272" s="70">
        <v>0</v>
      </c>
      <c r="G272" s="109">
        <f t="shared" si="12"/>
        <v>632.487258</v>
      </c>
      <c r="H272" s="69" t="s">
        <v>188</v>
      </c>
      <c r="I272" s="273"/>
      <c r="J272" s="274"/>
      <c r="L272" s="35"/>
    </row>
    <row r="273" spans="1:14" ht="14.5" customHeight="1" x14ac:dyDescent="0.3">
      <c r="A273" s="120" t="s">
        <v>288</v>
      </c>
      <c r="B273" s="121"/>
      <c r="C273" s="121"/>
      <c r="D273" s="121"/>
      <c r="E273" s="121"/>
      <c r="F273" s="121"/>
      <c r="G273" s="121"/>
      <c r="H273" s="121"/>
      <c r="I273" s="121"/>
      <c r="J273" s="122"/>
      <c r="L273" s="35"/>
    </row>
    <row r="274" spans="1:14" ht="14.5" customHeight="1" x14ac:dyDescent="0.3">
      <c r="A274" s="270" t="s">
        <v>263</v>
      </c>
      <c r="B274" s="271"/>
      <c r="C274" s="271"/>
      <c r="D274" s="271"/>
      <c r="E274" s="271"/>
      <c r="F274" s="271"/>
      <c r="G274" s="271"/>
      <c r="H274" s="271"/>
      <c r="I274" s="271"/>
      <c r="J274" s="272"/>
      <c r="L274" s="35">
        <f t="shared" ref="L274:L330" si="13">(G276-F276)/C276</f>
        <v>1.5000000000000002</v>
      </c>
    </row>
    <row r="275" spans="1:14" ht="14.5" customHeight="1" x14ac:dyDescent="0.3">
      <c r="A275" s="120" t="s">
        <v>287</v>
      </c>
      <c r="B275" s="121"/>
      <c r="C275" s="121"/>
      <c r="D275" s="121"/>
      <c r="E275" s="121"/>
      <c r="F275" s="121"/>
      <c r="G275" s="121"/>
      <c r="H275" s="121"/>
      <c r="I275" s="121"/>
      <c r="J275" s="122"/>
      <c r="L275" s="35">
        <f t="shared" si="13"/>
        <v>1.5000000000000002</v>
      </c>
    </row>
    <row r="276" spans="1:14" ht="14.5" customHeight="1" x14ac:dyDescent="0.35">
      <c r="A276" s="70">
        <v>1</v>
      </c>
      <c r="B276" s="54" t="s">
        <v>97</v>
      </c>
      <c r="C276" s="75">
        <f>(30.267)*(10.764)</f>
        <v>325.79398799999996</v>
      </c>
      <c r="D276" s="118">
        <f>C276*1.2</f>
        <v>390.95278559999991</v>
      </c>
      <c r="E276" s="119"/>
      <c r="F276" s="75">
        <f>(6.688)*(10.764)</f>
        <v>71.989631999999986</v>
      </c>
      <c r="G276" s="109">
        <f t="shared" ref="G276:G279" si="14">C276*1.5+F276</f>
        <v>560.68061399999999</v>
      </c>
      <c r="H276" s="53" t="s">
        <v>189</v>
      </c>
      <c r="I276" s="114" t="str">
        <f>A275</f>
        <v>1st &amp; 3rd Floor For Residential</v>
      </c>
      <c r="J276" s="115"/>
      <c r="L276" s="35">
        <f t="shared" si="13"/>
        <v>1.5000000000000002</v>
      </c>
    </row>
    <row r="277" spans="1:14" ht="14.5" customHeight="1" x14ac:dyDescent="0.35">
      <c r="A277" s="54">
        <v>2</v>
      </c>
      <c r="B277" s="54" t="s">
        <v>97</v>
      </c>
      <c r="C277" s="75">
        <f>(30.267)*(10.764)</f>
        <v>325.79398799999996</v>
      </c>
      <c r="D277" s="118">
        <f>C277*1.2</f>
        <v>390.95278559999991</v>
      </c>
      <c r="E277" s="119"/>
      <c r="F277" s="75">
        <f>(6.688)*(10.764)</f>
        <v>71.989631999999986</v>
      </c>
      <c r="G277" s="109">
        <f t="shared" si="14"/>
        <v>560.68061399999999</v>
      </c>
      <c r="H277" s="53" t="s">
        <v>189</v>
      </c>
      <c r="I277" s="273"/>
      <c r="J277" s="274"/>
      <c r="L277" s="35">
        <f t="shared" si="13"/>
        <v>1.5000000000000002</v>
      </c>
    </row>
    <row r="278" spans="1:14" ht="14.5" customHeight="1" x14ac:dyDescent="0.35">
      <c r="A278" s="54">
        <v>3</v>
      </c>
      <c r="B278" s="54" t="s">
        <v>97</v>
      </c>
      <c r="C278" s="75">
        <f>(30.268)*(10.764)</f>
        <v>325.80475200000001</v>
      </c>
      <c r="D278" s="118">
        <f>C278*1.2</f>
        <v>390.9657024</v>
      </c>
      <c r="E278" s="119"/>
      <c r="F278" s="75">
        <f>(6.688)*(10.764)</f>
        <v>71.989631999999986</v>
      </c>
      <c r="G278" s="109">
        <f t="shared" si="14"/>
        <v>560.69676000000004</v>
      </c>
      <c r="H278" s="53" t="s">
        <v>189</v>
      </c>
      <c r="I278" s="273"/>
      <c r="J278" s="274"/>
      <c r="K278" s="32">
        <v>2</v>
      </c>
      <c r="L278" s="35"/>
    </row>
    <row r="279" spans="1:14" ht="14.5" customHeight="1" x14ac:dyDescent="0.35">
      <c r="A279" s="54">
        <v>4</v>
      </c>
      <c r="B279" s="54" t="s">
        <v>97</v>
      </c>
      <c r="C279" s="75">
        <f>(30.268)*(10.764)</f>
        <v>325.80475200000001</v>
      </c>
      <c r="D279" s="118">
        <f>C279*1.2</f>
        <v>390.9657024</v>
      </c>
      <c r="E279" s="119"/>
      <c r="F279" s="75">
        <f>(6.688)*(10.764)</f>
        <v>71.989631999999986</v>
      </c>
      <c r="G279" s="109">
        <f t="shared" si="14"/>
        <v>560.69676000000004</v>
      </c>
      <c r="H279" s="53" t="s">
        <v>189</v>
      </c>
      <c r="I279" s="116"/>
      <c r="J279" s="117"/>
      <c r="L279" s="35">
        <f t="shared" si="13"/>
        <v>1.5000000000000002</v>
      </c>
    </row>
    <row r="280" spans="1:14" ht="14.5" customHeight="1" x14ac:dyDescent="0.3">
      <c r="A280" s="120" t="s">
        <v>261</v>
      </c>
      <c r="B280" s="121"/>
      <c r="C280" s="121"/>
      <c r="D280" s="121"/>
      <c r="E280" s="121"/>
      <c r="F280" s="121"/>
      <c r="G280" s="121"/>
      <c r="H280" s="121"/>
      <c r="I280" s="121"/>
      <c r="J280" s="122"/>
      <c r="L280" s="35">
        <f t="shared" si="13"/>
        <v>1.5</v>
      </c>
    </row>
    <row r="281" spans="1:14" ht="14.5" customHeight="1" x14ac:dyDescent="0.35">
      <c r="A281" s="54">
        <v>1</v>
      </c>
      <c r="B281" s="54" t="s">
        <v>97</v>
      </c>
      <c r="C281" s="75">
        <f>(30.102)*(10.764)</f>
        <v>324.01792799999998</v>
      </c>
      <c r="D281" s="118">
        <f>C281*1.2</f>
        <v>388.82151359999995</v>
      </c>
      <c r="E281" s="119"/>
      <c r="F281" s="83">
        <f>(3.85)*(10.764)</f>
        <v>41.441400000000002</v>
      </c>
      <c r="G281" s="109">
        <f t="shared" ref="G281:G284" si="15">C281*1.5+F281</f>
        <v>527.46829200000002</v>
      </c>
      <c r="H281" s="53" t="s">
        <v>189</v>
      </c>
      <c r="I281" s="114" t="str">
        <f>A280</f>
        <v>2nd &amp; 4th Floor</v>
      </c>
      <c r="J281" s="115"/>
      <c r="L281" s="35">
        <f t="shared" si="13"/>
        <v>1.5</v>
      </c>
    </row>
    <row r="282" spans="1:14" ht="14.5" customHeight="1" x14ac:dyDescent="0.35">
      <c r="A282" s="54">
        <v>2</v>
      </c>
      <c r="B282" s="54" t="s">
        <v>97</v>
      </c>
      <c r="C282" s="75">
        <f>(30.267)*(10.764)</f>
        <v>325.79398799999996</v>
      </c>
      <c r="D282" s="118">
        <f>C282*1.2</f>
        <v>390.95278559999991</v>
      </c>
      <c r="E282" s="119"/>
      <c r="F282" s="83">
        <f>(6.875)*(10.764)</f>
        <v>74.002499999999998</v>
      </c>
      <c r="G282" s="109">
        <f t="shared" si="15"/>
        <v>562.6934819999999</v>
      </c>
      <c r="H282" s="53" t="s">
        <v>189</v>
      </c>
      <c r="I282" s="273"/>
      <c r="J282" s="274"/>
      <c r="L282" s="35">
        <f t="shared" si="13"/>
        <v>1.5000000000000002</v>
      </c>
    </row>
    <row r="283" spans="1:14" ht="14.5" customHeight="1" x14ac:dyDescent="0.35">
      <c r="A283" s="54">
        <v>3</v>
      </c>
      <c r="B283" s="54" t="s">
        <v>97</v>
      </c>
      <c r="C283" s="75">
        <f>(30.267)*(10.764)</f>
        <v>325.79398799999996</v>
      </c>
      <c r="D283" s="118">
        <f>C283*1.2</f>
        <v>390.95278559999991</v>
      </c>
      <c r="E283" s="119"/>
      <c r="F283" s="83">
        <f>(6.875)*(10.764)</f>
        <v>74.002499999999998</v>
      </c>
      <c r="G283" s="109">
        <f t="shared" si="15"/>
        <v>562.6934819999999</v>
      </c>
      <c r="H283" s="53" t="s">
        <v>189</v>
      </c>
      <c r="I283" s="273"/>
      <c r="J283" s="274"/>
      <c r="K283" s="32">
        <v>1</v>
      </c>
      <c r="L283" s="35"/>
    </row>
    <row r="284" spans="1:14" ht="14.5" customHeight="1" x14ac:dyDescent="0.35">
      <c r="A284" s="54">
        <v>4</v>
      </c>
      <c r="B284" s="54" t="s">
        <v>97</v>
      </c>
      <c r="C284" s="75">
        <f>(30.102)*(10.764)</f>
        <v>324.01792799999998</v>
      </c>
      <c r="D284" s="118">
        <f>C284*1.2</f>
        <v>388.82151359999995</v>
      </c>
      <c r="E284" s="119"/>
      <c r="F284" s="83">
        <f>(3.85)*(10.764)</f>
        <v>41.441400000000002</v>
      </c>
      <c r="G284" s="109">
        <f t="shared" si="15"/>
        <v>527.46829200000002</v>
      </c>
      <c r="H284" s="53" t="s">
        <v>189</v>
      </c>
      <c r="I284" s="116"/>
      <c r="J284" s="117"/>
      <c r="L284" s="35">
        <f>4*6</f>
        <v>24</v>
      </c>
    </row>
    <row r="285" spans="1:14" ht="14.5" customHeight="1" x14ac:dyDescent="0.3">
      <c r="A285" s="120" t="s">
        <v>262</v>
      </c>
      <c r="B285" s="121"/>
      <c r="C285" s="121"/>
      <c r="D285" s="121"/>
      <c r="E285" s="121"/>
      <c r="F285" s="121"/>
      <c r="G285" s="121"/>
      <c r="H285" s="121"/>
      <c r="I285" s="121"/>
      <c r="J285" s="122"/>
      <c r="L285" s="35">
        <f t="shared" si="13"/>
        <v>1.5000000000000002</v>
      </c>
    </row>
    <row r="286" spans="1:14" ht="14.5" customHeight="1" x14ac:dyDescent="0.35">
      <c r="A286" s="54">
        <v>1</v>
      </c>
      <c r="B286" s="54" t="s">
        <v>97</v>
      </c>
      <c r="C286" s="75">
        <f>(30.268)*(10.764)</f>
        <v>325.80475200000001</v>
      </c>
      <c r="D286" s="118">
        <f>C286*1.2</f>
        <v>390.9657024</v>
      </c>
      <c r="E286" s="119"/>
      <c r="F286" s="75">
        <f>(6.688)*(10.764)</f>
        <v>71.989631999999986</v>
      </c>
      <c r="G286" s="109">
        <f t="shared" ref="G286:G289" si="16">C286*1.5+F286</f>
        <v>560.69676000000004</v>
      </c>
      <c r="H286" s="53" t="s">
        <v>188</v>
      </c>
      <c r="I286" s="114" t="str">
        <f>A285</f>
        <v>5th Floor</v>
      </c>
      <c r="J286" s="115"/>
      <c r="L286" s="35">
        <f t="shared" si="13"/>
        <v>1.5</v>
      </c>
      <c r="N286" s="32">
        <f>C272*1.79+F272</f>
        <v>754.76812787999995</v>
      </c>
    </row>
    <row r="287" spans="1:14" ht="14.5" customHeight="1" x14ac:dyDescent="0.35">
      <c r="A287" s="54">
        <v>2</v>
      </c>
      <c r="B287" s="54" t="s">
        <v>97</v>
      </c>
      <c r="C287" s="75">
        <f>(30.268)*(10.764)</f>
        <v>325.80475200000001</v>
      </c>
      <c r="D287" s="118">
        <f>C287*1.2</f>
        <v>390.9657024</v>
      </c>
      <c r="E287" s="119"/>
      <c r="F287" s="75">
        <f>(6.688)*(10.764)</f>
        <v>71.989631999999986</v>
      </c>
      <c r="G287" s="109">
        <f t="shared" si="16"/>
        <v>560.69676000000004</v>
      </c>
      <c r="H287" s="69" t="s">
        <v>188</v>
      </c>
      <c r="I287" s="273"/>
      <c r="J287" s="274"/>
      <c r="L287" s="35">
        <f t="shared" si="13"/>
        <v>1.5</v>
      </c>
    </row>
    <row r="288" spans="1:14" ht="14.5" customHeight="1" x14ac:dyDescent="0.35">
      <c r="A288" s="54">
        <v>3</v>
      </c>
      <c r="B288" s="54" t="s">
        <v>97</v>
      </c>
      <c r="C288" s="75">
        <f>(29.503)*(10.764)</f>
        <v>317.57029199999999</v>
      </c>
      <c r="D288" s="118">
        <f>C288*1.2</f>
        <v>381.08435040000001</v>
      </c>
      <c r="E288" s="119"/>
      <c r="F288" s="70">
        <v>0</v>
      </c>
      <c r="G288" s="109">
        <f t="shared" si="16"/>
        <v>476.35543799999999</v>
      </c>
      <c r="H288" s="69" t="s">
        <v>188</v>
      </c>
      <c r="I288" s="273"/>
      <c r="J288" s="274"/>
      <c r="K288" s="32">
        <v>1</v>
      </c>
      <c r="L288" s="35"/>
    </row>
    <row r="289" spans="1:14" ht="14.5" customHeight="1" x14ac:dyDescent="0.35">
      <c r="A289" s="54">
        <v>4</v>
      </c>
      <c r="B289" s="54" t="s">
        <v>97</v>
      </c>
      <c r="C289" s="75">
        <f>(29.503)*(10.764)</f>
        <v>317.57029199999999</v>
      </c>
      <c r="D289" s="118">
        <f>C289*1.2</f>
        <v>381.08435040000001</v>
      </c>
      <c r="E289" s="119"/>
      <c r="F289" s="70">
        <v>0</v>
      </c>
      <c r="G289" s="109">
        <f t="shared" si="16"/>
        <v>476.35543799999999</v>
      </c>
      <c r="H289" s="69" t="s">
        <v>188</v>
      </c>
      <c r="I289" s="116"/>
      <c r="J289" s="117"/>
      <c r="L289" s="35">
        <f t="shared" ref="L289:L292" si="17">(G291-F291)/C291</f>
        <v>1.5000000000000002</v>
      </c>
      <c r="N289" s="74">
        <f>10.764</f>
        <v>10.763999999999999</v>
      </c>
    </row>
    <row r="290" spans="1:14" ht="14.5" customHeight="1" x14ac:dyDescent="0.3">
      <c r="A290" s="120" t="s">
        <v>260</v>
      </c>
      <c r="B290" s="121"/>
      <c r="C290" s="121"/>
      <c r="D290" s="121"/>
      <c r="E290" s="121"/>
      <c r="F290" s="121"/>
      <c r="G290" s="121"/>
      <c r="H290" s="121"/>
      <c r="I290" s="121"/>
      <c r="J290" s="122"/>
      <c r="L290" s="35">
        <f t="shared" si="17"/>
        <v>1.5</v>
      </c>
    </row>
    <row r="291" spans="1:14" ht="14.5" customHeight="1" x14ac:dyDescent="0.35">
      <c r="A291" s="70">
        <v>1</v>
      </c>
      <c r="B291" s="70" t="s">
        <v>97</v>
      </c>
      <c r="C291" s="75">
        <f>(30.102)*(10.764)</f>
        <v>324.01792799999998</v>
      </c>
      <c r="D291" s="118">
        <f>C291*1.2</f>
        <v>388.82151359999995</v>
      </c>
      <c r="E291" s="119"/>
      <c r="F291" s="75">
        <f>(3.85)*(10.764)</f>
        <v>41.441400000000002</v>
      </c>
      <c r="G291" s="109">
        <f t="shared" ref="G291:G294" si="18">C291*1.5+F291</f>
        <v>527.46829200000002</v>
      </c>
      <c r="H291" s="69" t="s">
        <v>188</v>
      </c>
      <c r="I291" s="114" t="str">
        <f>A290</f>
        <v>6th Floor</v>
      </c>
      <c r="J291" s="115"/>
      <c r="L291" s="35">
        <f t="shared" si="17"/>
        <v>1.5</v>
      </c>
    </row>
    <row r="292" spans="1:14" ht="14.5" customHeight="1" x14ac:dyDescent="0.35">
      <c r="A292" s="70">
        <v>2</v>
      </c>
      <c r="B292" s="70" t="s">
        <v>97</v>
      </c>
      <c r="C292" s="75">
        <f>(30.267)*(10.764)</f>
        <v>325.79398799999996</v>
      </c>
      <c r="D292" s="118">
        <f>C292*1.2</f>
        <v>390.95278559999991</v>
      </c>
      <c r="E292" s="119"/>
      <c r="F292" s="75">
        <f>(6.875)*(10.764)</f>
        <v>74.002499999999998</v>
      </c>
      <c r="G292" s="109">
        <f t="shared" si="18"/>
        <v>562.6934819999999</v>
      </c>
      <c r="H292" s="69" t="s">
        <v>188</v>
      </c>
      <c r="I292" s="273"/>
      <c r="J292" s="274"/>
      <c r="L292" s="35">
        <f t="shared" si="17"/>
        <v>1.5</v>
      </c>
    </row>
    <row r="293" spans="1:14" ht="14.5" customHeight="1" x14ac:dyDescent="0.35">
      <c r="A293" s="70">
        <v>3</v>
      </c>
      <c r="B293" s="70" t="s">
        <v>97</v>
      </c>
      <c r="C293" s="75">
        <f>(29.503)*(10.764)</f>
        <v>317.57029199999999</v>
      </c>
      <c r="D293" s="118">
        <f>C293*1.2</f>
        <v>381.08435040000001</v>
      </c>
      <c r="E293" s="119"/>
      <c r="F293" s="70">
        <v>0</v>
      </c>
      <c r="G293" s="109">
        <f t="shared" si="18"/>
        <v>476.35543799999999</v>
      </c>
      <c r="H293" s="69" t="s">
        <v>188</v>
      </c>
      <c r="I293" s="273"/>
      <c r="J293" s="274"/>
      <c r="L293" s="35"/>
    </row>
    <row r="294" spans="1:14" ht="14.5" customHeight="1" x14ac:dyDescent="0.35">
      <c r="A294" s="70">
        <v>4</v>
      </c>
      <c r="B294" s="70" t="s">
        <v>97</v>
      </c>
      <c r="C294" s="75">
        <f>(29.503)*(10.764)</f>
        <v>317.57029199999999</v>
      </c>
      <c r="D294" s="118">
        <f>C294*1.2</f>
        <v>381.08435040000001</v>
      </c>
      <c r="E294" s="119"/>
      <c r="F294" s="75">
        <f>(3.85)*(10.764)</f>
        <v>41.441400000000002</v>
      </c>
      <c r="G294" s="109">
        <f t="shared" si="18"/>
        <v>517.79683799999998</v>
      </c>
      <c r="H294" s="69" t="s">
        <v>188</v>
      </c>
      <c r="I294" s="116"/>
      <c r="J294" s="117"/>
      <c r="L294" s="35"/>
    </row>
    <row r="295" spans="1:14" ht="14.5" customHeight="1" x14ac:dyDescent="0.3">
      <c r="A295" s="275" t="s">
        <v>174</v>
      </c>
      <c r="B295" s="276"/>
      <c r="C295" s="276"/>
      <c r="D295" s="276"/>
      <c r="E295" s="276"/>
      <c r="F295" s="276"/>
      <c r="G295" s="276"/>
      <c r="H295" s="276"/>
      <c r="I295" s="276"/>
      <c r="J295" s="277"/>
      <c r="L295" s="35"/>
    </row>
    <row r="296" spans="1:14" ht="15" x14ac:dyDescent="0.3">
      <c r="A296" s="120" t="s">
        <v>286</v>
      </c>
      <c r="B296" s="121"/>
      <c r="C296" s="121"/>
      <c r="D296" s="121"/>
      <c r="E296" s="121"/>
      <c r="F296" s="121"/>
      <c r="G296" s="121"/>
      <c r="H296" s="121"/>
      <c r="I296" s="121"/>
      <c r="J296" s="122"/>
      <c r="L296" s="35">
        <f t="shared" si="13"/>
        <v>1.5</v>
      </c>
    </row>
    <row r="297" spans="1:14" ht="15" x14ac:dyDescent="0.3">
      <c r="A297" s="270" t="s">
        <v>264</v>
      </c>
      <c r="B297" s="271"/>
      <c r="C297" s="271"/>
      <c r="D297" s="271"/>
      <c r="E297" s="271"/>
      <c r="F297" s="271"/>
      <c r="G297" s="271"/>
      <c r="H297" s="271"/>
      <c r="I297" s="271"/>
      <c r="J297" s="272"/>
      <c r="L297" s="35">
        <f t="shared" si="13"/>
        <v>1.5</v>
      </c>
    </row>
    <row r="298" spans="1:14" ht="14.5" customHeight="1" x14ac:dyDescent="0.3">
      <c r="A298" s="54">
        <v>1</v>
      </c>
      <c r="B298" s="54" t="s">
        <v>97</v>
      </c>
      <c r="C298" s="54">
        <f>(29.503)*10.764</f>
        <v>317.57029199999999</v>
      </c>
      <c r="D298" s="118">
        <f>C298*1.2</f>
        <v>381.08435040000001</v>
      </c>
      <c r="E298" s="119"/>
      <c r="F298" s="54">
        <v>0</v>
      </c>
      <c r="G298" s="109">
        <f t="shared" ref="G298:G299" si="19">C298*1.5+F298</f>
        <v>476.35543799999999</v>
      </c>
      <c r="H298" s="53" t="s">
        <v>189</v>
      </c>
      <c r="I298" s="114" t="s">
        <v>187</v>
      </c>
      <c r="J298" s="115"/>
      <c r="L298" s="35"/>
    </row>
    <row r="299" spans="1:14" ht="14.5" customHeight="1" x14ac:dyDescent="0.3">
      <c r="A299" s="54">
        <v>2</v>
      </c>
      <c r="B299" s="54" t="s">
        <v>97</v>
      </c>
      <c r="C299" s="70">
        <f>(29.503)*10.764</f>
        <v>317.57029199999999</v>
      </c>
      <c r="D299" s="118">
        <f>C299*1.2</f>
        <v>381.08435040000001</v>
      </c>
      <c r="E299" s="119"/>
      <c r="F299" s="54">
        <v>0</v>
      </c>
      <c r="G299" s="109">
        <f t="shared" si="19"/>
        <v>476.35543799999999</v>
      </c>
      <c r="H299" s="53" t="s">
        <v>189</v>
      </c>
      <c r="I299" s="116"/>
      <c r="J299" s="117"/>
      <c r="L299" s="35">
        <f t="shared" si="13"/>
        <v>1.5</v>
      </c>
    </row>
    <row r="300" spans="1:14" ht="14.5" customHeight="1" x14ac:dyDescent="0.3">
      <c r="A300" s="120" t="s">
        <v>173</v>
      </c>
      <c r="B300" s="121"/>
      <c r="C300" s="121"/>
      <c r="D300" s="121"/>
      <c r="E300" s="121"/>
      <c r="F300" s="121"/>
      <c r="G300" s="121"/>
      <c r="H300" s="121"/>
      <c r="I300" s="121"/>
      <c r="J300" s="122"/>
      <c r="L300" s="35">
        <f t="shared" si="13"/>
        <v>1.5000000000000002</v>
      </c>
    </row>
    <row r="301" spans="1:14" ht="14.5" customHeight="1" x14ac:dyDescent="0.35">
      <c r="A301" s="54">
        <v>1</v>
      </c>
      <c r="B301" s="54" t="s">
        <v>97</v>
      </c>
      <c r="C301" s="75">
        <f>(30.268)*(10.764)</f>
        <v>325.80475200000001</v>
      </c>
      <c r="D301" s="118">
        <f>C301*1.2</f>
        <v>390.9657024</v>
      </c>
      <c r="E301" s="119"/>
      <c r="F301" s="75">
        <f>(6.627)*(10.764)</f>
        <v>71.333027999999999</v>
      </c>
      <c r="G301" s="109">
        <f t="shared" ref="G301:G304" si="20">C301*1.5+F301</f>
        <v>560.04015600000002</v>
      </c>
      <c r="H301" s="53" t="s">
        <v>189</v>
      </c>
      <c r="I301" s="114" t="str">
        <f>A300</f>
        <v>1st &amp; 3rd Floor</v>
      </c>
      <c r="J301" s="115"/>
      <c r="L301" s="35">
        <f t="shared" si="13"/>
        <v>1.5000000000000002</v>
      </c>
    </row>
    <row r="302" spans="1:14" ht="14.5" customHeight="1" x14ac:dyDescent="0.35">
      <c r="A302" s="54">
        <v>2</v>
      </c>
      <c r="B302" s="54" t="s">
        <v>97</v>
      </c>
      <c r="C302" s="75">
        <f>(30.268)*(10.764)</f>
        <v>325.80475200000001</v>
      </c>
      <c r="D302" s="118">
        <f>C302*1.2</f>
        <v>390.9657024</v>
      </c>
      <c r="E302" s="119"/>
      <c r="F302" s="75">
        <f>(6.875)*(10.764)</f>
        <v>74.002499999999998</v>
      </c>
      <c r="G302" s="109">
        <f t="shared" si="20"/>
        <v>562.70962800000007</v>
      </c>
      <c r="H302" s="53" t="s">
        <v>189</v>
      </c>
      <c r="I302" s="273"/>
      <c r="J302" s="274"/>
      <c r="L302" s="35">
        <f t="shared" si="13"/>
        <v>1.5</v>
      </c>
    </row>
    <row r="303" spans="1:14" ht="14.5" customHeight="1" x14ac:dyDescent="0.35">
      <c r="A303" s="54">
        <v>3</v>
      </c>
      <c r="B303" s="54" t="s">
        <v>97</v>
      </c>
      <c r="C303" s="75">
        <f>(30.268)*(10.764)</f>
        <v>325.80475200000001</v>
      </c>
      <c r="D303" s="118">
        <f>C303*1.2</f>
        <v>390.9657024</v>
      </c>
      <c r="E303" s="119"/>
      <c r="F303" s="75">
        <f>(6.875)*(10.764)</f>
        <v>74.002499999999998</v>
      </c>
      <c r="G303" s="109">
        <f t="shared" si="20"/>
        <v>562.70962800000007</v>
      </c>
      <c r="H303" s="53" t="s">
        <v>189</v>
      </c>
      <c r="I303" s="273"/>
      <c r="J303" s="274"/>
      <c r="L303" s="35"/>
    </row>
    <row r="304" spans="1:14" ht="14.5" customHeight="1" x14ac:dyDescent="0.35">
      <c r="A304" s="54">
        <v>4</v>
      </c>
      <c r="B304" s="54" t="s">
        <v>97</v>
      </c>
      <c r="C304" s="75">
        <f>(30.268)*(10.764)</f>
        <v>325.80475200000001</v>
      </c>
      <c r="D304" s="118">
        <f>C304*1.2</f>
        <v>390.9657024</v>
      </c>
      <c r="E304" s="119"/>
      <c r="F304" s="75">
        <f>(6.627)*(10.764)</f>
        <v>71.333027999999999</v>
      </c>
      <c r="G304" s="109">
        <f t="shared" si="20"/>
        <v>560.04015600000002</v>
      </c>
      <c r="H304" s="53" t="s">
        <v>189</v>
      </c>
      <c r="I304" s="116"/>
      <c r="J304" s="117"/>
      <c r="L304" s="35">
        <f>4*4+2</f>
        <v>18</v>
      </c>
    </row>
    <row r="305" spans="1:14" ht="14.5" customHeight="1" x14ac:dyDescent="0.3">
      <c r="A305" s="120" t="s">
        <v>261</v>
      </c>
      <c r="B305" s="121"/>
      <c r="C305" s="121"/>
      <c r="D305" s="121"/>
      <c r="E305" s="121"/>
      <c r="F305" s="121"/>
      <c r="G305" s="121"/>
      <c r="H305" s="121"/>
      <c r="I305" s="121"/>
      <c r="J305" s="122"/>
      <c r="L305" s="35">
        <f t="shared" si="13"/>
        <v>1.5000000000000002</v>
      </c>
    </row>
    <row r="306" spans="1:14" ht="14.5" customHeight="1" x14ac:dyDescent="0.35">
      <c r="A306" s="54">
        <v>1</v>
      </c>
      <c r="B306" s="54" t="s">
        <v>97</v>
      </c>
      <c r="C306" s="75">
        <f>(30.268)*(10.764)</f>
        <v>325.80475200000001</v>
      </c>
      <c r="D306" s="118">
        <f>C306*1.2</f>
        <v>390.9657024</v>
      </c>
      <c r="E306" s="119"/>
      <c r="F306" s="75">
        <f>6.687*(10.764)</f>
        <v>71.978868000000006</v>
      </c>
      <c r="G306" s="109">
        <f t="shared" ref="G306:G309" si="21">C306*1.5+F306</f>
        <v>560.68599600000005</v>
      </c>
      <c r="H306" s="53" t="s">
        <v>189</v>
      </c>
      <c r="I306" s="114" t="str">
        <f>A305</f>
        <v>2nd &amp; 4th Floor</v>
      </c>
      <c r="J306" s="115"/>
      <c r="L306" s="35">
        <f t="shared" si="13"/>
        <v>1.5000000000000002</v>
      </c>
      <c r="N306" s="36">
        <f>2800000/G308</f>
        <v>4975.9233904560087</v>
      </c>
    </row>
    <row r="307" spans="1:14" ht="14.5" customHeight="1" x14ac:dyDescent="0.35">
      <c r="A307" s="54">
        <v>2</v>
      </c>
      <c r="B307" s="54" t="s">
        <v>97</v>
      </c>
      <c r="C307" s="75">
        <f>(30.268)*(10.764)</f>
        <v>325.80475200000001</v>
      </c>
      <c r="D307" s="118">
        <f>C307*1.2</f>
        <v>390.9657024</v>
      </c>
      <c r="E307" s="119"/>
      <c r="F307" s="75">
        <f>(6.688)*(10.764)</f>
        <v>71.989631999999986</v>
      </c>
      <c r="G307" s="109">
        <f t="shared" si="21"/>
        <v>560.69676000000004</v>
      </c>
      <c r="H307" s="53" t="s">
        <v>189</v>
      </c>
      <c r="I307" s="273"/>
      <c r="J307" s="274"/>
      <c r="L307" s="35">
        <f t="shared" si="13"/>
        <v>1.5000000000000002</v>
      </c>
    </row>
    <row r="308" spans="1:14" ht="14.5" customHeight="1" x14ac:dyDescent="0.35">
      <c r="A308" s="54">
        <v>3</v>
      </c>
      <c r="B308" s="54" t="s">
        <v>97</v>
      </c>
      <c r="C308" s="75">
        <f>(30.268)*(10.764)</f>
        <v>325.80475200000001</v>
      </c>
      <c r="D308" s="118">
        <f>C308*1.2</f>
        <v>390.9657024</v>
      </c>
      <c r="E308" s="119"/>
      <c r="F308" s="75">
        <f>(6.875)*(10.764)</f>
        <v>74.002499999999998</v>
      </c>
      <c r="G308" s="109">
        <f t="shared" si="21"/>
        <v>562.70962800000007</v>
      </c>
      <c r="H308" s="53" t="s">
        <v>189</v>
      </c>
      <c r="I308" s="273"/>
      <c r="J308" s="274"/>
      <c r="L308" s="35"/>
    </row>
    <row r="309" spans="1:14" ht="14.5" customHeight="1" x14ac:dyDescent="0.35">
      <c r="A309" s="54">
        <v>4</v>
      </c>
      <c r="B309" s="54" t="s">
        <v>97</v>
      </c>
      <c r="C309" s="75">
        <f>(30.268)*(10.764)</f>
        <v>325.80475200000001</v>
      </c>
      <c r="D309" s="118">
        <f>C309*1.2</f>
        <v>390.9657024</v>
      </c>
      <c r="E309" s="119"/>
      <c r="F309" s="75">
        <f>(6.875)*(10.764)</f>
        <v>74.002499999999998</v>
      </c>
      <c r="G309" s="109">
        <f t="shared" si="21"/>
        <v>562.70962800000007</v>
      </c>
      <c r="H309" s="53" t="s">
        <v>189</v>
      </c>
      <c r="I309" s="116"/>
      <c r="J309" s="117"/>
      <c r="L309" s="35"/>
    </row>
    <row r="310" spans="1:14" ht="15" x14ac:dyDescent="0.3">
      <c r="A310" s="120" t="s">
        <v>290</v>
      </c>
      <c r="B310" s="121"/>
      <c r="C310" s="121"/>
      <c r="D310" s="121"/>
      <c r="E310" s="121"/>
      <c r="F310" s="121"/>
      <c r="G310" s="121"/>
      <c r="H310" s="121"/>
      <c r="I310" s="121"/>
      <c r="J310" s="122"/>
      <c r="L310" s="35">
        <f t="shared" si="13"/>
        <v>1.5</v>
      </c>
    </row>
    <row r="311" spans="1:14" ht="15" x14ac:dyDescent="0.3">
      <c r="A311" s="120" t="s">
        <v>265</v>
      </c>
      <c r="B311" s="121"/>
      <c r="C311" s="121"/>
      <c r="D311" s="121"/>
      <c r="E311" s="121"/>
      <c r="F311" s="121"/>
      <c r="G311" s="121"/>
      <c r="H311" s="121"/>
      <c r="I311" s="121"/>
      <c r="J311" s="122"/>
      <c r="L311" s="35">
        <f t="shared" si="13"/>
        <v>1.5</v>
      </c>
    </row>
    <row r="312" spans="1:14" ht="14.5" customHeight="1" x14ac:dyDescent="0.3">
      <c r="A312" s="54">
        <v>1</v>
      </c>
      <c r="B312" s="54" t="s">
        <v>97</v>
      </c>
      <c r="C312" s="54">
        <f>(29.503)*10.764</f>
        <v>317.57029199999999</v>
      </c>
      <c r="D312" s="118">
        <f>C312*1.2</f>
        <v>381.08435040000001</v>
      </c>
      <c r="E312" s="119"/>
      <c r="F312" s="54">
        <v>0</v>
      </c>
      <c r="G312" s="109">
        <f t="shared" ref="G312:G313" si="22">C312*1.5+F312</f>
        <v>476.35543799999999</v>
      </c>
      <c r="H312" s="53" t="s">
        <v>189</v>
      </c>
      <c r="I312" s="114" t="s">
        <v>187</v>
      </c>
      <c r="J312" s="115"/>
      <c r="K312" s="32">
        <v>2</v>
      </c>
      <c r="L312" s="35"/>
    </row>
    <row r="313" spans="1:14" ht="14.5" customHeight="1" x14ac:dyDescent="0.3">
      <c r="A313" s="54">
        <v>2</v>
      </c>
      <c r="B313" s="54" t="s">
        <v>97</v>
      </c>
      <c r="C313" s="70">
        <f>(29.503)*10.764</f>
        <v>317.57029199999999</v>
      </c>
      <c r="D313" s="118">
        <f>C313*1.2</f>
        <v>381.08435040000001</v>
      </c>
      <c r="E313" s="119"/>
      <c r="F313" s="54">
        <v>0</v>
      </c>
      <c r="G313" s="109">
        <f t="shared" si="22"/>
        <v>476.35543799999999</v>
      </c>
      <c r="H313" s="53" t="s">
        <v>189</v>
      </c>
      <c r="I313" s="116"/>
      <c r="J313" s="117"/>
      <c r="L313" s="35">
        <f t="shared" si="13"/>
        <v>1.5</v>
      </c>
    </row>
    <row r="314" spans="1:14" ht="14.5" customHeight="1" x14ac:dyDescent="0.3">
      <c r="A314" s="120" t="s">
        <v>173</v>
      </c>
      <c r="B314" s="121"/>
      <c r="C314" s="121"/>
      <c r="D314" s="121"/>
      <c r="E314" s="121"/>
      <c r="F314" s="121"/>
      <c r="G314" s="121"/>
      <c r="H314" s="121"/>
      <c r="I314" s="121"/>
      <c r="J314" s="122"/>
      <c r="L314" s="35">
        <f t="shared" si="13"/>
        <v>1.5000000000000002</v>
      </c>
    </row>
    <row r="315" spans="1:14" ht="14.5" customHeight="1" x14ac:dyDescent="0.35">
      <c r="A315" s="54">
        <v>1</v>
      </c>
      <c r="B315" s="54" t="s">
        <v>97</v>
      </c>
      <c r="C315" s="75">
        <f>(30.268)*(10.764)</f>
        <v>325.80475200000001</v>
      </c>
      <c r="D315" s="118">
        <f>C315*1.2</f>
        <v>390.9657024</v>
      </c>
      <c r="E315" s="119"/>
      <c r="F315" s="75">
        <f>(6.627)*(10.764)</f>
        <v>71.333027999999999</v>
      </c>
      <c r="G315" s="109">
        <f t="shared" ref="G315:G318" si="23">C315*1.5+F315</f>
        <v>560.04015600000002</v>
      </c>
      <c r="H315" s="53" t="s">
        <v>189</v>
      </c>
      <c r="I315" s="114" t="str">
        <f>A314</f>
        <v>1st &amp; 3rd Floor</v>
      </c>
      <c r="J315" s="115"/>
      <c r="L315" s="35">
        <f t="shared" si="13"/>
        <v>1.5000000000000002</v>
      </c>
    </row>
    <row r="316" spans="1:14" ht="14.5" customHeight="1" x14ac:dyDescent="0.35">
      <c r="A316" s="54">
        <v>2</v>
      </c>
      <c r="B316" s="54" t="s">
        <v>97</v>
      </c>
      <c r="C316" s="75">
        <f>(30.268)*(10.764)</f>
        <v>325.80475200000001</v>
      </c>
      <c r="D316" s="118">
        <f>C316*1.2</f>
        <v>390.9657024</v>
      </c>
      <c r="E316" s="119"/>
      <c r="F316" s="75">
        <f>(6.875)*(10.764)</f>
        <v>74.002499999999998</v>
      </c>
      <c r="G316" s="109">
        <f t="shared" si="23"/>
        <v>562.70962800000007</v>
      </c>
      <c r="H316" s="53" t="s">
        <v>189</v>
      </c>
      <c r="I316" s="273"/>
      <c r="J316" s="274"/>
      <c r="L316" s="35">
        <f t="shared" si="13"/>
        <v>1.5</v>
      </c>
    </row>
    <row r="317" spans="1:14" ht="14.5" customHeight="1" x14ac:dyDescent="0.35">
      <c r="A317" s="54">
        <v>3</v>
      </c>
      <c r="B317" s="54" t="s">
        <v>97</v>
      </c>
      <c r="C317" s="75">
        <f>(30.268)*(10.764)</f>
        <v>325.80475200000001</v>
      </c>
      <c r="D317" s="118">
        <f>C317*1.2</f>
        <v>390.9657024</v>
      </c>
      <c r="E317" s="119"/>
      <c r="F317" s="75">
        <f>(6.875)*(10.764)</f>
        <v>74.002499999999998</v>
      </c>
      <c r="G317" s="109">
        <f t="shared" si="23"/>
        <v>562.70962800000007</v>
      </c>
      <c r="H317" s="53" t="s">
        <v>189</v>
      </c>
      <c r="I317" s="273"/>
      <c r="J317" s="274"/>
      <c r="K317" s="32">
        <v>2</v>
      </c>
      <c r="L317" s="35"/>
    </row>
    <row r="318" spans="1:14" ht="14.5" customHeight="1" x14ac:dyDescent="0.35">
      <c r="A318" s="54">
        <v>4</v>
      </c>
      <c r="B318" s="54" t="s">
        <v>97</v>
      </c>
      <c r="C318" s="75">
        <f>(30.268)*(10.764)</f>
        <v>325.80475200000001</v>
      </c>
      <c r="D318" s="118">
        <f>C318*1.2</f>
        <v>390.9657024</v>
      </c>
      <c r="E318" s="119"/>
      <c r="F318" s="75">
        <f>(6.627)*(10.764)</f>
        <v>71.333027999999999</v>
      </c>
      <c r="G318" s="109">
        <f t="shared" si="23"/>
        <v>560.04015600000002</v>
      </c>
      <c r="H318" s="53" t="s">
        <v>189</v>
      </c>
      <c r="I318" s="116"/>
      <c r="J318" s="117"/>
      <c r="L318" s="35">
        <f t="shared" si="13"/>
        <v>1.5</v>
      </c>
    </row>
    <row r="319" spans="1:14" ht="14.5" customHeight="1" x14ac:dyDescent="0.3">
      <c r="A319" s="120" t="s">
        <v>261</v>
      </c>
      <c r="B319" s="121"/>
      <c r="C319" s="121"/>
      <c r="D319" s="121"/>
      <c r="E319" s="121"/>
      <c r="F319" s="121"/>
      <c r="G319" s="121"/>
      <c r="H319" s="121"/>
      <c r="I319" s="121"/>
      <c r="J319" s="122"/>
      <c r="L319" s="35">
        <f t="shared" si="13"/>
        <v>1.5000000000000002</v>
      </c>
    </row>
    <row r="320" spans="1:14" ht="14.5" customHeight="1" x14ac:dyDescent="0.35">
      <c r="A320" s="54">
        <v>1</v>
      </c>
      <c r="B320" s="54" t="s">
        <v>97</v>
      </c>
      <c r="C320" s="75">
        <f>(30.268)*(10.764)</f>
        <v>325.80475200000001</v>
      </c>
      <c r="D320" s="118">
        <f>C320*1.2</f>
        <v>390.9657024</v>
      </c>
      <c r="E320" s="119"/>
      <c r="F320" s="75">
        <f>(6.627)*(10.764)</f>
        <v>71.333027999999999</v>
      </c>
      <c r="G320" s="109">
        <f t="shared" ref="G320:G323" si="24">C320*1.5+F320</f>
        <v>560.04015600000002</v>
      </c>
      <c r="H320" s="53" t="s">
        <v>189</v>
      </c>
      <c r="I320" s="114" t="str">
        <f>A319</f>
        <v>2nd &amp; 4th Floor</v>
      </c>
      <c r="J320" s="115"/>
      <c r="L320" s="35">
        <f t="shared" si="13"/>
        <v>1.5000000000000002</v>
      </c>
    </row>
    <row r="321" spans="1:15" ht="14.5" customHeight="1" x14ac:dyDescent="0.35">
      <c r="A321" s="54">
        <v>2</v>
      </c>
      <c r="B321" s="54" t="s">
        <v>97</v>
      </c>
      <c r="C321" s="75">
        <f>(30.268)*(10.764)</f>
        <v>325.80475200000001</v>
      </c>
      <c r="D321" s="118">
        <f>C321*1.2</f>
        <v>390.9657024</v>
      </c>
      <c r="E321" s="119"/>
      <c r="F321" s="75">
        <f>(6.875)*(10.764)</f>
        <v>74.002499999999998</v>
      </c>
      <c r="G321" s="109">
        <f t="shared" si="24"/>
        <v>562.70962800000007</v>
      </c>
      <c r="H321" s="53" t="s">
        <v>189</v>
      </c>
      <c r="I321" s="273"/>
      <c r="J321" s="274"/>
      <c r="L321" s="35">
        <f t="shared" si="13"/>
        <v>1.5</v>
      </c>
    </row>
    <row r="322" spans="1:15" ht="14.5" customHeight="1" x14ac:dyDescent="0.35">
      <c r="A322" s="54">
        <v>3</v>
      </c>
      <c r="B322" s="54" t="s">
        <v>97</v>
      </c>
      <c r="C322" s="75">
        <f>(30.268)*(10.764)</f>
        <v>325.80475200000001</v>
      </c>
      <c r="D322" s="118">
        <f>C322*1.2</f>
        <v>390.9657024</v>
      </c>
      <c r="E322" s="119"/>
      <c r="F322" s="75">
        <f>(6.688)*(10.764)</f>
        <v>71.989631999999986</v>
      </c>
      <c r="G322" s="109">
        <f t="shared" si="24"/>
        <v>560.69676000000004</v>
      </c>
      <c r="H322" s="53" t="s">
        <v>189</v>
      </c>
      <c r="I322" s="273"/>
      <c r="J322" s="274"/>
      <c r="L322" s="35"/>
    </row>
    <row r="323" spans="1:15" ht="14.5" customHeight="1" x14ac:dyDescent="0.35">
      <c r="A323" s="54">
        <v>4</v>
      </c>
      <c r="B323" s="54" t="s">
        <v>97</v>
      </c>
      <c r="C323" s="75">
        <f>(30.268)*(10.764)</f>
        <v>325.80475200000001</v>
      </c>
      <c r="D323" s="118">
        <f>C323*1.2</f>
        <v>390.9657024</v>
      </c>
      <c r="E323" s="119"/>
      <c r="F323" s="75">
        <f>(6.687)*(10.764)</f>
        <v>71.978868000000006</v>
      </c>
      <c r="G323" s="109">
        <f t="shared" si="24"/>
        <v>560.68599600000005</v>
      </c>
      <c r="H323" s="53" t="s">
        <v>189</v>
      </c>
      <c r="I323" s="116"/>
      <c r="J323" s="117"/>
      <c r="L323" s="35"/>
    </row>
    <row r="324" spans="1:15" ht="15" x14ac:dyDescent="0.3">
      <c r="A324" s="120" t="s">
        <v>289</v>
      </c>
      <c r="B324" s="121"/>
      <c r="C324" s="121"/>
      <c r="D324" s="121"/>
      <c r="E324" s="121"/>
      <c r="F324" s="121"/>
      <c r="G324" s="121"/>
      <c r="H324" s="121"/>
      <c r="I324" s="121"/>
      <c r="J324" s="122"/>
      <c r="L324" s="35">
        <f t="shared" si="13"/>
        <v>1.5</v>
      </c>
    </row>
    <row r="325" spans="1:15" ht="14.5" customHeight="1" x14ac:dyDescent="0.35">
      <c r="A325" s="270" t="s">
        <v>265</v>
      </c>
      <c r="B325" s="271"/>
      <c r="C325" s="271"/>
      <c r="D325" s="271"/>
      <c r="E325" s="271"/>
      <c r="F325" s="271"/>
      <c r="G325" s="271"/>
      <c r="H325" s="271"/>
      <c r="I325" s="271"/>
      <c r="J325" s="272"/>
      <c r="L325" s="35"/>
      <c r="O325" s="75">
        <f>10.764</f>
        <v>10.763999999999999</v>
      </c>
    </row>
    <row r="326" spans="1:15" ht="14.5" customHeight="1" x14ac:dyDescent="0.3">
      <c r="A326" s="54">
        <v>1</v>
      </c>
      <c r="B326" s="54" t="s">
        <v>102</v>
      </c>
      <c r="C326" s="54">
        <f>(21.803)*10.764</f>
        <v>234.68749199999999</v>
      </c>
      <c r="D326" s="118">
        <f>C326*1.2</f>
        <v>281.6249904</v>
      </c>
      <c r="E326" s="119"/>
      <c r="F326" s="54">
        <v>0</v>
      </c>
      <c r="G326" s="109">
        <f>C326*1.5+F326</f>
        <v>352.03123799999997</v>
      </c>
      <c r="H326" s="53" t="s">
        <v>189</v>
      </c>
      <c r="I326" s="278" t="s">
        <v>187</v>
      </c>
      <c r="J326" s="278"/>
      <c r="L326" s="35">
        <f>(G328-F328)/C328</f>
        <v>1.4999999999999998</v>
      </c>
    </row>
    <row r="327" spans="1:15" ht="14.5" customHeight="1" x14ac:dyDescent="0.3">
      <c r="A327" s="270" t="s">
        <v>173</v>
      </c>
      <c r="B327" s="271"/>
      <c r="C327" s="271"/>
      <c r="D327" s="271"/>
      <c r="E327" s="271"/>
      <c r="F327" s="271"/>
      <c r="G327" s="271"/>
      <c r="H327" s="271"/>
      <c r="I327" s="271"/>
      <c r="J327" s="272"/>
      <c r="L327" s="35">
        <f>(G329-F329)/C329</f>
        <v>1.4999999999999998</v>
      </c>
    </row>
    <row r="328" spans="1:15" ht="14.5" customHeight="1" x14ac:dyDescent="0.35">
      <c r="A328" s="54">
        <v>1</v>
      </c>
      <c r="B328" s="54" t="s">
        <v>102</v>
      </c>
      <c r="C328" s="75">
        <f>(22.5)*(10.764)</f>
        <v>242.19</v>
      </c>
      <c r="D328" s="118">
        <f>C328*1.2</f>
        <v>290.62799999999999</v>
      </c>
      <c r="E328" s="119"/>
      <c r="F328" s="75">
        <f>(4.977)*(10.764)</f>
        <v>53.572428000000002</v>
      </c>
      <c r="G328" s="109">
        <f t="shared" ref="G328:G329" si="25">C328*1.5+F328</f>
        <v>416.85742799999997</v>
      </c>
      <c r="H328" s="53" t="s">
        <v>189</v>
      </c>
      <c r="I328" s="114" t="str">
        <f>A327</f>
        <v>1st &amp; 3rd Floor</v>
      </c>
      <c r="J328" s="115"/>
      <c r="L328" s="35"/>
      <c r="M328" s="75">
        <f>10.764</f>
        <v>10.763999999999999</v>
      </c>
    </row>
    <row r="329" spans="1:15" ht="14.5" customHeight="1" x14ac:dyDescent="0.35">
      <c r="A329" s="54">
        <v>2</v>
      </c>
      <c r="B329" s="54" t="s">
        <v>102</v>
      </c>
      <c r="C329" s="75">
        <f>(22.5)*(10.764)</f>
        <v>242.19</v>
      </c>
      <c r="D329" s="118">
        <f>C329*1.2</f>
        <v>290.62799999999999</v>
      </c>
      <c r="E329" s="119"/>
      <c r="F329" s="75">
        <f>(5.225)*(10.764)</f>
        <v>56.241899999999994</v>
      </c>
      <c r="G329" s="109">
        <f t="shared" si="25"/>
        <v>419.52689999999996</v>
      </c>
      <c r="H329" s="53" t="s">
        <v>189</v>
      </c>
      <c r="I329" s="116"/>
      <c r="J329" s="117"/>
      <c r="L329" s="35">
        <f>4*2+1</f>
        <v>9</v>
      </c>
    </row>
    <row r="330" spans="1:15" ht="14.5" customHeight="1" x14ac:dyDescent="0.3">
      <c r="A330" s="120" t="s">
        <v>266</v>
      </c>
      <c r="B330" s="121"/>
      <c r="C330" s="121"/>
      <c r="D330" s="121"/>
      <c r="E330" s="121"/>
      <c r="F330" s="121"/>
      <c r="G330" s="121"/>
      <c r="H330" s="121"/>
      <c r="I330" s="121"/>
      <c r="J330" s="122"/>
      <c r="L330" s="35">
        <f t="shared" si="13"/>
        <v>1.5</v>
      </c>
    </row>
    <row r="331" spans="1:15" ht="14.5" customHeight="1" x14ac:dyDescent="0.35">
      <c r="A331" s="54">
        <v>1</v>
      </c>
      <c r="B331" s="54" t="s">
        <v>102</v>
      </c>
      <c r="C331" s="75">
        <f>(21.803)*(10.764)</f>
        <v>234.68749199999999</v>
      </c>
      <c r="D331" s="118">
        <f>C331*1.2</f>
        <v>281.6249904</v>
      </c>
      <c r="E331" s="119"/>
      <c r="F331" s="54">
        <v>0</v>
      </c>
      <c r="G331" s="109">
        <f t="shared" ref="G331:G332" si="26">C331*1.5+F331</f>
        <v>352.03123799999997</v>
      </c>
      <c r="H331" s="53" t="s">
        <v>189</v>
      </c>
      <c r="I331" s="114" t="str">
        <f>A330</f>
        <v>2nd &amp;4th Floor</v>
      </c>
      <c r="J331" s="115"/>
    </row>
    <row r="332" spans="1:15" ht="14.5" customHeight="1" x14ac:dyDescent="0.35">
      <c r="A332" s="54">
        <v>2</v>
      </c>
      <c r="B332" s="54" t="s">
        <v>102</v>
      </c>
      <c r="C332" s="75">
        <f>(21.803)*(10.764)</f>
        <v>234.68749199999999</v>
      </c>
      <c r="D332" s="118">
        <f>C332*1.2</f>
        <v>281.6249904</v>
      </c>
      <c r="E332" s="119"/>
      <c r="F332" s="54">
        <v>0</v>
      </c>
      <c r="G332" s="109">
        <f t="shared" si="26"/>
        <v>352.03123799999997</v>
      </c>
      <c r="H332" s="53" t="s">
        <v>189</v>
      </c>
      <c r="I332" s="116"/>
      <c r="J332" s="117"/>
    </row>
    <row r="333" spans="1:15" ht="14.5" customHeight="1" x14ac:dyDescent="0.3">
      <c r="A333" s="282" t="s">
        <v>118</v>
      </c>
      <c r="B333" s="283"/>
      <c r="C333" s="283"/>
      <c r="D333" s="283"/>
      <c r="E333" s="283"/>
      <c r="F333" s="283"/>
      <c r="G333" s="283"/>
      <c r="H333" s="283"/>
      <c r="I333" s="283"/>
      <c r="J333" s="284"/>
    </row>
    <row r="334" spans="1:15" ht="14.5" customHeight="1" x14ac:dyDescent="0.3">
      <c r="A334" s="120" t="s">
        <v>291</v>
      </c>
      <c r="B334" s="121"/>
      <c r="C334" s="121"/>
      <c r="D334" s="121"/>
      <c r="E334" s="121"/>
      <c r="F334" s="121"/>
      <c r="G334" s="121"/>
      <c r="H334" s="121"/>
      <c r="I334" s="121"/>
      <c r="J334" s="122"/>
      <c r="K334" s="32">
        <v>2</v>
      </c>
    </row>
    <row r="335" spans="1:15" ht="14.5" customHeight="1" x14ac:dyDescent="0.3">
      <c r="A335" s="120" t="s">
        <v>267</v>
      </c>
      <c r="B335" s="121"/>
      <c r="C335" s="121"/>
      <c r="D335" s="121"/>
      <c r="E335" s="121"/>
      <c r="F335" s="121"/>
      <c r="G335" s="121"/>
      <c r="H335" s="121"/>
      <c r="I335" s="121"/>
      <c r="J335" s="122"/>
      <c r="L335" s="35">
        <f t="shared" ref="L335:L343" si="27">(G337-F337)/C337</f>
        <v>1.5</v>
      </c>
    </row>
    <row r="336" spans="1:15" ht="14.5" customHeight="1" x14ac:dyDescent="0.3">
      <c r="A336" s="120" t="s">
        <v>287</v>
      </c>
      <c r="B336" s="121"/>
      <c r="C336" s="121"/>
      <c r="D336" s="121"/>
      <c r="E336" s="121"/>
      <c r="F336" s="121"/>
      <c r="G336" s="121"/>
      <c r="H336" s="121"/>
      <c r="I336" s="121"/>
      <c r="J336" s="122"/>
      <c r="L336" s="35">
        <f t="shared" si="27"/>
        <v>1.5</v>
      </c>
    </row>
    <row r="337" spans="1:14" ht="14.5" customHeight="1" x14ac:dyDescent="0.35">
      <c r="A337" s="54">
        <v>1</v>
      </c>
      <c r="B337" s="54" t="s">
        <v>97</v>
      </c>
      <c r="C337" s="75">
        <f>(30.267)*(10.764)</f>
        <v>325.79398799999996</v>
      </c>
      <c r="D337" s="118">
        <f>C337*1.2</f>
        <v>390.95278559999991</v>
      </c>
      <c r="E337" s="119"/>
      <c r="F337" s="75">
        <f>(6.627)*(10.764)</f>
        <v>71.333027999999999</v>
      </c>
      <c r="G337" s="109">
        <f t="shared" ref="G337:G340" si="28">C337*1.5+F337</f>
        <v>560.02400999999998</v>
      </c>
      <c r="H337" s="69" t="s">
        <v>293</v>
      </c>
      <c r="I337" s="114" t="str">
        <f>A336</f>
        <v>1st &amp; 3rd Floor For Residential</v>
      </c>
      <c r="J337" s="115"/>
      <c r="L337" s="35">
        <f t="shared" si="27"/>
        <v>1.5</v>
      </c>
    </row>
    <row r="338" spans="1:14" ht="14.5" customHeight="1" x14ac:dyDescent="0.35">
      <c r="A338" s="54">
        <v>2</v>
      </c>
      <c r="B338" s="54" t="s">
        <v>97</v>
      </c>
      <c r="C338" s="75">
        <f>(30.267)*(10.764)</f>
        <v>325.79398799999996</v>
      </c>
      <c r="D338" s="118">
        <f>C338*1.2</f>
        <v>390.95278559999991</v>
      </c>
      <c r="E338" s="119"/>
      <c r="F338" s="75">
        <f>(6.875)*(10.764)</f>
        <v>74.002499999999998</v>
      </c>
      <c r="G338" s="109">
        <f t="shared" si="28"/>
        <v>562.6934819999999</v>
      </c>
      <c r="H338" s="69" t="s">
        <v>293</v>
      </c>
      <c r="I338" s="273"/>
      <c r="J338" s="274"/>
      <c r="L338" s="35">
        <f t="shared" si="27"/>
        <v>1.5</v>
      </c>
    </row>
    <row r="339" spans="1:14" ht="14.5" customHeight="1" x14ac:dyDescent="0.35">
      <c r="A339" s="54">
        <v>3</v>
      </c>
      <c r="B339" s="54" t="s">
        <v>97</v>
      </c>
      <c r="C339" s="75">
        <f>(30.267)*(10.764)</f>
        <v>325.79398799999996</v>
      </c>
      <c r="D339" s="118">
        <f>C339*1.2</f>
        <v>390.95278559999991</v>
      </c>
      <c r="E339" s="119"/>
      <c r="F339" s="75">
        <f>(6.875)*(10.764)</f>
        <v>74.002499999999998</v>
      </c>
      <c r="G339" s="109">
        <f t="shared" si="28"/>
        <v>562.6934819999999</v>
      </c>
      <c r="H339" s="69" t="s">
        <v>293</v>
      </c>
      <c r="I339" s="273"/>
      <c r="J339" s="274"/>
      <c r="K339" s="32">
        <v>2</v>
      </c>
      <c r="L339" s="35"/>
    </row>
    <row r="340" spans="1:14" ht="14.5" customHeight="1" x14ac:dyDescent="0.35">
      <c r="A340" s="54">
        <v>4</v>
      </c>
      <c r="B340" s="54" t="s">
        <v>97</v>
      </c>
      <c r="C340" s="75">
        <f>(30.267)*(10.764)</f>
        <v>325.79398799999996</v>
      </c>
      <c r="D340" s="118">
        <f>C340*1.2</f>
        <v>390.95278559999991</v>
      </c>
      <c r="E340" s="119"/>
      <c r="F340" s="75">
        <f>(6.627)*(10.764)</f>
        <v>71.333027999999999</v>
      </c>
      <c r="G340" s="109">
        <f t="shared" si="28"/>
        <v>560.02400999999998</v>
      </c>
      <c r="H340" s="69" t="s">
        <v>293</v>
      </c>
      <c r="I340" s="116"/>
      <c r="J340" s="117"/>
      <c r="L340" s="35">
        <f t="shared" si="27"/>
        <v>1.5</v>
      </c>
    </row>
    <row r="341" spans="1:14" ht="14.5" customHeight="1" x14ac:dyDescent="0.3">
      <c r="A341" s="120" t="s">
        <v>261</v>
      </c>
      <c r="B341" s="121"/>
      <c r="C341" s="121"/>
      <c r="D341" s="121"/>
      <c r="E341" s="121"/>
      <c r="F341" s="121"/>
      <c r="G341" s="121"/>
      <c r="H341" s="121"/>
      <c r="I341" s="121"/>
      <c r="J341" s="122"/>
      <c r="L341" s="35">
        <f t="shared" si="27"/>
        <v>1.5000000000000002</v>
      </c>
    </row>
    <row r="342" spans="1:14" ht="14.5" customHeight="1" x14ac:dyDescent="0.35">
      <c r="A342" s="54">
        <v>1</v>
      </c>
      <c r="B342" s="54" t="s">
        <v>97</v>
      </c>
      <c r="C342" s="75">
        <f>(30.267)*(10.764)</f>
        <v>325.79398799999996</v>
      </c>
      <c r="D342" s="118">
        <f>C342*1.2</f>
        <v>390.95278559999991</v>
      </c>
      <c r="E342" s="119"/>
      <c r="F342" s="75">
        <f>(6.875)*(10.764)</f>
        <v>74.002499999999998</v>
      </c>
      <c r="G342" s="109">
        <f t="shared" ref="G342:G345" si="29">C342*1.5+F342</f>
        <v>562.6934819999999</v>
      </c>
      <c r="H342" s="69" t="s">
        <v>293</v>
      </c>
      <c r="I342" s="114" t="str">
        <f>A341</f>
        <v>2nd &amp; 4th Floor</v>
      </c>
      <c r="J342" s="115"/>
      <c r="L342" s="35">
        <f>4*4</f>
        <v>16</v>
      </c>
    </row>
    <row r="343" spans="1:14" ht="14.5" customHeight="1" x14ac:dyDescent="0.35">
      <c r="A343" s="54">
        <v>2</v>
      </c>
      <c r="B343" s="54" t="s">
        <v>97</v>
      </c>
      <c r="C343" s="75">
        <f>(30.268)*(10.764)</f>
        <v>325.80475200000001</v>
      </c>
      <c r="D343" s="118">
        <f>C343*1.2</f>
        <v>390.9657024</v>
      </c>
      <c r="E343" s="119"/>
      <c r="F343" s="75">
        <f>(6.875)*(10.764)</f>
        <v>74.002499999999998</v>
      </c>
      <c r="G343" s="109">
        <f t="shared" si="29"/>
        <v>562.70962800000007</v>
      </c>
      <c r="H343" s="69" t="s">
        <v>293</v>
      </c>
      <c r="I343" s="273"/>
      <c r="J343" s="274"/>
      <c r="L343" s="35">
        <f t="shared" si="27"/>
        <v>1.5</v>
      </c>
    </row>
    <row r="344" spans="1:14" ht="14.5" customHeight="1" x14ac:dyDescent="0.35">
      <c r="A344" s="70">
        <v>3</v>
      </c>
      <c r="B344" s="70" t="s">
        <v>97</v>
      </c>
      <c r="C344" s="75">
        <f>(30.268)*(10.764)</f>
        <v>325.80475200000001</v>
      </c>
      <c r="D344" s="118">
        <f>C344*1.2</f>
        <v>390.9657024</v>
      </c>
      <c r="E344" s="119"/>
      <c r="F344" s="75">
        <f>(6.687)*(10.764)</f>
        <v>71.978868000000006</v>
      </c>
      <c r="G344" s="109">
        <f t="shared" si="29"/>
        <v>560.68599600000005</v>
      </c>
      <c r="H344" s="69" t="s">
        <v>293</v>
      </c>
      <c r="I344" s="273"/>
      <c r="J344" s="274"/>
    </row>
    <row r="345" spans="1:14" ht="14.5" customHeight="1" x14ac:dyDescent="0.35">
      <c r="A345" s="54">
        <v>4</v>
      </c>
      <c r="B345" s="54" t="s">
        <v>97</v>
      </c>
      <c r="C345" s="75">
        <f>(30.268)*(10.764)</f>
        <v>325.80475200000001</v>
      </c>
      <c r="D345" s="118">
        <f>C345*1.2</f>
        <v>390.9657024</v>
      </c>
      <c r="E345" s="119"/>
      <c r="F345" s="75">
        <f>(6.687)*(10.764)</f>
        <v>71.978868000000006</v>
      </c>
      <c r="G345" s="109">
        <f t="shared" si="29"/>
        <v>560.68599600000005</v>
      </c>
      <c r="H345" s="69" t="s">
        <v>293</v>
      </c>
      <c r="I345" s="273"/>
      <c r="J345" s="274"/>
    </row>
    <row r="346" spans="1:14" ht="14.5" customHeight="1" x14ac:dyDescent="0.3">
      <c r="A346" s="120" t="s">
        <v>288</v>
      </c>
      <c r="B346" s="121"/>
      <c r="C346" s="121"/>
      <c r="D346" s="121"/>
      <c r="E346" s="121"/>
      <c r="F346" s="121"/>
      <c r="G346" s="121"/>
      <c r="H346" s="121"/>
      <c r="I346" s="121"/>
      <c r="J346" s="122"/>
    </row>
    <row r="347" spans="1:14" ht="14.5" customHeight="1" x14ac:dyDescent="0.3">
      <c r="A347" s="120" t="s">
        <v>114</v>
      </c>
      <c r="B347" s="121"/>
      <c r="C347" s="121"/>
      <c r="D347" s="121"/>
      <c r="E347" s="121"/>
      <c r="F347" s="121"/>
      <c r="G347" s="121"/>
      <c r="H347" s="121"/>
      <c r="I347" s="121"/>
      <c r="J347" s="122"/>
      <c r="L347" s="35">
        <f>(G349-F349)/C349</f>
        <v>1.5</v>
      </c>
    </row>
    <row r="348" spans="1:14" ht="14.5" customHeight="1" x14ac:dyDescent="0.3">
      <c r="A348" s="120" t="s">
        <v>287</v>
      </c>
      <c r="B348" s="121"/>
      <c r="C348" s="121"/>
      <c r="D348" s="121"/>
      <c r="E348" s="121"/>
      <c r="F348" s="121"/>
      <c r="G348" s="121"/>
      <c r="H348" s="121"/>
      <c r="I348" s="121"/>
      <c r="J348" s="122"/>
      <c r="L348" s="35">
        <f t="shared" ref="L348:L353" si="30">(G350-F350)/C350</f>
        <v>1.5</v>
      </c>
    </row>
    <row r="349" spans="1:14" ht="14.5" customHeight="1" x14ac:dyDescent="0.35">
      <c r="A349" s="54">
        <v>1</v>
      </c>
      <c r="B349" s="54" t="s">
        <v>97</v>
      </c>
      <c r="C349" s="75">
        <f>(30.267)*(10.764)</f>
        <v>325.79398799999996</v>
      </c>
      <c r="D349" s="118">
        <f>C349*1.2</f>
        <v>390.95278559999991</v>
      </c>
      <c r="E349" s="119"/>
      <c r="F349" s="75">
        <f>(6.627)*(10.764)</f>
        <v>71.333027999999999</v>
      </c>
      <c r="G349" s="109">
        <f t="shared" ref="G349:G351" si="31">C349*1.5+F349</f>
        <v>560.02400999999998</v>
      </c>
      <c r="H349" s="69" t="s">
        <v>293</v>
      </c>
      <c r="I349" s="114" t="str">
        <f>A348</f>
        <v>1st &amp; 3rd Floor For Residential</v>
      </c>
      <c r="J349" s="115"/>
      <c r="L349" s="35">
        <f t="shared" si="30"/>
        <v>1.5</v>
      </c>
      <c r="N349" s="32">
        <f>D349*1.5</f>
        <v>586.42917839999984</v>
      </c>
    </row>
    <row r="350" spans="1:14" ht="14.5" customHeight="1" x14ac:dyDescent="0.35">
      <c r="A350" s="54">
        <v>2</v>
      </c>
      <c r="B350" s="54" t="s">
        <v>97</v>
      </c>
      <c r="C350" s="75">
        <f>(29.502)*(10.764)</f>
        <v>317.55952799999994</v>
      </c>
      <c r="D350" s="118">
        <f>C350*1.2</f>
        <v>381.07143359999992</v>
      </c>
      <c r="E350" s="119"/>
      <c r="F350" s="54">
        <v>0</v>
      </c>
      <c r="G350" s="109">
        <f t="shared" si="31"/>
        <v>476.33929199999989</v>
      </c>
      <c r="H350" s="69" t="s">
        <v>293</v>
      </c>
      <c r="I350" s="273"/>
      <c r="J350" s="274"/>
      <c r="L350" s="35"/>
    </row>
    <row r="351" spans="1:14" ht="14.5" customHeight="1" x14ac:dyDescent="0.35">
      <c r="A351" s="54">
        <v>3</v>
      </c>
      <c r="B351" s="54" t="s">
        <v>97</v>
      </c>
      <c r="C351" s="75">
        <f>(30.267)*(10.764)</f>
        <v>325.79398799999996</v>
      </c>
      <c r="D351" s="118">
        <f>C351*1.2</f>
        <v>390.95278559999991</v>
      </c>
      <c r="E351" s="119"/>
      <c r="F351" s="75">
        <f>(6.627)*(10.764)</f>
        <v>71.333027999999999</v>
      </c>
      <c r="G351" s="109">
        <f t="shared" si="31"/>
        <v>560.02400999999998</v>
      </c>
      <c r="H351" s="69" t="s">
        <v>293</v>
      </c>
      <c r="I351" s="116"/>
      <c r="J351" s="117"/>
      <c r="L351" s="35">
        <f t="shared" si="30"/>
        <v>1.5</v>
      </c>
    </row>
    <row r="352" spans="1:14" ht="14.5" customHeight="1" x14ac:dyDescent="0.3">
      <c r="A352" s="270" t="s">
        <v>261</v>
      </c>
      <c r="B352" s="271"/>
      <c r="C352" s="271"/>
      <c r="D352" s="271"/>
      <c r="E352" s="271"/>
      <c r="F352" s="271"/>
      <c r="G352" s="271"/>
      <c r="H352" s="271"/>
      <c r="I352" s="271"/>
      <c r="J352" s="272"/>
      <c r="L352" s="35">
        <f t="shared" si="30"/>
        <v>1.5</v>
      </c>
    </row>
    <row r="353" spans="1:15" ht="14.5" customHeight="1" x14ac:dyDescent="0.35">
      <c r="A353" s="54">
        <v>1</v>
      </c>
      <c r="B353" s="54" t="s">
        <v>97</v>
      </c>
      <c r="C353" s="75">
        <f>(30.268)*(10.764)</f>
        <v>325.80475200000001</v>
      </c>
      <c r="D353" s="118">
        <f>C353*1.2</f>
        <v>390.9657024</v>
      </c>
      <c r="E353" s="119"/>
      <c r="F353" s="75">
        <f>(6.687)*(10.764)</f>
        <v>71.978868000000006</v>
      </c>
      <c r="G353" s="109">
        <f t="shared" ref="G353:G355" si="32">C353*1.5+F353</f>
        <v>560.68599600000005</v>
      </c>
      <c r="H353" s="69" t="s">
        <v>293</v>
      </c>
      <c r="I353" s="114" t="str">
        <f>A352</f>
        <v>2nd &amp; 4th Floor</v>
      </c>
      <c r="J353" s="115"/>
      <c r="L353" s="35">
        <f t="shared" si="30"/>
        <v>1.5</v>
      </c>
      <c r="O353" s="76">
        <f>10.764</f>
        <v>10.763999999999999</v>
      </c>
    </row>
    <row r="354" spans="1:15" ht="14.5" customHeight="1" x14ac:dyDescent="0.35">
      <c r="A354" s="54">
        <v>2</v>
      </c>
      <c r="B354" s="54" t="s">
        <v>97</v>
      </c>
      <c r="C354" s="75">
        <f>(30.268)*(10.764)</f>
        <v>325.80475200000001</v>
      </c>
      <c r="D354" s="118">
        <f>C354*1.2</f>
        <v>390.9657024</v>
      </c>
      <c r="E354" s="119"/>
      <c r="F354" s="75">
        <f>(6.687)*(10.764)</f>
        <v>71.978868000000006</v>
      </c>
      <c r="G354" s="109">
        <f t="shared" si="32"/>
        <v>560.68599600000005</v>
      </c>
      <c r="H354" s="69" t="s">
        <v>293</v>
      </c>
      <c r="I354" s="273"/>
      <c r="J354" s="274"/>
      <c r="K354" s="32">
        <f>4*3</f>
        <v>12</v>
      </c>
      <c r="L354" s="35"/>
    </row>
    <row r="355" spans="1:15" ht="14.5" customHeight="1" x14ac:dyDescent="0.35">
      <c r="A355" s="54">
        <v>3</v>
      </c>
      <c r="B355" s="54" t="s">
        <v>97</v>
      </c>
      <c r="C355" s="75">
        <f>(30.267)*(10.764)</f>
        <v>325.79398799999996</v>
      </c>
      <c r="D355" s="118">
        <f>C355*1.2</f>
        <v>390.95278559999991</v>
      </c>
      <c r="E355" s="119"/>
      <c r="F355" s="75">
        <f>(6.875)*(10.764)</f>
        <v>74.002499999999998</v>
      </c>
      <c r="G355" s="109">
        <f t="shared" si="32"/>
        <v>562.6934819999999</v>
      </c>
      <c r="H355" s="69" t="s">
        <v>293</v>
      </c>
      <c r="I355" s="116"/>
      <c r="J355" s="117"/>
      <c r="L355" s="35"/>
    </row>
    <row r="356" spans="1:15" ht="14.5" customHeight="1" x14ac:dyDescent="0.3">
      <c r="A356" s="275" t="s">
        <v>175</v>
      </c>
      <c r="B356" s="276"/>
      <c r="C356" s="276"/>
      <c r="D356" s="276"/>
      <c r="E356" s="276"/>
      <c r="F356" s="276"/>
      <c r="G356" s="276"/>
      <c r="H356" s="276"/>
      <c r="I356" s="276"/>
      <c r="J356" s="277"/>
      <c r="L356" s="35"/>
    </row>
    <row r="357" spans="1:15" ht="14.5" customHeight="1" x14ac:dyDescent="0.3">
      <c r="A357" s="120" t="s">
        <v>291</v>
      </c>
      <c r="B357" s="121"/>
      <c r="C357" s="121"/>
      <c r="D357" s="121"/>
      <c r="E357" s="121"/>
      <c r="F357" s="121"/>
      <c r="G357" s="121"/>
      <c r="H357" s="121"/>
      <c r="I357" s="121"/>
      <c r="J357" s="122"/>
      <c r="L357" s="35">
        <f>(G359-F359)/C359</f>
        <v>1.5</v>
      </c>
    </row>
    <row r="358" spans="1:15" ht="14.5" customHeight="1" x14ac:dyDescent="0.3">
      <c r="A358" s="120" t="s">
        <v>268</v>
      </c>
      <c r="B358" s="121"/>
      <c r="C358" s="121"/>
      <c r="D358" s="121"/>
      <c r="E358" s="121"/>
      <c r="F358" s="121"/>
      <c r="G358" s="121"/>
      <c r="H358" s="121"/>
      <c r="I358" s="121"/>
      <c r="J358" s="122"/>
      <c r="L358" s="35">
        <f t="shared" ref="L358:L405" si="33">(G360-F360)/C360</f>
        <v>1.5</v>
      </c>
    </row>
    <row r="359" spans="1:15" ht="14.5" customHeight="1" x14ac:dyDescent="0.3">
      <c r="A359" s="54">
        <v>1</v>
      </c>
      <c r="B359" s="54" t="s">
        <v>97</v>
      </c>
      <c r="C359" s="54">
        <f>(29.502)*10.764</f>
        <v>317.55952799999994</v>
      </c>
      <c r="D359" s="118">
        <f>C359*1.2</f>
        <v>381.07143359999992</v>
      </c>
      <c r="E359" s="119"/>
      <c r="F359" s="54">
        <v>0</v>
      </c>
      <c r="G359" s="109">
        <f t="shared" ref="G359:G362" si="34">C359*1.5+F359</f>
        <v>476.33929199999989</v>
      </c>
      <c r="H359" s="53" t="s">
        <v>189</v>
      </c>
      <c r="I359" s="114" t="s">
        <v>187</v>
      </c>
      <c r="J359" s="115"/>
      <c r="L359" s="35">
        <f t="shared" si="33"/>
        <v>1.5</v>
      </c>
    </row>
    <row r="360" spans="1:15" ht="14.5" customHeight="1" x14ac:dyDescent="0.3">
      <c r="A360" s="54">
        <v>2</v>
      </c>
      <c r="B360" s="54" t="s">
        <v>97</v>
      </c>
      <c r="C360" s="54">
        <f>(29.502)*10.764</f>
        <v>317.55952799999994</v>
      </c>
      <c r="D360" s="118">
        <f>C360*1.2</f>
        <v>381.07143359999992</v>
      </c>
      <c r="E360" s="119"/>
      <c r="F360" s="54">
        <v>0</v>
      </c>
      <c r="G360" s="109">
        <f t="shared" si="34"/>
        <v>476.33929199999989</v>
      </c>
      <c r="H360" s="53" t="s">
        <v>189</v>
      </c>
      <c r="I360" s="273"/>
      <c r="J360" s="274"/>
      <c r="L360" s="35">
        <f t="shared" si="33"/>
        <v>1.5</v>
      </c>
    </row>
    <row r="361" spans="1:15" ht="14.5" customHeight="1" x14ac:dyDescent="0.3">
      <c r="A361" s="54">
        <v>3</v>
      </c>
      <c r="B361" s="54" t="s">
        <v>97</v>
      </c>
      <c r="C361" s="54">
        <f>(29.502)*10.764</f>
        <v>317.55952799999994</v>
      </c>
      <c r="D361" s="118">
        <f>C361*1.2</f>
        <v>381.07143359999992</v>
      </c>
      <c r="E361" s="119"/>
      <c r="F361" s="54">
        <v>0</v>
      </c>
      <c r="G361" s="109">
        <f t="shared" si="34"/>
        <v>476.33929199999989</v>
      </c>
      <c r="H361" s="53" t="s">
        <v>189</v>
      </c>
      <c r="I361" s="273"/>
      <c r="J361" s="274"/>
      <c r="K361" s="32">
        <v>2</v>
      </c>
      <c r="L361" s="35"/>
    </row>
    <row r="362" spans="1:15" ht="14.5" customHeight="1" x14ac:dyDescent="0.3">
      <c r="A362" s="54">
        <v>4</v>
      </c>
      <c r="B362" s="54" t="s">
        <v>97</v>
      </c>
      <c r="C362" s="77">
        <f>(29.502)*10.764</f>
        <v>317.55952799999994</v>
      </c>
      <c r="D362" s="118">
        <f>C362*1.2</f>
        <v>381.07143359999992</v>
      </c>
      <c r="E362" s="119"/>
      <c r="F362" s="54">
        <v>0</v>
      </c>
      <c r="G362" s="109">
        <f t="shared" si="34"/>
        <v>476.33929199999989</v>
      </c>
      <c r="H362" s="53" t="s">
        <v>189</v>
      </c>
      <c r="I362" s="116"/>
      <c r="J362" s="117"/>
      <c r="L362" s="35">
        <f t="shared" si="33"/>
        <v>1.5</v>
      </c>
    </row>
    <row r="363" spans="1:15" ht="14.5" customHeight="1" x14ac:dyDescent="0.3">
      <c r="A363" s="120" t="s">
        <v>173</v>
      </c>
      <c r="B363" s="121"/>
      <c r="C363" s="121"/>
      <c r="D363" s="121"/>
      <c r="E363" s="121"/>
      <c r="F363" s="121"/>
      <c r="G363" s="121"/>
      <c r="H363" s="121"/>
      <c r="I363" s="121"/>
      <c r="J363" s="122"/>
      <c r="L363" s="35">
        <f t="shared" si="33"/>
        <v>1.5000000000000002</v>
      </c>
    </row>
    <row r="364" spans="1:15" ht="14.5" customHeight="1" x14ac:dyDescent="0.35">
      <c r="A364" s="54">
        <v>1</v>
      </c>
      <c r="B364" s="54" t="s">
        <v>97</v>
      </c>
      <c r="C364" s="75">
        <f>(30.268)*(10.764)</f>
        <v>325.80475200000001</v>
      </c>
      <c r="D364" s="118">
        <f>C364*1.2</f>
        <v>390.9657024</v>
      </c>
      <c r="E364" s="119"/>
      <c r="F364" s="75">
        <f>(6.627)*(10.764)</f>
        <v>71.333027999999999</v>
      </c>
      <c r="G364" s="109">
        <f t="shared" ref="G364:G367" si="35">C364*1.5+F364</f>
        <v>560.04015600000002</v>
      </c>
      <c r="H364" s="53" t="s">
        <v>189</v>
      </c>
      <c r="I364" s="114" t="str">
        <f>A363</f>
        <v>1st &amp; 3rd Floor</v>
      </c>
      <c r="J364" s="115"/>
      <c r="L364" s="35">
        <f t="shared" si="33"/>
        <v>1.5000000000000002</v>
      </c>
    </row>
    <row r="365" spans="1:15" ht="14.5" customHeight="1" x14ac:dyDescent="0.35">
      <c r="A365" s="54">
        <v>2</v>
      </c>
      <c r="B365" s="54" t="s">
        <v>97</v>
      </c>
      <c r="C365" s="75">
        <f>(30.268)*(10.764)</f>
        <v>325.80475200000001</v>
      </c>
      <c r="D365" s="118">
        <f>C365*1.2</f>
        <v>390.9657024</v>
      </c>
      <c r="E365" s="119"/>
      <c r="F365" s="75">
        <f>(6.875)*(10.764)</f>
        <v>74.002499999999998</v>
      </c>
      <c r="G365" s="109">
        <f t="shared" si="35"/>
        <v>562.70962800000007</v>
      </c>
      <c r="H365" s="53" t="s">
        <v>189</v>
      </c>
      <c r="I365" s="273"/>
      <c r="J365" s="274"/>
      <c r="L365" s="35">
        <f t="shared" si="33"/>
        <v>1.5</v>
      </c>
    </row>
    <row r="366" spans="1:15" ht="14.5" customHeight="1" x14ac:dyDescent="0.35">
      <c r="A366" s="54">
        <v>3</v>
      </c>
      <c r="B366" s="54" t="s">
        <v>97</v>
      </c>
      <c r="C366" s="75">
        <f>(30.268)*(10.764)</f>
        <v>325.80475200000001</v>
      </c>
      <c r="D366" s="118">
        <f>C366*1.2</f>
        <v>390.9657024</v>
      </c>
      <c r="E366" s="119"/>
      <c r="F366" s="75">
        <f>(6.875)*(10.764)</f>
        <v>74.002499999999998</v>
      </c>
      <c r="G366" s="109">
        <f t="shared" si="35"/>
        <v>562.70962800000007</v>
      </c>
      <c r="H366" s="53" t="s">
        <v>189</v>
      </c>
      <c r="I366" s="273"/>
      <c r="J366" s="274"/>
      <c r="K366" s="32">
        <v>2</v>
      </c>
      <c r="L366" s="35"/>
    </row>
    <row r="367" spans="1:15" ht="14.5" customHeight="1" x14ac:dyDescent="0.35">
      <c r="A367" s="54">
        <v>4</v>
      </c>
      <c r="B367" s="54" t="s">
        <v>97</v>
      </c>
      <c r="C367" s="75">
        <f>(30.268)*(10.764)</f>
        <v>325.80475200000001</v>
      </c>
      <c r="D367" s="118">
        <f>C367*1.2</f>
        <v>390.9657024</v>
      </c>
      <c r="E367" s="119"/>
      <c r="F367" s="75">
        <f>(6.627)*(10.764)</f>
        <v>71.333027999999999</v>
      </c>
      <c r="G367" s="109">
        <f t="shared" si="35"/>
        <v>560.04015600000002</v>
      </c>
      <c r="H367" s="53" t="s">
        <v>189</v>
      </c>
      <c r="I367" s="116"/>
      <c r="J367" s="117"/>
      <c r="L367" s="35">
        <f t="shared" si="33"/>
        <v>1.5</v>
      </c>
    </row>
    <row r="368" spans="1:15" ht="14.5" customHeight="1" x14ac:dyDescent="0.3">
      <c r="A368" s="120" t="s">
        <v>261</v>
      </c>
      <c r="B368" s="121"/>
      <c r="C368" s="121"/>
      <c r="D368" s="121"/>
      <c r="E368" s="121"/>
      <c r="F368" s="121"/>
      <c r="G368" s="121"/>
      <c r="H368" s="121"/>
      <c r="I368" s="121"/>
      <c r="J368" s="122"/>
      <c r="K368" s="32">
        <f>4*4+4</f>
        <v>20</v>
      </c>
      <c r="L368" s="35">
        <f t="shared" si="33"/>
        <v>1.5000000000000002</v>
      </c>
    </row>
    <row r="369" spans="1:14" ht="14.5" customHeight="1" x14ac:dyDescent="0.35">
      <c r="A369" s="54">
        <v>1</v>
      </c>
      <c r="B369" s="54" t="s">
        <v>97</v>
      </c>
      <c r="C369" s="75">
        <f>(30.268)*(10.764)</f>
        <v>325.80475200000001</v>
      </c>
      <c r="D369" s="118">
        <f>C369*1.2</f>
        <v>390.9657024</v>
      </c>
      <c r="E369" s="119"/>
      <c r="F369" s="75">
        <f>(6.687)*(10.764)</f>
        <v>71.978868000000006</v>
      </c>
      <c r="G369" s="109">
        <f t="shared" ref="G369:G372" si="36">C369*1.5+F369</f>
        <v>560.68599600000005</v>
      </c>
      <c r="H369" s="53" t="s">
        <v>189</v>
      </c>
      <c r="I369" s="114" t="str">
        <f>A368</f>
        <v>2nd &amp; 4th Floor</v>
      </c>
      <c r="J369" s="115"/>
      <c r="L369" s="35">
        <f t="shared" si="33"/>
        <v>1.5000000000000002</v>
      </c>
    </row>
    <row r="370" spans="1:14" ht="14.5" customHeight="1" x14ac:dyDescent="0.35">
      <c r="A370" s="54">
        <v>2</v>
      </c>
      <c r="B370" s="54" t="s">
        <v>97</v>
      </c>
      <c r="C370" s="75">
        <f>(30.268)*(10.764)</f>
        <v>325.80475200000001</v>
      </c>
      <c r="D370" s="118">
        <f>C370*1.2</f>
        <v>390.9657024</v>
      </c>
      <c r="E370" s="119"/>
      <c r="F370" s="75">
        <f>(6.688)*(10.764)</f>
        <v>71.989631999999986</v>
      </c>
      <c r="G370" s="109">
        <f t="shared" si="36"/>
        <v>560.69676000000004</v>
      </c>
      <c r="H370" s="53" t="s">
        <v>189</v>
      </c>
      <c r="I370" s="273"/>
      <c r="J370" s="274"/>
      <c r="L370" s="35">
        <f t="shared" si="33"/>
        <v>1.5000000000000002</v>
      </c>
    </row>
    <row r="371" spans="1:14" ht="14.5" customHeight="1" x14ac:dyDescent="0.35">
      <c r="A371" s="54">
        <v>3</v>
      </c>
      <c r="B371" s="54" t="s">
        <v>97</v>
      </c>
      <c r="C371" s="75">
        <f>(30.268)*(10.764)</f>
        <v>325.80475200000001</v>
      </c>
      <c r="D371" s="118">
        <f>C371*1.2</f>
        <v>390.9657024</v>
      </c>
      <c r="E371" s="119"/>
      <c r="F371" s="75">
        <f>(6.875)*(10.764)</f>
        <v>74.002499999999998</v>
      </c>
      <c r="G371" s="109">
        <f t="shared" si="36"/>
        <v>562.70962800000007</v>
      </c>
      <c r="H371" s="53" t="s">
        <v>189</v>
      </c>
      <c r="I371" s="273"/>
      <c r="J371" s="274"/>
      <c r="L371" s="35"/>
    </row>
    <row r="372" spans="1:14" ht="14.5" customHeight="1" x14ac:dyDescent="0.35">
      <c r="A372" s="54">
        <v>4</v>
      </c>
      <c r="B372" s="54" t="s">
        <v>97</v>
      </c>
      <c r="C372" s="75">
        <f>(30.268)*(10.764)</f>
        <v>325.80475200000001</v>
      </c>
      <c r="D372" s="118">
        <f>C372*1.2</f>
        <v>390.9657024</v>
      </c>
      <c r="E372" s="119"/>
      <c r="F372" s="75">
        <f>(6.875)*(10.764)</f>
        <v>74.002499999999998</v>
      </c>
      <c r="G372" s="109">
        <f t="shared" si="36"/>
        <v>562.70962800000007</v>
      </c>
      <c r="H372" s="53" t="s">
        <v>189</v>
      </c>
      <c r="I372" s="116"/>
      <c r="J372" s="117"/>
      <c r="L372" s="35"/>
    </row>
    <row r="373" spans="1:14" ht="14.5" customHeight="1" x14ac:dyDescent="0.3">
      <c r="A373" s="120" t="s">
        <v>288</v>
      </c>
      <c r="B373" s="121"/>
      <c r="C373" s="121"/>
      <c r="D373" s="121"/>
      <c r="E373" s="121"/>
      <c r="F373" s="121"/>
      <c r="G373" s="121"/>
      <c r="H373" s="121"/>
      <c r="I373" s="121"/>
      <c r="J373" s="122"/>
      <c r="L373" s="35">
        <f t="shared" si="33"/>
        <v>1.5</v>
      </c>
    </row>
    <row r="374" spans="1:14" ht="14.5" customHeight="1" x14ac:dyDescent="0.3">
      <c r="A374" s="120" t="s">
        <v>268</v>
      </c>
      <c r="B374" s="121"/>
      <c r="C374" s="121"/>
      <c r="D374" s="121"/>
      <c r="E374" s="121"/>
      <c r="F374" s="121"/>
      <c r="G374" s="121"/>
      <c r="H374" s="121"/>
      <c r="I374" s="121"/>
      <c r="J374" s="122"/>
      <c r="L374" s="35">
        <f t="shared" si="33"/>
        <v>1.5</v>
      </c>
    </row>
    <row r="375" spans="1:14" ht="14.5" customHeight="1" x14ac:dyDescent="0.35">
      <c r="A375" s="54">
        <v>1</v>
      </c>
      <c r="B375" s="54" t="s">
        <v>97</v>
      </c>
      <c r="C375" s="75">
        <f>(29.503)*(10.764)</f>
        <v>317.57029199999999</v>
      </c>
      <c r="D375" s="118">
        <f>C375*1.2</f>
        <v>381.08435040000001</v>
      </c>
      <c r="E375" s="119"/>
      <c r="F375" s="54">
        <v>0</v>
      </c>
      <c r="G375" s="109">
        <f t="shared" ref="G375:G388" si="37">C375*1.5+F375</f>
        <v>476.35543799999999</v>
      </c>
      <c r="H375" s="53" t="s">
        <v>189</v>
      </c>
      <c r="I375" s="114" t="s">
        <v>187</v>
      </c>
      <c r="J375" s="115"/>
      <c r="L375" s="35">
        <f t="shared" si="33"/>
        <v>1.5</v>
      </c>
    </row>
    <row r="376" spans="1:14" ht="14.5" customHeight="1" x14ac:dyDescent="0.35">
      <c r="A376" s="54">
        <v>2</v>
      </c>
      <c r="B376" s="54" t="s">
        <v>97</v>
      </c>
      <c r="C376" s="75">
        <f>(29.503)*(10.764)</f>
        <v>317.57029199999999</v>
      </c>
      <c r="D376" s="118">
        <f>C376*1.2</f>
        <v>381.08435040000001</v>
      </c>
      <c r="E376" s="119"/>
      <c r="F376" s="54">
        <v>0</v>
      </c>
      <c r="G376" s="109">
        <f t="shared" si="37"/>
        <v>476.35543799999999</v>
      </c>
      <c r="H376" s="53" t="s">
        <v>189</v>
      </c>
      <c r="I376" s="273"/>
      <c r="J376" s="274"/>
      <c r="L376" s="35">
        <f t="shared" si="33"/>
        <v>1.5</v>
      </c>
      <c r="N376" s="36">
        <f>3100000/G378</f>
        <v>8589.3624160056643</v>
      </c>
    </row>
    <row r="377" spans="1:14" ht="14.5" customHeight="1" x14ac:dyDescent="0.35">
      <c r="A377" s="53">
        <v>3</v>
      </c>
      <c r="B377" s="77" t="s">
        <v>97</v>
      </c>
      <c r="C377" s="75">
        <f>(29.502)*(10.764)</f>
        <v>317.55952799999994</v>
      </c>
      <c r="D377" s="123">
        <f>C377*1.2</f>
        <v>381.07143359999992</v>
      </c>
      <c r="E377" s="124"/>
      <c r="F377" s="53">
        <v>0</v>
      </c>
      <c r="G377" s="109">
        <f t="shared" si="37"/>
        <v>476.33929199999989</v>
      </c>
      <c r="H377" s="53" t="s">
        <v>189</v>
      </c>
      <c r="I377" s="273"/>
      <c r="J377" s="274"/>
      <c r="K377" s="32">
        <v>2</v>
      </c>
      <c r="L377" s="35"/>
    </row>
    <row r="378" spans="1:14" ht="14.5" customHeight="1" x14ac:dyDescent="0.35">
      <c r="A378" s="53">
        <v>4</v>
      </c>
      <c r="B378" s="53" t="s">
        <v>102</v>
      </c>
      <c r="C378" s="75">
        <f>(22.353)*(10.764)</f>
        <v>240.60769200000001</v>
      </c>
      <c r="D378" s="123">
        <f>C378*1.2</f>
        <v>288.72923040000001</v>
      </c>
      <c r="E378" s="124"/>
      <c r="F378" s="53">
        <v>0</v>
      </c>
      <c r="G378" s="109">
        <f t="shared" si="37"/>
        <v>360.91153800000001</v>
      </c>
      <c r="H378" s="69" t="s">
        <v>189</v>
      </c>
      <c r="I378" s="116"/>
      <c r="J378" s="117"/>
      <c r="L378" s="35">
        <f t="shared" si="33"/>
        <v>1.5</v>
      </c>
    </row>
    <row r="379" spans="1:14" ht="14.5" customHeight="1" x14ac:dyDescent="0.3">
      <c r="A379" s="120" t="s">
        <v>173</v>
      </c>
      <c r="B379" s="121"/>
      <c r="C379" s="121"/>
      <c r="D379" s="121"/>
      <c r="E379" s="121"/>
      <c r="F379" s="121"/>
      <c r="G379" s="121"/>
      <c r="H379" s="121"/>
      <c r="I379" s="121"/>
      <c r="J379" s="122"/>
      <c r="L379" s="35">
        <f t="shared" si="33"/>
        <v>1.5000000000000002</v>
      </c>
    </row>
    <row r="380" spans="1:14" ht="14.5" customHeight="1" x14ac:dyDescent="0.35">
      <c r="A380" s="54">
        <v>1</v>
      </c>
      <c r="B380" s="54" t="s">
        <v>97</v>
      </c>
      <c r="C380" s="75">
        <f>(30.268)*(10.764)</f>
        <v>325.80475200000001</v>
      </c>
      <c r="D380" s="118">
        <f>C380*1.2</f>
        <v>390.9657024</v>
      </c>
      <c r="E380" s="119"/>
      <c r="F380" s="75">
        <f>(6.627)*(10.764)</f>
        <v>71.333027999999999</v>
      </c>
      <c r="G380" s="109">
        <f t="shared" si="37"/>
        <v>560.04015600000002</v>
      </c>
      <c r="H380" s="53" t="s">
        <v>189</v>
      </c>
      <c r="I380" s="114" t="str">
        <f>A379</f>
        <v>1st &amp; 3rd Floor</v>
      </c>
      <c r="J380" s="115"/>
      <c r="L380" s="35">
        <f t="shared" si="33"/>
        <v>1.5000000000000002</v>
      </c>
    </row>
    <row r="381" spans="1:14" ht="14.5" customHeight="1" x14ac:dyDescent="0.35">
      <c r="A381" s="54">
        <v>2</v>
      </c>
      <c r="B381" s="54" t="s">
        <v>97</v>
      </c>
      <c r="C381" s="75">
        <f>(30.268)*(10.764)</f>
        <v>325.80475200000001</v>
      </c>
      <c r="D381" s="118">
        <f>C381*1.2</f>
        <v>390.9657024</v>
      </c>
      <c r="E381" s="119"/>
      <c r="F381" s="75">
        <f>(6.875)*(10.764)</f>
        <v>74.002499999999998</v>
      </c>
      <c r="G381" s="109">
        <f t="shared" si="37"/>
        <v>562.70962800000007</v>
      </c>
      <c r="H381" s="53" t="s">
        <v>189</v>
      </c>
      <c r="I381" s="273"/>
      <c r="J381" s="274"/>
      <c r="L381" s="35">
        <f t="shared" si="33"/>
        <v>1.5</v>
      </c>
    </row>
    <row r="382" spans="1:14" ht="14.5" customHeight="1" x14ac:dyDescent="0.35">
      <c r="A382" s="54">
        <v>3</v>
      </c>
      <c r="B382" s="54" t="s">
        <v>97</v>
      </c>
      <c r="C382" s="75">
        <f>(30.268)*(10.764)</f>
        <v>325.80475200000001</v>
      </c>
      <c r="D382" s="118">
        <f>C382*1.2</f>
        <v>390.9657024</v>
      </c>
      <c r="E382" s="119"/>
      <c r="F382" s="75">
        <f>(6.875)*(10.764)</f>
        <v>74.002499999999998</v>
      </c>
      <c r="G382" s="109">
        <f t="shared" si="37"/>
        <v>562.70962800000007</v>
      </c>
      <c r="H382" s="53" t="s">
        <v>189</v>
      </c>
      <c r="I382" s="273"/>
      <c r="J382" s="274"/>
      <c r="K382" s="32">
        <v>2</v>
      </c>
      <c r="L382" s="35"/>
    </row>
    <row r="383" spans="1:14" ht="14.5" customHeight="1" x14ac:dyDescent="0.35">
      <c r="A383" s="54">
        <v>4</v>
      </c>
      <c r="B383" s="54" t="s">
        <v>97</v>
      </c>
      <c r="C383" s="75">
        <f>(30.268)*(10.764)</f>
        <v>325.80475200000001</v>
      </c>
      <c r="D383" s="118">
        <f>C383*1.2</f>
        <v>390.9657024</v>
      </c>
      <c r="E383" s="119"/>
      <c r="F383" s="75">
        <f>(6.627)*(10.764)</f>
        <v>71.333027999999999</v>
      </c>
      <c r="G383" s="109">
        <f t="shared" si="37"/>
        <v>560.04015600000002</v>
      </c>
      <c r="H383" s="53" t="s">
        <v>189</v>
      </c>
      <c r="I383" s="116"/>
      <c r="J383" s="117"/>
      <c r="L383" s="35">
        <f t="shared" si="33"/>
        <v>1.5</v>
      </c>
      <c r="N383" s="36">
        <f>2700000/G385</f>
        <v>4821.0828653508197</v>
      </c>
    </row>
    <row r="384" spans="1:14" ht="14.5" customHeight="1" x14ac:dyDescent="0.3">
      <c r="A384" s="394" t="s">
        <v>261</v>
      </c>
      <c r="B384" s="394"/>
      <c r="C384" s="395"/>
      <c r="D384" s="394"/>
      <c r="E384" s="394"/>
      <c r="F384" s="395"/>
      <c r="G384" s="394"/>
      <c r="H384" s="394"/>
      <c r="I384" s="394"/>
      <c r="J384" s="394"/>
      <c r="L384" s="35">
        <f t="shared" si="33"/>
        <v>1.5000000000000002</v>
      </c>
    </row>
    <row r="385" spans="1:14" ht="14.5" customHeight="1" x14ac:dyDescent="0.35">
      <c r="A385" s="54">
        <v>1</v>
      </c>
      <c r="B385" s="54" t="s">
        <v>97</v>
      </c>
      <c r="C385" s="75">
        <f>(30.268)*(10.764)</f>
        <v>325.80475200000001</v>
      </c>
      <c r="D385" s="118">
        <f>C385*1.2</f>
        <v>390.9657024</v>
      </c>
      <c r="E385" s="119"/>
      <c r="F385" s="75">
        <f>(6.627)*(10.764)</f>
        <v>71.333027999999999</v>
      </c>
      <c r="G385" s="109">
        <f t="shared" si="37"/>
        <v>560.04015600000002</v>
      </c>
      <c r="H385" s="53" t="s">
        <v>189</v>
      </c>
      <c r="I385" s="114" t="str">
        <f>A384</f>
        <v>2nd &amp; 4th Floor</v>
      </c>
      <c r="J385" s="115"/>
      <c r="L385" s="35">
        <f t="shared" si="33"/>
        <v>1.5000000000000002</v>
      </c>
    </row>
    <row r="386" spans="1:14" ht="14.5" customHeight="1" x14ac:dyDescent="0.35">
      <c r="A386" s="54">
        <v>2</v>
      </c>
      <c r="B386" s="54" t="s">
        <v>97</v>
      </c>
      <c r="C386" s="75">
        <f>(30.268)*(10.764)</f>
        <v>325.80475200000001</v>
      </c>
      <c r="D386" s="118">
        <f>C386*1.2</f>
        <v>390.9657024</v>
      </c>
      <c r="E386" s="119"/>
      <c r="F386" s="75">
        <f>(6.875)*(10.764)</f>
        <v>74.002499999999998</v>
      </c>
      <c r="G386" s="109">
        <f t="shared" si="37"/>
        <v>562.70962800000007</v>
      </c>
      <c r="H386" s="53" t="s">
        <v>189</v>
      </c>
      <c r="I386" s="273"/>
      <c r="J386" s="274"/>
      <c r="L386" s="35">
        <f t="shared" si="33"/>
        <v>1.5</v>
      </c>
    </row>
    <row r="387" spans="1:14" ht="14.5" customHeight="1" x14ac:dyDescent="0.35">
      <c r="A387" s="54">
        <v>3</v>
      </c>
      <c r="B387" s="54" t="s">
        <v>97</v>
      </c>
      <c r="C387" s="75">
        <f>(30.268)*(10.764)</f>
        <v>325.80475200000001</v>
      </c>
      <c r="D387" s="118">
        <f>C387*1.2</f>
        <v>390.9657024</v>
      </c>
      <c r="E387" s="119"/>
      <c r="F387" s="75">
        <f>(6.688)*(10.764)</f>
        <v>71.989631999999986</v>
      </c>
      <c r="G387" s="109">
        <f t="shared" si="37"/>
        <v>560.69676000000004</v>
      </c>
      <c r="H387" s="53" t="s">
        <v>189</v>
      </c>
      <c r="I387" s="273"/>
      <c r="J387" s="274"/>
      <c r="L387" s="35"/>
    </row>
    <row r="388" spans="1:14" ht="14.5" customHeight="1" x14ac:dyDescent="0.35">
      <c r="A388" s="54">
        <v>4</v>
      </c>
      <c r="B388" s="54" t="s">
        <v>97</v>
      </c>
      <c r="C388" s="75">
        <f>(30.268)*(10.764)</f>
        <v>325.80475200000001</v>
      </c>
      <c r="D388" s="118">
        <f>C388*1.2</f>
        <v>390.9657024</v>
      </c>
      <c r="E388" s="119"/>
      <c r="F388" s="75">
        <f>(6.687)*(10.764)</f>
        <v>71.978868000000006</v>
      </c>
      <c r="G388" s="109">
        <f t="shared" si="37"/>
        <v>560.68599600000005</v>
      </c>
      <c r="H388" s="53" t="s">
        <v>189</v>
      </c>
      <c r="I388" s="116"/>
      <c r="J388" s="117"/>
      <c r="L388" s="35"/>
    </row>
    <row r="389" spans="1:14" ht="15" x14ac:dyDescent="0.3">
      <c r="A389" s="120" t="s">
        <v>292</v>
      </c>
      <c r="B389" s="121"/>
      <c r="C389" s="121"/>
      <c r="D389" s="121"/>
      <c r="E389" s="121"/>
      <c r="F389" s="121"/>
      <c r="G389" s="121"/>
      <c r="H389" s="121"/>
      <c r="I389" s="121"/>
      <c r="J389" s="122"/>
      <c r="L389" s="35">
        <f t="shared" si="33"/>
        <v>1.5</v>
      </c>
    </row>
    <row r="390" spans="1:14" ht="14.5" customHeight="1" x14ac:dyDescent="0.3">
      <c r="A390" s="120" t="s">
        <v>269</v>
      </c>
      <c r="B390" s="121"/>
      <c r="C390" s="121"/>
      <c r="D390" s="121"/>
      <c r="E390" s="121"/>
      <c r="F390" s="121"/>
      <c r="G390" s="121"/>
      <c r="H390" s="121"/>
      <c r="I390" s="121"/>
      <c r="J390" s="122"/>
      <c r="K390" s="32">
        <v>2</v>
      </c>
      <c r="L390" s="35"/>
    </row>
    <row r="391" spans="1:14" ht="14.5" customHeight="1" x14ac:dyDescent="0.3">
      <c r="A391" s="53">
        <v>2</v>
      </c>
      <c r="B391" s="53" t="s">
        <v>102</v>
      </c>
      <c r="C391" s="53">
        <f>(21.803)*10.764</f>
        <v>234.68749199999999</v>
      </c>
      <c r="D391" s="123">
        <f>C391*1.2</f>
        <v>281.6249904</v>
      </c>
      <c r="E391" s="124"/>
      <c r="F391" s="53">
        <v>0</v>
      </c>
      <c r="G391" s="109">
        <f t="shared" ref="G391" si="38">C391*1.5+F391</f>
        <v>352.03123799999997</v>
      </c>
      <c r="H391" s="53" t="s">
        <v>189</v>
      </c>
      <c r="I391" s="396" t="s">
        <v>187</v>
      </c>
      <c r="J391" s="396"/>
      <c r="L391" s="35">
        <f t="shared" si="33"/>
        <v>1.4999999999999998</v>
      </c>
    </row>
    <row r="392" spans="1:14" ht="14.5" customHeight="1" x14ac:dyDescent="0.3">
      <c r="A392" s="270" t="s">
        <v>173</v>
      </c>
      <c r="B392" s="271"/>
      <c r="C392" s="121"/>
      <c r="D392" s="271"/>
      <c r="E392" s="271"/>
      <c r="F392" s="121"/>
      <c r="G392" s="271"/>
      <c r="H392" s="271"/>
      <c r="I392" s="271"/>
      <c r="J392" s="272"/>
      <c r="L392" s="35">
        <f t="shared" si="33"/>
        <v>1.4999999999999998</v>
      </c>
    </row>
    <row r="393" spans="1:14" ht="14.5" customHeight="1" x14ac:dyDescent="0.35">
      <c r="A393" s="72">
        <v>1</v>
      </c>
      <c r="B393" s="72" t="s">
        <v>102</v>
      </c>
      <c r="C393" s="75">
        <f>(22.5)*(10.764)</f>
        <v>242.19</v>
      </c>
      <c r="D393" s="118">
        <f>C393*1.2</f>
        <v>290.62799999999999</v>
      </c>
      <c r="E393" s="119"/>
      <c r="F393" s="75">
        <f>(4.977)*(10.764)</f>
        <v>53.572428000000002</v>
      </c>
      <c r="G393" s="109">
        <f t="shared" ref="G393:G394" si="39">C393*1.5+F393</f>
        <v>416.85742799999997</v>
      </c>
      <c r="H393" s="73" t="s">
        <v>189</v>
      </c>
      <c r="I393" s="114" t="str">
        <f>A392</f>
        <v>1st &amp; 3rd Floor</v>
      </c>
      <c r="J393" s="115"/>
      <c r="K393" s="32">
        <v>2</v>
      </c>
      <c r="L393" s="35"/>
    </row>
    <row r="394" spans="1:14" ht="14.5" customHeight="1" x14ac:dyDescent="0.35">
      <c r="A394" s="72">
        <v>2</v>
      </c>
      <c r="B394" s="72" t="s">
        <v>102</v>
      </c>
      <c r="C394" s="75">
        <f>(22.5)*(10.764)</f>
        <v>242.19</v>
      </c>
      <c r="D394" s="118">
        <f>C394*1.2</f>
        <v>290.62799999999999</v>
      </c>
      <c r="E394" s="119"/>
      <c r="F394" s="75">
        <f>(5.225)*(10.764)</f>
        <v>56.241899999999994</v>
      </c>
      <c r="G394" s="109">
        <f t="shared" si="39"/>
        <v>419.52689999999996</v>
      </c>
      <c r="H394" s="73" t="s">
        <v>189</v>
      </c>
      <c r="I394" s="116"/>
      <c r="J394" s="117"/>
      <c r="L394" s="35">
        <f t="shared" si="33"/>
        <v>1.5</v>
      </c>
    </row>
    <row r="395" spans="1:14" ht="14.5" customHeight="1" x14ac:dyDescent="0.35">
      <c r="A395" s="270" t="s">
        <v>261</v>
      </c>
      <c r="B395" s="271"/>
      <c r="C395" s="271"/>
      <c r="D395" s="271"/>
      <c r="E395" s="271"/>
      <c r="F395" s="271"/>
      <c r="G395" s="271"/>
      <c r="H395" s="271"/>
      <c r="I395" s="271"/>
      <c r="J395" s="272"/>
      <c r="L395" s="35">
        <f>4*2+1</f>
        <v>9</v>
      </c>
      <c r="N395" s="76">
        <f>10.764</f>
        <v>10.763999999999999</v>
      </c>
    </row>
    <row r="396" spans="1:14" ht="14.5" customHeight="1" x14ac:dyDescent="0.35">
      <c r="A396" s="54">
        <v>1</v>
      </c>
      <c r="B396" s="54" t="s">
        <v>102</v>
      </c>
      <c r="C396" s="75">
        <f>(21.803)*(10.764)</f>
        <v>234.68749199999999</v>
      </c>
      <c r="D396" s="118">
        <f>C396*1.2</f>
        <v>281.6249904</v>
      </c>
      <c r="E396" s="119"/>
      <c r="F396" s="54">
        <v>0</v>
      </c>
      <c r="G396" s="109">
        <f t="shared" ref="G396:G397" si="40">C396*1.5+F396</f>
        <v>352.03123799999997</v>
      </c>
      <c r="H396" s="53" t="s">
        <v>189</v>
      </c>
      <c r="I396" s="114" t="str">
        <f>A395</f>
        <v>2nd &amp; 4th Floor</v>
      </c>
      <c r="J396" s="115"/>
      <c r="L396" s="35"/>
    </row>
    <row r="397" spans="1:14" ht="14.5" customHeight="1" x14ac:dyDescent="0.35">
      <c r="A397" s="54">
        <v>2</v>
      </c>
      <c r="B397" s="54" t="s">
        <v>102</v>
      </c>
      <c r="C397" s="75">
        <f>(21.803)*(10.764)</f>
        <v>234.68749199999999</v>
      </c>
      <c r="D397" s="118">
        <f>C397*1.2</f>
        <v>281.6249904</v>
      </c>
      <c r="E397" s="119"/>
      <c r="F397" s="54">
        <v>0</v>
      </c>
      <c r="G397" s="109">
        <f t="shared" si="40"/>
        <v>352.03123799999997</v>
      </c>
      <c r="H397" s="53" t="s">
        <v>189</v>
      </c>
      <c r="I397" s="116"/>
      <c r="J397" s="117"/>
      <c r="L397" s="35"/>
    </row>
    <row r="398" spans="1:14" ht="14.5" customHeight="1" x14ac:dyDescent="0.3">
      <c r="A398" s="279" t="s">
        <v>303</v>
      </c>
      <c r="B398" s="280"/>
      <c r="C398" s="280"/>
      <c r="D398" s="280"/>
      <c r="E398" s="280"/>
      <c r="F398" s="280"/>
      <c r="G398" s="280"/>
      <c r="H398" s="280"/>
      <c r="I398" s="280"/>
      <c r="J398" s="281"/>
      <c r="L398" s="35"/>
    </row>
    <row r="399" spans="1:14" ht="15" x14ac:dyDescent="0.3">
      <c r="A399" s="120" t="s">
        <v>291</v>
      </c>
      <c r="B399" s="121"/>
      <c r="C399" s="121"/>
      <c r="D399" s="121"/>
      <c r="E399" s="121"/>
      <c r="F399" s="121"/>
      <c r="G399" s="121"/>
      <c r="H399" s="121"/>
      <c r="I399" s="121"/>
      <c r="J399" s="122"/>
      <c r="L399" s="35">
        <f t="shared" si="33"/>
        <v>1.5</v>
      </c>
    </row>
    <row r="400" spans="1:14" ht="15" x14ac:dyDescent="0.3">
      <c r="A400" s="120" t="s">
        <v>176</v>
      </c>
      <c r="B400" s="121"/>
      <c r="C400" s="121"/>
      <c r="D400" s="121"/>
      <c r="E400" s="121"/>
      <c r="F400" s="121"/>
      <c r="G400" s="121"/>
      <c r="H400" s="121"/>
      <c r="I400" s="121"/>
      <c r="J400" s="122"/>
      <c r="L400" s="35">
        <f t="shared" si="33"/>
        <v>1.5</v>
      </c>
    </row>
    <row r="401" spans="1:12" ht="14.5" customHeight="1" x14ac:dyDescent="0.35">
      <c r="A401" s="54">
        <v>1</v>
      </c>
      <c r="B401" s="54" t="s">
        <v>117</v>
      </c>
      <c r="C401" s="75">
        <f>(42.73)*(10.764)</f>
        <v>459.94571999999994</v>
      </c>
      <c r="D401" s="118">
        <f>C401*1.2</f>
        <v>551.93486399999995</v>
      </c>
      <c r="E401" s="119"/>
      <c r="F401" s="54">
        <v>0</v>
      </c>
      <c r="G401" s="109">
        <f t="shared" ref="G401:G402" si="41">C401*1.5+F401</f>
        <v>689.91857999999991</v>
      </c>
      <c r="H401" s="53" t="s">
        <v>189</v>
      </c>
      <c r="I401" s="114" t="s">
        <v>187</v>
      </c>
      <c r="J401" s="115"/>
      <c r="K401" s="32">
        <v>4</v>
      </c>
      <c r="L401" s="35"/>
    </row>
    <row r="402" spans="1:12" ht="14.5" customHeight="1" x14ac:dyDescent="0.35">
      <c r="A402" s="54">
        <v>2</v>
      </c>
      <c r="B402" s="54" t="s">
        <v>117</v>
      </c>
      <c r="C402" s="75">
        <f>(42.73)*(10.764)</f>
        <v>459.94571999999994</v>
      </c>
      <c r="D402" s="118">
        <f>C402*1.2</f>
        <v>551.93486399999995</v>
      </c>
      <c r="E402" s="119"/>
      <c r="F402" s="54">
        <v>0</v>
      </c>
      <c r="G402" s="109">
        <f t="shared" si="41"/>
        <v>689.91857999999991</v>
      </c>
      <c r="H402" s="53" t="s">
        <v>189</v>
      </c>
      <c r="I402" s="116"/>
      <c r="J402" s="117"/>
      <c r="L402" s="35">
        <f t="shared" si="33"/>
        <v>1.5</v>
      </c>
    </row>
    <row r="403" spans="1:12" ht="14.5" customHeight="1" x14ac:dyDescent="0.3">
      <c r="A403" s="120" t="s">
        <v>295</v>
      </c>
      <c r="B403" s="121"/>
      <c r="C403" s="121"/>
      <c r="D403" s="121"/>
      <c r="E403" s="121"/>
      <c r="F403" s="121"/>
      <c r="G403" s="121"/>
      <c r="H403" s="121"/>
      <c r="I403" s="121"/>
      <c r="J403" s="122"/>
      <c r="L403" s="35">
        <f t="shared" si="33"/>
        <v>1.5</v>
      </c>
    </row>
    <row r="404" spans="1:12" ht="14.5" customHeight="1" x14ac:dyDescent="0.35">
      <c r="A404" s="54">
        <v>1</v>
      </c>
      <c r="B404" s="54" t="s">
        <v>117</v>
      </c>
      <c r="C404" s="75">
        <f>(43.165+3.2)*(10.764)</f>
        <v>499.07285999999999</v>
      </c>
      <c r="D404" s="118">
        <f>C404*1.2</f>
        <v>598.88743199999999</v>
      </c>
      <c r="E404" s="119"/>
      <c r="F404" s="75">
        <v>0</v>
      </c>
      <c r="G404" s="109">
        <f t="shared" ref="G404:G407" si="42">C404*1.5+F404</f>
        <v>748.60928999999999</v>
      </c>
      <c r="H404" s="54" t="s">
        <v>188</v>
      </c>
      <c r="I404" s="114" t="str">
        <f>A403</f>
        <v>1st to 3th Floor</v>
      </c>
      <c r="J404" s="115"/>
      <c r="L404" s="35">
        <f t="shared" si="33"/>
        <v>1.5</v>
      </c>
    </row>
    <row r="405" spans="1:12" ht="14.5" customHeight="1" x14ac:dyDescent="0.35">
      <c r="A405" s="54">
        <v>2</v>
      </c>
      <c r="B405" s="54" t="s">
        <v>117</v>
      </c>
      <c r="C405" s="75">
        <f>(43.165+3.2)*(10.764)</f>
        <v>499.07285999999999</v>
      </c>
      <c r="D405" s="118">
        <f>C405*1.2</f>
        <v>598.88743199999999</v>
      </c>
      <c r="E405" s="119"/>
      <c r="F405" s="75">
        <v>0</v>
      </c>
      <c r="G405" s="109">
        <f t="shared" si="42"/>
        <v>748.60928999999999</v>
      </c>
      <c r="H405" s="54" t="s">
        <v>188</v>
      </c>
      <c r="I405" s="273"/>
      <c r="J405" s="274"/>
      <c r="K405" s="32">
        <f>6*4+2</f>
        <v>26</v>
      </c>
      <c r="L405" s="35">
        <f t="shared" si="33"/>
        <v>1.5</v>
      </c>
    </row>
    <row r="406" spans="1:12" ht="14.5" customHeight="1" x14ac:dyDescent="0.35">
      <c r="A406" s="54">
        <v>3</v>
      </c>
      <c r="B406" s="54" t="s">
        <v>117</v>
      </c>
      <c r="C406" s="75">
        <f>(43.165+3.2)*(10.764)</f>
        <v>499.07285999999999</v>
      </c>
      <c r="D406" s="118">
        <f>C406*1.2</f>
        <v>598.88743199999999</v>
      </c>
      <c r="E406" s="119"/>
      <c r="F406" s="75">
        <v>0</v>
      </c>
      <c r="G406" s="109">
        <f t="shared" si="42"/>
        <v>748.60928999999999</v>
      </c>
      <c r="H406" s="77" t="s">
        <v>188</v>
      </c>
      <c r="I406" s="273"/>
      <c r="J406" s="274"/>
      <c r="K406" s="32">
        <v>1</v>
      </c>
      <c r="L406" s="35"/>
    </row>
    <row r="407" spans="1:12" ht="14.5" customHeight="1" x14ac:dyDescent="0.35">
      <c r="A407" s="54">
        <v>4</v>
      </c>
      <c r="B407" s="54" t="s">
        <v>117</v>
      </c>
      <c r="C407" s="75">
        <f>(43.165+3.2)*(10.764)</f>
        <v>499.07285999999999</v>
      </c>
      <c r="D407" s="118">
        <f>C407*1.2</f>
        <v>598.88743199999999</v>
      </c>
      <c r="E407" s="119"/>
      <c r="F407" s="75">
        <v>0</v>
      </c>
      <c r="G407" s="109">
        <f t="shared" si="42"/>
        <v>748.60928999999999</v>
      </c>
      <c r="H407" s="77" t="s">
        <v>188</v>
      </c>
      <c r="I407" s="116"/>
      <c r="J407" s="117"/>
      <c r="L407" s="35">
        <f>(G414-F414)/C414</f>
        <v>1.3346407279573267</v>
      </c>
    </row>
    <row r="408" spans="1:12" ht="14.5" customHeight="1" x14ac:dyDescent="0.3">
      <c r="A408" s="120" t="s">
        <v>172</v>
      </c>
      <c r="B408" s="121"/>
      <c r="C408" s="121"/>
      <c r="D408" s="121"/>
      <c r="E408" s="121"/>
      <c r="F408" s="121"/>
      <c r="G408" s="121"/>
      <c r="H408" s="121"/>
      <c r="I408" s="121"/>
      <c r="J408" s="122"/>
      <c r="L408" s="35">
        <f>(G415-F415)/C415</f>
        <v>1.3346407279573267</v>
      </c>
    </row>
    <row r="409" spans="1:12" ht="14.5" customHeight="1" x14ac:dyDescent="0.35">
      <c r="A409" s="77">
        <v>1</v>
      </c>
      <c r="B409" s="77" t="s">
        <v>117</v>
      </c>
      <c r="C409" s="75">
        <f>(43.165+3.2)*(10.764)</f>
        <v>499.07285999999999</v>
      </c>
      <c r="D409" s="118">
        <f>C409*1.2</f>
        <v>598.88743199999999</v>
      </c>
      <c r="E409" s="119"/>
      <c r="F409" s="75">
        <v>0</v>
      </c>
      <c r="G409" s="109">
        <f t="shared" ref="G409:G412" si="43">C409*1.5+F409</f>
        <v>748.60928999999999</v>
      </c>
      <c r="H409" s="77" t="s">
        <v>188</v>
      </c>
      <c r="I409" s="114" t="str">
        <f>A408</f>
        <v>4th Floor</v>
      </c>
      <c r="J409" s="115"/>
      <c r="L409" s="35">
        <f t="shared" ref="L409:L424" si="44">(G416-F416)/C416</f>
        <v>1.5</v>
      </c>
    </row>
    <row r="410" spans="1:12" ht="14.5" customHeight="1" x14ac:dyDescent="0.35">
      <c r="A410" s="77">
        <v>2</v>
      </c>
      <c r="B410" s="77" t="s">
        <v>117</v>
      </c>
      <c r="C410" s="75">
        <f>(43.165+3.2)*(10.764)</f>
        <v>499.07285999999999</v>
      </c>
      <c r="D410" s="118">
        <f>C410*1.2</f>
        <v>598.88743199999999</v>
      </c>
      <c r="E410" s="119"/>
      <c r="F410" s="75">
        <v>0</v>
      </c>
      <c r="G410" s="109">
        <f t="shared" si="43"/>
        <v>748.60928999999999</v>
      </c>
      <c r="H410" s="77" t="s">
        <v>188</v>
      </c>
      <c r="I410" s="273"/>
      <c r="J410" s="274"/>
      <c r="L410" s="35">
        <f t="shared" si="44"/>
        <v>1.5</v>
      </c>
    </row>
    <row r="411" spans="1:12" ht="14.5" customHeight="1" x14ac:dyDescent="0.35">
      <c r="A411" s="77">
        <v>3</v>
      </c>
      <c r="B411" s="77" t="s">
        <v>117</v>
      </c>
      <c r="C411" s="75">
        <f>(43.165+3.2)*(10.764)</f>
        <v>499.07285999999999</v>
      </c>
      <c r="D411" s="118">
        <f>C411*1.2</f>
        <v>598.88743199999999</v>
      </c>
      <c r="E411" s="119"/>
      <c r="F411" s="75">
        <v>0</v>
      </c>
      <c r="G411" s="109">
        <f t="shared" si="43"/>
        <v>748.60928999999999</v>
      </c>
      <c r="H411" s="77" t="s">
        <v>293</v>
      </c>
      <c r="I411" s="273"/>
      <c r="J411" s="274"/>
      <c r="K411" s="32">
        <v>2</v>
      </c>
      <c r="L411" s="35"/>
    </row>
    <row r="412" spans="1:12" ht="14.5" customHeight="1" x14ac:dyDescent="0.35">
      <c r="A412" s="77">
        <v>4</v>
      </c>
      <c r="B412" s="77" t="s">
        <v>117</v>
      </c>
      <c r="C412" s="75">
        <f>(43.165+3.2)*(10.764)</f>
        <v>499.07285999999999</v>
      </c>
      <c r="D412" s="118">
        <f>C412*1.2</f>
        <v>598.88743199999999</v>
      </c>
      <c r="E412" s="119"/>
      <c r="F412" s="75">
        <v>0</v>
      </c>
      <c r="G412" s="109">
        <f t="shared" si="43"/>
        <v>748.60928999999999</v>
      </c>
      <c r="H412" s="77" t="s">
        <v>293</v>
      </c>
      <c r="I412" s="116"/>
      <c r="J412" s="117"/>
      <c r="L412" s="35">
        <f t="shared" si="44"/>
        <v>1.5000000000000002</v>
      </c>
    </row>
    <row r="413" spans="1:12" ht="14.5" customHeight="1" x14ac:dyDescent="0.3">
      <c r="A413" s="391" t="s">
        <v>262</v>
      </c>
      <c r="B413" s="392"/>
      <c r="C413" s="392"/>
      <c r="D413" s="392"/>
      <c r="E413" s="392"/>
      <c r="F413" s="392"/>
      <c r="G413" s="392"/>
      <c r="H413" s="392"/>
      <c r="I413" s="392"/>
      <c r="J413" s="393"/>
      <c r="L413" s="35">
        <f t="shared" si="44"/>
        <v>1.5000000000000002</v>
      </c>
    </row>
    <row r="414" spans="1:12" ht="14.5" customHeight="1" x14ac:dyDescent="0.35">
      <c r="A414" s="78">
        <v>1</v>
      </c>
      <c r="B414" s="78" t="s">
        <v>97</v>
      </c>
      <c r="C414" s="84">
        <f>(31.87)*(10.764)</f>
        <v>343.04867999999999</v>
      </c>
      <c r="D414" s="123">
        <f>C414*1.2</f>
        <v>411.65841599999999</v>
      </c>
      <c r="E414" s="124"/>
      <c r="F414" s="84">
        <f>(2.7*3.2+1.9*1)*(10.764)</f>
        <v>113.45256000000001</v>
      </c>
      <c r="G414" s="109">
        <f>C414*1.5+F414/2</f>
        <v>571.29930000000002</v>
      </c>
      <c r="H414" s="78" t="s">
        <v>189</v>
      </c>
      <c r="I414" s="385" t="str">
        <f>A413</f>
        <v>5th Floor</v>
      </c>
      <c r="J414" s="386"/>
      <c r="L414" s="35">
        <f t="shared" si="44"/>
        <v>1.5</v>
      </c>
    </row>
    <row r="415" spans="1:12" ht="14.5" customHeight="1" x14ac:dyDescent="0.35">
      <c r="A415" s="78">
        <v>2</v>
      </c>
      <c r="B415" s="78" t="s">
        <v>97</v>
      </c>
      <c r="C415" s="84">
        <f>(31.87)*(10.764)</f>
        <v>343.04867999999999</v>
      </c>
      <c r="D415" s="123">
        <f>C415*1.2</f>
        <v>411.65841599999999</v>
      </c>
      <c r="E415" s="124"/>
      <c r="F415" s="84">
        <f>(2.7*3.2+1.9*1)*(10.764)</f>
        <v>113.45256000000001</v>
      </c>
      <c r="G415" s="109">
        <f>C415*1.5+F415/2</f>
        <v>571.29930000000002</v>
      </c>
      <c r="H415" s="78" t="s">
        <v>189</v>
      </c>
      <c r="I415" s="387"/>
      <c r="J415" s="388"/>
      <c r="L415" s="35">
        <f t="shared" si="44"/>
        <v>1.5</v>
      </c>
    </row>
    <row r="416" spans="1:12" ht="14.5" customHeight="1" x14ac:dyDescent="0.35">
      <c r="A416" s="78">
        <v>3</v>
      </c>
      <c r="B416" s="78" t="s">
        <v>117</v>
      </c>
      <c r="C416" s="84">
        <f>(43.165+3.2)*(10.764)</f>
        <v>499.07285999999999</v>
      </c>
      <c r="D416" s="123">
        <f>C416*1.2</f>
        <v>598.88743199999999</v>
      </c>
      <c r="E416" s="124"/>
      <c r="F416" s="78">
        <v>0</v>
      </c>
      <c r="G416" s="109">
        <f t="shared" ref="G416:G417" si="45">C416*1.5+F416</f>
        <v>748.60928999999999</v>
      </c>
      <c r="H416" s="78" t="s">
        <v>189</v>
      </c>
      <c r="I416" s="387"/>
      <c r="J416" s="388"/>
      <c r="L416" s="35"/>
    </row>
    <row r="417" spans="1:12" ht="14.5" customHeight="1" x14ac:dyDescent="0.35">
      <c r="A417" s="78">
        <v>4</v>
      </c>
      <c r="B417" s="78" t="s">
        <v>117</v>
      </c>
      <c r="C417" s="84">
        <f>(43.165+3.2)*(10.764)</f>
        <v>499.07285999999999</v>
      </c>
      <c r="D417" s="123">
        <f>C417*1.2</f>
        <v>598.88743199999999</v>
      </c>
      <c r="E417" s="124"/>
      <c r="F417" s="78">
        <v>0</v>
      </c>
      <c r="G417" s="109">
        <f t="shared" si="45"/>
        <v>748.60928999999999</v>
      </c>
      <c r="H417" s="78" t="s">
        <v>189</v>
      </c>
      <c r="I417" s="389"/>
      <c r="J417" s="390"/>
      <c r="L417" s="35"/>
    </row>
    <row r="418" spans="1:12" ht="15" x14ac:dyDescent="0.3">
      <c r="A418" s="120" t="s">
        <v>270</v>
      </c>
      <c r="B418" s="121"/>
      <c r="C418" s="121"/>
      <c r="D418" s="121"/>
      <c r="E418" s="121"/>
      <c r="F418" s="121"/>
      <c r="G418" s="121"/>
      <c r="H418" s="121"/>
      <c r="I418" s="121"/>
      <c r="J418" s="122"/>
      <c r="L418" s="35">
        <f t="shared" si="44"/>
        <v>1.5</v>
      </c>
    </row>
    <row r="419" spans="1:12" ht="15.5" x14ac:dyDescent="0.35">
      <c r="A419" s="53">
        <v>1</v>
      </c>
      <c r="B419" s="70" t="s">
        <v>97</v>
      </c>
      <c r="C419" s="75">
        <f>(31.87)*(10.764)</f>
        <v>343.04867999999999</v>
      </c>
      <c r="D419" s="123">
        <f>C419*1.2</f>
        <v>411.65841599999999</v>
      </c>
      <c r="E419" s="124"/>
      <c r="F419" s="53">
        <v>0</v>
      </c>
      <c r="G419" s="109">
        <f t="shared" ref="G419:G422" si="46">C419*1.5+F419</f>
        <v>514.57302000000004</v>
      </c>
      <c r="H419" s="53" t="s">
        <v>189</v>
      </c>
      <c r="I419" s="385" t="str">
        <f>A418</f>
        <v>6th &amp; 7th Floor</v>
      </c>
      <c r="J419" s="386"/>
      <c r="L419" s="35">
        <f t="shared" si="44"/>
        <v>1.5</v>
      </c>
    </row>
    <row r="420" spans="1:12" ht="15.5" x14ac:dyDescent="0.35">
      <c r="A420" s="53">
        <v>2</v>
      </c>
      <c r="B420" s="77" t="s">
        <v>97</v>
      </c>
      <c r="C420" s="75">
        <f>(31.87)*(10.764)</f>
        <v>343.04867999999999</v>
      </c>
      <c r="D420" s="123">
        <f>C420*1.2</f>
        <v>411.65841599999999</v>
      </c>
      <c r="E420" s="124"/>
      <c r="F420" s="53">
        <v>0</v>
      </c>
      <c r="G420" s="109">
        <f t="shared" si="46"/>
        <v>514.57302000000004</v>
      </c>
      <c r="H420" s="53" t="s">
        <v>189</v>
      </c>
      <c r="I420" s="387"/>
      <c r="J420" s="388"/>
      <c r="K420" s="32">
        <v>4</v>
      </c>
      <c r="L420" s="35"/>
    </row>
    <row r="421" spans="1:12" ht="14.5" customHeight="1" x14ac:dyDescent="0.35">
      <c r="A421" s="53">
        <v>3</v>
      </c>
      <c r="B421" s="70" t="s">
        <v>117</v>
      </c>
      <c r="C421" s="75">
        <f>(43.165+3.2)*(10.764)</f>
        <v>499.07285999999999</v>
      </c>
      <c r="D421" s="123">
        <f>C421*1.2</f>
        <v>598.88743199999999</v>
      </c>
      <c r="E421" s="124"/>
      <c r="F421" s="53">
        <v>0</v>
      </c>
      <c r="G421" s="109">
        <f t="shared" si="46"/>
        <v>748.60928999999999</v>
      </c>
      <c r="H421" s="53" t="s">
        <v>189</v>
      </c>
      <c r="I421" s="387"/>
      <c r="J421" s="388"/>
      <c r="L421" s="35">
        <f t="shared" si="44"/>
        <v>1.5</v>
      </c>
    </row>
    <row r="422" spans="1:12" ht="14.5" customHeight="1" x14ac:dyDescent="0.35">
      <c r="A422" s="53">
        <v>4</v>
      </c>
      <c r="B422" s="70" t="s">
        <v>117</v>
      </c>
      <c r="C422" s="75">
        <f>(43.165+3.2)*(10.764)</f>
        <v>499.07285999999999</v>
      </c>
      <c r="D422" s="123">
        <f>C422*1.2</f>
        <v>598.88743199999999</v>
      </c>
      <c r="E422" s="124"/>
      <c r="F422" s="53">
        <v>0</v>
      </c>
      <c r="G422" s="109">
        <f t="shared" si="46"/>
        <v>748.60928999999999</v>
      </c>
      <c r="H422" s="53" t="s">
        <v>189</v>
      </c>
      <c r="I422" s="389"/>
      <c r="J422" s="390"/>
      <c r="L422" s="35">
        <f t="shared" si="44"/>
        <v>1.5</v>
      </c>
    </row>
    <row r="423" spans="1:12" ht="14.5" customHeight="1" x14ac:dyDescent="0.3">
      <c r="A423" s="120" t="s">
        <v>288</v>
      </c>
      <c r="B423" s="121"/>
      <c r="C423" s="121"/>
      <c r="D423" s="121"/>
      <c r="E423" s="121"/>
      <c r="F423" s="121"/>
      <c r="G423" s="121"/>
      <c r="H423" s="121"/>
      <c r="I423" s="121"/>
      <c r="J423" s="122"/>
      <c r="L423" s="35">
        <f t="shared" si="44"/>
        <v>1.5</v>
      </c>
    </row>
    <row r="424" spans="1:12" ht="14.5" customHeight="1" x14ac:dyDescent="0.3">
      <c r="A424" s="120" t="s">
        <v>176</v>
      </c>
      <c r="B424" s="121"/>
      <c r="C424" s="121"/>
      <c r="D424" s="121"/>
      <c r="E424" s="121"/>
      <c r="F424" s="121"/>
      <c r="G424" s="121"/>
      <c r="H424" s="121"/>
      <c r="I424" s="121"/>
      <c r="J424" s="122"/>
      <c r="L424" s="35">
        <f t="shared" si="44"/>
        <v>1.5</v>
      </c>
    </row>
    <row r="425" spans="1:12" ht="14.5" customHeight="1" x14ac:dyDescent="0.35">
      <c r="A425" s="54">
        <v>1</v>
      </c>
      <c r="B425" s="54" t="s">
        <v>117</v>
      </c>
      <c r="C425" s="75">
        <f>(42.73)*(10.764)</f>
        <v>459.94571999999994</v>
      </c>
      <c r="D425" s="118">
        <f>C425*1.2</f>
        <v>551.93486399999995</v>
      </c>
      <c r="E425" s="119"/>
      <c r="F425" s="54">
        <v>0</v>
      </c>
      <c r="G425" s="109">
        <f t="shared" ref="G425:G426" si="47">C425*1.5+F425</f>
        <v>689.91857999999991</v>
      </c>
      <c r="H425" s="53" t="s">
        <v>189</v>
      </c>
      <c r="I425" s="114" t="s">
        <v>187</v>
      </c>
      <c r="J425" s="115"/>
      <c r="K425" s="32">
        <v>1</v>
      </c>
      <c r="L425" s="35"/>
    </row>
    <row r="426" spans="1:12" ht="14.5" customHeight="1" x14ac:dyDescent="0.35">
      <c r="A426" s="54">
        <v>2</v>
      </c>
      <c r="B426" s="54" t="s">
        <v>117</v>
      </c>
      <c r="C426" s="75">
        <f>(42.73)*(10.764)</f>
        <v>459.94571999999994</v>
      </c>
      <c r="D426" s="118">
        <f>C426*1.2</f>
        <v>551.93486399999995</v>
      </c>
      <c r="E426" s="119"/>
      <c r="F426" s="54">
        <v>0</v>
      </c>
      <c r="G426" s="109">
        <f t="shared" si="47"/>
        <v>689.91857999999991</v>
      </c>
      <c r="H426" s="53" t="s">
        <v>189</v>
      </c>
      <c r="I426" s="116"/>
      <c r="J426" s="117"/>
      <c r="L426" s="35">
        <f>(G438-F438)/C438</f>
        <v>1.3346407279573267</v>
      </c>
    </row>
    <row r="427" spans="1:12" ht="14.5" customHeight="1" x14ac:dyDescent="0.3">
      <c r="A427" s="120" t="s">
        <v>296</v>
      </c>
      <c r="B427" s="121"/>
      <c r="C427" s="121"/>
      <c r="D427" s="121"/>
      <c r="E427" s="121"/>
      <c r="F427" s="121"/>
      <c r="G427" s="121"/>
      <c r="H427" s="121"/>
      <c r="I427" s="121"/>
      <c r="J427" s="122"/>
      <c r="L427" s="35">
        <f>(G439-F439)/C439</f>
        <v>1.3346407279573267</v>
      </c>
    </row>
    <row r="428" spans="1:12" ht="14.5" customHeight="1" x14ac:dyDescent="0.35">
      <c r="A428" s="54">
        <v>1</v>
      </c>
      <c r="B428" s="54" t="s">
        <v>117</v>
      </c>
      <c r="C428" s="75">
        <f>(43.165+3.2)*(10.764)</f>
        <v>499.07285999999999</v>
      </c>
      <c r="D428" s="118">
        <f>C428*1.2</f>
        <v>598.88743199999999</v>
      </c>
      <c r="E428" s="119"/>
      <c r="F428" s="54">
        <v>0</v>
      </c>
      <c r="G428" s="109">
        <f t="shared" ref="G428:G431" si="48">C428*1.5+F428</f>
        <v>748.60928999999999</v>
      </c>
      <c r="H428" s="54" t="s">
        <v>188</v>
      </c>
      <c r="I428" s="114" t="str">
        <f>A427</f>
        <v>1st to 3rd Floor</v>
      </c>
      <c r="J428" s="115"/>
      <c r="L428" s="35">
        <f>(G440-F440)/C440</f>
        <v>1.5</v>
      </c>
    </row>
    <row r="429" spans="1:12" ht="14.5" customHeight="1" x14ac:dyDescent="0.35">
      <c r="A429" s="54">
        <v>2</v>
      </c>
      <c r="B429" s="54" t="s">
        <v>117</v>
      </c>
      <c r="C429" s="75">
        <f>(43.165+3.2)*(10.764)</f>
        <v>499.07285999999999</v>
      </c>
      <c r="D429" s="118">
        <f>C429*1.2</f>
        <v>598.88743199999999</v>
      </c>
      <c r="E429" s="119"/>
      <c r="F429" s="54">
        <v>0</v>
      </c>
      <c r="G429" s="109">
        <f t="shared" si="48"/>
        <v>748.60928999999999</v>
      </c>
      <c r="H429" s="54" t="s">
        <v>188</v>
      </c>
      <c r="I429" s="273"/>
      <c r="J429" s="274"/>
      <c r="L429" s="35">
        <f>(G441-F441)/C441</f>
        <v>1.5</v>
      </c>
    </row>
    <row r="430" spans="1:12" ht="14.5" customHeight="1" x14ac:dyDescent="0.35">
      <c r="A430" s="54">
        <v>3</v>
      </c>
      <c r="B430" s="54" t="s">
        <v>117</v>
      </c>
      <c r="C430" s="75">
        <f>(43.165+3.2)*(10.764)</f>
        <v>499.07285999999999</v>
      </c>
      <c r="D430" s="118">
        <f>C430*1.2</f>
        <v>598.88743199999999</v>
      </c>
      <c r="E430" s="119"/>
      <c r="F430" s="54">
        <v>0</v>
      </c>
      <c r="G430" s="109">
        <f t="shared" si="48"/>
        <v>748.60928999999999</v>
      </c>
      <c r="H430" s="77" t="s">
        <v>188</v>
      </c>
      <c r="I430" s="273"/>
      <c r="J430" s="274"/>
      <c r="K430" s="32">
        <v>2</v>
      </c>
      <c r="L430" s="35"/>
    </row>
    <row r="431" spans="1:12" ht="14.5" customHeight="1" x14ac:dyDescent="0.35">
      <c r="A431" s="54">
        <v>4</v>
      </c>
      <c r="B431" s="77" t="s">
        <v>117</v>
      </c>
      <c r="C431" s="75">
        <f>(43.165+3.2)*(10.764)</f>
        <v>499.07285999999999</v>
      </c>
      <c r="D431" s="118">
        <f>C431*1.2</f>
        <v>598.88743199999999</v>
      </c>
      <c r="E431" s="119"/>
      <c r="F431" s="54">
        <v>0</v>
      </c>
      <c r="G431" s="109">
        <f t="shared" si="48"/>
        <v>748.60928999999999</v>
      </c>
      <c r="H431" s="54" t="s">
        <v>188</v>
      </c>
      <c r="I431" s="116"/>
      <c r="J431" s="117"/>
      <c r="L431" s="35">
        <f>(G443-F443)/C443</f>
        <v>1.5000000000000002</v>
      </c>
    </row>
    <row r="432" spans="1:12" ht="14.5" customHeight="1" x14ac:dyDescent="0.3">
      <c r="A432" s="120" t="s">
        <v>297</v>
      </c>
      <c r="B432" s="121"/>
      <c r="C432" s="121"/>
      <c r="D432" s="121"/>
      <c r="E432" s="121"/>
      <c r="F432" s="121"/>
      <c r="G432" s="121"/>
      <c r="H432" s="121"/>
      <c r="I432" s="121"/>
      <c r="J432" s="122"/>
      <c r="L432" s="35">
        <f>(G444-F444)/C444</f>
        <v>1.5000000000000002</v>
      </c>
    </row>
    <row r="433" spans="1:15" ht="14.5" customHeight="1" x14ac:dyDescent="0.35">
      <c r="A433" s="77">
        <v>1</v>
      </c>
      <c r="B433" s="77" t="s">
        <v>117</v>
      </c>
      <c r="C433" s="75">
        <f>(43.165+3.2)*(10.764)</f>
        <v>499.07285999999999</v>
      </c>
      <c r="D433" s="118">
        <f>C433*1.2</f>
        <v>598.88743199999999</v>
      </c>
      <c r="E433" s="119"/>
      <c r="F433" s="77">
        <v>0</v>
      </c>
      <c r="G433" s="109">
        <f t="shared" ref="G433:G436" si="49">C433*1.5+F433</f>
        <v>748.60928999999999</v>
      </c>
      <c r="H433" s="77" t="s">
        <v>188</v>
      </c>
      <c r="I433" s="114" t="str">
        <f>A432</f>
        <v xml:space="preserve"> 4th Floor</v>
      </c>
      <c r="J433" s="115"/>
      <c r="L433" s="35">
        <f>(G445-F445)/C445</f>
        <v>1.5</v>
      </c>
    </row>
    <row r="434" spans="1:15" ht="14.5" customHeight="1" x14ac:dyDescent="0.35">
      <c r="A434" s="77">
        <v>2</v>
      </c>
      <c r="B434" s="77" t="s">
        <v>117</v>
      </c>
      <c r="C434" s="75">
        <f>(43.165+3.2)*(10.764)</f>
        <v>499.07285999999999</v>
      </c>
      <c r="D434" s="118">
        <f>C434*1.2</f>
        <v>598.88743199999999</v>
      </c>
      <c r="E434" s="119"/>
      <c r="F434" s="77">
        <v>0</v>
      </c>
      <c r="G434" s="109">
        <f t="shared" si="49"/>
        <v>748.60928999999999</v>
      </c>
      <c r="H434" s="77" t="s">
        <v>188</v>
      </c>
      <c r="I434" s="273"/>
      <c r="J434" s="274"/>
      <c r="L434" s="35">
        <f>(G446-F446)/C446</f>
        <v>1.5</v>
      </c>
    </row>
    <row r="435" spans="1:15" ht="15.5" x14ac:dyDescent="0.35">
      <c r="A435" s="77">
        <v>3</v>
      </c>
      <c r="B435" s="77" t="s">
        <v>117</v>
      </c>
      <c r="C435" s="75">
        <f>(43.165+3.2)*(10.764)</f>
        <v>499.07285999999999</v>
      </c>
      <c r="D435" s="118">
        <f>C435*1.2</f>
        <v>598.88743199999999</v>
      </c>
      <c r="E435" s="119"/>
      <c r="F435" s="77">
        <v>0</v>
      </c>
      <c r="G435" s="109">
        <f t="shared" si="49"/>
        <v>748.60928999999999</v>
      </c>
      <c r="H435" s="77" t="s">
        <v>293</v>
      </c>
      <c r="I435" s="273"/>
      <c r="J435" s="274"/>
      <c r="O435" s="32" t="s">
        <v>252</v>
      </c>
    </row>
    <row r="436" spans="1:15" ht="15.5" x14ac:dyDescent="0.35">
      <c r="A436" s="77">
        <v>4</v>
      </c>
      <c r="B436" s="77" t="s">
        <v>117</v>
      </c>
      <c r="C436" s="75">
        <f>(43.165+3.2)*(10.764)</f>
        <v>499.07285999999999</v>
      </c>
      <c r="D436" s="118">
        <f>C436*1.2</f>
        <v>598.88743199999999</v>
      </c>
      <c r="E436" s="119"/>
      <c r="F436" s="77">
        <v>0</v>
      </c>
      <c r="G436" s="109">
        <f t="shared" si="49"/>
        <v>748.60928999999999</v>
      </c>
      <c r="H436" s="77" t="s">
        <v>188</v>
      </c>
      <c r="I436" s="116"/>
      <c r="J436" s="117"/>
    </row>
    <row r="437" spans="1:15" ht="15" x14ac:dyDescent="0.3">
      <c r="A437" s="120" t="s">
        <v>262</v>
      </c>
      <c r="B437" s="121"/>
      <c r="C437" s="121"/>
      <c r="D437" s="121"/>
      <c r="E437" s="121"/>
      <c r="F437" s="121"/>
      <c r="G437" s="121"/>
      <c r="H437" s="121"/>
      <c r="I437" s="121"/>
      <c r="J437" s="122"/>
    </row>
    <row r="438" spans="1:15" ht="15.5" x14ac:dyDescent="0.35">
      <c r="A438" s="53">
        <v>1</v>
      </c>
      <c r="B438" s="53" t="s">
        <v>97</v>
      </c>
      <c r="C438" s="75">
        <f>(31.87)*(10.764)</f>
        <v>343.04867999999999</v>
      </c>
      <c r="D438" s="123">
        <f>C438*1.2</f>
        <v>411.65841599999999</v>
      </c>
      <c r="E438" s="124"/>
      <c r="F438" s="84">
        <f>(2.7*3.2+1.9*1)*(10.764)</f>
        <v>113.45256000000001</v>
      </c>
      <c r="G438" s="109">
        <f>C438*1.5+F438/2</f>
        <v>571.29930000000002</v>
      </c>
      <c r="H438" s="54" t="s">
        <v>189</v>
      </c>
      <c r="I438" s="385" t="str">
        <f>A437</f>
        <v>5th Floor</v>
      </c>
      <c r="J438" s="386"/>
    </row>
    <row r="439" spans="1:15" ht="16.5" customHeight="1" x14ac:dyDescent="0.35">
      <c r="A439" s="53">
        <v>2</v>
      </c>
      <c r="B439" s="69" t="s">
        <v>97</v>
      </c>
      <c r="C439" s="75">
        <f>(31.87)*(10.764)</f>
        <v>343.04867999999999</v>
      </c>
      <c r="D439" s="123">
        <f>C439*1.2</f>
        <v>411.65841599999999</v>
      </c>
      <c r="E439" s="124"/>
      <c r="F439" s="84">
        <f>(2.7*3.2+1.9*1)*(10.764)</f>
        <v>113.45256000000001</v>
      </c>
      <c r="G439" s="109">
        <f>C439*1.5+F439/2</f>
        <v>571.29930000000002</v>
      </c>
      <c r="H439" s="70" t="s">
        <v>189</v>
      </c>
      <c r="I439" s="387"/>
      <c r="J439" s="388"/>
      <c r="L439" s="32">
        <f>4*7+2</f>
        <v>30</v>
      </c>
    </row>
    <row r="440" spans="1:15" ht="15.75" customHeight="1" x14ac:dyDescent="0.35">
      <c r="A440" s="53">
        <v>3</v>
      </c>
      <c r="B440" s="53" t="s">
        <v>117</v>
      </c>
      <c r="C440" s="75">
        <f>(43.165+3.2)*(10.764)</f>
        <v>499.07285999999999</v>
      </c>
      <c r="D440" s="123">
        <f>C440*1.2</f>
        <v>598.88743199999999</v>
      </c>
      <c r="E440" s="124"/>
      <c r="F440" s="53">
        <v>0</v>
      </c>
      <c r="G440" s="109">
        <f t="shared" ref="G440:G441" si="50">C440*1.5+F440</f>
        <v>748.60928999999999</v>
      </c>
      <c r="H440" s="70" t="s">
        <v>189</v>
      </c>
      <c r="I440" s="387"/>
      <c r="J440" s="388"/>
    </row>
    <row r="441" spans="1:15" ht="15.5" x14ac:dyDescent="0.35">
      <c r="A441" s="53">
        <v>4</v>
      </c>
      <c r="B441" s="53" t="s">
        <v>117</v>
      </c>
      <c r="C441" s="75">
        <f>(43.165+3.2)*(10.764)</f>
        <v>499.07285999999999</v>
      </c>
      <c r="D441" s="123">
        <f>C441*1.2</f>
        <v>598.88743199999999</v>
      </c>
      <c r="E441" s="124"/>
      <c r="F441" s="53">
        <v>0</v>
      </c>
      <c r="G441" s="109">
        <f t="shared" si="50"/>
        <v>748.60928999999999</v>
      </c>
      <c r="H441" s="70" t="s">
        <v>189</v>
      </c>
      <c r="I441" s="389"/>
      <c r="J441" s="390"/>
    </row>
    <row r="442" spans="1:15" ht="15" x14ac:dyDescent="0.3">
      <c r="A442" s="120" t="s">
        <v>270</v>
      </c>
      <c r="B442" s="121"/>
      <c r="C442" s="121"/>
      <c r="D442" s="121"/>
      <c r="E442" s="121"/>
      <c r="F442" s="121"/>
      <c r="G442" s="121"/>
      <c r="H442" s="121"/>
      <c r="I442" s="121"/>
      <c r="J442" s="122"/>
    </row>
    <row r="443" spans="1:15" ht="15.5" x14ac:dyDescent="0.35">
      <c r="A443" s="53">
        <v>1</v>
      </c>
      <c r="B443" s="78" t="s">
        <v>97</v>
      </c>
      <c r="C443" s="75">
        <f>(31.87)*(10.764)</f>
        <v>343.04867999999999</v>
      </c>
      <c r="D443" s="123">
        <f>C443*1.2</f>
        <v>411.65841599999999</v>
      </c>
      <c r="E443" s="124"/>
      <c r="F443" s="53">
        <v>0</v>
      </c>
      <c r="G443" s="109">
        <f t="shared" ref="G443:G446" si="51">C443*1.5+F443</f>
        <v>514.57302000000004</v>
      </c>
      <c r="H443" s="53" t="s">
        <v>189</v>
      </c>
      <c r="I443" s="385" t="str">
        <f>A442</f>
        <v>6th &amp; 7th Floor</v>
      </c>
      <c r="J443" s="386"/>
    </row>
    <row r="444" spans="1:15" ht="15" customHeight="1" x14ac:dyDescent="0.35">
      <c r="A444" s="53">
        <v>2</v>
      </c>
      <c r="B444" s="78" t="s">
        <v>97</v>
      </c>
      <c r="C444" s="75">
        <f>(31.87)*(10.764)</f>
        <v>343.04867999999999</v>
      </c>
      <c r="D444" s="123">
        <f>C444*1.2</f>
        <v>411.65841599999999</v>
      </c>
      <c r="E444" s="124"/>
      <c r="F444" s="53">
        <v>0</v>
      </c>
      <c r="G444" s="109">
        <f>C444*1.5+F444</f>
        <v>514.57302000000004</v>
      </c>
      <c r="H444" s="69" t="s">
        <v>189</v>
      </c>
      <c r="I444" s="387"/>
      <c r="J444" s="388"/>
    </row>
    <row r="445" spans="1:15" ht="15.5" x14ac:dyDescent="0.35">
      <c r="A445" s="53">
        <v>3</v>
      </c>
      <c r="B445" s="53" t="s">
        <v>117</v>
      </c>
      <c r="C445" s="75">
        <f>(43.165+3.2)*(10.764)</f>
        <v>499.07285999999999</v>
      </c>
      <c r="D445" s="123">
        <f>C445*1.2</f>
        <v>598.88743199999999</v>
      </c>
      <c r="E445" s="124"/>
      <c r="F445" s="53">
        <v>0</v>
      </c>
      <c r="G445" s="109">
        <f t="shared" si="51"/>
        <v>748.60928999999999</v>
      </c>
      <c r="H445" s="69" t="s">
        <v>189</v>
      </c>
      <c r="I445" s="387"/>
      <c r="J445" s="388"/>
      <c r="M445" s="32">
        <f>18+18+8+16+24+18+18+9+16+12+20+20+9+26+26</f>
        <v>258</v>
      </c>
    </row>
    <row r="446" spans="1:15" ht="15.5" x14ac:dyDescent="0.35">
      <c r="A446" s="53">
        <v>4</v>
      </c>
      <c r="B446" s="53" t="s">
        <v>117</v>
      </c>
      <c r="C446" s="75">
        <f>(43.165+3.2)*(10.764)</f>
        <v>499.07285999999999</v>
      </c>
      <c r="D446" s="123">
        <f>C446*1.2</f>
        <v>598.88743199999999</v>
      </c>
      <c r="E446" s="124"/>
      <c r="F446" s="53">
        <v>0</v>
      </c>
      <c r="G446" s="109">
        <f t="shared" si="51"/>
        <v>748.60928999999999</v>
      </c>
      <c r="H446" s="69" t="s">
        <v>189</v>
      </c>
      <c r="I446" s="389"/>
      <c r="J446" s="390"/>
    </row>
    <row r="447" spans="1:15" ht="172.5" customHeight="1" x14ac:dyDescent="0.3">
      <c r="A447" s="360" t="s">
        <v>323</v>
      </c>
      <c r="B447" s="361"/>
      <c r="C447" s="361"/>
      <c r="D447" s="361"/>
      <c r="E447" s="361"/>
      <c r="F447" s="361"/>
      <c r="G447" s="361"/>
      <c r="H447" s="361"/>
      <c r="I447" s="361"/>
      <c r="J447" s="362"/>
    </row>
    <row r="448" spans="1:15" x14ac:dyDescent="0.3">
      <c r="A448" s="357" t="s">
        <v>23</v>
      </c>
      <c r="B448" s="358"/>
      <c r="C448" s="358"/>
      <c r="D448" s="358"/>
      <c r="E448" s="358"/>
      <c r="F448" s="358"/>
      <c r="G448" s="358"/>
      <c r="H448" s="358"/>
      <c r="I448" s="358"/>
      <c r="J448" s="359"/>
    </row>
    <row r="449" spans="1:10" ht="15" customHeight="1" x14ac:dyDescent="0.3">
      <c r="A449" s="190" t="s">
        <v>30</v>
      </c>
      <c r="B449" s="191"/>
      <c r="C449" s="191"/>
      <c r="D449" s="191"/>
      <c r="E449" s="191"/>
      <c r="F449" s="191"/>
      <c r="G449" s="191"/>
      <c r="H449" s="191"/>
      <c r="I449" s="191"/>
      <c r="J449" s="192"/>
    </row>
    <row r="450" spans="1:10" x14ac:dyDescent="0.3">
      <c r="A450" s="357" t="s">
        <v>25</v>
      </c>
      <c r="B450" s="358"/>
      <c r="C450" s="358"/>
      <c r="D450" s="358"/>
      <c r="E450" s="358"/>
      <c r="F450" s="358"/>
      <c r="G450" s="358"/>
      <c r="H450" s="358"/>
      <c r="I450" s="358"/>
      <c r="J450" s="359"/>
    </row>
    <row r="451" spans="1:10" x14ac:dyDescent="0.3">
      <c r="A451" s="190" t="s">
        <v>39</v>
      </c>
      <c r="B451" s="191"/>
      <c r="C451" s="191"/>
      <c r="D451" s="191"/>
      <c r="E451" s="191"/>
      <c r="F451" s="191"/>
      <c r="G451" s="191"/>
      <c r="H451" s="191"/>
      <c r="I451" s="191"/>
      <c r="J451" s="192"/>
    </row>
    <row r="452" spans="1:10" x14ac:dyDescent="0.3">
      <c r="A452" s="184" t="s">
        <v>57</v>
      </c>
      <c r="B452" s="185"/>
      <c r="C452" s="185"/>
      <c r="D452" s="185"/>
      <c r="E452" s="185"/>
      <c r="F452" s="185"/>
      <c r="G452" s="185"/>
      <c r="H452" s="185"/>
      <c r="I452" s="185"/>
      <c r="J452" s="186"/>
    </row>
    <row r="453" spans="1:10" x14ac:dyDescent="0.3">
      <c r="A453" s="190" t="s">
        <v>40</v>
      </c>
      <c r="B453" s="191"/>
      <c r="C453" s="191"/>
      <c r="D453" s="191"/>
      <c r="E453" s="191"/>
      <c r="F453" s="191"/>
      <c r="G453" s="191"/>
      <c r="H453" s="191"/>
      <c r="I453" s="191"/>
      <c r="J453" s="192"/>
    </row>
    <row r="454" spans="1:10" x14ac:dyDescent="0.3">
      <c r="A454" s="190" t="s">
        <v>41</v>
      </c>
      <c r="B454" s="191"/>
      <c r="C454" s="191"/>
      <c r="D454" s="191"/>
      <c r="E454" s="191"/>
      <c r="F454" s="191"/>
      <c r="G454" s="191"/>
      <c r="H454" s="191"/>
      <c r="I454" s="191"/>
      <c r="J454" s="192"/>
    </row>
    <row r="455" spans="1:10" x14ac:dyDescent="0.3">
      <c r="A455" s="164" t="s">
        <v>42</v>
      </c>
      <c r="B455" s="165"/>
      <c r="C455" s="165"/>
      <c r="D455" s="165"/>
      <c r="E455" s="165"/>
      <c r="F455" s="165"/>
      <c r="G455" s="165"/>
      <c r="H455" s="165"/>
      <c r="I455" s="165"/>
      <c r="J455" s="166"/>
    </row>
    <row r="456" spans="1:10" x14ac:dyDescent="0.3">
      <c r="A456" s="400" t="s">
        <v>248</v>
      </c>
      <c r="B456" s="400"/>
      <c r="C456" s="400" t="s">
        <v>253</v>
      </c>
      <c r="D456" s="400"/>
      <c r="E456" s="400"/>
      <c r="F456" s="400" t="s">
        <v>249</v>
      </c>
      <c r="G456" s="400"/>
      <c r="H456" s="401" t="s">
        <v>324</v>
      </c>
      <c r="I456" s="401"/>
      <c r="J456" s="401"/>
    </row>
    <row r="457" spans="1:10" x14ac:dyDescent="0.3">
      <c r="A457" s="416" t="s">
        <v>24</v>
      </c>
      <c r="B457" s="412"/>
      <c r="C457" s="412"/>
      <c r="D457" s="412"/>
      <c r="E457" s="412"/>
      <c r="F457" s="412"/>
      <c r="G457" s="412"/>
      <c r="H457" s="412"/>
      <c r="I457" s="412"/>
      <c r="J457" s="417"/>
    </row>
    <row r="458" spans="1:10" x14ac:dyDescent="0.3">
      <c r="A458" s="418"/>
      <c r="B458" s="419"/>
      <c r="C458" s="419"/>
      <c r="D458" s="419"/>
      <c r="E458" s="419"/>
      <c r="F458" s="419"/>
      <c r="G458" s="419"/>
      <c r="H458" s="419"/>
      <c r="I458" s="419"/>
      <c r="J458" s="420"/>
    </row>
    <row r="459" spans="1:10" x14ac:dyDescent="0.3">
      <c r="A459" s="418"/>
      <c r="B459" s="419"/>
      <c r="C459" s="419"/>
      <c r="D459" s="419"/>
      <c r="E459" s="419"/>
      <c r="F459" s="419"/>
      <c r="G459" s="419"/>
      <c r="H459" s="419"/>
      <c r="I459" s="419"/>
      <c r="J459" s="420"/>
    </row>
    <row r="460" spans="1:10" x14ac:dyDescent="0.3">
      <c r="A460" s="421"/>
      <c r="B460" s="422"/>
      <c r="C460" s="422"/>
      <c r="D460" s="422"/>
      <c r="E460" s="422"/>
      <c r="F460" s="422"/>
      <c r="G460" s="422"/>
      <c r="H460" s="422"/>
      <c r="I460" s="422"/>
      <c r="J460" s="423"/>
    </row>
    <row r="461" spans="1:10" x14ac:dyDescent="0.3">
      <c r="A461" s="59" t="s">
        <v>123</v>
      </c>
      <c r="B461" s="58"/>
      <c r="C461" s="58"/>
      <c r="D461" s="412" t="str">
        <f>F8</f>
        <v>Landmark Heritage</v>
      </c>
      <c r="E461" s="412"/>
      <c r="F461" s="412"/>
      <c r="G461" s="58"/>
      <c r="H461" s="412"/>
      <c r="I461" s="412"/>
      <c r="J461" s="58"/>
    </row>
    <row r="462" spans="1:10" x14ac:dyDescent="0.3">
      <c r="B462" s="60"/>
      <c r="C462" s="60"/>
      <c r="D462" s="61"/>
      <c r="G462" s="60"/>
      <c r="H462" s="60"/>
      <c r="I462" s="60"/>
      <c r="J462" s="60"/>
    </row>
    <row r="463" spans="1:10" x14ac:dyDescent="0.3">
      <c r="A463" s="60"/>
      <c r="B463" s="60"/>
      <c r="C463" s="60"/>
      <c r="D463" s="60"/>
      <c r="E463" s="60"/>
      <c r="F463" s="60"/>
      <c r="G463" s="60"/>
      <c r="H463" s="60"/>
      <c r="I463" s="60"/>
      <c r="J463" s="60"/>
    </row>
    <row r="464" spans="1:10" x14ac:dyDescent="0.3">
      <c r="A464" s="60"/>
      <c r="B464" s="60"/>
      <c r="C464" s="60"/>
      <c r="D464" s="60"/>
      <c r="E464" s="60"/>
      <c r="F464" s="60"/>
      <c r="G464" s="60"/>
      <c r="H464" s="60"/>
      <c r="I464" s="60"/>
      <c r="J464" s="60"/>
    </row>
    <row r="480" spans="15:15" ht="14.5" x14ac:dyDescent="0.35">
      <c r="O480"/>
    </row>
    <row r="482" spans="12:12" ht="14.5" x14ac:dyDescent="0.35">
      <c r="L482"/>
    </row>
    <row r="502" spans="1:10" x14ac:dyDescent="0.3">
      <c r="A502" s="58"/>
      <c r="B502" s="58"/>
      <c r="C502" s="58"/>
      <c r="D502" s="58"/>
      <c r="E502" s="58"/>
      <c r="F502" s="58"/>
      <c r="G502" s="58"/>
      <c r="H502" s="58"/>
      <c r="I502" s="58"/>
      <c r="J502" s="58"/>
    </row>
    <row r="503" spans="1:10" x14ac:dyDescent="0.3">
      <c r="A503" s="63"/>
      <c r="B503" s="60"/>
      <c r="C503" s="60"/>
      <c r="D503" s="61"/>
      <c r="G503" s="60"/>
      <c r="H503" s="60"/>
      <c r="I503" s="60"/>
      <c r="J503" s="60"/>
    </row>
    <row r="504" spans="1:10" x14ac:dyDescent="0.3">
      <c r="A504" s="60"/>
      <c r="B504" s="60"/>
      <c r="C504" s="60"/>
      <c r="D504" s="60"/>
      <c r="E504" s="60"/>
      <c r="F504" s="60"/>
      <c r="G504" s="60"/>
      <c r="H504" s="60"/>
      <c r="I504" s="60"/>
      <c r="J504" s="60"/>
    </row>
    <row r="505" spans="1:10" x14ac:dyDescent="0.3">
      <c r="A505" s="58"/>
      <c r="B505" s="58"/>
      <c r="C505" s="58"/>
      <c r="D505" s="58"/>
      <c r="E505" s="58"/>
      <c r="F505" s="58"/>
      <c r="G505" s="58"/>
      <c r="H505" s="58"/>
      <c r="I505" s="58"/>
      <c r="J505" s="58"/>
    </row>
    <row r="506" spans="1:10" x14ac:dyDescent="0.3">
      <c r="A506" s="59" t="s">
        <v>123</v>
      </c>
      <c r="B506" s="60"/>
      <c r="C506" s="60"/>
      <c r="D506" s="60"/>
      <c r="E506" s="60"/>
      <c r="F506" s="60"/>
      <c r="G506" s="412"/>
      <c r="H506" s="412"/>
      <c r="I506" s="60"/>
      <c r="J506" s="60"/>
    </row>
    <row r="537" spans="1:15" ht="14.5" x14ac:dyDescent="0.35">
      <c r="O537"/>
    </row>
    <row r="544" spans="1:15" x14ac:dyDescent="0.3">
      <c r="A544" s="58"/>
      <c r="B544" s="58"/>
      <c r="C544" s="58"/>
      <c r="D544" s="58"/>
      <c r="E544" s="58"/>
      <c r="F544" s="58"/>
      <c r="G544" s="58"/>
      <c r="H544" s="58"/>
      <c r="I544" s="58"/>
      <c r="J544" s="58"/>
    </row>
    <row r="545" spans="1:10" x14ac:dyDescent="0.3">
      <c r="A545" s="63"/>
      <c r="B545" s="60"/>
      <c r="C545" s="60"/>
      <c r="D545" s="61"/>
      <c r="G545" s="60"/>
      <c r="H545" s="60"/>
      <c r="I545" s="60"/>
      <c r="J545" s="60"/>
    </row>
    <row r="546" spans="1:10" x14ac:dyDescent="0.3">
      <c r="A546" s="60"/>
      <c r="B546" s="60"/>
      <c r="C546" s="60"/>
      <c r="D546" s="60"/>
      <c r="E546" s="60"/>
      <c r="F546" s="60"/>
      <c r="G546" s="60"/>
      <c r="H546" s="60"/>
      <c r="I546" s="60"/>
      <c r="J546" s="60"/>
    </row>
    <row r="550" spans="1:10" x14ac:dyDescent="0.3">
      <c r="A550" s="58"/>
      <c r="B550" s="58"/>
      <c r="C550" s="58"/>
      <c r="D550" s="58"/>
      <c r="E550" s="58"/>
      <c r="F550" s="58"/>
      <c r="G550" s="58"/>
      <c r="H550" s="58"/>
      <c r="I550" s="58"/>
      <c r="J550" s="58"/>
    </row>
    <row r="551" spans="1:10" x14ac:dyDescent="0.3">
      <c r="A551" s="58"/>
      <c r="B551" s="58"/>
      <c r="C551" s="58"/>
      <c r="D551" s="58"/>
      <c r="E551" s="58"/>
      <c r="F551" s="58"/>
      <c r="G551" s="58"/>
      <c r="H551" s="58"/>
      <c r="I551" s="58"/>
      <c r="J551" s="58"/>
    </row>
    <row r="552" spans="1:10" x14ac:dyDescent="0.3">
      <c r="A552" s="58"/>
      <c r="B552" s="58"/>
      <c r="C552" s="58"/>
      <c r="D552" s="58"/>
      <c r="E552" s="58"/>
      <c r="F552" s="58"/>
      <c r="G552" s="58"/>
      <c r="H552" s="58"/>
      <c r="I552" s="58"/>
      <c r="J552" s="58"/>
    </row>
    <row r="553" spans="1:10" x14ac:dyDescent="0.3">
      <c r="A553" s="101" t="s">
        <v>251</v>
      </c>
      <c r="B553" s="58"/>
      <c r="C553" s="58"/>
      <c r="D553" s="58"/>
      <c r="E553" s="58"/>
      <c r="F553" s="58"/>
      <c r="G553" s="58"/>
      <c r="H553" s="58"/>
      <c r="I553" s="58"/>
      <c r="J553" s="58"/>
    </row>
    <row r="554" spans="1:10" x14ac:dyDescent="0.3">
      <c r="A554" s="58"/>
      <c r="B554" s="58"/>
      <c r="C554" s="58"/>
      <c r="D554" s="58"/>
      <c r="E554" s="58"/>
      <c r="F554" s="58"/>
      <c r="G554" s="58"/>
      <c r="H554" s="58"/>
      <c r="I554" s="58"/>
      <c r="J554" s="58"/>
    </row>
    <row r="555" spans="1:10" x14ac:dyDescent="0.3">
      <c r="A555" s="58"/>
      <c r="B555" s="58"/>
      <c r="C555" s="58"/>
      <c r="D555" s="58"/>
      <c r="E555" s="58"/>
      <c r="F555" s="58"/>
      <c r="G555" s="58"/>
      <c r="H555" s="58"/>
      <c r="I555" s="58"/>
      <c r="J555" s="58"/>
    </row>
    <row r="556" spans="1:10" x14ac:dyDescent="0.3">
      <c r="A556" s="58"/>
      <c r="B556" s="58"/>
      <c r="C556" s="58"/>
      <c r="D556" s="58"/>
      <c r="E556" s="58"/>
      <c r="F556" s="58"/>
      <c r="G556" s="58"/>
      <c r="H556" s="58"/>
      <c r="I556" s="58"/>
      <c r="J556" s="58"/>
    </row>
    <row r="557" spans="1:10" x14ac:dyDescent="0.3">
      <c r="A557" s="58"/>
      <c r="B557" s="58"/>
      <c r="C557" s="58"/>
      <c r="D557" s="58"/>
      <c r="E557" s="58"/>
      <c r="F557" s="58"/>
      <c r="G557" s="58"/>
      <c r="H557" s="58"/>
      <c r="I557" s="58"/>
      <c r="J557" s="58"/>
    </row>
    <row r="558" spans="1:10" x14ac:dyDescent="0.3">
      <c r="A558" s="58"/>
      <c r="B558" s="58"/>
      <c r="C558" s="58"/>
      <c r="D558" s="58"/>
      <c r="E558" s="58"/>
      <c r="F558" s="58"/>
      <c r="G558" s="58"/>
      <c r="H558" s="58"/>
      <c r="I558" s="58"/>
      <c r="J558" s="58"/>
    </row>
    <row r="559" spans="1:10" x14ac:dyDescent="0.3">
      <c r="A559" s="58"/>
      <c r="B559" s="58"/>
      <c r="C559" s="58"/>
      <c r="D559" s="58"/>
      <c r="E559" s="58"/>
      <c r="F559" s="58"/>
      <c r="G559" s="58"/>
      <c r="H559" s="58"/>
      <c r="I559" s="58"/>
      <c r="J559" s="58"/>
    </row>
    <row r="560" spans="1:10" x14ac:dyDescent="0.3">
      <c r="A560" s="58"/>
      <c r="B560" s="58"/>
      <c r="C560" s="58"/>
      <c r="D560" s="58"/>
      <c r="E560" s="58"/>
      <c r="F560" s="58"/>
      <c r="G560" s="58"/>
      <c r="H560" s="58"/>
      <c r="I560" s="58"/>
      <c r="J560" s="58"/>
    </row>
    <row r="561" spans="1:10" x14ac:dyDescent="0.3">
      <c r="A561" s="58"/>
      <c r="B561" s="58"/>
      <c r="C561" s="58"/>
      <c r="D561" s="58"/>
      <c r="E561" s="58"/>
      <c r="F561" s="58"/>
      <c r="G561" s="58"/>
      <c r="H561" s="58"/>
      <c r="I561" s="58"/>
      <c r="J561" s="58"/>
    </row>
    <row r="562" spans="1:10" x14ac:dyDescent="0.3">
      <c r="A562" s="58"/>
      <c r="B562" s="58"/>
      <c r="C562" s="58"/>
      <c r="D562" s="58"/>
      <c r="E562" s="58"/>
      <c r="F562" s="58"/>
      <c r="G562" s="58"/>
      <c r="H562" s="58"/>
      <c r="I562" s="58"/>
      <c r="J562" s="58"/>
    </row>
    <row r="563" spans="1:10" x14ac:dyDescent="0.3">
      <c r="A563" s="58"/>
      <c r="B563" s="58"/>
      <c r="C563" s="58"/>
      <c r="D563" s="58"/>
      <c r="E563" s="58"/>
      <c r="F563" s="58"/>
      <c r="G563" s="58"/>
      <c r="H563" s="58"/>
      <c r="I563" s="58"/>
      <c r="J563" s="58"/>
    </row>
    <row r="564" spans="1:10" x14ac:dyDescent="0.3">
      <c r="A564" s="58"/>
      <c r="B564" s="58"/>
      <c r="C564" s="58"/>
      <c r="D564" s="58"/>
      <c r="E564" s="58"/>
      <c r="F564" s="58"/>
      <c r="G564" s="58"/>
      <c r="H564" s="58"/>
      <c r="I564" s="58"/>
      <c r="J564" s="58"/>
    </row>
    <row r="565" spans="1:10" x14ac:dyDescent="0.3">
      <c r="A565" s="58"/>
      <c r="B565" s="58"/>
      <c r="C565" s="58"/>
      <c r="D565" s="58"/>
      <c r="E565" s="58"/>
      <c r="F565" s="58"/>
      <c r="G565" s="58"/>
      <c r="H565" s="58"/>
      <c r="I565" s="58"/>
      <c r="J565" s="58"/>
    </row>
    <row r="566" spans="1:10" x14ac:dyDescent="0.3">
      <c r="A566" s="58"/>
      <c r="B566" s="58"/>
      <c r="C566" s="58"/>
      <c r="D566" s="58"/>
      <c r="E566" s="58"/>
      <c r="F566" s="58"/>
      <c r="G566" s="58"/>
      <c r="H566" s="58"/>
      <c r="I566" s="58"/>
      <c r="J566" s="58"/>
    </row>
    <row r="567" spans="1:10" x14ac:dyDescent="0.3">
      <c r="A567" s="58"/>
      <c r="B567" s="58"/>
      <c r="C567" s="58"/>
      <c r="D567" s="58"/>
      <c r="E567" s="58"/>
      <c r="F567" s="58"/>
      <c r="G567" s="58"/>
      <c r="H567" s="58"/>
      <c r="I567" s="58"/>
      <c r="J567" s="58"/>
    </row>
    <row r="568" spans="1:10" x14ac:dyDescent="0.3">
      <c r="A568" s="58"/>
      <c r="B568" s="58"/>
      <c r="C568" s="58"/>
      <c r="D568" s="58"/>
      <c r="E568" s="58"/>
      <c r="F568" s="58"/>
      <c r="G568" s="58"/>
      <c r="H568" s="58"/>
      <c r="I568" s="58"/>
      <c r="J568" s="58"/>
    </row>
    <row r="569" spans="1:10" x14ac:dyDescent="0.3">
      <c r="A569" s="58"/>
      <c r="B569" s="58"/>
      <c r="C569" s="58"/>
      <c r="D569" s="58"/>
      <c r="E569" s="58"/>
      <c r="F569" s="58"/>
      <c r="G569" s="58"/>
      <c r="H569" s="58"/>
      <c r="I569" s="58"/>
      <c r="J569" s="58"/>
    </row>
    <row r="570" spans="1:10" x14ac:dyDescent="0.3">
      <c r="A570" s="58"/>
      <c r="B570" s="58"/>
      <c r="C570" s="58"/>
      <c r="D570" s="58"/>
      <c r="E570" s="58"/>
      <c r="F570" s="58"/>
      <c r="G570" s="58"/>
      <c r="H570" s="58"/>
      <c r="I570" s="58"/>
      <c r="J570" s="58"/>
    </row>
    <row r="571" spans="1:10" x14ac:dyDescent="0.3">
      <c r="A571" s="58"/>
      <c r="B571" s="58"/>
      <c r="C571" s="58"/>
      <c r="D571" s="58"/>
      <c r="E571" s="58"/>
      <c r="F571" s="58"/>
      <c r="G571" s="58"/>
      <c r="H571" s="58"/>
      <c r="I571" s="58"/>
      <c r="J571" s="58"/>
    </row>
    <row r="572" spans="1:10" x14ac:dyDescent="0.3">
      <c r="A572" s="58"/>
      <c r="B572" s="58"/>
      <c r="C572" s="58"/>
      <c r="D572" s="58"/>
      <c r="E572" s="58"/>
      <c r="F572" s="58"/>
      <c r="G572" s="58"/>
      <c r="H572" s="58"/>
      <c r="I572" s="58"/>
      <c r="J572" s="58"/>
    </row>
    <row r="573" spans="1:10" x14ac:dyDescent="0.3">
      <c r="A573" s="58"/>
      <c r="B573" s="58"/>
      <c r="C573" s="58"/>
      <c r="D573" s="58"/>
      <c r="E573" s="58"/>
      <c r="F573" s="58"/>
      <c r="G573" s="58"/>
      <c r="H573" s="58"/>
      <c r="I573" s="58"/>
      <c r="J573" s="58"/>
    </row>
    <row r="574" spans="1:10" x14ac:dyDescent="0.3">
      <c r="A574" s="58"/>
      <c r="B574" s="58"/>
      <c r="C574" s="58"/>
      <c r="D574" s="58"/>
      <c r="E574" s="58"/>
      <c r="F574" s="58"/>
      <c r="G574" s="58"/>
      <c r="H574" s="58"/>
      <c r="I574" s="58"/>
      <c r="J574" s="58"/>
    </row>
    <row r="575" spans="1:10" x14ac:dyDescent="0.3">
      <c r="A575" s="58"/>
      <c r="B575" s="58"/>
      <c r="C575" s="58"/>
      <c r="D575" s="58"/>
      <c r="E575" s="58"/>
      <c r="F575" s="58"/>
      <c r="G575" s="58"/>
      <c r="H575" s="58"/>
      <c r="I575" s="58"/>
      <c r="J575" s="58"/>
    </row>
    <row r="576" spans="1:10" x14ac:dyDescent="0.3">
      <c r="A576" s="58"/>
      <c r="B576" s="58"/>
      <c r="C576" s="58"/>
      <c r="D576" s="58"/>
      <c r="E576" s="58"/>
      <c r="F576" s="58"/>
      <c r="G576" s="58"/>
      <c r="H576" s="58"/>
      <c r="I576" s="58"/>
      <c r="J576" s="58"/>
    </row>
    <row r="577" spans="1:10" x14ac:dyDescent="0.3">
      <c r="A577" s="58"/>
      <c r="B577" s="58"/>
      <c r="C577" s="58"/>
      <c r="D577" s="58"/>
      <c r="E577" s="58"/>
      <c r="F577" s="58"/>
      <c r="G577" s="58"/>
      <c r="H577" s="58"/>
      <c r="I577" s="58"/>
      <c r="J577" s="58"/>
    </row>
    <row r="578" spans="1:10" x14ac:dyDescent="0.3">
      <c r="A578" s="58"/>
      <c r="B578" s="58"/>
      <c r="C578" s="58"/>
      <c r="D578" s="58"/>
      <c r="E578" s="58"/>
      <c r="F578" s="58"/>
      <c r="G578" s="58"/>
      <c r="H578" s="58"/>
      <c r="I578" s="58"/>
      <c r="J578" s="58"/>
    </row>
    <row r="579" spans="1:10" x14ac:dyDescent="0.3">
      <c r="A579" s="58"/>
      <c r="B579" s="58"/>
      <c r="C579" s="58"/>
      <c r="D579" s="58"/>
      <c r="E579" s="58"/>
      <c r="F579" s="58"/>
      <c r="G579" s="58"/>
      <c r="H579" s="58"/>
      <c r="I579" s="58"/>
      <c r="J579" s="58"/>
    </row>
    <row r="580" spans="1:10" x14ac:dyDescent="0.3">
      <c r="A580" s="58"/>
      <c r="B580" s="58"/>
      <c r="C580" s="58"/>
      <c r="D580" s="58"/>
      <c r="E580" s="58"/>
      <c r="F580" s="58"/>
      <c r="G580" s="58"/>
      <c r="H580" s="58"/>
      <c r="I580" s="58"/>
      <c r="J580" s="58"/>
    </row>
    <row r="581" spans="1:10" x14ac:dyDescent="0.3">
      <c r="A581" s="58"/>
      <c r="B581" s="58"/>
      <c r="C581" s="58"/>
      <c r="D581" s="58"/>
      <c r="E581" s="58"/>
      <c r="F581" s="58"/>
      <c r="G581" s="58"/>
      <c r="H581" s="58"/>
      <c r="I581" s="58"/>
      <c r="J581" s="58"/>
    </row>
    <row r="582" spans="1:10" x14ac:dyDescent="0.3">
      <c r="A582" s="58"/>
      <c r="B582" s="58"/>
      <c r="C582" s="58"/>
      <c r="D582" s="58"/>
      <c r="E582" s="58"/>
      <c r="F582" s="58"/>
      <c r="G582" s="58"/>
      <c r="H582" s="58"/>
      <c r="I582" s="58"/>
      <c r="J582" s="58"/>
    </row>
    <row r="583" spans="1:10" x14ac:dyDescent="0.3">
      <c r="A583" s="58"/>
      <c r="B583" s="58"/>
      <c r="C583" s="58"/>
      <c r="D583" s="58"/>
      <c r="E583" s="58"/>
      <c r="F583" s="58"/>
      <c r="G583" s="58"/>
      <c r="H583" s="58"/>
      <c r="I583" s="58"/>
      <c r="J583" s="58"/>
    </row>
    <row r="584" spans="1:10" x14ac:dyDescent="0.3">
      <c r="A584" s="58"/>
      <c r="B584" s="58"/>
      <c r="C584" s="58"/>
      <c r="D584" s="58"/>
      <c r="E584" s="58"/>
      <c r="F584" s="58"/>
      <c r="G584" s="58"/>
      <c r="H584" s="58"/>
      <c r="I584" s="58"/>
      <c r="J584" s="58"/>
    </row>
    <row r="585" spans="1:10" x14ac:dyDescent="0.3">
      <c r="A585" s="58"/>
      <c r="B585" s="58"/>
      <c r="C585" s="58"/>
      <c r="D585" s="58"/>
      <c r="E585" s="58"/>
      <c r="F585" s="58"/>
      <c r="G585" s="58"/>
      <c r="H585" s="58"/>
      <c r="I585" s="58"/>
      <c r="J585" s="58"/>
    </row>
    <row r="586" spans="1:10" x14ac:dyDescent="0.3">
      <c r="A586" s="62" t="s">
        <v>98</v>
      </c>
    </row>
  </sheetData>
  <mergeCells count="779">
    <mergeCell ref="A149:B149"/>
    <mergeCell ref="D149:E149"/>
    <mergeCell ref="A150:B150"/>
    <mergeCell ref="D150:E150"/>
    <mergeCell ref="A151:B151"/>
    <mergeCell ref="D151:E151"/>
    <mergeCell ref="A152:B152"/>
    <mergeCell ref="D152:E152"/>
    <mergeCell ref="D144:E144"/>
    <mergeCell ref="A145:B145"/>
    <mergeCell ref="D145:E145"/>
    <mergeCell ref="A146:B146"/>
    <mergeCell ref="D146:E146"/>
    <mergeCell ref="A147:B147"/>
    <mergeCell ref="D147:E147"/>
    <mergeCell ref="A148:B148"/>
    <mergeCell ref="D148:E148"/>
    <mergeCell ref="G506:H506"/>
    <mergeCell ref="H461:I461"/>
    <mergeCell ref="D461:F461"/>
    <mergeCell ref="D344:E344"/>
    <mergeCell ref="A215:B215"/>
    <mergeCell ref="D215:F215"/>
    <mergeCell ref="G215:J215"/>
    <mergeCell ref="D213:F213"/>
    <mergeCell ref="G213:J213"/>
    <mergeCell ref="A214:B214"/>
    <mergeCell ref="D214:F214"/>
    <mergeCell ref="G214:J214"/>
    <mergeCell ref="A457:J460"/>
    <mergeCell ref="D381:E381"/>
    <mergeCell ref="A390:J390"/>
    <mergeCell ref="I380:J383"/>
    <mergeCell ref="A368:J368"/>
    <mergeCell ref="D371:E371"/>
    <mergeCell ref="I369:J372"/>
    <mergeCell ref="D372:E372"/>
    <mergeCell ref="D369:E369"/>
    <mergeCell ref="D370:E370"/>
    <mergeCell ref="D378:E378"/>
    <mergeCell ref="I375:J378"/>
    <mergeCell ref="A456:B456"/>
    <mergeCell ref="D206:F206"/>
    <mergeCell ref="G206:J206"/>
    <mergeCell ref="G205:J205"/>
    <mergeCell ref="A64:C64"/>
    <mergeCell ref="D64:J64"/>
    <mergeCell ref="A65:C65"/>
    <mergeCell ref="D65:J65"/>
    <mergeCell ref="A66:C66"/>
    <mergeCell ref="D66:J66"/>
    <mergeCell ref="C175:E175"/>
    <mergeCell ref="F175:G175"/>
    <mergeCell ref="A176:C176"/>
    <mergeCell ref="A137:B137"/>
    <mergeCell ref="D137:E137"/>
    <mergeCell ref="A138:B138"/>
    <mergeCell ref="D138:E138"/>
    <mergeCell ref="F129:G138"/>
    <mergeCell ref="H129:J138"/>
    <mergeCell ref="A130:B130"/>
    <mergeCell ref="D130:E130"/>
    <mergeCell ref="A68:C68"/>
    <mergeCell ref="D68:J68"/>
    <mergeCell ref="A67:C67"/>
    <mergeCell ref="D67:J67"/>
    <mergeCell ref="A63:C63"/>
    <mergeCell ref="D63:J63"/>
    <mergeCell ref="C456:E456"/>
    <mergeCell ref="F456:G456"/>
    <mergeCell ref="H456:J456"/>
    <mergeCell ref="A270:J270"/>
    <mergeCell ref="D271:E271"/>
    <mergeCell ref="I271:J272"/>
    <mergeCell ref="D272:E272"/>
    <mergeCell ref="D279:E279"/>
    <mergeCell ref="A290:J290"/>
    <mergeCell ref="D291:E291"/>
    <mergeCell ref="I291:J294"/>
    <mergeCell ref="D292:E292"/>
    <mergeCell ref="D293:E293"/>
    <mergeCell ref="D401:E401"/>
    <mergeCell ref="G179:J179"/>
    <mergeCell ref="F170:G170"/>
    <mergeCell ref="C171:E171"/>
    <mergeCell ref="A207:B207"/>
    <mergeCell ref="A153:B153"/>
    <mergeCell ref="C153:J153"/>
    <mergeCell ref="A157:B157"/>
    <mergeCell ref="D159:E159"/>
    <mergeCell ref="D157:E157"/>
    <mergeCell ref="A177:J177"/>
    <mergeCell ref="A179:F179"/>
    <mergeCell ref="A164:B164"/>
    <mergeCell ref="D164:E164"/>
    <mergeCell ref="A165:B165"/>
    <mergeCell ref="D165:E165"/>
    <mergeCell ref="A166:B166"/>
    <mergeCell ref="D166:E166"/>
    <mergeCell ref="A160:B160"/>
    <mergeCell ref="D160:E160"/>
    <mergeCell ref="A161:B161"/>
    <mergeCell ref="D161:E161"/>
    <mergeCell ref="A162:B162"/>
    <mergeCell ref="D162:E162"/>
    <mergeCell ref="A163:B163"/>
    <mergeCell ref="D163:E163"/>
    <mergeCell ref="A131:B131"/>
    <mergeCell ref="E154:F154"/>
    <mergeCell ref="I154:J154"/>
    <mergeCell ref="A155:B155"/>
    <mergeCell ref="C155:J155"/>
    <mergeCell ref="A156:B156"/>
    <mergeCell ref="D156:E156"/>
    <mergeCell ref="F156:G156"/>
    <mergeCell ref="H156:J156"/>
    <mergeCell ref="A139:B139"/>
    <mergeCell ref="C139:J139"/>
    <mergeCell ref="E140:F140"/>
    <mergeCell ref="I140:J140"/>
    <mergeCell ref="A141:B141"/>
    <mergeCell ref="C141:J141"/>
    <mergeCell ref="A142:B142"/>
    <mergeCell ref="D142:E142"/>
    <mergeCell ref="F142:G142"/>
    <mergeCell ref="H142:J142"/>
    <mergeCell ref="A143:B143"/>
    <mergeCell ref="D143:E143"/>
    <mergeCell ref="F143:G152"/>
    <mergeCell ref="H143:J152"/>
    <mergeCell ref="A144:B144"/>
    <mergeCell ref="D136:E136"/>
    <mergeCell ref="A135:B135"/>
    <mergeCell ref="D135:E135"/>
    <mergeCell ref="A120:B120"/>
    <mergeCell ref="D120:E120"/>
    <mergeCell ref="A121:B121"/>
    <mergeCell ref="D121:E121"/>
    <mergeCell ref="A136:B136"/>
    <mergeCell ref="I126:J126"/>
    <mergeCell ref="D131:E131"/>
    <mergeCell ref="A127:B127"/>
    <mergeCell ref="A123:B123"/>
    <mergeCell ref="D123:E123"/>
    <mergeCell ref="A124:B124"/>
    <mergeCell ref="D124:E124"/>
    <mergeCell ref="A125:B125"/>
    <mergeCell ref="C125:J125"/>
    <mergeCell ref="C127:J127"/>
    <mergeCell ref="A128:B128"/>
    <mergeCell ref="D128:E128"/>
    <mergeCell ref="F128:G128"/>
    <mergeCell ref="H128:J128"/>
    <mergeCell ref="A129:B129"/>
    <mergeCell ref="D129:E129"/>
    <mergeCell ref="I27:J27"/>
    <mergeCell ref="C29:D29"/>
    <mergeCell ref="A46:B46"/>
    <mergeCell ref="C46:F46"/>
    <mergeCell ref="H45:J45"/>
    <mergeCell ref="H46:J46"/>
    <mergeCell ref="H48:J48"/>
    <mergeCell ref="C27:D27"/>
    <mergeCell ref="E27:F27"/>
    <mergeCell ref="G27:H27"/>
    <mergeCell ref="A33:B33"/>
    <mergeCell ref="C33:J33"/>
    <mergeCell ref="C32:J32"/>
    <mergeCell ref="C28:D28"/>
    <mergeCell ref="G28:H28"/>
    <mergeCell ref="A37:E37"/>
    <mergeCell ref="A40:E40"/>
    <mergeCell ref="F37:J37"/>
    <mergeCell ref="A35:J36"/>
    <mergeCell ref="A32:B32"/>
    <mergeCell ref="E29:F29"/>
    <mergeCell ref="G29:H29"/>
    <mergeCell ref="A39:E39"/>
    <mergeCell ref="I29:J29"/>
    <mergeCell ref="A93:B93"/>
    <mergeCell ref="D93:E93"/>
    <mergeCell ref="A94:B94"/>
    <mergeCell ref="D94:E94"/>
    <mergeCell ref="A95:B95"/>
    <mergeCell ref="D95:E95"/>
    <mergeCell ref="A97:B97"/>
    <mergeCell ref="C97:J97"/>
    <mergeCell ref="H87:J96"/>
    <mergeCell ref="A107:B107"/>
    <mergeCell ref="D107:E107"/>
    <mergeCell ref="A108:B108"/>
    <mergeCell ref="D108:E108"/>
    <mergeCell ref="A83:B83"/>
    <mergeCell ref="C83:J83"/>
    <mergeCell ref="E84:F84"/>
    <mergeCell ref="I84:J84"/>
    <mergeCell ref="A85:B85"/>
    <mergeCell ref="C85:J85"/>
    <mergeCell ref="A86:B86"/>
    <mergeCell ref="D86:E86"/>
    <mergeCell ref="F86:G86"/>
    <mergeCell ref="H86:J86"/>
    <mergeCell ref="A88:B88"/>
    <mergeCell ref="D88:E88"/>
    <mergeCell ref="A89:B89"/>
    <mergeCell ref="D89:E89"/>
    <mergeCell ref="A90:B90"/>
    <mergeCell ref="D90:E90"/>
    <mergeCell ref="E98:F98"/>
    <mergeCell ref="I98:J98"/>
    <mergeCell ref="F101:G110"/>
    <mergeCell ref="D92:E92"/>
    <mergeCell ref="I396:J397"/>
    <mergeCell ref="I393:J394"/>
    <mergeCell ref="A389:J389"/>
    <mergeCell ref="A310:J310"/>
    <mergeCell ref="A311:J311"/>
    <mergeCell ref="A319:J319"/>
    <mergeCell ref="D320:E320"/>
    <mergeCell ref="I320:J323"/>
    <mergeCell ref="D321:E321"/>
    <mergeCell ref="D322:E322"/>
    <mergeCell ref="D323:E323"/>
    <mergeCell ref="D312:E312"/>
    <mergeCell ref="I312:J313"/>
    <mergeCell ref="D313:E313"/>
    <mergeCell ref="A314:J314"/>
    <mergeCell ref="D315:E315"/>
    <mergeCell ref="A392:J392"/>
    <mergeCell ref="D393:E393"/>
    <mergeCell ref="A363:J363"/>
    <mergeCell ref="D361:E361"/>
    <mergeCell ref="D359:E359"/>
    <mergeCell ref="I391:J391"/>
    <mergeCell ref="D387:E387"/>
    <mergeCell ref="D388:E388"/>
    <mergeCell ref="D382:E382"/>
    <mergeCell ref="D383:E383"/>
    <mergeCell ref="D377:E377"/>
    <mergeCell ref="D376:E376"/>
    <mergeCell ref="D380:E380"/>
    <mergeCell ref="A91:B91"/>
    <mergeCell ref="A87:B87"/>
    <mergeCell ref="A96:B96"/>
    <mergeCell ref="D96:E96"/>
    <mergeCell ref="A132:B132"/>
    <mergeCell ref="D132:E132"/>
    <mergeCell ref="A133:B133"/>
    <mergeCell ref="D133:E133"/>
    <mergeCell ref="A134:B134"/>
    <mergeCell ref="D134:E134"/>
    <mergeCell ref="E126:F126"/>
    <mergeCell ref="A122:B122"/>
    <mergeCell ref="D122:E122"/>
    <mergeCell ref="F87:G96"/>
    <mergeCell ref="D87:E87"/>
    <mergeCell ref="D91:E91"/>
    <mergeCell ref="A92:B92"/>
    <mergeCell ref="A101:B101"/>
    <mergeCell ref="D101:E101"/>
    <mergeCell ref="D391:E391"/>
    <mergeCell ref="A358:J358"/>
    <mergeCell ref="D318:E318"/>
    <mergeCell ref="A324:J324"/>
    <mergeCell ref="A325:J325"/>
    <mergeCell ref="A327:J327"/>
    <mergeCell ref="D328:E328"/>
    <mergeCell ref="I328:J329"/>
    <mergeCell ref="I315:J318"/>
    <mergeCell ref="D317:E317"/>
    <mergeCell ref="D340:E340"/>
    <mergeCell ref="I337:J340"/>
    <mergeCell ref="D339:E339"/>
    <mergeCell ref="A333:J333"/>
    <mergeCell ref="A334:J334"/>
    <mergeCell ref="D316:E316"/>
    <mergeCell ref="D375:E375"/>
    <mergeCell ref="A373:J373"/>
    <mergeCell ref="A374:J374"/>
    <mergeCell ref="A379:J379"/>
    <mergeCell ref="A384:J384"/>
    <mergeCell ref="D385:E385"/>
    <mergeCell ref="I385:J388"/>
    <mergeCell ref="D386:E386"/>
    <mergeCell ref="D406:E406"/>
    <mergeCell ref="D407:E407"/>
    <mergeCell ref="D417:E417"/>
    <mergeCell ref="A413:J413"/>
    <mergeCell ref="D414:E414"/>
    <mergeCell ref="D415:E415"/>
    <mergeCell ref="D416:E416"/>
    <mergeCell ref="D421:E421"/>
    <mergeCell ref="I419:J422"/>
    <mergeCell ref="I414:J417"/>
    <mergeCell ref="I404:J407"/>
    <mergeCell ref="A408:J408"/>
    <mergeCell ref="D409:E409"/>
    <mergeCell ref="I409:J412"/>
    <mergeCell ref="D410:E410"/>
    <mergeCell ref="D411:E411"/>
    <mergeCell ref="D412:E412"/>
    <mergeCell ref="A418:J418"/>
    <mergeCell ref="D419:E419"/>
    <mergeCell ref="D420:E420"/>
    <mergeCell ref="D446:E446"/>
    <mergeCell ref="A442:J442"/>
    <mergeCell ref="D443:E443"/>
    <mergeCell ref="D444:E444"/>
    <mergeCell ref="D445:E445"/>
    <mergeCell ref="I443:J446"/>
    <mergeCell ref="D439:E439"/>
    <mergeCell ref="I438:J441"/>
    <mergeCell ref="I428:J431"/>
    <mergeCell ref="D428:E428"/>
    <mergeCell ref="D429:E429"/>
    <mergeCell ref="D440:E440"/>
    <mergeCell ref="D441:E441"/>
    <mergeCell ref="D430:E430"/>
    <mergeCell ref="D431:E431"/>
    <mergeCell ref="A437:J437"/>
    <mergeCell ref="D438:E438"/>
    <mergeCell ref="A432:J432"/>
    <mergeCell ref="D433:E433"/>
    <mergeCell ref="I433:J436"/>
    <mergeCell ref="D434:E434"/>
    <mergeCell ref="D435:E435"/>
    <mergeCell ref="D436:E436"/>
    <mergeCell ref="A2:J2"/>
    <mergeCell ref="A3:E3"/>
    <mergeCell ref="F3:J3"/>
    <mergeCell ref="A4:E4"/>
    <mergeCell ref="F4:J4"/>
    <mergeCell ref="A6:E6"/>
    <mergeCell ref="F6:J6"/>
    <mergeCell ref="A5:E5"/>
    <mergeCell ref="C18:E18"/>
    <mergeCell ref="H18:J18"/>
    <mergeCell ref="A13:E13"/>
    <mergeCell ref="F13:J13"/>
    <mergeCell ref="F5:J5"/>
    <mergeCell ref="A7:E7"/>
    <mergeCell ref="F7:J7"/>
    <mergeCell ref="A10:E10"/>
    <mergeCell ref="F10:J10"/>
    <mergeCell ref="F15:G15"/>
    <mergeCell ref="H15:J15"/>
    <mergeCell ref="F16:G16"/>
    <mergeCell ref="H16:J16"/>
    <mergeCell ref="F17:G17"/>
    <mergeCell ref="A12:E12"/>
    <mergeCell ref="A9:E9"/>
    <mergeCell ref="F8:J8"/>
    <mergeCell ref="F12:J12"/>
    <mergeCell ref="A8:E8"/>
    <mergeCell ref="F26:J26"/>
    <mergeCell ref="A21:E22"/>
    <mergeCell ref="F21:J22"/>
    <mergeCell ref="F18:G18"/>
    <mergeCell ref="F9:J9"/>
    <mergeCell ref="F25:J25"/>
    <mergeCell ref="A23:E23"/>
    <mergeCell ref="A24:E24"/>
    <mergeCell ref="A18:B18"/>
    <mergeCell ref="A11:E11"/>
    <mergeCell ref="F11:J11"/>
    <mergeCell ref="F24:J24"/>
    <mergeCell ref="F19:J20"/>
    <mergeCell ref="A19:E20"/>
    <mergeCell ref="H17:J17"/>
    <mergeCell ref="A15:B15"/>
    <mergeCell ref="C15:E15"/>
    <mergeCell ref="A16:B16"/>
    <mergeCell ref="C16:E16"/>
    <mergeCell ref="A17:B17"/>
    <mergeCell ref="C17:E17"/>
    <mergeCell ref="A30:J30"/>
    <mergeCell ref="A31:J31"/>
    <mergeCell ref="A38:E38"/>
    <mergeCell ref="A451:J451"/>
    <mergeCell ref="A448:J448"/>
    <mergeCell ref="A178:F178"/>
    <mergeCell ref="G178:J178"/>
    <mergeCell ref="I218:J218"/>
    <mergeCell ref="A335:J335"/>
    <mergeCell ref="A336:J336"/>
    <mergeCell ref="D337:E337"/>
    <mergeCell ref="D338:E338"/>
    <mergeCell ref="I222:J223"/>
    <mergeCell ref="I251:J252"/>
    <mergeCell ref="I244:J247"/>
    <mergeCell ref="I239:J242"/>
    <mergeCell ref="D228:E228"/>
    <mergeCell ref="D252:E252"/>
    <mergeCell ref="D223:E223"/>
    <mergeCell ref="A185:J185"/>
    <mergeCell ref="A186:B186"/>
    <mergeCell ref="D245:E245"/>
    <mergeCell ref="A99:B99"/>
    <mergeCell ref="A190:A191"/>
    <mergeCell ref="A455:J455"/>
    <mergeCell ref="F53:J53"/>
    <mergeCell ref="A452:J452"/>
    <mergeCell ref="A449:J449"/>
    <mergeCell ref="A450:J450"/>
    <mergeCell ref="A447:J447"/>
    <mergeCell ref="A453:J453"/>
    <mergeCell ref="A454:J454"/>
    <mergeCell ref="D251:E251"/>
    <mergeCell ref="D233:E233"/>
    <mergeCell ref="A273:J273"/>
    <mergeCell ref="I276:J279"/>
    <mergeCell ref="G186:J186"/>
    <mergeCell ref="D187:F187"/>
    <mergeCell ref="G187:J187"/>
    <mergeCell ref="D188:F188"/>
    <mergeCell ref="G188:J188"/>
    <mergeCell ref="A202:B202"/>
    <mergeCell ref="D202:F202"/>
    <mergeCell ref="C99:J99"/>
    <mergeCell ref="A100:B100"/>
    <mergeCell ref="D100:E100"/>
    <mergeCell ref="F100:G100"/>
    <mergeCell ref="H100:J100"/>
    <mergeCell ref="A224:J224"/>
    <mergeCell ref="A234:J234"/>
    <mergeCell ref="D232:E232"/>
    <mergeCell ref="A249:J249"/>
    <mergeCell ref="A229:J229"/>
    <mergeCell ref="A248:J248"/>
    <mergeCell ref="I236:J237"/>
    <mergeCell ref="A243:J243"/>
    <mergeCell ref="D244:E244"/>
    <mergeCell ref="D241:E241"/>
    <mergeCell ref="D230:E230"/>
    <mergeCell ref="D226:E226"/>
    <mergeCell ref="D237:E237"/>
    <mergeCell ref="A238:J238"/>
    <mergeCell ref="D239:E239"/>
    <mergeCell ref="D240:E240"/>
    <mergeCell ref="D247:E247"/>
    <mergeCell ref="A235:J235"/>
    <mergeCell ref="I230:J233"/>
    <mergeCell ref="D242:E242"/>
    <mergeCell ref="D236:E236"/>
    <mergeCell ref="D231:E231"/>
    <mergeCell ref="D246:E246"/>
    <mergeCell ref="I225:J228"/>
    <mergeCell ref="D225:E225"/>
    <mergeCell ref="D227:E227"/>
    <mergeCell ref="G180:J180"/>
    <mergeCell ref="G198:J198"/>
    <mergeCell ref="D199:F199"/>
    <mergeCell ref="G199:J199"/>
    <mergeCell ref="D195:F195"/>
    <mergeCell ref="G195:J195"/>
    <mergeCell ref="D196:F196"/>
    <mergeCell ref="G196:J196"/>
    <mergeCell ref="D194:F194"/>
    <mergeCell ref="D192:F192"/>
    <mergeCell ref="D198:F198"/>
    <mergeCell ref="A183:F183"/>
    <mergeCell ref="A184:F184"/>
    <mergeCell ref="G184:J184"/>
    <mergeCell ref="D197:F197"/>
    <mergeCell ref="G197:J197"/>
    <mergeCell ref="G181:J181"/>
    <mergeCell ref="G194:J194"/>
    <mergeCell ref="G183:J183"/>
    <mergeCell ref="D186:F186"/>
    <mergeCell ref="G182:J182"/>
    <mergeCell ref="A180:F180"/>
    <mergeCell ref="A181:F181"/>
    <mergeCell ref="A182:F182"/>
    <mergeCell ref="A1:J1"/>
    <mergeCell ref="F38:J38"/>
    <mergeCell ref="A14:B14"/>
    <mergeCell ref="C14:J14"/>
    <mergeCell ref="A43:J43"/>
    <mergeCell ref="C48:F48"/>
    <mergeCell ref="A62:C62"/>
    <mergeCell ref="A52:C52"/>
    <mergeCell ref="A45:B45"/>
    <mergeCell ref="C45:F45"/>
    <mergeCell ref="A50:B50"/>
    <mergeCell ref="C50:F50"/>
    <mergeCell ref="A51:J51"/>
    <mergeCell ref="A42:E42"/>
    <mergeCell ref="A34:J34"/>
    <mergeCell ref="A29:B29"/>
    <mergeCell ref="C47:F47"/>
    <mergeCell ref="E28:F28"/>
    <mergeCell ref="A28:B28"/>
    <mergeCell ref="F23:J23"/>
    <mergeCell ref="A25:E25"/>
    <mergeCell ref="A26:E26"/>
    <mergeCell ref="I28:J28"/>
    <mergeCell ref="A27:B27"/>
    <mergeCell ref="D189:F189"/>
    <mergeCell ref="G189:J189"/>
    <mergeCell ref="D190:F190"/>
    <mergeCell ref="G190:J190"/>
    <mergeCell ref="D191:F191"/>
    <mergeCell ref="G191:J191"/>
    <mergeCell ref="G192:J192"/>
    <mergeCell ref="A187:A189"/>
    <mergeCell ref="A69:B69"/>
    <mergeCell ref="C69:J69"/>
    <mergeCell ref="E70:F70"/>
    <mergeCell ref="I70:J70"/>
    <mergeCell ref="A71:B71"/>
    <mergeCell ref="C71:J71"/>
    <mergeCell ref="A72:B72"/>
    <mergeCell ref="D72:E72"/>
    <mergeCell ref="F72:G72"/>
    <mergeCell ref="H72:J72"/>
    <mergeCell ref="A73:B73"/>
    <mergeCell ref="D73:E73"/>
    <mergeCell ref="F73:G82"/>
    <mergeCell ref="H73:J82"/>
    <mergeCell ref="D193:F193"/>
    <mergeCell ref="G193:J193"/>
    <mergeCell ref="D222:E222"/>
    <mergeCell ref="A216:J216"/>
    <mergeCell ref="A217:J217"/>
    <mergeCell ref="A221:J221"/>
    <mergeCell ref="A220:J220"/>
    <mergeCell ref="G202:J202"/>
    <mergeCell ref="A212:A213"/>
    <mergeCell ref="A205:A206"/>
    <mergeCell ref="D212:F212"/>
    <mergeCell ref="G212:J212"/>
    <mergeCell ref="D218:E218"/>
    <mergeCell ref="A219:J219"/>
    <mergeCell ref="D207:F207"/>
    <mergeCell ref="G207:J207"/>
    <mergeCell ref="D204:F204"/>
    <mergeCell ref="G204:J204"/>
    <mergeCell ref="D211:F211"/>
    <mergeCell ref="G211:J211"/>
    <mergeCell ref="D205:F205"/>
    <mergeCell ref="A250:J250"/>
    <mergeCell ref="A346:J346"/>
    <mergeCell ref="D405:E405"/>
    <mergeCell ref="I401:J402"/>
    <mergeCell ref="A398:J398"/>
    <mergeCell ref="D265:E265"/>
    <mergeCell ref="D266:E266"/>
    <mergeCell ref="A399:J399"/>
    <mergeCell ref="A400:J400"/>
    <mergeCell ref="A403:J403"/>
    <mergeCell ref="D404:E404"/>
    <mergeCell ref="D402:E402"/>
    <mergeCell ref="D366:E366"/>
    <mergeCell ref="D367:E367"/>
    <mergeCell ref="A347:J347"/>
    <mergeCell ref="A348:J348"/>
    <mergeCell ref="D349:E349"/>
    <mergeCell ref="D350:E350"/>
    <mergeCell ref="I349:J351"/>
    <mergeCell ref="A256:J256"/>
    <mergeCell ref="I254:J255"/>
    <mergeCell ref="D254:E254"/>
    <mergeCell ref="D255:E255"/>
    <mergeCell ref="A259:J259"/>
    <mergeCell ref="D396:E396"/>
    <mergeCell ref="D397:E397"/>
    <mergeCell ref="D394:E394"/>
    <mergeCell ref="A395:J395"/>
    <mergeCell ref="D364:E364"/>
    <mergeCell ref="D362:E362"/>
    <mergeCell ref="I364:J367"/>
    <mergeCell ref="D365:E365"/>
    <mergeCell ref="A295:J295"/>
    <mergeCell ref="A296:J296"/>
    <mergeCell ref="D309:E309"/>
    <mergeCell ref="D329:E329"/>
    <mergeCell ref="D326:E326"/>
    <mergeCell ref="I326:J326"/>
    <mergeCell ref="I359:J362"/>
    <mergeCell ref="A330:J330"/>
    <mergeCell ref="D331:E331"/>
    <mergeCell ref="D332:E332"/>
    <mergeCell ref="I331:J332"/>
    <mergeCell ref="I342:J345"/>
    <mergeCell ref="I353:J355"/>
    <mergeCell ref="A356:J356"/>
    <mergeCell ref="A357:J357"/>
    <mergeCell ref="D360:E360"/>
    <mergeCell ref="D264:E264"/>
    <mergeCell ref="A253:J253"/>
    <mergeCell ref="D260:E260"/>
    <mergeCell ref="D261:E261"/>
    <mergeCell ref="D299:E299"/>
    <mergeCell ref="A297:J297"/>
    <mergeCell ref="D298:E298"/>
    <mergeCell ref="D282:E282"/>
    <mergeCell ref="A285:J285"/>
    <mergeCell ref="D286:E286"/>
    <mergeCell ref="D287:E287"/>
    <mergeCell ref="D262:E262"/>
    <mergeCell ref="D281:E281"/>
    <mergeCell ref="A263:J263"/>
    <mergeCell ref="I268:J269"/>
    <mergeCell ref="I264:J266"/>
    <mergeCell ref="I260:J262"/>
    <mergeCell ref="D276:E276"/>
    <mergeCell ref="D278:E278"/>
    <mergeCell ref="A274:J274"/>
    <mergeCell ref="D277:E277"/>
    <mergeCell ref="A267:J267"/>
    <mergeCell ref="A257:J257"/>
    <mergeCell ref="A258:J258"/>
    <mergeCell ref="D268:E268"/>
    <mergeCell ref="D269:E269"/>
    <mergeCell ref="D307:E307"/>
    <mergeCell ref="D308:E308"/>
    <mergeCell ref="I281:J284"/>
    <mergeCell ref="D303:E303"/>
    <mergeCell ref="D304:E304"/>
    <mergeCell ref="A305:J305"/>
    <mergeCell ref="D306:E306"/>
    <mergeCell ref="D294:E294"/>
    <mergeCell ref="A275:J275"/>
    <mergeCell ref="I298:J299"/>
    <mergeCell ref="D284:E284"/>
    <mergeCell ref="I301:J304"/>
    <mergeCell ref="D283:E283"/>
    <mergeCell ref="D288:E288"/>
    <mergeCell ref="D289:E289"/>
    <mergeCell ref="I286:J289"/>
    <mergeCell ref="A280:J280"/>
    <mergeCell ref="A300:J300"/>
    <mergeCell ref="D301:E301"/>
    <mergeCell ref="D302:E302"/>
    <mergeCell ref="I306:J309"/>
    <mergeCell ref="D354:E354"/>
    <mergeCell ref="D355:E355"/>
    <mergeCell ref="D351:E351"/>
    <mergeCell ref="A352:J352"/>
    <mergeCell ref="D353:E353"/>
    <mergeCell ref="A341:J341"/>
    <mergeCell ref="D342:E342"/>
    <mergeCell ref="D343:E343"/>
    <mergeCell ref="D345:E345"/>
    <mergeCell ref="A74:B74"/>
    <mergeCell ref="D74:E74"/>
    <mergeCell ref="A75:B75"/>
    <mergeCell ref="D75:E75"/>
    <mergeCell ref="A76:B76"/>
    <mergeCell ref="D76:E76"/>
    <mergeCell ref="A77:B77"/>
    <mergeCell ref="D77:E77"/>
    <mergeCell ref="A78:B78"/>
    <mergeCell ref="D78:E78"/>
    <mergeCell ref="A79:B79"/>
    <mergeCell ref="D79:E79"/>
    <mergeCell ref="A80:B80"/>
    <mergeCell ref="D80:E80"/>
    <mergeCell ref="A81:B81"/>
    <mergeCell ref="D81:E81"/>
    <mergeCell ref="A82:B82"/>
    <mergeCell ref="D82:E82"/>
    <mergeCell ref="A111:B111"/>
    <mergeCell ref="C111:J111"/>
    <mergeCell ref="A109:B109"/>
    <mergeCell ref="D109:E109"/>
    <mergeCell ref="A110:B110"/>
    <mergeCell ref="H101:J110"/>
    <mergeCell ref="A102:B102"/>
    <mergeCell ref="D102:E102"/>
    <mergeCell ref="A103:B103"/>
    <mergeCell ref="D103:E103"/>
    <mergeCell ref="A104:B104"/>
    <mergeCell ref="D104:E104"/>
    <mergeCell ref="A105:B105"/>
    <mergeCell ref="D105:E105"/>
    <mergeCell ref="A106:B106"/>
    <mergeCell ref="D106:E106"/>
    <mergeCell ref="E112:F112"/>
    <mergeCell ref="D110:E110"/>
    <mergeCell ref="D118:E118"/>
    <mergeCell ref="A119:B119"/>
    <mergeCell ref="D119:E119"/>
    <mergeCell ref="I112:J112"/>
    <mergeCell ref="A113:B113"/>
    <mergeCell ref="C113:J113"/>
    <mergeCell ref="A114:B114"/>
    <mergeCell ref="D114:E114"/>
    <mergeCell ref="F114:G114"/>
    <mergeCell ref="H114:J114"/>
    <mergeCell ref="A117:B117"/>
    <mergeCell ref="D117:E117"/>
    <mergeCell ref="A118:B118"/>
    <mergeCell ref="A115:B115"/>
    <mergeCell ref="D115:E115"/>
    <mergeCell ref="F115:G124"/>
    <mergeCell ref="H115:J124"/>
    <mergeCell ref="A116:B116"/>
    <mergeCell ref="D116:E116"/>
    <mergeCell ref="L10:P10"/>
    <mergeCell ref="D176:E176"/>
    <mergeCell ref="F176:H176"/>
    <mergeCell ref="A167:J167"/>
    <mergeCell ref="A168:B175"/>
    <mergeCell ref="I176:J176"/>
    <mergeCell ref="F171:G171"/>
    <mergeCell ref="C172:E172"/>
    <mergeCell ref="F172:G172"/>
    <mergeCell ref="C173:E173"/>
    <mergeCell ref="F173:G173"/>
    <mergeCell ref="C174:E174"/>
    <mergeCell ref="F174:G174"/>
    <mergeCell ref="C168:E168"/>
    <mergeCell ref="F168:G168"/>
    <mergeCell ref="H168:J175"/>
    <mergeCell ref="C169:E169"/>
    <mergeCell ref="F169:G169"/>
    <mergeCell ref="C170:E170"/>
    <mergeCell ref="F157:G166"/>
    <mergeCell ref="H157:J166"/>
    <mergeCell ref="A158:B158"/>
    <mergeCell ref="D158:E158"/>
    <mergeCell ref="A159:B159"/>
    <mergeCell ref="L41:P41"/>
    <mergeCell ref="L38:P38"/>
    <mergeCell ref="A55:C55"/>
    <mergeCell ref="D55:J55"/>
    <mergeCell ref="B53:E53"/>
    <mergeCell ref="A47:B47"/>
    <mergeCell ref="H50:J50"/>
    <mergeCell ref="A54:C54"/>
    <mergeCell ref="D52:J52"/>
    <mergeCell ref="D54:J54"/>
    <mergeCell ref="H47:J47"/>
    <mergeCell ref="F42:J42"/>
    <mergeCell ref="F41:J41"/>
    <mergeCell ref="F40:J40"/>
    <mergeCell ref="A41:E41"/>
    <mergeCell ref="F39:J39"/>
    <mergeCell ref="D57:J57"/>
    <mergeCell ref="D60:J60"/>
    <mergeCell ref="D59:J59"/>
    <mergeCell ref="L62:R62"/>
    <mergeCell ref="L45:O45"/>
    <mergeCell ref="A44:B44"/>
    <mergeCell ref="C44:F44"/>
    <mergeCell ref="H44:J44"/>
    <mergeCell ref="L44:O44"/>
    <mergeCell ref="D56:J56"/>
    <mergeCell ref="D61:J61"/>
    <mergeCell ref="A56:C61"/>
    <mergeCell ref="A48:B49"/>
    <mergeCell ref="C49:J49"/>
    <mergeCell ref="D62:J62"/>
    <mergeCell ref="D58:J58"/>
    <mergeCell ref="I425:J426"/>
    <mergeCell ref="D426:E426"/>
    <mergeCell ref="A427:J427"/>
    <mergeCell ref="D422:E422"/>
    <mergeCell ref="A423:J423"/>
    <mergeCell ref="A424:J424"/>
    <mergeCell ref="D425:E425"/>
    <mergeCell ref="A192:A194"/>
    <mergeCell ref="A195:A196"/>
    <mergeCell ref="A197:A199"/>
    <mergeCell ref="A200:A201"/>
    <mergeCell ref="D200:F200"/>
    <mergeCell ref="G200:J200"/>
    <mergeCell ref="D201:F201"/>
    <mergeCell ref="G201:J201"/>
    <mergeCell ref="A210:A211"/>
    <mergeCell ref="A208:J208"/>
    <mergeCell ref="A209:B209"/>
    <mergeCell ref="D209:F209"/>
    <mergeCell ref="G209:J209"/>
    <mergeCell ref="D210:F210"/>
    <mergeCell ref="G210:J210"/>
    <mergeCell ref="A203:J203"/>
    <mergeCell ref="A204:B204"/>
  </mergeCells>
  <phoneticPr fontId="0" type="noConversion"/>
  <hyperlinks>
    <hyperlink ref="C33" r:id="rId1"/>
    <hyperlink ref="K63" r:id="rId2"/>
  </hyperlinks>
  <pageMargins left="0.39370078740157483" right="0.39370078740157483" top="0.78740157480314965" bottom="0.78740157480314965" header="0.19685039370078741" footer="0.19685039370078741"/>
  <pageSetup paperSize="9" scale="86" fitToHeight="0" orientation="portrait" r:id="rId3"/>
  <headerFooter>
    <oddHeader>&amp;C&amp;G</oddHeader>
    <oddFooter>&amp;L&amp;"Times New Roman,Bold"Ref No: &amp;F&amp;C&amp;G&amp;R&amp;P</oddFooter>
  </headerFooter>
  <rowBreaks count="6" manualBreakCount="6">
    <brk id="82" max="16383" man="1"/>
    <brk id="124" max="16383" man="1"/>
    <brk id="460" max="9" man="1"/>
    <brk id="505" max="9" man="1"/>
    <brk id="552" max="9" man="1"/>
    <brk id="585" max="9" man="1"/>
  </rowBreaks>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5"/>
  <sheetViews>
    <sheetView workbookViewId="0">
      <selection activeCell="C10" sqref="C10"/>
    </sheetView>
  </sheetViews>
  <sheetFormatPr defaultColWidth="9.1796875" defaultRowHeight="14" x14ac:dyDescent="0.3"/>
  <cols>
    <col min="1" max="1" width="20.54296875" style="4" customWidth="1"/>
    <col min="2" max="2" width="11.7265625" style="4" customWidth="1"/>
    <col min="3" max="4" width="9.1796875" style="4"/>
    <col min="5" max="5" width="10.1796875" style="4" customWidth="1"/>
    <col min="6" max="6" width="10.7265625" style="4" customWidth="1"/>
    <col min="7" max="7" width="9.1796875" style="4"/>
    <col min="8" max="8" width="10.453125" style="4" customWidth="1"/>
    <col min="9" max="9" width="15.453125" style="4" customWidth="1"/>
    <col min="10" max="16384" width="9.1796875" style="4"/>
  </cols>
  <sheetData>
    <row r="2" spans="1:10" x14ac:dyDescent="0.3">
      <c r="A2" s="3" t="s">
        <v>126</v>
      </c>
      <c r="B2" s="3" t="s">
        <v>127</v>
      </c>
      <c r="C2" s="3" t="s">
        <v>128</v>
      </c>
      <c r="D2" s="424" t="s">
        <v>129</v>
      </c>
      <c r="E2" s="424"/>
    </row>
    <row r="3" spans="1:10" x14ac:dyDescent="0.3">
      <c r="A3" s="5">
        <v>0</v>
      </c>
      <c r="B3" s="5">
        <v>0</v>
      </c>
      <c r="C3" s="5">
        <v>1</v>
      </c>
      <c r="D3" s="425">
        <v>4</v>
      </c>
      <c r="E3" s="425"/>
    </row>
    <row r="6" spans="1:10" x14ac:dyDescent="0.3">
      <c r="A6" s="4" t="s">
        <v>82</v>
      </c>
      <c r="B6" s="6">
        <v>10</v>
      </c>
      <c r="C6" s="7">
        <v>10</v>
      </c>
      <c r="D6" s="8">
        <f>((100/B6)*C6)/100</f>
        <v>1</v>
      </c>
    </row>
    <row r="7" spans="1:10" x14ac:dyDescent="0.3">
      <c r="A7" s="4" t="s">
        <v>83</v>
      </c>
      <c r="B7" s="6">
        <f>A3+B3+C3+D3</f>
        <v>5</v>
      </c>
      <c r="C7" s="7">
        <v>4</v>
      </c>
      <c r="D7" s="8">
        <f t="shared" ref="D7:D12" si="0">((100/B7)*C7)/100</f>
        <v>0.8</v>
      </c>
      <c r="F7" s="426" t="s">
        <v>130</v>
      </c>
      <c r="G7" s="426"/>
      <c r="H7" s="9" t="s">
        <v>131</v>
      </c>
      <c r="J7" s="10"/>
    </row>
    <row r="8" spans="1:10" x14ac:dyDescent="0.3">
      <c r="A8" s="4" t="s">
        <v>88</v>
      </c>
      <c r="B8" s="6">
        <f>C36</f>
        <v>4</v>
      </c>
      <c r="C8" s="7">
        <v>3</v>
      </c>
      <c r="D8" s="8">
        <f t="shared" si="0"/>
        <v>0.75</v>
      </c>
      <c r="F8" s="427" t="s">
        <v>132</v>
      </c>
      <c r="G8" s="427"/>
      <c r="H8" s="6" t="s">
        <v>133</v>
      </c>
    </row>
    <row r="9" spans="1:10" x14ac:dyDescent="0.3">
      <c r="A9" s="4" t="s">
        <v>90</v>
      </c>
      <c r="B9" s="6">
        <f>C36</f>
        <v>4</v>
      </c>
      <c r="C9" s="7">
        <v>0.5</v>
      </c>
      <c r="D9" s="8">
        <f t="shared" si="0"/>
        <v>0.125</v>
      </c>
      <c r="F9" s="427" t="s">
        <v>134</v>
      </c>
      <c r="G9" s="427"/>
      <c r="H9" s="6" t="s">
        <v>135</v>
      </c>
    </row>
    <row r="10" spans="1:10" x14ac:dyDescent="0.3">
      <c r="A10" s="4" t="s">
        <v>44</v>
      </c>
      <c r="B10" s="6">
        <f>C36</f>
        <v>4</v>
      </c>
      <c r="C10" s="7">
        <v>0</v>
      </c>
      <c r="D10" s="8">
        <f t="shared" si="0"/>
        <v>0</v>
      </c>
      <c r="F10" s="427" t="s">
        <v>108</v>
      </c>
      <c r="G10" s="427"/>
      <c r="H10" s="6" t="s">
        <v>136</v>
      </c>
    </row>
    <row r="11" spans="1:10" x14ac:dyDescent="0.3">
      <c r="A11" s="11" t="s">
        <v>86</v>
      </c>
      <c r="B11" s="6">
        <f>C36</f>
        <v>4</v>
      </c>
      <c r="C11" s="7">
        <v>0</v>
      </c>
      <c r="D11" s="8">
        <f t="shared" si="0"/>
        <v>0</v>
      </c>
      <c r="F11" s="427" t="s">
        <v>137</v>
      </c>
      <c r="G11" s="427"/>
      <c r="H11" s="6" t="s">
        <v>138</v>
      </c>
    </row>
    <row r="12" spans="1:10" x14ac:dyDescent="0.3">
      <c r="A12" s="4" t="s">
        <v>46</v>
      </c>
      <c r="B12" s="6">
        <f>C36</f>
        <v>4</v>
      </c>
      <c r="C12" s="7">
        <v>0</v>
      </c>
      <c r="D12" s="8">
        <f t="shared" si="0"/>
        <v>0</v>
      </c>
      <c r="F12" s="427" t="s">
        <v>139</v>
      </c>
      <c r="G12" s="427"/>
      <c r="H12" s="6" t="s">
        <v>140</v>
      </c>
    </row>
    <row r="13" spans="1:10" x14ac:dyDescent="0.3">
      <c r="F13" s="427" t="s">
        <v>141</v>
      </c>
      <c r="G13" s="427"/>
      <c r="H13" s="6" t="s">
        <v>142</v>
      </c>
    </row>
    <row r="14" spans="1:10" x14ac:dyDescent="0.3">
      <c r="A14" s="3" t="s">
        <v>92</v>
      </c>
      <c r="B14" s="12">
        <f>(B39+B40+B41+B42+B43+B44+B45)/100</f>
        <v>0.54500000000000004</v>
      </c>
      <c r="C14" s="12">
        <f>(C39+C40+C41+C42+C43+C44+C45)/100</f>
        <v>0.66500000000000004</v>
      </c>
      <c r="F14" s="427" t="s">
        <v>143</v>
      </c>
      <c r="G14" s="427"/>
      <c r="H14" s="6" t="s">
        <v>135</v>
      </c>
    </row>
    <row r="15" spans="1:10" x14ac:dyDescent="0.3">
      <c r="F15" s="427" t="s">
        <v>144</v>
      </c>
      <c r="G15" s="427"/>
      <c r="H15" s="6" t="s">
        <v>145</v>
      </c>
    </row>
    <row r="16" spans="1:10" x14ac:dyDescent="0.3">
      <c r="A16" s="4" t="s">
        <v>146</v>
      </c>
      <c r="B16" s="13">
        <v>0.01</v>
      </c>
      <c r="C16" s="13">
        <v>0.02</v>
      </c>
      <c r="F16" s="427" t="s">
        <v>147</v>
      </c>
      <c r="G16" s="427"/>
      <c r="H16" s="6" t="s">
        <v>148</v>
      </c>
    </row>
    <row r="17" spans="1:3" x14ac:dyDescent="0.3">
      <c r="A17" s="4" t="s">
        <v>149</v>
      </c>
      <c r="B17" s="13">
        <v>0.01</v>
      </c>
      <c r="C17" s="13">
        <v>0.03</v>
      </c>
    </row>
    <row r="18" spans="1:3" x14ac:dyDescent="0.3">
      <c r="A18" s="4" t="s">
        <v>150</v>
      </c>
      <c r="B18" s="13">
        <v>0.03</v>
      </c>
      <c r="C18" s="13">
        <v>0.08</v>
      </c>
    </row>
    <row r="19" spans="1:3" x14ac:dyDescent="0.3">
      <c r="A19" s="4" t="s">
        <v>151</v>
      </c>
      <c r="B19" s="13">
        <v>0.05</v>
      </c>
      <c r="C19" s="13">
        <v>0.15</v>
      </c>
    </row>
    <row r="20" spans="1:3" x14ac:dyDescent="0.3">
      <c r="A20" s="4" t="s">
        <v>152</v>
      </c>
      <c r="B20" s="13">
        <v>7.0000000000000007E-2</v>
      </c>
      <c r="C20" s="13">
        <v>0.2</v>
      </c>
    </row>
    <row r="21" spans="1:3" x14ac:dyDescent="0.3">
      <c r="A21" s="4" t="s">
        <v>153</v>
      </c>
      <c r="B21" s="13">
        <v>0.1</v>
      </c>
      <c r="C21" s="13">
        <v>0.3</v>
      </c>
    </row>
    <row r="36" spans="1:13" x14ac:dyDescent="0.3">
      <c r="A36" s="4" t="s">
        <v>81</v>
      </c>
      <c r="B36" s="14" t="s">
        <v>154</v>
      </c>
      <c r="C36" s="14">
        <f>D3</f>
        <v>4</v>
      </c>
      <c r="D36" s="15"/>
    </row>
    <row r="38" spans="1:13" x14ac:dyDescent="0.3">
      <c r="A38" s="3"/>
      <c r="B38" s="3" t="s">
        <v>87</v>
      </c>
      <c r="C38" s="3" t="s">
        <v>91</v>
      </c>
      <c r="G38" s="3" t="s">
        <v>82</v>
      </c>
      <c r="H38" s="3" t="s">
        <v>84</v>
      </c>
      <c r="I38" s="3" t="s">
        <v>85</v>
      </c>
      <c r="J38" s="3" t="s">
        <v>38</v>
      </c>
      <c r="K38" s="3" t="s">
        <v>44</v>
      </c>
      <c r="L38" s="3" t="s">
        <v>86</v>
      </c>
      <c r="M38" s="3" t="s">
        <v>46</v>
      </c>
    </row>
    <row r="39" spans="1:13" x14ac:dyDescent="0.3">
      <c r="A39" s="3" t="s">
        <v>35</v>
      </c>
      <c r="B39" s="3">
        <f>G39</f>
        <v>10</v>
      </c>
      <c r="C39" s="3">
        <f>G40</f>
        <v>30</v>
      </c>
      <c r="E39" s="424" t="s">
        <v>87</v>
      </c>
      <c r="F39" s="424"/>
      <c r="G39" s="16">
        <f>C6</f>
        <v>10</v>
      </c>
      <c r="H39" s="16">
        <f>40/B7*C7</f>
        <v>32</v>
      </c>
      <c r="I39" s="16">
        <f>15/B8*C8</f>
        <v>11.25</v>
      </c>
      <c r="J39" s="16">
        <f>10/B9*C9</f>
        <v>1.25</v>
      </c>
      <c r="K39" s="16">
        <f>10/B10*C10</f>
        <v>0</v>
      </c>
      <c r="L39" s="16">
        <f>5/B11*C11</f>
        <v>0</v>
      </c>
      <c r="M39" s="16">
        <f>5/B12*C12</f>
        <v>0</v>
      </c>
    </row>
    <row r="40" spans="1:13" x14ac:dyDescent="0.3">
      <c r="A40" s="3" t="s">
        <v>36</v>
      </c>
      <c r="B40" s="3">
        <f>H39</f>
        <v>32</v>
      </c>
      <c r="C40" s="3">
        <f>H40</f>
        <v>24</v>
      </c>
      <c r="E40" s="424" t="s">
        <v>89</v>
      </c>
      <c r="F40" s="424"/>
      <c r="G40" s="3">
        <f>G39+20</f>
        <v>30</v>
      </c>
      <c r="H40" s="3">
        <f>30/B7*C7</f>
        <v>24</v>
      </c>
      <c r="I40" s="3">
        <f>15/B8*C8</f>
        <v>11.25</v>
      </c>
      <c r="J40" s="3">
        <f>10/B9*C9</f>
        <v>1.25</v>
      </c>
      <c r="K40" s="3">
        <f>5/B10*C10</f>
        <v>0</v>
      </c>
      <c r="L40" s="3">
        <f>5/B11*C11</f>
        <v>0</v>
      </c>
      <c r="M40" s="3">
        <f>5/B12*C12</f>
        <v>0</v>
      </c>
    </row>
    <row r="41" spans="1:13" x14ac:dyDescent="0.3">
      <c r="A41" s="3" t="s">
        <v>85</v>
      </c>
      <c r="B41" s="3">
        <f>I39</f>
        <v>11.25</v>
      </c>
      <c r="C41" s="3">
        <f>I40</f>
        <v>11.25</v>
      </c>
    </row>
    <row r="42" spans="1:13" x14ac:dyDescent="0.3">
      <c r="A42" s="3" t="s">
        <v>38</v>
      </c>
      <c r="B42" s="3">
        <f>J39</f>
        <v>1.25</v>
      </c>
      <c r="C42" s="3">
        <f>J40</f>
        <v>1.25</v>
      </c>
    </row>
    <row r="43" spans="1:13" x14ac:dyDescent="0.3">
      <c r="A43" s="3" t="s">
        <v>44</v>
      </c>
      <c r="B43" s="3">
        <f>K39</f>
        <v>0</v>
      </c>
      <c r="C43" s="3">
        <f>K40</f>
        <v>0</v>
      </c>
    </row>
    <row r="44" spans="1:13" x14ac:dyDescent="0.3">
      <c r="A44" s="17" t="s">
        <v>86</v>
      </c>
      <c r="B44" s="3">
        <f>L39</f>
        <v>0</v>
      </c>
      <c r="C44" s="3">
        <f>L40</f>
        <v>0</v>
      </c>
    </row>
    <row r="45" spans="1:13" x14ac:dyDescent="0.3">
      <c r="A45" s="3" t="s">
        <v>46</v>
      </c>
      <c r="B45" s="3">
        <f>M39</f>
        <v>0</v>
      </c>
      <c r="C45" s="3">
        <f>M40</f>
        <v>0</v>
      </c>
    </row>
  </sheetData>
  <mergeCells count="14">
    <mergeCell ref="F10:G10"/>
    <mergeCell ref="E39:F39"/>
    <mergeCell ref="E40:F40"/>
    <mergeCell ref="F11:G11"/>
    <mergeCell ref="F12:G12"/>
    <mergeCell ref="F13:G13"/>
    <mergeCell ref="F14:G14"/>
    <mergeCell ref="F15:G15"/>
    <mergeCell ref="F16:G16"/>
    <mergeCell ref="D2:E2"/>
    <mergeCell ref="D3:E3"/>
    <mergeCell ref="F7:G7"/>
    <mergeCell ref="F8:G8"/>
    <mergeCell ref="F9:G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5"/>
  <sheetViews>
    <sheetView workbookViewId="0">
      <selection activeCell="C10" sqref="C10"/>
    </sheetView>
  </sheetViews>
  <sheetFormatPr defaultColWidth="9.1796875" defaultRowHeight="14" x14ac:dyDescent="0.3"/>
  <cols>
    <col min="1" max="1" width="20.54296875" style="4" customWidth="1"/>
    <col min="2" max="2" width="11.7265625" style="4" customWidth="1"/>
    <col min="3" max="4" width="9.1796875" style="4"/>
    <col min="5" max="5" width="10.1796875" style="4" customWidth="1"/>
    <col min="6" max="6" width="10.7265625" style="4" customWidth="1"/>
    <col min="7" max="7" width="9.1796875" style="4"/>
    <col min="8" max="8" width="10.453125" style="4" customWidth="1"/>
    <col min="9" max="9" width="15.453125" style="4" customWidth="1"/>
    <col min="10" max="16384" width="9.1796875" style="4"/>
  </cols>
  <sheetData>
    <row r="2" spans="1:10" x14ac:dyDescent="0.3">
      <c r="A2" s="3" t="s">
        <v>126</v>
      </c>
      <c r="B2" s="3" t="s">
        <v>127</v>
      </c>
      <c r="C2" s="3" t="s">
        <v>128</v>
      </c>
      <c r="D2" s="424" t="s">
        <v>129</v>
      </c>
      <c r="E2" s="424"/>
    </row>
    <row r="3" spans="1:10" x14ac:dyDescent="0.3">
      <c r="A3" s="5">
        <v>0</v>
      </c>
      <c r="B3" s="5">
        <v>0</v>
      </c>
      <c r="C3" s="5">
        <v>1</v>
      </c>
      <c r="D3" s="425">
        <v>4</v>
      </c>
      <c r="E3" s="425"/>
    </row>
    <row r="6" spans="1:10" x14ac:dyDescent="0.3">
      <c r="A6" s="4" t="s">
        <v>82</v>
      </c>
      <c r="B6" s="6">
        <v>10</v>
      </c>
      <c r="C6" s="7">
        <v>10</v>
      </c>
      <c r="D6" s="8">
        <f>((100/B6)*C6)/100</f>
        <v>1</v>
      </c>
    </row>
    <row r="7" spans="1:10" x14ac:dyDescent="0.3">
      <c r="A7" s="4" t="s">
        <v>83</v>
      </c>
      <c r="B7" s="6">
        <f>A3+B3+C3+D3</f>
        <v>5</v>
      </c>
      <c r="C7" s="7">
        <v>4</v>
      </c>
      <c r="D7" s="8">
        <f t="shared" ref="D7:D12" si="0">((100/B7)*C7)/100</f>
        <v>0.8</v>
      </c>
      <c r="F7" s="426" t="s">
        <v>130</v>
      </c>
      <c r="G7" s="426"/>
      <c r="H7" s="9" t="s">
        <v>131</v>
      </c>
      <c r="J7" s="10"/>
    </row>
    <row r="8" spans="1:10" x14ac:dyDescent="0.3">
      <c r="A8" s="4" t="s">
        <v>88</v>
      </c>
      <c r="B8" s="6">
        <f>C36</f>
        <v>4</v>
      </c>
      <c r="C8" s="7">
        <v>3</v>
      </c>
      <c r="D8" s="8">
        <f t="shared" si="0"/>
        <v>0.75</v>
      </c>
      <c r="F8" s="427" t="s">
        <v>132</v>
      </c>
      <c r="G8" s="427"/>
      <c r="H8" s="6" t="s">
        <v>133</v>
      </c>
    </row>
    <row r="9" spans="1:10" x14ac:dyDescent="0.3">
      <c r="A9" s="4" t="s">
        <v>90</v>
      </c>
      <c r="B9" s="6">
        <f>C36</f>
        <v>4</v>
      </c>
      <c r="C9" s="7">
        <v>0.5</v>
      </c>
      <c r="D9" s="8">
        <f t="shared" si="0"/>
        <v>0.125</v>
      </c>
      <c r="F9" s="427" t="s">
        <v>134</v>
      </c>
      <c r="G9" s="427"/>
      <c r="H9" s="6" t="s">
        <v>135</v>
      </c>
    </row>
    <row r="10" spans="1:10" x14ac:dyDescent="0.3">
      <c r="A10" s="4" t="s">
        <v>44</v>
      </c>
      <c r="B10" s="6">
        <f>C36</f>
        <v>4</v>
      </c>
      <c r="C10" s="7">
        <v>0</v>
      </c>
      <c r="D10" s="8">
        <f t="shared" si="0"/>
        <v>0</v>
      </c>
      <c r="F10" s="427" t="s">
        <v>108</v>
      </c>
      <c r="G10" s="427"/>
      <c r="H10" s="6" t="s">
        <v>136</v>
      </c>
    </row>
    <row r="11" spans="1:10" x14ac:dyDescent="0.3">
      <c r="A11" s="11" t="s">
        <v>86</v>
      </c>
      <c r="B11" s="6">
        <f>C36</f>
        <v>4</v>
      </c>
      <c r="C11" s="7">
        <v>0</v>
      </c>
      <c r="D11" s="8">
        <f t="shared" si="0"/>
        <v>0</v>
      </c>
      <c r="F11" s="427" t="s">
        <v>137</v>
      </c>
      <c r="G11" s="427"/>
      <c r="H11" s="6" t="s">
        <v>138</v>
      </c>
    </row>
    <row r="12" spans="1:10" x14ac:dyDescent="0.3">
      <c r="A12" s="4" t="s">
        <v>46</v>
      </c>
      <c r="B12" s="6">
        <f>C36</f>
        <v>4</v>
      </c>
      <c r="C12" s="7">
        <v>0</v>
      </c>
      <c r="D12" s="8">
        <f t="shared" si="0"/>
        <v>0</v>
      </c>
      <c r="F12" s="427" t="s">
        <v>139</v>
      </c>
      <c r="G12" s="427"/>
      <c r="H12" s="6" t="s">
        <v>140</v>
      </c>
    </row>
    <row r="13" spans="1:10" x14ac:dyDescent="0.3">
      <c r="F13" s="427" t="s">
        <v>141</v>
      </c>
      <c r="G13" s="427"/>
      <c r="H13" s="6" t="s">
        <v>142</v>
      </c>
    </row>
    <row r="14" spans="1:10" x14ac:dyDescent="0.3">
      <c r="A14" s="3" t="s">
        <v>92</v>
      </c>
      <c r="B14" s="12">
        <f>(B39+B40+B41+B42+B43+B44+B45)/100</f>
        <v>0.54500000000000004</v>
      </c>
      <c r="C14" s="12">
        <f>(C39+C40+C41+C42+C43+C44+C45)/100</f>
        <v>0.66500000000000004</v>
      </c>
      <c r="F14" s="427" t="s">
        <v>143</v>
      </c>
      <c r="G14" s="427"/>
      <c r="H14" s="6" t="s">
        <v>135</v>
      </c>
    </row>
    <row r="15" spans="1:10" x14ac:dyDescent="0.3">
      <c r="F15" s="427" t="s">
        <v>144</v>
      </c>
      <c r="G15" s="427"/>
      <c r="H15" s="6" t="s">
        <v>145</v>
      </c>
    </row>
    <row r="16" spans="1:10" x14ac:dyDescent="0.3">
      <c r="A16" s="4" t="s">
        <v>146</v>
      </c>
      <c r="B16" s="13">
        <v>0.01</v>
      </c>
      <c r="C16" s="13">
        <v>0.02</v>
      </c>
      <c r="F16" s="427" t="s">
        <v>147</v>
      </c>
      <c r="G16" s="427"/>
      <c r="H16" s="6" t="s">
        <v>148</v>
      </c>
    </row>
    <row r="17" spans="1:3" x14ac:dyDescent="0.3">
      <c r="A17" s="4" t="s">
        <v>149</v>
      </c>
      <c r="B17" s="13">
        <v>0.01</v>
      </c>
      <c r="C17" s="13">
        <v>0.03</v>
      </c>
    </row>
    <row r="18" spans="1:3" x14ac:dyDescent="0.3">
      <c r="A18" s="4" t="s">
        <v>150</v>
      </c>
      <c r="B18" s="13">
        <v>0.03</v>
      </c>
      <c r="C18" s="13">
        <v>0.08</v>
      </c>
    </row>
    <row r="19" spans="1:3" x14ac:dyDescent="0.3">
      <c r="A19" s="4" t="s">
        <v>151</v>
      </c>
      <c r="B19" s="13">
        <v>0.05</v>
      </c>
      <c r="C19" s="13">
        <v>0.15</v>
      </c>
    </row>
    <row r="20" spans="1:3" x14ac:dyDescent="0.3">
      <c r="A20" s="4" t="s">
        <v>152</v>
      </c>
      <c r="B20" s="13">
        <v>7.0000000000000007E-2</v>
      </c>
      <c r="C20" s="13">
        <v>0.2</v>
      </c>
    </row>
    <row r="21" spans="1:3" x14ac:dyDescent="0.3">
      <c r="A21" s="4" t="s">
        <v>153</v>
      </c>
      <c r="B21" s="13">
        <v>0.1</v>
      </c>
      <c r="C21" s="13">
        <v>0.3</v>
      </c>
    </row>
    <row r="36" spans="1:13" x14ac:dyDescent="0.3">
      <c r="A36" s="4" t="s">
        <v>81</v>
      </c>
      <c r="B36" s="14" t="s">
        <v>154</v>
      </c>
      <c r="C36" s="14">
        <f>D3</f>
        <v>4</v>
      </c>
      <c r="D36" s="15"/>
    </row>
    <row r="38" spans="1:13" x14ac:dyDescent="0.3">
      <c r="A38" s="3"/>
      <c r="B38" s="3" t="s">
        <v>87</v>
      </c>
      <c r="C38" s="3" t="s">
        <v>91</v>
      </c>
      <c r="G38" s="3" t="s">
        <v>82</v>
      </c>
      <c r="H38" s="3" t="s">
        <v>84</v>
      </c>
      <c r="I38" s="3" t="s">
        <v>85</v>
      </c>
      <c r="J38" s="3" t="s">
        <v>38</v>
      </c>
      <c r="K38" s="3" t="s">
        <v>44</v>
      </c>
      <c r="L38" s="3" t="s">
        <v>86</v>
      </c>
      <c r="M38" s="3" t="s">
        <v>46</v>
      </c>
    </row>
    <row r="39" spans="1:13" x14ac:dyDescent="0.3">
      <c r="A39" s="3" t="s">
        <v>35</v>
      </c>
      <c r="B39" s="3">
        <f>G39</f>
        <v>10</v>
      </c>
      <c r="C39" s="3">
        <f>G40</f>
        <v>30</v>
      </c>
      <c r="E39" s="424" t="s">
        <v>87</v>
      </c>
      <c r="F39" s="424"/>
      <c r="G39" s="16">
        <f>C6</f>
        <v>10</v>
      </c>
      <c r="H39" s="16">
        <f>40/B7*C7</f>
        <v>32</v>
      </c>
      <c r="I39" s="16">
        <f>15/B8*C8</f>
        <v>11.25</v>
      </c>
      <c r="J39" s="16">
        <f>10/B9*C9</f>
        <v>1.25</v>
      </c>
      <c r="K39" s="16">
        <f>10/B10*C10</f>
        <v>0</v>
      </c>
      <c r="L39" s="16">
        <f>5/B11*C11</f>
        <v>0</v>
      </c>
      <c r="M39" s="16">
        <f>5/B12*C12</f>
        <v>0</v>
      </c>
    </row>
    <row r="40" spans="1:13" x14ac:dyDescent="0.3">
      <c r="A40" s="3" t="s">
        <v>36</v>
      </c>
      <c r="B40" s="3">
        <f>H39</f>
        <v>32</v>
      </c>
      <c r="C40" s="3">
        <f>H40</f>
        <v>24</v>
      </c>
      <c r="E40" s="424" t="s">
        <v>89</v>
      </c>
      <c r="F40" s="424"/>
      <c r="G40" s="3">
        <f>G39+20</f>
        <v>30</v>
      </c>
      <c r="H40" s="3">
        <f>30/B7*C7</f>
        <v>24</v>
      </c>
      <c r="I40" s="3">
        <f>15/B8*C8</f>
        <v>11.25</v>
      </c>
      <c r="J40" s="3">
        <f>10/B9*C9</f>
        <v>1.25</v>
      </c>
      <c r="K40" s="3">
        <f>5/B10*C10</f>
        <v>0</v>
      </c>
      <c r="L40" s="3">
        <f>5/B11*C11</f>
        <v>0</v>
      </c>
      <c r="M40" s="3">
        <f>5/B12*C12</f>
        <v>0</v>
      </c>
    </row>
    <row r="41" spans="1:13" x14ac:dyDescent="0.3">
      <c r="A41" s="3" t="s">
        <v>85</v>
      </c>
      <c r="B41" s="3">
        <f>I39</f>
        <v>11.25</v>
      </c>
      <c r="C41" s="3">
        <f>I40</f>
        <v>11.25</v>
      </c>
    </row>
    <row r="42" spans="1:13" x14ac:dyDescent="0.3">
      <c r="A42" s="3" t="s">
        <v>38</v>
      </c>
      <c r="B42" s="3">
        <f>J39</f>
        <v>1.25</v>
      </c>
      <c r="C42" s="3">
        <f>J40</f>
        <v>1.25</v>
      </c>
    </row>
    <row r="43" spans="1:13" x14ac:dyDescent="0.3">
      <c r="A43" s="3" t="s">
        <v>44</v>
      </c>
      <c r="B43" s="3">
        <f>K39</f>
        <v>0</v>
      </c>
      <c r="C43" s="3">
        <f>K40</f>
        <v>0</v>
      </c>
    </row>
    <row r="44" spans="1:13" x14ac:dyDescent="0.3">
      <c r="A44" s="17" t="s">
        <v>86</v>
      </c>
      <c r="B44" s="3">
        <f>L39</f>
        <v>0</v>
      </c>
      <c r="C44" s="3">
        <f>L40</f>
        <v>0</v>
      </c>
    </row>
    <row r="45" spans="1:13" x14ac:dyDescent="0.3">
      <c r="A45" s="3" t="s">
        <v>46</v>
      </c>
      <c r="B45" s="3">
        <f>M39</f>
        <v>0</v>
      </c>
      <c r="C45" s="3">
        <f>M40</f>
        <v>0</v>
      </c>
    </row>
  </sheetData>
  <mergeCells count="14">
    <mergeCell ref="F10:G10"/>
    <mergeCell ref="E39:F39"/>
    <mergeCell ref="E40:F40"/>
    <mergeCell ref="F11:G11"/>
    <mergeCell ref="F12:G12"/>
    <mergeCell ref="F13:G13"/>
    <mergeCell ref="F14:G14"/>
    <mergeCell ref="F15:G15"/>
    <mergeCell ref="F16:G16"/>
    <mergeCell ref="D2:E2"/>
    <mergeCell ref="D3:E3"/>
    <mergeCell ref="F7:G7"/>
    <mergeCell ref="F8:G8"/>
    <mergeCell ref="F9:G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5"/>
  <sheetViews>
    <sheetView workbookViewId="0">
      <selection activeCell="C7" sqref="C7"/>
    </sheetView>
  </sheetViews>
  <sheetFormatPr defaultColWidth="9.1796875" defaultRowHeight="14" x14ac:dyDescent="0.3"/>
  <cols>
    <col min="1" max="1" width="20.54296875" style="4" customWidth="1"/>
    <col min="2" max="2" width="11.7265625" style="4" customWidth="1"/>
    <col min="3" max="4" width="9.1796875" style="4"/>
    <col min="5" max="5" width="10.1796875" style="4" customWidth="1"/>
    <col min="6" max="6" width="10.7265625" style="4" customWidth="1"/>
    <col min="7" max="7" width="9.1796875" style="4"/>
    <col min="8" max="8" width="10.453125" style="4" customWidth="1"/>
    <col min="9" max="9" width="15.453125" style="4" customWidth="1"/>
    <col min="10" max="16384" width="9.1796875" style="4"/>
  </cols>
  <sheetData>
    <row r="2" spans="1:10" x14ac:dyDescent="0.3">
      <c r="A2" s="3" t="s">
        <v>126</v>
      </c>
      <c r="B2" s="3" t="s">
        <v>127</v>
      </c>
      <c r="C2" s="3" t="s">
        <v>128</v>
      </c>
      <c r="D2" s="424" t="s">
        <v>129</v>
      </c>
      <c r="E2" s="424"/>
    </row>
    <row r="3" spans="1:10" x14ac:dyDescent="0.3">
      <c r="A3" s="5">
        <v>0</v>
      </c>
      <c r="B3" s="5">
        <v>0</v>
      </c>
      <c r="C3" s="5">
        <v>1</v>
      </c>
      <c r="D3" s="425">
        <v>4</v>
      </c>
      <c r="E3" s="425"/>
    </row>
    <row r="6" spans="1:10" x14ac:dyDescent="0.3">
      <c r="A6" s="4" t="s">
        <v>82</v>
      </c>
      <c r="B6" s="6">
        <v>10</v>
      </c>
      <c r="C6" s="7">
        <v>10</v>
      </c>
      <c r="D6" s="8">
        <f>((100/B6)*C6)/100</f>
        <v>1</v>
      </c>
    </row>
    <row r="7" spans="1:10" x14ac:dyDescent="0.3">
      <c r="A7" s="4" t="s">
        <v>83</v>
      </c>
      <c r="B7" s="6">
        <f>A3+B3+C3+D3</f>
        <v>5</v>
      </c>
      <c r="C7" s="7">
        <v>4</v>
      </c>
      <c r="D7" s="8">
        <f t="shared" ref="D7:D12" si="0">((100/B7)*C7)/100</f>
        <v>0.8</v>
      </c>
      <c r="F7" s="426" t="s">
        <v>130</v>
      </c>
      <c r="G7" s="426"/>
      <c r="H7" s="9" t="s">
        <v>131</v>
      </c>
      <c r="J7" s="10"/>
    </row>
    <row r="8" spans="1:10" x14ac:dyDescent="0.3">
      <c r="A8" s="4" t="s">
        <v>88</v>
      </c>
      <c r="B8" s="6">
        <f>C36</f>
        <v>4</v>
      </c>
      <c r="C8" s="7">
        <v>2</v>
      </c>
      <c r="D8" s="8">
        <f t="shared" si="0"/>
        <v>0.5</v>
      </c>
      <c r="F8" s="427" t="s">
        <v>132</v>
      </c>
      <c r="G8" s="427"/>
      <c r="H8" s="6" t="s">
        <v>133</v>
      </c>
    </row>
    <row r="9" spans="1:10" x14ac:dyDescent="0.3">
      <c r="A9" s="4" t="s">
        <v>90</v>
      </c>
      <c r="B9" s="6">
        <f>C36</f>
        <v>4</v>
      </c>
      <c r="C9" s="7">
        <v>0</v>
      </c>
      <c r="D9" s="8">
        <f t="shared" si="0"/>
        <v>0</v>
      </c>
      <c r="F9" s="427" t="s">
        <v>134</v>
      </c>
      <c r="G9" s="427"/>
      <c r="H9" s="6" t="s">
        <v>135</v>
      </c>
    </row>
    <row r="10" spans="1:10" x14ac:dyDescent="0.3">
      <c r="A10" s="4" t="s">
        <v>44</v>
      </c>
      <c r="B10" s="6">
        <f>C36</f>
        <v>4</v>
      </c>
      <c r="C10" s="7">
        <v>0</v>
      </c>
      <c r="D10" s="8">
        <f t="shared" si="0"/>
        <v>0</v>
      </c>
      <c r="F10" s="427" t="s">
        <v>108</v>
      </c>
      <c r="G10" s="427"/>
      <c r="H10" s="6" t="s">
        <v>136</v>
      </c>
    </row>
    <row r="11" spans="1:10" x14ac:dyDescent="0.3">
      <c r="A11" s="11" t="s">
        <v>86</v>
      </c>
      <c r="B11" s="6">
        <f>C36</f>
        <v>4</v>
      </c>
      <c r="C11" s="7">
        <v>0</v>
      </c>
      <c r="D11" s="8">
        <f t="shared" si="0"/>
        <v>0</v>
      </c>
      <c r="F11" s="427" t="s">
        <v>137</v>
      </c>
      <c r="G11" s="427"/>
      <c r="H11" s="6" t="s">
        <v>138</v>
      </c>
    </row>
    <row r="12" spans="1:10" x14ac:dyDescent="0.3">
      <c r="A12" s="4" t="s">
        <v>46</v>
      </c>
      <c r="B12" s="6">
        <f>C36</f>
        <v>4</v>
      </c>
      <c r="C12" s="7">
        <v>0</v>
      </c>
      <c r="D12" s="8">
        <f t="shared" si="0"/>
        <v>0</v>
      </c>
      <c r="F12" s="427" t="s">
        <v>139</v>
      </c>
      <c r="G12" s="427"/>
      <c r="H12" s="6" t="s">
        <v>140</v>
      </c>
    </row>
    <row r="13" spans="1:10" x14ac:dyDescent="0.3">
      <c r="F13" s="427" t="s">
        <v>141</v>
      </c>
      <c r="G13" s="427"/>
      <c r="H13" s="6" t="s">
        <v>142</v>
      </c>
    </row>
    <row r="14" spans="1:10" x14ac:dyDescent="0.3">
      <c r="A14" s="3" t="s">
        <v>92</v>
      </c>
      <c r="B14" s="12">
        <f>(B39+B40+B41+B42+B43+B44+B45)/100</f>
        <v>0.495</v>
      </c>
      <c r="C14" s="12">
        <f>(C39+C40+C41+C42+C43+C44+C45)/100</f>
        <v>0.61499999999999999</v>
      </c>
      <c r="F14" s="427" t="s">
        <v>143</v>
      </c>
      <c r="G14" s="427"/>
      <c r="H14" s="6" t="s">
        <v>135</v>
      </c>
    </row>
    <row r="15" spans="1:10" x14ac:dyDescent="0.3">
      <c r="F15" s="427" t="s">
        <v>144</v>
      </c>
      <c r="G15" s="427"/>
      <c r="H15" s="6" t="s">
        <v>145</v>
      </c>
    </row>
    <row r="16" spans="1:10" x14ac:dyDescent="0.3">
      <c r="A16" s="4" t="s">
        <v>146</v>
      </c>
      <c r="B16" s="13">
        <v>0.01</v>
      </c>
      <c r="C16" s="13">
        <v>0.02</v>
      </c>
      <c r="F16" s="427" t="s">
        <v>147</v>
      </c>
      <c r="G16" s="427"/>
      <c r="H16" s="6" t="s">
        <v>148</v>
      </c>
    </row>
    <row r="17" spans="1:3" x14ac:dyDescent="0.3">
      <c r="A17" s="4" t="s">
        <v>149</v>
      </c>
      <c r="B17" s="13">
        <v>0.01</v>
      </c>
      <c r="C17" s="13">
        <v>0.03</v>
      </c>
    </row>
    <row r="18" spans="1:3" x14ac:dyDescent="0.3">
      <c r="A18" s="4" t="s">
        <v>150</v>
      </c>
      <c r="B18" s="13">
        <v>0.03</v>
      </c>
      <c r="C18" s="13">
        <v>0.08</v>
      </c>
    </row>
    <row r="19" spans="1:3" x14ac:dyDescent="0.3">
      <c r="A19" s="4" t="s">
        <v>151</v>
      </c>
      <c r="B19" s="13">
        <v>0.05</v>
      </c>
      <c r="C19" s="13">
        <v>0.15</v>
      </c>
    </row>
    <row r="20" spans="1:3" x14ac:dyDescent="0.3">
      <c r="A20" s="4" t="s">
        <v>152</v>
      </c>
      <c r="B20" s="13">
        <v>7.0000000000000007E-2</v>
      </c>
      <c r="C20" s="13">
        <v>0.2</v>
      </c>
    </row>
    <row r="21" spans="1:3" x14ac:dyDescent="0.3">
      <c r="A21" s="4" t="s">
        <v>153</v>
      </c>
      <c r="B21" s="13">
        <v>0.1</v>
      </c>
      <c r="C21" s="13">
        <v>0.3</v>
      </c>
    </row>
    <row r="36" spans="1:13" x14ac:dyDescent="0.3">
      <c r="A36" s="4" t="s">
        <v>81</v>
      </c>
      <c r="B36" s="14" t="s">
        <v>154</v>
      </c>
      <c r="C36" s="14">
        <f>D3</f>
        <v>4</v>
      </c>
      <c r="D36" s="15"/>
    </row>
    <row r="38" spans="1:13" x14ac:dyDescent="0.3">
      <c r="A38" s="3"/>
      <c r="B38" s="3" t="s">
        <v>87</v>
      </c>
      <c r="C38" s="3" t="s">
        <v>91</v>
      </c>
      <c r="G38" s="3" t="s">
        <v>82</v>
      </c>
      <c r="H38" s="3" t="s">
        <v>84</v>
      </c>
      <c r="I38" s="3" t="s">
        <v>85</v>
      </c>
      <c r="J38" s="3" t="s">
        <v>38</v>
      </c>
      <c r="K38" s="3" t="s">
        <v>44</v>
      </c>
      <c r="L38" s="3" t="s">
        <v>86</v>
      </c>
      <c r="M38" s="3" t="s">
        <v>46</v>
      </c>
    </row>
    <row r="39" spans="1:13" x14ac:dyDescent="0.3">
      <c r="A39" s="3" t="s">
        <v>35</v>
      </c>
      <c r="B39" s="3">
        <f>G39</f>
        <v>10</v>
      </c>
      <c r="C39" s="3">
        <f>G40</f>
        <v>30</v>
      </c>
      <c r="E39" s="424" t="s">
        <v>87</v>
      </c>
      <c r="F39" s="424"/>
      <c r="G39" s="16">
        <f>C6</f>
        <v>10</v>
      </c>
      <c r="H39" s="16">
        <f>40/B7*C7</f>
        <v>32</v>
      </c>
      <c r="I39" s="16">
        <f>15/B8*C8</f>
        <v>7.5</v>
      </c>
      <c r="J39" s="16">
        <f>10/B9*C9</f>
        <v>0</v>
      </c>
      <c r="K39" s="16">
        <f>10/B10*C10</f>
        <v>0</v>
      </c>
      <c r="L39" s="16">
        <f>5/B11*C11</f>
        <v>0</v>
      </c>
      <c r="M39" s="16">
        <f>5/B12*C12</f>
        <v>0</v>
      </c>
    </row>
    <row r="40" spans="1:13" x14ac:dyDescent="0.3">
      <c r="A40" s="3" t="s">
        <v>36</v>
      </c>
      <c r="B40" s="3">
        <f>H39</f>
        <v>32</v>
      </c>
      <c r="C40" s="3">
        <f>H40</f>
        <v>24</v>
      </c>
      <c r="E40" s="424" t="s">
        <v>89</v>
      </c>
      <c r="F40" s="424"/>
      <c r="G40" s="3">
        <f>G39+20</f>
        <v>30</v>
      </c>
      <c r="H40" s="3">
        <f>30/B7*C7</f>
        <v>24</v>
      </c>
      <c r="I40" s="3">
        <f>15/B8*C8</f>
        <v>7.5</v>
      </c>
      <c r="J40" s="3">
        <f>10/B9*C9</f>
        <v>0</v>
      </c>
      <c r="K40" s="3">
        <f>5/B10*C10</f>
        <v>0</v>
      </c>
      <c r="L40" s="3">
        <f>5/B11*C11</f>
        <v>0</v>
      </c>
      <c r="M40" s="3">
        <f>5/B12*C12</f>
        <v>0</v>
      </c>
    </row>
    <row r="41" spans="1:13" x14ac:dyDescent="0.3">
      <c r="A41" s="3" t="s">
        <v>85</v>
      </c>
      <c r="B41" s="3">
        <f>I39</f>
        <v>7.5</v>
      </c>
      <c r="C41" s="3">
        <f>I40</f>
        <v>7.5</v>
      </c>
    </row>
    <row r="42" spans="1:13" x14ac:dyDescent="0.3">
      <c r="A42" s="3" t="s">
        <v>38</v>
      </c>
      <c r="B42" s="3">
        <f>J39</f>
        <v>0</v>
      </c>
      <c r="C42" s="3">
        <f>J40</f>
        <v>0</v>
      </c>
    </row>
    <row r="43" spans="1:13" x14ac:dyDescent="0.3">
      <c r="A43" s="3" t="s">
        <v>44</v>
      </c>
      <c r="B43" s="3">
        <f>K39</f>
        <v>0</v>
      </c>
      <c r="C43" s="3">
        <f>K40</f>
        <v>0</v>
      </c>
    </row>
    <row r="44" spans="1:13" x14ac:dyDescent="0.3">
      <c r="A44" s="17" t="s">
        <v>86</v>
      </c>
      <c r="B44" s="3">
        <f>L39</f>
        <v>0</v>
      </c>
      <c r="C44" s="3">
        <f>L40</f>
        <v>0</v>
      </c>
    </row>
    <row r="45" spans="1:13" x14ac:dyDescent="0.3">
      <c r="A45" s="3" t="s">
        <v>46</v>
      </c>
      <c r="B45" s="3">
        <f>M39</f>
        <v>0</v>
      </c>
      <c r="C45" s="3">
        <f>M40</f>
        <v>0</v>
      </c>
    </row>
  </sheetData>
  <mergeCells count="14">
    <mergeCell ref="F10:G10"/>
    <mergeCell ref="E39:F39"/>
    <mergeCell ref="E40:F40"/>
    <mergeCell ref="F11:G11"/>
    <mergeCell ref="F12:G12"/>
    <mergeCell ref="F13:G13"/>
    <mergeCell ref="F14:G14"/>
    <mergeCell ref="F15:G15"/>
    <mergeCell ref="F16:G16"/>
    <mergeCell ref="D2:E2"/>
    <mergeCell ref="D3:E3"/>
    <mergeCell ref="F7:G7"/>
    <mergeCell ref="F8:G8"/>
    <mergeCell ref="F9:G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5"/>
  <sheetViews>
    <sheetView workbookViewId="0">
      <selection activeCell="C7" sqref="C7:C8"/>
    </sheetView>
  </sheetViews>
  <sheetFormatPr defaultColWidth="9.1796875" defaultRowHeight="14" x14ac:dyDescent="0.3"/>
  <cols>
    <col min="1" max="1" width="20.54296875" style="4" customWidth="1"/>
    <col min="2" max="2" width="11.7265625" style="4" customWidth="1"/>
    <col min="3" max="4" width="9.1796875" style="4"/>
    <col min="5" max="5" width="10.1796875" style="4" customWidth="1"/>
    <col min="6" max="6" width="10.7265625" style="4" customWidth="1"/>
    <col min="7" max="7" width="9.1796875" style="4"/>
    <col min="8" max="8" width="10.453125" style="4" customWidth="1"/>
    <col min="9" max="9" width="15.453125" style="4" customWidth="1"/>
    <col min="10" max="16384" width="9.1796875" style="4"/>
  </cols>
  <sheetData>
    <row r="2" spans="1:10" x14ac:dyDescent="0.3">
      <c r="A2" s="3" t="s">
        <v>126</v>
      </c>
      <c r="B2" s="3" t="s">
        <v>127</v>
      </c>
      <c r="C2" s="3" t="s">
        <v>128</v>
      </c>
      <c r="D2" s="424" t="s">
        <v>129</v>
      </c>
      <c r="E2" s="424"/>
    </row>
    <row r="3" spans="1:10" x14ac:dyDescent="0.3">
      <c r="A3" s="5">
        <v>0</v>
      </c>
      <c r="B3" s="5">
        <v>0</v>
      </c>
      <c r="C3" s="5">
        <v>1</v>
      </c>
      <c r="D3" s="425">
        <v>4</v>
      </c>
      <c r="E3" s="425"/>
    </row>
    <row r="6" spans="1:10" x14ac:dyDescent="0.3">
      <c r="A6" s="4" t="s">
        <v>82</v>
      </c>
      <c r="B6" s="6">
        <v>10</v>
      </c>
      <c r="C6" s="7">
        <v>10</v>
      </c>
      <c r="D6" s="8">
        <f>((100/B6)*C6)/100</f>
        <v>1</v>
      </c>
    </row>
    <row r="7" spans="1:10" x14ac:dyDescent="0.3">
      <c r="A7" s="4" t="s">
        <v>83</v>
      </c>
      <c r="B7" s="6">
        <f>A3+B3+C3+D3</f>
        <v>5</v>
      </c>
      <c r="C7" s="7">
        <v>5</v>
      </c>
      <c r="D7" s="8">
        <f t="shared" ref="D7:D12" si="0">((100/B7)*C7)/100</f>
        <v>1</v>
      </c>
      <c r="F7" s="426" t="s">
        <v>130</v>
      </c>
      <c r="G7" s="426"/>
      <c r="H7" s="9" t="s">
        <v>131</v>
      </c>
      <c r="J7" s="10"/>
    </row>
    <row r="8" spans="1:10" x14ac:dyDescent="0.3">
      <c r="A8" s="4" t="s">
        <v>88</v>
      </c>
      <c r="B8" s="6">
        <f>C36</f>
        <v>4</v>
      </c>
      <c r="C8" s="7">
        <v>3</v>
      </c>
      <c r="D8" s="8">
        <f t="shared" si="0"/>
        <v>0.75</v>
      </c>
      <c r="F8" s="427" t="s">
        <v>132</v>
      </c>
      <c r="G8" s="427"/>
      <c r="H8" s="6" t="s">
        <v>133</v>
      </c>
    </row>
    <row r="9" spans="1:10" x14ac:dyDescent="0.3">
      <c r="A9" s="4" t="s">
        <v>90</v>
      </c>
      <c r="B9" s="6">
        <f>C36</f>
        <v>4</v>
      </c>
      <c r="C9" s="7">
        <v>0</v>
      </c>
      <c r="D9" s="8">
        <f t="shared" si="0"/>
        <v>0</v>
      </c>
      <c r="F9" s="427" t="s">
        <v>134</v>
      </c>
      <c r="G9" s="427"/>
      <c r="H9" s="6" t="s">
        <v>135</v>
      </c>
    </row>
    <row r="10" spans="1:10" x14ac:dyDescent="0.3">
      <c r="A10" s="4" t="s">
        <v>44</v>
      </c>
      <c r="B10" s="6">
        <f>C36</f>
        <v>4</v>
      </c>
      <c r="C10" s="7">
        <v>0</v>
      </c>
      <c r="D10" s="8">
        <f t="shared" si="0"/>
        <v>0</v>
      </c>
      <c r="F10" s="427" t="s">
        <v>108</v>
      </c>
      <c r="G10" s="427"/>
      <c r="H10" s="6" t="s">
        <v>136</v>
      </c>
    </row>
    <row r="11" spans="1:10" x14ac:dyDescent="0.3">
      <c r="A11" s="11" t="s">
        <v>86</v>
      </c>
      <c r="B11" s="6">
        <f>C36</f>
        <v>4</v>
      </c>
      <c r="C11" s="7">
        <v>0</v>
      </c>
      <c r="D11" s="8">
        <f t="shared" si="0"/>
        <v>0</v>
      </c>
      <c r="F11" s="427" t="s">
        <v>137</v>
      </c>
      <c r="G11" s="427"/>
      <c r="H11" s="6" t="s">
        <v>138</v>
      </c>
    </row>
    <row r="12" spans="1:10" x14ac:dyDescent="0.3">
      <c r="A12" s="4" t="s">
        <v>46</v>
      </c>
      <c r="B12" s="6">
        <f>C36</f>
        <v>4</v>
      </c>
      <c r="C12" s="7">
        <v>0</v>
      </c>
      <c r="D12" s="8">
        <f t="shared" si="0"/>
        <v>0</v>
      </c>
      <c r="F12" s="427" t="s">
        <v>139</v>
      </c>
      <c r="G12" s="427"/>
      <c r="H12" s="6" t="s">
        <v>140</v>
      </c>
    </row>
    <row r="13" spans="1:10" x14ac:dyDescent="0.3">
      <c r="F13" s="427" t="s">
        <v>141</v>
      </c>
      <c r="G13" s="427"/>
      <c r="H13" s="6" t="s">
        <v>142</v>
      </c>
    </row>
    <row r="14" spans="1:10" x14ac:dyDescent="0.3">
      <c r="A14" s="3" t="s">
        <v>92</v>
      </c>
      <c r="B14" s="12">
        <f>(B39+B40+B41+B42+B43+B44+B45)/100</f>
        <v>0.61250000000000004</v>
      </c>
      <c r="C14" s="12">
        <f>(C39+C40+C41+C42+C43+C44+C45)/100</f>
        <v>0.71250000000000002</v>
      </c>
      <c r="F14" s="427" t="s">
        <v>143</v>
      </c>
      <c r="G14" s="427"/>
      <c r="H14" s="6" t="s">
        <v>135</v>
      </c>
    </row>
    <row r="15" spans="1:10" x14ac:dyDescent="0.3">
      <c r="F15" s="427" t="s">
        <v>144</v>
      </c>
      <c r="G15" s="427"/>
      <c r="H15" s="6" t="s">
        <v>145</v>
      </c>
    </row>
    <row r="16" spans="1:10" x14ac:dyDescent="0.3">
      <c r="A16" s="4" t="s">
        <v>146</v>
      </c>
      <c r="B16" s="13">
        <v>0.01</v>
      </c>
      <c r="C16" s="13">
        <v>0.02</v>
      </c>
      <c r="F16" s="427" t="s">
        <v>147</v>
      </c>
      <c r="G16" s="427"/>
      <c r="H16" s="6" t="s">
        <v>148</v>
      </c>
    </row>
    <row r="17" spans="1:3" x14ac:dyDescent="0.3">
      <c r="A17" s="4" t="s">
        <v>149</v>
      </c>
      <c r="B17" s="13">
        <v>0.01</v>
      </c>
      <c r="C17" s="13">
        <v>0.03</v>
      </c>
    </row>
    <row r="18" spans="1:3" x14ac:dyDescent="0.3">
      <c r="A18" s="4" t="s">
        <v>150</v>
      </c>
      <c r="B18" s="13">
        <v>0.03</v>
      </c>
      <c r="C18" s="13">
        <v>0.08</v>
      </c>
    </row>
    <row r="19" spans="1:3" x14ac:dyDescent="0.3">
      <c r="A19" s="4" t="s">
        <v>151</v>
      </c>
      <c r="B19" s="13">
        <v>0.05</v>
      </c>
      <c r="C19" s="13">
        <v>0.15</v>
      </c>
    </row>
    <row r="20" spans="1:3" x14ac:dyDescent="0.3">
      <c r="A20" s="4" t="s">
        <v>152</v>
      </c>
      <c r="B20" s="13">
        <v>7.0000000000000007E-2</v>
      </c>
      <c r="C20" s="13">
        <v>0.2</v>
      </c>
    </row>
    <row r="21" spans="1:3" x14ac:dyDescent="0.3">
      <c r="A21" s="4" t="s">
        <v>153</v>
      </c>
      <c r="B21" s="13">
        <v>0.1</v>
      </c>
      <c r="C21" s="13">
        <v>0.3</v>
      </c>
    </row>
    <row r="36" spans="1:13" x14ac:dyDescent="0.3">
      <c r="A36" s="4" t="s">
        <v>81</v>
      </c>
      <c r="B36" s="14" t="s">
        <v>154</v>
      </c>
      <c r="C36" s="14">
        <f>D3</f>
        <v>4</v>
      </c>
      <c r="D36" s="15"/>
    </row>
    <row r="38" spans="1:13" x14ac:dyDescent="0.3">
      <c r="A38" s="3"/>
      <c r="B38" s="3" t="s">
        <v>87</v>
      </c>
      <c r="C38" s="3" t="s">
        <v>91</v>
      </c>
      <c r="G38" s="3" t="s">
        <v>82</v>
      </c>
      <c r="H38" s="3" t="s">
        <v>84</v>
      </c>
      <c r="I38" s="3" t="s">
        <v>85</v>
      </c>
      <c r="J38" s="3" t="s">
        <v>38</v>
      </c>
      <c r="K38" s="3" t="s">
        <v>44</v>
      </c>
      <c r="L38" s="3" t="s">
        <v>86</v>
      </c>
      <c r="M38" s="3" t="s">
        <v>46</v>
      </c>
    </row>
    <row r="39" spans="1:13" x14ac:dyDescent="0.3">
      <c r="A39" s="3" t="s">
        <v>35</v>
      </c>
      <c r="B39" s="3">
        <f>G39</f>
        <v>10</v>
      </c>
      <c r="C39" s="3">
        <f>G40</f>
        <v>30</v>
      </c>
      <c r="E39" s="424" t="s">
        <v>87</v>
      </c>
      <c r="F39" s="424"/>
      <c r="G39" s="16">
        <f>C6</f>
        <v>10</v>
      </c>
      <c r="H39" s="16">
        <f>40/B7*C7</f>
        <v>40</v>
      </c>
      <c r="I39" s="16">
        <f>15/B8*C8</f>
        <v>11.25</v>
      </c>
      <c r="J39" s="16">
        <f>10/B9*C9</f>
        <v>0</v>
      </c>
      <c r="K39" s="16">
        <f>10/B10*C10</f>
        <v>0</v>
      </c>
      <c r="L39" s="16">
        <f>5/B11*C11</f>
        <v>0</v>
      </c>
      <c r="M39" s="16">
        <f>5/B12*C12</f>
        <v>0</v>
      </c>
    </row>
    <row r="40" spans="1:13" x14ac:dyDescent="0.3">
      <c r="A40" s="3" t="s">
        <v>36</v>
      </c>
      <c r="B40" s="3">
        <f>H39</f>
        <v>40</v>
      </c>
      <c r="C40" s="3">
        <f>H40</f>
        <v>30</v>
      </c>
      <c r="E40" s="424" t="s">
        <v>89</v>
      </c>
      <c r="F40" s="424"/>
      <c r="G40" s="3">
        <f>G39+20</f>
        <v>30</v>
      </c>
      <c r="H40" s="3">
        <f>30/B7*C7</f>
        <v>30</v>
      </c>
      <c r="I40" s="3">
        <f>15/B8*C8</f>
        <v>11.25</v>
      </c>
      <c r="J40" s="3">
        <f>10/B9*C9</f>
        <v>0</v>
      </c>
      <c r="K40" s="3">
        <f>5/B10*C10</f>
        <v>0</v>
      </c>
      <c r="L40" s="3">
        <f>5/B11*C11</f>
        <v>0</v>
      </c>
      <c r="M40" s="3">
        <f>5/B12*C12</f>
        <v>0</v>
      </c>
    </row>
    <row r="41" spans="1:13" x14ac:dyDescent="0.3">
      <c r="A41" s="3" t="s">
        <v>85</v>
      </c>
      <c r="B41" s="3">
        <f>I39</f>
        <v>11.25</v>
      </c>
      <c r="C41" s="3">
        <f>I40</f>
        <v>11.25</v>
      </c>
    </row>
    <row r="42" spans="1:13" x14ac:dyDescent="0.3">
      <c r="A42" s="3" t="s">
        <v>38</v>
      </c>
      <c r="B42" s="3">
        <f>J39</f>
        <v>0</v>
      </c>
      <c r="C42" s="3">
        <f>J40</f>
        <v>0</v>
      </c>
    </row>
    <row r="43" spans="1:13" x14ac:dyDescent="0.3">
      <c r="A43" s="3" t="s">
        <v>44</v>
      </c>
      <c r="B43" s="3">
        <f>K39</f>
        <v>0</v>
      </c>
      <c r="C43" s="3">
        <f>K40</f>
        <v>0</v>
      </c>
    </row>
    <row r="44" spans="1:13" x14ac:dyDescent="0.3">
      <c r="A44" s="17" t="s">
        <v>86</v>
      </c>
      <c r="B44" s="3">
        <f>L39</f>
        <v>0</v>
      </c>
      <c r="C44" s="3">
        <f>L40</f>
        <v>0</v>
      </c>
    </row>
    <row r="45" spans="1:13" x14ac:dyDescent="0.3">
      <c r="A45" s="3" t="s">
        <v>46</v>
      </c>
      <c r="B45" s="3">
        <f>M39</f>
        <v>0</v>
      </c>
      <c r="C45" s="3">
        <f>M40</f>
        <v>0</v>
      </c>
    </row>
  </sheetData>
  <mergeCells count="14">
    <mergeCell ref="F10:G10"/>
    <mergeCell ref="E39:F39"/>
    <mergeCell ref="E40:F40"/>
    <mergeCell ref="F11:G11"/>
    <mergeCell ref="F12:G12"/>
    <mergeCell ref="F13:G13"/>
    <mergeCell ref="F14:G14"/>
    <mergeCell ref="F15:G15"/>
    <mergeCell ref="F16:G16"/>
    <mergeCell ref="D2:E2"/>
    <mergeCell ref="D3:E3"/>
    <mergeCell ref="F7:G7"/>
    <mergeCell ref="F8:G8"/>
    <mergeCell ref="F9:G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5"/>
  <sheetViews>
    <sheetView workbookViewId="0">
      <selection activeCell="C9" sqref="C9"/>
    </sheetView>
  </sheetViews>
  <sheetFormatPr defaultColWidth="9.1796875" defaultRowHeight="14" x14ac:dyDescent="0.3"/>
  <cols>
    <col min="1" max="1" width="20.54296875" style="4" customWidth="1"/>
    <col min="2" max="2" width="11.7265625" style="4" customWidth="1"/>
    <col min="3" max="4" width="9.1796875" style="4"/>
    <col min="5" max="5" width="10.1796875" style="4" customWidth="1"/>
    <col min="6" max="6" width="10.7265625" style="4" customWidth="1"/>
    <col min="7" max="7" width="9.1796875" style="4"/>
    <col min="8" max="8" width="10.453125" style="4" customWidth="1"/>
    <col min="9" max="9" width="15.453125" style="4" customWidth="1"/>
    <col min="10" max="16384" width="9.1796875" style="4"/>
  </cols>
  <sheetData>
    <row r="2" spans="1:10" x14ac:dyDescent="0.3">
      <c r="A2" s="3" t="s">
        <v>126</v>
      </c>
      <c r="B2" s="3" t="s">
        <v>127</v>
      </c>
      <c r="C2" s="3" t="s">
        <v>128</v>
      </c>
      <c r="D2" s="424" t="s">
        <v>129</v>
      </c>
      <c r="E2" s="424"/>
    </row>
    <row r="3" spans="1:10" x14ac:dyDescent="0.3">
      <c r="A3" s="5">
        <v>0</v>
      </c>
      <c r="B3" s="5">
        <v>0</v>
      </c>
      <c r="C3" s="5">
        <v>1</v>
      </c>
      <c r="D3" s="425">
        <v>4</v>
      </c>
      <c r="E3" s="425"/>
    </row>
    <row r="6" spans="1:10" x14ac:dyDescent="0.3">
      <c r="A6" s="4" t="s">
        <v>82</v>
      </c>
      <c r="B6" s="6">
        <v>10</v>
      </c>
      <c r="C6" s="7">
        <v>10</v>
      </c>
      <c r="D6" s="8">
        <f>((100/B6)*C6)/100</f>
        <v>1</v>
      </c>
    </row>
    <row r="7" spans="1:10" x14ac:dyDescent="0.3">
      <c r="A7" s="4" t="s">
        <v>83</v>
      </c>
      <c r="B7" s="6">
        <f>A3+B3+C3+D3</f>
        <v>5</v>
      </c>
      <c r="C7" s="7">
        <v>4</v>
      </c>
      <c r="D7" s="8">
        <f t="shared" ref="D7:D12" si="0">((100/B7)*C7)/100</f>
        <v>0.8</v>
      </c>
      <c r="F7" s="426" t="s">
        <v>130</v>
      </c>
      <c r="G7" s="426"/>
      <c r="H7" s="9" t="s">
        <v>131</v>
      </c>
      <c r="J7" s="10"/>
    </row>
    <row r="8" spans="1:10" x14ac:dyDescent="0.3">
      <c r="A8" s="4" t="s">
        <v>88</v>
      </c>
      <c r="B8" s="6">
        <f>C36</f>
        <v>4</v>
      </c>
      <c r="C8" s="7">
        <v>3</v>
      </c>
      <c r="D8" s="8">
        <f t="shared" si="0"/>
        <v>0.75</v>
      </c>
      <c r="F8" s="427" t="s">
        <v>132</v>
      </c>
      <c r="G8" s="427"/>
      <c r="H8" s="6" t="s">
        <v>133</v>
      </c>
    </row>
    <row r="9" spans="1:10" x14ac:dyDescent="0.3">
      <c r="A9" s="4" t="s">
        <v>90</v>
      </c>
      <c r="B9" s="6">
        <f>C36</f>
        <v>4</v>
      </c>
      <c r="C9" s="7">
        <v>0</v>
      </c>
      <c r="D9" s="8">
        <f t="shared" si="0"/>
        <v>0</v>
      </c>
      <c r="F9" s="427" t="s">
        <v>134</v>
      </c>
      <c r="G9" s="427"/>
      <c r="H9" s="6" t="s">
        <v>135</v>
      </c>
    </row>
    <row r="10" spans="1:10" x14ac:dyDescent="0.3">
      <c r="A10" s="4" t="s">
        <v>44</v>
      </c>
      <c r="B10" s="6">
        <f>C36</f>
        <v>4</v>
      </c>
      <c r="C10" s="7">
        <v>0</v>
      </c>
      <c r="D10" s="8">
        <f t="shared" si="0"/>
        <v>0</v>
      </c>
      <c r="F10" s="427" t="s">
        <v>108</v>
      </c>
      <c r="G10" s="427"/>
      <c r="H10" s="6" t="s">
        <v>136</v>
      </c>
    </row>
    <row r="11" spans="1:10" x14ac:dyDescent="0.3">
      <c r="A11" s="11" t="s">
        <v>86</v>
      </c>
      <c r="B11" s="6">
        <f>C36</f>
        <v>4</v>
      </c>
      <c r="C11" s="7">
        <v>0</v>
      </c>
      <c r="D11" s="8">
        <f t="shared" si="0"/>
        <v>0</v>
      </c>
      <c r="F11" s="427" t="s">
        <v>137</v>
      </c>
      <c r="G11" s="427"/>
      <c r="H11" s="6" t="s">
        <v>138</v>
      </c>
    </row>
    <row r="12" spans="1:10" x14ac:dyDescent="0.3">
      <c r="A12" s="4" t="s">
        <v>46</v>
      </c>
      <c r="B12" s="6">
        <f>C36</f>
        <v>4</v>
      </c>
      <c r="C12" s="7">
        <v>0</v>
      </c>
      <c r="D12" s="8">
        <f t="shared" si="0"/>
        <v>0</v>
      </c>
      <c r="F12" s="427" t="s">
        <v>139</v>
      </c>
      <c r="G12" s="427"/>
      <c r="H12" s="6" t="s">
        <v>140</v>
      </c>
    </row>
    <row r="13" spans="1:10" x14ac:dyDescent="0.3">
      <c r="F13" s="427" t="s">
        <v>141</v>
      </c>
      <c r="G13" s="427"/>
      <c r="H13" s="6" t="s">
        <v>142</v>
      </c>
    </row>
    <row r="14" spans="1:10" x14ac:dyDescent="0.3">
      <c r="A14" s="3" t="s">
        <v>92</v>
      </c>
      <c r="B14" s="12">
        <f>(B39+B40+B41+B42+B43+B44+B45)/100</f>
        <v>0.53249999999999997</v>
      </c>
      <c r="C14" s="12">
        <f>(C39+C40+C41+C42+C43+C44+C45)/100</f>
        <v>0.65249999999999997</v>
      </c>
      <c r="F14" s="427" t="s">
        <v>143</v>
      </c>
      <c r="G14" s="427"/>
      <c r="H14" s="6" t="s">
        <v>135</v>
      </c>
    </row>
    <row r="15" spans="1:10" x14ac:dyDescent="0.3">
      <c r="F15" s="427" t="s">
        <v>144</v>
      </c>
      <c r="G15" s="427"/>
      <c r="H15" s="6" t="s">
        <v>145</v>
      </c>
    </row>
    <row r="16" spans="1:10" x14ac:dyDescent="0.3">
      <c r="A16" s="4" t="s">
        <v>146</v>
      </c>
      <c r="B16" s="13">
        <v>0.01</v>
      </c>
      <c r="C16" s="13">
        <v>0.02</v>
      </c>
      <c r="F16" s="427" t="s">
        <v>147</v>
      </c>
      <c r="G16" s="427"/>
      <c r="H16" s="6" t="s">
        <v>148</v>
      </c>
    </row>
    <row r="17" spans="1:3" x14ac:dyDescent="0.3">
      <c r="A17" s="4" t="s">
        <v>149</v>
      </c>
      <c r="B17" s="13">
        <v>0.01</v>
      </c>
      <c r="C17" s="13">
        <v>0.03</v>
      </c>
    </row>
    <row r="18" spans="1:3" x14ac:dyDescent="0.3">
      <c r="A18" s="4" t="s">
        <v>150</v>
      </c>
      <c r="B18" s="13">
        <v>0.03</v>
      </c>
      <c r="C18" s="13">
        <v>0.08</v>
      </c>
    </row>
    <row r="19" spans="1:3" x14ac:dyDescent="0.3">
      <c r="A19" s="4" t="s">
        <v>151</v>
      </c>
      <c r="B19" s="13">
        <v>0.05</v>
      </c>
      <c r="C19" s="13">
        <v>0.15</v>
      </c>
    </row>
    <row r="20" spans="1:3" x14ac:dyDescent="0.3">
      <c r="A20" s="4" t="s">
        <v>152</v>
      </c>
      <c r="B20" s="13">
        <v>7.0000000000000007E-2</v>
      </c>
      <c r="C20" s="13">
        <v>0.2</v>
      </c>
    </row>
    <row r="21" spans="1:3" x14ac:dyDescent="0.3">
      <c r="A21" s="4" t="s">
        <v>153</v>
      </c>
      <c r="B21" s="13">
        <v>0.1</v>
      </c>
      <c r="C21" s="13">
        <v>0.3</v>
      </c>
    </row>
    <row r="36" spans="1:13" x14ac:dyDescent="0.3">
      <c r="A36" s="4" t="s">
        <v>81</v>
      </c>
      <c r="B36" s="14" t="s">
        <v>154</v>
      </c>
      <c r="C36" s="14">
        <f>D3</f>
        <v>4</v>
      </c>
      <c r="D36" s="15"/>
    </row>
    <row r="38" spans="1:13" x14ac:dyDescent="0.3">
      <c r="A38" s="3"/>
      <c r="B38" s="3" t="s">
        <v>87</v>
      </c>
      <c r="C38" s="3" t="s">
        <v>91</v>
      </c>
      <c r="G38" s="3" t="s">
        <v>82</v>
      </c>
      <c r="H38" s="3" t="s">
        <v>84</v>
      </c>
      <c r="I38" s="3" t="s">
        <v>85</v>
      </c>
      <c r="J38" s="3" t="s">
        <v>38</v>
      </c>
      <c r="K38" s="3" t="s">
        <v>44</v>
      </c>
      <c r="L38" s="3" t="s">
        <v>86</v>
      </c>
      <c r="M38" s="3" t="s">
        <v>46</v>
      </c>
    </row>
    <row r="39" spans="1:13" x14ac:dyDescent="0.3">
      <c r="A39" s="3" t="s">
        <v>35</v>
      </c>
      <c r="B39" s="3">
        <f>G39</f>
        <v>10</v>
      </c>
      <c r="C39" s="3">
        <f>G40</f>
        <v>30</v>
      </c>
      <c r="E39" s="424" t="s">
        <v>87</v>
      </c>
      <c r="F39" s="424"/>
      <c r="G39" s="16">
        <f>C6</f>
        <v>10</v>
      </c>
      <c r="H39" s="16">
        <f>40/B7*C7</f>
        <v>32</v>
      </c>
      <c r="I39" s="16">
        <f>15/B8*C8</f>
        <v>11.25</v>
      </c>
      <c r="J39" s="16">
        <f>10/B9*C9</f>
        <v>0</v>
      </c>
      <c r="K39" s="16">
        <f>10/B10*C10</f>
        <v>0</v>
      </c>
      <c r="L39" s="16">
        <f>5/B11*C11</f>
        <v>0</v>
      </c>
      <c r="M39" s="16">
        <f>5/B12*C12</f>
        <v>0</v>
      </c>
    </row>
    <row r="40" spans="1:13" x14ac:dyDescent="0.3">
      <c r="A40" s="3" t="s">
        <v>36</v>
      </c>
      <c r="B40" s="3">
        <f>H39</f>
        <v>32</v>
      </c>
      <c r="C40" s="3">
        <f>H40</f>
        <v>24</v>
      </c>
      <c r="E40" s="424" t="s">
        <v>89</v>
      </c>
      <c r="F40" s="424"/>
      <c r="G40" s="3">
        <f>G39+20</f>
        <v>30</v>
      </c>
      <c r="H40" s="3">
        <f>30/B7*C7</f>
        <v>24</v>
      </c>
      <c r="I40" s="3">
        <f>15/B8*C8</f>
        <v>11.25</v>
      </c>
      <c r="J40" s="3">
        <f>10/B9*C9</f>
        <v>0</v>
      </c>
      <c r="K40" s="3">
        <f>5/B10*C10</f>
        <v>0</v>
      </c>
      <c r="L40" s="3">
        <f>5/B11*C11</f>
        <v>0</v>
      </c>
      <c r="M40" s="3">
        <f>5/B12*C12</f>
        <v>0</v>
      </c>
    </row>
    <row r="41" spans="1:13" x14ac:dyDescent="0.3">
      <c r="A41" s="3" t="s">
        <v>85</v>
      </c>
      <c r="B41" s="3">
        <f>I39</f>
        <v>11.25</v>
      </c>
      <c r="C41" s="3">
        <f>I40</f>
        <v>11.25</v>
      </c>
    </row>
    <row r="42" spans="1:13" x14ac:dyDescent="0.3">
      <c r="A42" s="3" t="s">
        <v>38</v>
      </c>
      <c r="B42" s="3">
        <f>J39</f>
        <v>0</v>
      </c>
      <c r="C42" s="3">
        <f>J40</f>
        <v>0</v>
      </c>
    </row>
    <row r="43" spans="1:13" x14ac:dyDescent="0.3">
      <c r="A43" s="3" t="s">
        <v>44</v>
      </c>
      <c r="B43" s="3">
        <f>K39</f>
        <v>0</v>
      </c>
      <c r="C43" s="3">
        <f>K40</f>
        <v>0</v>
      </c>
    </row>
    <row r="44" spans="1:13" x14ac:dyDescent="0.3">
      <c r="A44" s="17" t="s">
        <v>86</v>
      </c>
      <c r="B44" s="3">
        <f>L39</f>
        <v>0</v>
      </c>
      <c r="C44" s="3">
        <f>L40</f>
        <v>0</v>
      </c>
    </row>
    <row r="45" spans="1:13" x14ac:dyDescent="0.3">
      <c r="A45" s="3" t="s">
        <v>46</v>
      </c>
      <c r="B45" s="3">
        <f>M39</f>
        <v>0</v>
      </c>
      <c r="C45" s="3">
        <f>M40</f>
        <v>0</v>
      </c>
    </row>
  </sheetData>
  <mergeCells count="14">
    <mergeCell ref="F10:G10"/>
    <mergeCell ref="E39:F39"/>
    <mergeCell ref="E40:F40"/>
    <mergeCell ref="F11:G11"/>
    <mergeCell ref="F12:G12"/>
    <mergeCell ref="F13:G13"/>
    <mergeCell ref="F14:G14"/>
    <mergeCell ref="F15:G15"/>
    <mergeCell ref="F16:G16"/>
    <mergeCell ref="D2:E2"/>
    <mergeCell ref="D3:E3"/>
    <mergeCell ref="F7:G7"/>
    <mergeCell ref="F8:G8"/>
    <mergeCell ref="F9:G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5"/>
  <sheetViews>
    <sheetView topLeftCell="A4" workbookViewId="0">
      <selection activeCell="C7" sqref="C7"/>
    </sheetView>
  </sheetViews>
  <sheetFormatPr defaultColWidth="9.1796875" defaultRowHeight="14" x14ac:dyDescent="0.3"/>
  <cols>
    <col min="1" max="1" width="20.54296875" style="4" customWidth="1"/>
    <col min="2" max="2" width="11.7265625" style="4" customWidth="1"/>
    <col min="3" max="4" width="9.1796875" style="4"/>
    <col min="5" max="5" width="10.1796875" style="4" customWidth="1"/>
    <col min="6" max="6" width="10.7265625" style="4" customWidth="1"/>
    <col min="7" max="7" width="9.1796875" style="4"/>
    <col min="8" max="8" width="10.453125" style="4" customWidth="1"/>
    <col min="9" max="9" width="15.453125" style="4" customWidth="1"/>
    <col min="10" max="16384" width="9.1796875" style="4"/>
  </cols>
  <sheetData>
    <row r="2" spans="1:10" x14ac:dyDescent="0.3">
      <c r="A2" s="3" t="s">
        <v>126</v>
      </c>
      <c r="B2" s="3" t="s">
        <v>127</v>
      </c>
      <c r="C2" s="3" t="s">
        <v>128</v>
      </c>
      <c r="D2" s="424" t="s">
        <v>129</v>
      </c>
      <c r="E2" s="424"/>
    </row>
    <row r="3" spans="1:10" x14ac:dyDescent="0.3">
      <c r="A3" s="5">
        <v>0</v>
      </c>
      <c r="B3" s="5">
        <v>0</v>
      </c>
      <c r="C3" s="5">
        <v>1</v>
      </c>
      <c r="D3" s="425">
        <v>4</v>
      </c>
      <c r="E3" s="425"/>
    </row>
    <row r="6" spans="1:10" x14ac:dyDescent="0.3">
      <c r="A6" s="4" t="s">
        <v>82</v>
      </c>
      <c r="B6" s="6">
        <v>10</v>
      </c>
      <c r="C6" s="7">
        <v>5</v>
      </c>
      <c r="D6" s="8">
        <f>((100/B6)*C6)/100</f>
        <v>0.5</v>
      </c>
    </row>
    <row r="7" spans="1:10" x14ac:dyDescent="0.3">
      <c r="A7" s="4" t="s">
        <v>83</v>
      </c>
      <c r="B7" s="6">
        <f>A3+B3+C3+D3</f>
        <v>5</v>
      </c>
      <c r="C7" s="7">
        <v>0</v>
      </c>
      <c r="D7" s="8">
        <f t="shared" ref="D7:D12" si="0">((100/B7)*C7)/100</f>
        <v>0</v>
      </c>
      <c r="F7" s="426" t="s">
        <v>130</v>
      </c>
      <c r="G7" s="426"/>
      <c r="H7" s="9" t="s">
        <v>131</v>
      </c>
      <c r="J7" s="10"/>
    </row>
    <row r="8" spans="1:10" x14ac:dyDescent="0.3">
      <c r="A8" s="4" t="s">
        <v>88</v>
      </c>
      <c r="B8" s="6">
        <f>C36</f>
        <v>4</v>
      </c>
      <c r="C8" s="7">
        <v>0</v>
      </c>
      <c r="D8" s="8">
        <f t="shared" si="0"/>
        <v>0</v>
      </c>
      <c r="F8" s="427" t="s">
        <v>132</v>
      </c>
      <c r="G8" s="427"/>
      <c r="H8" s="6" t="s">
        <v>133</v>
      </c>
    </row>
    <row r="9" spans="1:10" x14ac:dyDescent="0.3">
      <c r="A9" s="4" t="s">
        <v>90</v>
      </c>
      <c r="B9" s="6">
        <f>C36</f>
        <v>4</v>
      </c>
      <c r="C9" s="7">
        <v>0</v>
      </c>
      <c r="D9" s="8">
        <f t="shared" si="0"/>
        <v>0</v>
      </c>
      <c r="F9" s="427" t="s">
        <v>134</v>
      </c>
      <c r="G9" s="427"/>
      <c r="H9" s="6" t="s">
        <v>135</v>
      </c>
    </row>
    <row r="10" spans="1:10" x14ac:dyDescent="0.3">
      <c r="A10" s="4" t="s">
        <v>44</v>
      </c>
      <c r="B10" s="6">
        <f>C36</f>
        <v>4</v>
      </c>
      <c r="C10" s="7">
        <v>0</v>
      </c>
      <c r="D10" s="8">
        <f t="shared" si="0"/>
        <v>0</v>
      </c>
      <c r="F10" s="427" t="s">
        <v>108</v>
      </c>
      <c r="G10" s="427"/>
      <c r="H10" s="6" t="s">
        <v>136</v>
      </c>
    </row>
    <row r="11" spans="1:10" x14ac:dyDescent="0.3">
      <c r="A11" s="11" t="s">
        <v>86</v>
      </c>
      <c r="B11" s="6">
        <f>C36</f>
        <v>4</v>
      </c>
      <c r="C11" s="7">
        <v>0</v>
      </c>
      <c r="D11" s="8">
        <f t="shared" si="0"/>
        <v>0</v>
      </c>
      <c r="F11" s="427" t="s">
        <v>137</v>
      </c>
      <c r="G11" s="427"/>
      <c r="H11" s="6" t="s">
        <v>138</v>
      </c>
    </row>
    <row r="12" spans="1:10" x14ac:dyDescent="0.3">
      <c r="A12" s="4" t="s">
        <v>46</v>
      </c>
      <c r="B12" s="6">
        <f>C36</f>
        <v>4</v>
      </c>
      <c r="C12" s="7">
        <v>0</v>
      </c>
      <c r="D12" s="8">
        <f t="shared" si="0"/>
        <v>0</v>
      </c>
      <c r="F12" s="427" t="s">
        <v>139</v>
      </c>
      <c r="G12" s="427"/>
      <c r="H12" s="6" t="s">
        <v>140</v>
      </c>
    </row>
    <row r="13" spans="1:10" x14ac:dyDescent="0.3">
      <c r="F13" s="427" t="s">
        <v>141</v>
      </c>
      <c r="G13" s="427"/>
      <c r="H13" s="6" t="s">
        <v>142</v>
      </c>
    </row>
    <row r="14" spans="1:10" x14ac:dyDescent="0.3">
      <c r="A14" s="3" t="s">
        <v>92</v>
      </c>
      <c r="B14" s="12">
        <f>(B39+B40+B41+B42+B43+B44+B45)/100</f>
        <v>0.05</v>
      </c>
      <c r="C14" s="12">
        <f>(C39+C40+C41+C42+C43+C44+C45)/100</f>
        <v>0.25</v>
      </c>
      <c r="F14" s="427" t="s">
        <v>143</v>
      </c>
      <c r="G14" s="427"/>
      <c r="H14" s="6" t="s">
        <v>135</v>
      </c>
    </row>
    <row r="15" spans="1:10" x14ac:dyDescent="0.3">
      <c r="F15" s="427" t="s">
        <v>144</v>
      </c>
      <c r="G15" s="427"/>
      <c r="H15" s="6" t="s">
        <v>145</v>
      </c>
    </row>
    <row r="16" spans="1:10" x14ac:dyDescent="0.3">
      <c r="A16" s="4" t="s">
        <v>146</v>
      </c>
      <c r="B16" s="13">
        <v>0.01</v>
      </c>
      <c r="C16" s="13">
        <v>0.02</v>
      </c>
      <c r="F16" s="427" t="s">
        <v>147</v>
      </c>
      <c r="G16" s="427"/>
      <c r="H16" s="6" t="s">
        <v>148</v>
      </c>
    </row>
    <row r="17" spans="1:3" x14ac:dyDescent="0.3">
      <c r="A17" s="4" t="s">
        <v>149</v>
      </c>
      <c r="B17" s="13">
        <v>0.01</v>
      </c>
      <c r="C17" s="13">
        <v>0.03</v>
      </c>
    </row>
    <row r="18" spans="1:3" x14ac:dyDescent="0.3">
      <c r="A18" s="4" t="s">
        <v>150</v>
      </c>
      <c r="B18" s="13">
        <v>0.03</v>
      </c>
      <c r="C18" s="13">
        <v>0.08</v>
      </c>
    </row>
    <row r="19" spans="1:3" x14ac:dyDescent="0.3">
      <c r="A19" s="4" t="s">
        <v>151</v>
      </c>
      <c r="B19" s="13">
        <v>0.05</v>
      </c>
      <c r="C19" s="13">
        <v>0.15</v>
      </c>
    </row>
    <row r="20" spans="1:3" x14ac:dyDescent="0.3">
      <c r="A20" s="4" t="s">
        <v>152</v>
      </c>
      <c r="B20" s="13">
        <v>7.0000000000000007E-2</v>
      </c>
      <c r="C20" s="13">
        <v>0.2</v>
      </c>
    </row>
    <row r="21" spans="1:3" x14ac:dyDescent="0.3">
      <c r="A21" s="4" t="s">
        <v>153</v>
      </c>
      <c r="B21" s="13">
        <v>0.1</v>
      </c>
      <c r="C21" s="13">
        <v>0.3</v>
      </c>
    </row>
    <row r="36" spans="1:13" x14ac:dyDescent="0.3">
      <c r="A36" s="4" t="s">
        <v>81</v>
      </c>
      <c r="B36" s="14" t="s">
        <v>154</v>
      </c>
      <c r="C36" s="14">
        <f>D3</f>
        <v>4</v>
      </c>
      <c r="D36" s="15"/>
    </row>
    <row r="38" spans="1:13" x14ac:dyDescent="0.3">
      <c r="A38" s="3"/>
      <c r="B38" s="3" t="s">
        <v>87</v>
      </c>
      <c r="C38" s="3" t="s">
        <v>91</v>
      </c>
      <c r="G38" s="3" t="s">
        <v>82</v>
      </c>
      <c r="H38" s="3" t="s">
        <v>84</v>
      </c>
      <c r="I38" s="3" t="s">
        <v>85</v>
      </c>
      <c r="J38" s="3" t="s">
        <v>38</v>
      </c>
      <c r="K38" s="3" t="s">
        <v>44</v>
      </c>
      <c r="L38" s="3" t="s">
        <v>86</v>
      </c>
      <c r="M38" s="3" t="s">
        <v>46</v>
      </c>
    </row>
    <row r="39" spans="1:13" x14ac:dyDescent="0.3">
      <c r="A39" s="3" t="s">
        <v>35</v>
      </c>
      <c r="B39" s="3">
        <f>G39</f>
        <v>5</v>
      </c>
      <c r="C39" s="3">
        <f>G40</f>
        <v>25</v>
      </c>
      <c r="E39" s="424" t="s">
        <v>87</v>
      </c>
      <c r="F39" s="424"/>
      <c r="G39" s="16">
        <f>C6</f>
        <v>5</v>
      </c>
      <c r="H39" s="16">
        <f>40/B7*C7</f>
        <v>0</v>
      </c>
      <c r="I39" s="16">
        <f>15/B8*C8</f>
        <v>0</v>
      </c>
      <c r="J39" s="16">
        <f>10/B9*C9</f>
        <v>0</v>
      </c>
      <c r="K39" s="16">
        <f>10/B10*C10</f>
        <v>0</v>
      </c>
      <c r="L39" s="16">
        <f>5/B11*C11</f>
        <v>0</v>
      </c>
      <c r="M39" s="16">
        <f>5/B12*C12</f>
        <v>0</v>
      </c>
    </row>
    <row r="40" spans="1:13" x14ac:dyDescent="0.3">
      <c r="A40" s="3" t="s">
        <v>36</v>
      </c>
      <c r="B40" s="3">
        <f>H39</f>
        <v>0</v>
      </c>
      <c r="C40" s="3">
        <f>H40</f>
        <v>0</v>
      </c>
      <c r="E40" s="424" t="s">
        <v>89</v>
      </c>
      <c r="F40" s="424"/>
      <c r="G40" s="3">
        <f>G39+20</f>
        <v>25</v>
      </c>
      <c r="H40" s="3">
        <f>30/B7*C7</f>
        <v>0</v>
      </c>
      <c r="I40" s="3">
        <f>15/B8*C8</f>
        <v>0</v>
      </c>
      <c r="J40" s="3">
        <f>10/B9*C9</f>
        <v>0</v>
      </c>
      <c r="K40" s="3">
        <f>5/B10*C10</f>
        <v>0</v>
      </c>
      <c r="L40" s="3">
        <f>5/B11*C11</f>
        <v>0</v>
      </c>
      <c r="M40" s="3">
        <f>5/B12*C12</f>
        <v>0</v>
      </c>
    </row>
    <row r="41" spans="1:13" x14ac:dyDescent="0.3">
      <c r="A41" s="3" t="s">
        <v>85</v>
      </c>
      <c r="B41" s="3">
        <f>I39</f>
        <v>0</v>
      </c>
      <c r="C41" s="3">
        <f>I40</f>
        <v>0</v>
      </c>
    </row>
    <row r="42" spans="1:13" x14ac:dyDescent="0.3">
      <c r="A42" s="3" t="s">
        <v>38</v>
      </c>
      <c r="B42" s="3">
        <f>J39</f>
        <v>0</v>
      </c>
      <c r="C42" s="3">
        <f>J40</f>
        <v>0</v>
      </c>
    </row>
    <row r="43" spans="1:13" x14ac:dyDescent="0.3">
      <c r="A43" s="3" t="s">
        <v>44</v>
      </c>
      <c r="B43" s="3">
        <f>K39</f>
        <v>0</v>
      </c>
      <c r="C43" s="3">
        <f>K40</f>
        <v>0</v>
      </c>
    </row>
    <row r="44" spans="1:13" x14ac:dyDescent="0.3">
      <c r="A44" s="17" t="s">
        <v>86</v>
      </c>
      <c r="B44" s="3">
        <f>L39</f>
        <v>0</v>
      </c>
      <c r="C44" s="3">
        <f>L40</f>
        <v>0</v>
      </c>
    </row>
    <row r="45" spans="1:13" x14ac:dyDescent="0.3">
      <c r="A45" s="3" t="s">
        <v>46</v>
      </c>
      <c r="B45" s="3">
        <f>M39</f>
        <v>0</v>
      </c>
      <c r="C45" s="3">
        <f>M40</f>
        <v>0</v>
      </c>
    </row>
  </sheetData>
  <mergeCells count="14">
    <mergeCell ref="F10:G10"/>
    <mergeCell ref="E39:F39"/>
    <mergeCell ref="E40:F40"/>
    <mergeCell ref="F11:G11"/>
    <mergeCell ref="F12:G12"/>
    <mergeCell ref="F13:G13"/>
    <mergeCell ref="F14:G14"/>
    <mergeCell ref="F15:G15"/>
    <mergeCell ref="F16:G16"/>
    <mergeCell ref="D2:E2"/>
    <mergeCell ref="D3:E3"/>
    <mergeCell ref="F7:G7"/>
    <mergeCell ref="F8:G8"/>
    <mergeCell ref="F9:G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G29" sqref="G29"/>
    </sheetView>
  </sheetViews>
  <sheetFormatPr defaultRowHeight="14.5" x14ac:dyDescent="0.35"/>
  <cols>
    <col min="1" max="1" width="10.26953125" bestFit="1" customWidth="1"/>
  </cols>
  <sheetData>
    <row r="1" spans="1:2" x14ac:dyDescent="0.35">
      <c r="A1" t="s">
        <v>155</v>
      </c>
    </row>
    <row r="3" spans="1:2" x14ac:dyDescent="0.35">
      <c r="A3" s="18">
        <v>44203</v>
      </c>
      <c r="B3" t="s">
        <v>156</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zoomScale="115" zoomScaleNormal="115" workbookViewId="0">
      <selection activeCell="B52" sqref="B52"/>
    </sheetView>
  </sheetViews>
  <sheetFormatPr defaultColWidth="8.7265625" defaultRowHeight="14.5" x14ac:dyDescent="0.35"/>
  <cols>
    <col min="1" max="1" width="10.54296875" style="20" bestFit="1" customWidth="1"/>
    <col min="2" max="2" width="22.1796875" style="20" customWidth="1"/>
    <col min="3" max="3" width="37" style="20" customWidth="1"/>
    <col min="4" max="5" width="11.453125" style="20" customWidth="1"/>
    <col min="6" max="6" width="14" style="20" customWidth="1"/>
    <col min="7" max="7" width="20" style="20" customWidth="1"/>
    <col min="8" max="8" width="16.453125" style="20" customWidth="1"/>
    <col min="9" max="16384" width="8.7265625" style="20"/>
  </cols>
  <sheetData>
    <row r="1" spans="1:9" ht="15" customHeight="1" x14ac:dyDescent="0.35">
      <c r="A1" s="19"/>
    </row>
    <row r="2" spans="1:9" ht="15" customHeight="1" x14ac:dyDescent="0.35">
      <c r="A2" s="21"/>
      <c r="B2" s="21"/>
      <c r="C2" s="21"/>
      <c r="D2" s="21"/>
      <c r="E2" s="21"/>
      <c r="F2" s="21"/>
      <c r="G2" s="21"/>
      <c r="H2" s="21"/>
    </row>
    <row r="3" spans="1:9" ht="15.75" customHeight="1" x14ac:dyDescent="0.35">
      <c r="A3" s="21"/>
      <c r="B3" s="428" t="s">
        <v>157</v>
      </c>
      <c r="C3" s="428"/>
      <c r="D3" s="428"/>
      <c r="E3" s="428"/>
      <c r="F3" s="428"/>
      <c r="G3" s="428"/>
      <c r="H3" s="428"/>
    </row>
    <row r="4" spans="1:9" x14ac:dyDescent="0.35">
      <c r="A4" s="21"/>
      <c r="B4" s="22" t="s">
        <v>158</v>
      </c>
      <c r="C4" s="22" t="s">
        <v>159</v>
      </c>
      <c r="D4" s="22" t="s">
        <v>160</v>
      </c>
      <c r="E4" s="22" t="s">
        <v>161</v>
      </c>
      <c r="F4" s="22" t="s">
        <v>162</v>
      </c>
      <c r="G4" s="22" t="s">
        <v>163</v>
      </c>
      <c r="H4" s="22" t="s">
        <v>164</v>
      </c>
    </row>
    <row r="5" spans="1:9" ht="15" customHeight="1" x14ac:dyDescent="0.35">
      <c r="A5" s="21"/>
      <c r="B5" s="23" t="s">
        <v>167</v>
      </c>
      <c r="C5" s="31" t="s">
        <v>106</v>
      </c>
      <c r="D5" s="23" t="s">
        <v>168</v>
      </c>
      <c r="E5" s="23">
        <v>235</v>
      </c>
      <c r="F5" s="24">
        <f>E5*1.45</f>
        <v>340.75</v>
      </c>
      <c r="G5" s="24">
        <f>H5/F5</f>
        <v>4269.9926632428469</v>
      </c>
      <c r="H5" s="25">
        <v>1455000</v>
      </c>
    </row>
    <row r="6" spans="1:9" x14ac:dyDescent="0.35">
      <c r="A6" s="21"/>
      <c r="B6" s="23" t="s">
        <v>167</v>
      </c>
      <c r="C6" s="31" t="s">
        <v>106</v>
      </c>
      <c r="D6" s="23" t="s">
        <v>169</v>
      </c>
      <c r="E6" s="23">
        <v>385</v>
      </c>
      <c r="F6" s="24">
        <f>E6*1.45</f>
        <v>558.25</v>
      </c>
      <c r="G6" s="24">
        <f>H6/F6</f>
        <v>4299.149126735334</v>
      </c>
      <c r="H6" s="25">
        <v>2400000</v>
      </c>
    </row>
    <row r="7" spans="1:9" ht="15" customHeight="1" x14ac:dyDescent="0.35">
      <c r="A7" s="21"/>
      <c r="B7" s="23" t="s">
        <v>177</v>
      </c>
      <c r="C7" s="31" t="s">
        <v>106</v>
      </c>
      <c r="D7" s="23" t="s">
        <v>169</v>
      </c>
      <c r="E7" s="23">
        <v>390</v>
      </c>
      <c r="F7" s="24">
        <v>625</v>
      </c>
      <c r="G7" s="24">
        <f>H7/F7</f>
        <v>3360</v>
      </c>
      <c r="H7" s="25">
        <v>2100000</v>
      </c>
    </row>
    <row r="8" spans="1:9" x14ac:dyDescent="0.35">
      <c r="A8" s="21"/>
      <c r="B8" s="23" t="s">
        <v>177</v>
      </c>
      <c r="C8" s="31" t="s">
        <v>106</v>
      </c>
      <c r="D8" s="23" t="s">
        <v>169</v>
      </c>
      <c r="E8" s="23">
        <v>390</v>
      </c>
      <c r="F8" s="24">
        <v>665</v>
      </c>
      <c r="G8" s="24">
        <f>H8/F8</f>
        <v>3157.8947368421054</v>
      </c>
      <c r="H8" s="25">
        <v>2100000</v>
      </c>
    </row>
    <row r="9" spans="1:9" ht="15" customHeight="1" x14ac:dyDescent="0.35">
      <c r="A9" s="21"/>
      <c r="B9" s="26" t="s">
        <v>165</v>
      </c>
      <c r="C9" s="23"/>
      <c r="D9" s="23"/>
      <c r="E9" s="23"/>
      <c r="F9" s="23"/>
      <c r="G9" s="27">
        <f>AVERAGE(G5:G6)</f>
        <v>4284.5708949890904</v>
      </c>
      <c r="H9" s="23"/>
    </row>
    <row r="10" spans="1:9" ht="15" customHeight="1" x14ac:dyDescent="0.35">
      <c r="B10" s="26" t="s">
        <v>166</v>
      </c>
      <c r="C10" s="23"/>
      <c r="D10" s="23"/>
      <c r="E10" s="23"/>
      <c r="F10" s="28"/>
      <c r="G10" s="26">
        <v>4300</v>
      </c>
      <c r="H10" s="26"/>
      <c r="I10" s="29"/>
    </row>
    <row r="11" spans="1:9" ht="15" customHeight="1" x14ac:dyDescent="0.35"/>
    <row r="12" spans="1:9" x14ac:dyDescent="0.35">
      <c r="C12" s="30"/>
    </row>
    <row r="13" spans="1:9" ht="15" customHeight="1" x14ac:dyDescent="0.35"/>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Sheet1</vt:lpstr>
      <vt:lpstr>1%</vt:lpstr>
      <vt:lpstr>2%</vt:lpstr>
      <vt:lpstr>3%</vt:lpstr>
      <vt:lpstr>4%</vt:lpstr>
      <vt:lpstr>5%</vt:lpstr>
      <vt:lpstr>6%</vt:lpstr>
      <vt:lpstr>Note</vt:lpstr>
      <vt:lpstr>Valuation</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Hp Elitebook 840 G6</cp:lastModifiedBy>
  <cp:lastPrinted>2025-07-15T11:14:45Z</cp:lastPrinted>
  <dcterms:created xsi:type="dcterms:W3CDTF">2013-11-23T05:32:33Z</dcterms:created>
  <dcterms:modified xsi:type="dcterms:W3CDTF">2025-07-15T11:15:58Z</dcterms:modified>
</cp:coreProperties>
</file>