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July 2025\10-07-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Report!$A$1:$H$315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43" i="1" l="1"/>
  <c r="A144" i="1" s="1"/>
  <c r="A145" i="1" s="1"/>
  <c r="A146" i="1" s="1"/>
  <c r="A147" i="1" s="1"/>
  <c r="A148" i="1" s="1"/>
  <c r="A149" i="1" s="1"/>
  <c r="A150" i="1" s="1"/>
  <c r="A152" i="1" s="1"/>
  <c r="J129" i="1" l="1"/>
  <c r="K112" i="1"/>
  <c r="D128" i="1"/>
  <c r="J112" i="1" l="1"/>
  <c r="J114" i="1"/>
  <c r="D62" i="1"/>
  <c r="E43" i="1"/>
  <c r="E140" i="1"/>
  <c r="E139" i="1"/>
  <c r="E138" i="1"/>
  <c r="E137" i="1"/>
  <c r="E136" i="1"/>
  <c r="E135" i="1"/>
  <c r="E134" i="1"/>
  <c r="E132" i="1"/>
  <c r="E130" i="1"/>
  <c r="E129" i="1"/>
  <c r="E128" i="1"/>
  <c r="E127" i="1"/>
  <c r="E126" i="1"/>
  <c r="E125" i="1"/>
  <c r="E124" i="1"/>
  <c r="E123" i="1"/>
  <c r="E122" i="1"/>
  <c r="E120" i="1"/>
  <c r="E118" i="1"/>
  <c r="E117" i="1"/>
  <c r="E116" i="1"/>
  <c r="E115" i="1"/>
  <c r="E114" i="1"/>
  <c r="E113" i="1"/>
  <c r="E112" i="1"/>
  <c r="D140" i="1"/>
  <c r="D139" i="1"/>
  <c r="D138" i="1"/>
  <c r="D137" i="1"/>
  <c r="D136" i="1"/>
  <c r="D135" i="1"/>
  <c r="D134" i="1"/>
  <c r="D132" i="1"/>
  <c r="D130" i="1"/>
  <c r="D129" i="1"/>
  <c r="D127" i="1"/>
  <c r="F127" i="1" s="1"/>
  <c r="D126" i="1"/>
  <c r="D125" i="1"/>
  <c r="D124" i="1"/>
  <c r="D123" i="1"/>
  <c r="D122" i="1"/>
  <c r="D120" i="1"/>
  <c r="D118" i="1"/>
  <c r="D117" i="1"/>
  <c r="D116" i="1"/>
  <c r="D115" i="1"/>
  <c r="D114" i="1"/>
  <c r="D113" i="1"/>
  <c r="D112" i="1"/>
  <c r="L112" i="1"/>
  <c r="I114" i="1"/>
  <c r="I112" i="1"/>
  <c r="A132" i="1"/>
  <c r="A133" i="1" s="1"/>
  <c r="A134" i="1" s="1"/>
  <c r="A135" i="1" s="1"/>
  <c r="A136" i="1" s="1"/>
  <c r="A137" i="1" s="1"/>
  <c r="A138" i="1" s="1"/>
  <c r="A139" i="1" s="1"/>
  <c r="A140" i="1" s="1"/>
  <c r="F129" i="1" l="1"/>
  <c r="F117" i="1"/>
  <c r="F132" i="1"/>
  <c r="F138" i="1"/>
  <c r="F140" i="1"/>
  <c r="F128" i="1"/>
  <c r="F126" i="1"/>
  <c r="F130" i="1"/>
  <c r="F120" i="1"/>
  <c r="F134" i="1"/>
  <c r="F136" i="1"/>
  <c r="C102" i="1"/>
  <c r="C103" i="1" s="1"/>
  <c r="C104" i="1" s="1"/>
  <c r="F135" i="1"/>
  <c r="F137" i="1"/>
  <c r="F139" i="1"/>
  <c r="F118" i="1"/>
  <c r="E8" i="1"/>
  <c r="B143" i="1" l="1"/>
  <c r="G58" i="1" l="1"/>
  <c r="C58" i="1"/>
  <c r="G56" i="1"/>
  <c r="C56" i="1"/>
  <c r="C54" i="1"/>
  <c r="S33" i="1" l="1"/>
  <c r="F11" i="5" l="1"/>
  <c r="G11" i="5" s="1"/>
  <c r="F10" i="5"/>
  <c r="G10" i="5" s="1"/>
  <c r="F9" i="5"/>
  <c r="G9" i="5" s="1"/>
  <c r="G8" i="5"/>
  <c r="F8" i="5"/>
  <c r="F7" i="5"/>
  <c r="G7" i="5" s="1"/>
  <c r="F6" i="5"/>
  <c r="G6" i="5" s="1"/>
  <c r="F5" i="5"/>
  <c r="G5" i="5" s="1"/>
  <c r="G12" i="5" s="1"/>
  <c r="D165" i="1"/>
  <c r="F125" i="1"/>
  <c r="F124" i="1"/>
  <c r="F123" i="1"/>
  <c r="F122" i="1"/>
  <c r="F116" i="1"/>
  <c r="F115" i="1"/>
  <c r="F114" i="1"/>
  <c r="F113" i="1"/>
  <c r="F112" i="1"/>
  <c r="A112" i="1"/>
  <c r="A113" i="1" s="1"/>
  <c r="A114" i="1" s="1"/>
  <c r="A115" i="1" s="1"/>
  <c r="A116" i="1" s="1"/>
  <c r="A117" i="1" s="1"/>
  <c r="A118" i="1" s="1"/>
  <c r="A119" i="1" s="1"/>
  <c r="A120" i="1" s="1"/>
  <c r="F99" i="1"/>
  <c r="C73" i="1"/>
  <c r="D67" i="1"/>
  <c r="G51" i="1"/>
  <c r="G52" i="1" s="1"/>
  <c r="C51" i="1"/>
  <c r="E44" i="1"/>
  <c r="E45" i="1" s="1"/>
  <c r="E31" i="1"/>
  <c r="E28" i="1"/>
  <c r="E26" i="1"/>
  <c r="C16" i="1"/>
  <c r="I15" i="1"/>
  <c r="Z13" i="1"/>
  <c r="E3" i="1"/>
  <c r="H74" i="1"/>
  <c r="A122" i="1"/>
  <c r="G102" i="1" l="1"/>
  <c r="G103" i="1" s="1"/>
  <c r="G104" i="1" s="1"/>
  <c r="E102" i="1"/>
  <c r="E103" i="1" s="1"/>
  <c r="E104" i="1" s="1"/>
  <c r="J73" i="1"/>
  <c r="J75" i="1" s="1"/>
  <c r="J76" i="1"/>
  <c r="J77" i="1"/>
  <c r="J78" i="1"/>
  <c r="C77" i="1" s="1"/>
  <c r="D81" i="1"/>
  <c r="D83" i="1"/>
  <c r="D82" i="1"/>
  <c r="D86" i="1"/>
  <c r="D80" i="1"/>
  <c r="D85" i="1"/>
  <c r="D79" i="1"/>
  <c r="D84" i="1"/>
  <c r="B74" i="1"/>
  <c r="J79" i="1" s="1"/>
  <c r="A123" i="1"/>
  <c r="D77" i="1" l="1"/>
  <c r="J83" i="1"/>
  <c r="J81" i="1"/>
  <c r="J82" i="1"/>
  <c r="J80" i="1"/>
  <c r="J85" i="1" s="1"/>
  <c r="J86" i="1" s="1"/>
  <c r="C78" i="1" s="1"/>
  <c r="J84" i="1"/>
  <c r="A124" i="1"/>
  <c r="J74" i="1" l="1"/>
  <c r="E77" i="1"/>
  <c r="D78" i="1"/>
  <c r="I74" i="1" s="1"/>
  <c r="G77" i="1"/>
  <c r="D71" i="1" s="1"/>
  <c r="A125" i="1"/>
  <c r="F72" i="1" l="1"/>
  <c r="D72" i="1"/>
  <c r="I75" i="1"/>
  <c r="I73" i="1" s="1"/>
  <c r="C75" i="1" s="1"/>
  <c r="A126" i="1"/>
  <c r="A127" i="1"/>
  <c r="A128" i="1"/>
  <c r="A129" i="1"/>
  <c r="A130" i="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<sst xmlns="http://schemas.openxmlformats.org/spreadsheetml/2006/main" count="525" uniqueCount="344">
  <si>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</si>
  <si>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</si>
  <si>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</si>
  <si>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</si>
  <si>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</si>
  <si>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</si>
  <si>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</si>
  <si>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</si>
  <si>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</si>
  <si>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</si>
  <si>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</si>
  <si>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</si>
  <si>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</si>
  <si>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</si>
  <si>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</si>
  <si>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</si>
  <si>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</si>
  <si>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</si>
  <si>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</si>
  <si>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</si>
  <si>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</si>
  <si>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</si>
  <si>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</si>
  <si>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</si>
  <si>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</si>
  <si>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</si>
  <si>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</si>
  <si>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</si>
  <si>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</si>
  <si>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</si>
  <si>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</si>
  <si>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</si>
  <si>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</si>
  <si>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</si>
  <si>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</si>
  <si>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</si>
  <si>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</si>
  <si>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</si>
  <si>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</si>
  <si>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</si>
  <si>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</si>
  <si>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</si>
  <si>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</si>
  <si>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</si>
  <si>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</si>
  <si>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</si>
  <si>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</si>
  <si>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</si>
  <si>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</si>
  <si>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</si>
  <si>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</si>
  <si>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</si>
  <si>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</si>
  <si>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</si>
  <si>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</si>
  <si>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</si>
  <si>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</si>
  <si>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</si>
  <si>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</si>
  <si>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</si>
  <si>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</si>
  <si>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</si>
  <si>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</si>
  <si>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</si>
  <si>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</si>
  <si>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</si>
  <si>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</si>
  <si>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</si>
  <si>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</si>
  <si>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</si>
  <si>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</si>
  <si>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</si>
  <si>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</si>
  <si>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</si>
  <si>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</si>
  <si>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</si>
  <si>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</si>
  <si>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</si>
  <si>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</si>
  <si>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</si>
  <si>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</si>
  <si>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</si>
  <si>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</si>
  <si>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</si>
  <si>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</si>
  <si>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</si>
  <si>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</si>
  <si>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</si>
  <si>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</si>
  <si>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</si>
  <si>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</si>
  <si>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</si>
  <si>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</si>
  <si>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</si>
  <si>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</si>
  <si>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</si>
  <si>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</si>
  <si>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</si>
  <si>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</si>
  <si>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</si>
  <si>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</si>
  <si>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</si>
  <si>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</si>
  <si>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</si>
  <si>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</si>
  <si>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</si>
  <si>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</si>
  <si>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</si>
  <si>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</si>
  <si>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</si>
  <si>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</si>
  <si>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</si>
  <si>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</si>
  <si>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</si>
  <si>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</si>
  <si>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</si>
  <si>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</si>
  <si>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</si>
  <si>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</si>
  <si>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</si>
  <si>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</si>
  <si>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</si>
  <si>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</si>
  <si>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</si>
  <si>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</si>
  <si>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</si>
  <si>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</si>
  <si>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</si>
  <si>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</si>
  <si>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</si>
  <si>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</si>
  <si>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</si>
  <si>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</si>
  <si>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</si>
  <si>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</si>
  <si>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</si>
  <si>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</si>
  <si>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</si>
  <si>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</si>
  <si>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</si>
  <si>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</si>
  <si>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</si>
  <si>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</si>
  <si>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</si>
  <si>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</si>
  <si>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</si>
  <si>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</si>
  <si>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</si>
  <si>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</si>
  <si>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</si>
  <si>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</si>
  <si>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</si>
  <si>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</si>
  <si>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</si>
  <si>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</si>
  <si>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</si>
  <si>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</si>
  <si>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</si>
  <si>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</si>
  <si>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</si>
  <si>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</si>
  <si>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</si>
  <si>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</si>
  <si>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</si>
  <si>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</si>
  <si>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</si>
  <si>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</si>
  <si>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</si>
  <si>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</si>
  <si>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</si>
  <si>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</si>
  <si>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</si>
  <si>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</si>
  <si>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</si>
  <si>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</si>
  <si>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</si>
  <si>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</si>
  <si>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</si>
  <si>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</si>
  <si>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</si>
  <si>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</si>
  <si>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</si>
  <si>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</si>
  <si>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</si>
  <si>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</si>
  <si>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</si>
  <si>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</si>
  <si>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</si>
  <si>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</si>
  <si>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</si>
  <si>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</si>
  <si>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</si>
  <si>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</si>
  <si>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</si>
  <si>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</si>
  <si>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</si>
  <si>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</si>
  <si>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</si>
  <si>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</si>
  <si>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</si>
  <si>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</si>
  <si>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</si>
  <si>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</si>
  <si>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</si>
  <si>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</si>
  <si>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</si>
  <si>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</si>
  <si>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</si>
  <si>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</si>
  <si>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</si>
  <si>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</si>
  <si>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</si>
  <si>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</si>
  <si>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</si>
  <si>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</si>
  <si>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</si>
  <si>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</si>
  <si>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</si>
  <si>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</si>
  <si>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</si>
  <si>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</si>
  <si>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</si>
  <si>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</si>
  <si>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</si>
  <si>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</si>
  <si>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</si>
  <si>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</si>
  <si>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</si>
  <si>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</si>
  <si>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</si>
  <si>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</si>
  <si>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</si>
  <si>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</si>
  <si>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</si>
  <si>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</si>
  <si>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</si>
  <si>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</si>
  <si>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</si>
  <si>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</si>
  <si>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</si>
  <si>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</si>
  <si>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</si>
  <si>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</si>
  <si>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</si>
  <si>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</si>
  <si>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</si>
  <si>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</si>
  <si>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</si>
  <si>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</si>
  <si>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</si>
  <si>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</si>
  <si>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</si>
  <si>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</si>
  <si>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</si>
  <si>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</si>
  <si>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</si>
  <si>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</si>
  <si>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</si>
  <si>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</si>
  <si>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</si>
  <si>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</si>
  <si>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</si>
  <si>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</si>
  <si>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</si>
  <si>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</si>
  <si>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</si>
  <si>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</si>
  <si>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</si>
  <si>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</si>
  <si>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</si>
  <si>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</si>
  <si>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</si>
  <si>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</si>
  <si>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</si>
  <si>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</si>
  <si>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</si>
  <si>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</si>
  <si>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</si>
  <si>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</si>
  <si>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</si>
  <si>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</si>
  <si>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</si>
  <si>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</si>
  <si>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</si>
  <si>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</si>
  <si>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</si>
  <si>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</si>
  <si>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</si>
  <si>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</si>
  <si>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There are inadequate transportation options to get to the project and the area is not 
developed.</t>
  </si>
  <si>
    <t>We did not consider the terrace area attached to the 1st floor flats because it was not shown in the approved plans. However, it was shown in the sales plan.</t>
  </si>
  <si>
    <t>River located on west side of the project.</t>
  </si>
  <si>
    <t>Dreamland Developers</t>
  </si>
  <si>
    <t>Dreams Enclave</t>
  </si>
  <si>
    <t>Sheetal Pawar- 9029173738</t>
  </si>
  <si>
    <t>P51700051292</t>
  </si>
  <si>
    <t>Survey No</t>
  </si>
  <si>
    <t>Badlapur</t>
  </si>
  <si>
    <t>Belavali</t>
  </si>
  <si>
    <t>Ratan Galaxy</t>
  </si>
  <si>
    <t>Badlapur East</t>
  </si>
  <si>
    <t>Internal Road</t>
  </si>
  <si>
    <t>KBNP/NRV/BP/3899/2022-2023UNIQUE NO.13</t>
  </si>
  <si>
    <t>KBNP/NRV/BP/3899-13</t>
  </si>
  <si>
    <t>G(st) + 1st to 12th Floor</t>
  </si>
  <si>
    <t>As per RERA - 31/12/2026</t>
  </si>
  <si>
    <t>CCTV Camera, etc.</t>
  </si>
  <si>
    <t>Building</t>
  </si>
  <si>
    <t>Ground Floor For Parking &amp; Entrance Lobby</t>
  </si>
  <si>
    <t>1BHK</t>
  </si>
  <si>
    <t>2BHK</t>
  </si>
  <si>
    <t>Society Office/ Drivers Room</t>
  </si>
  <si>
    <t>Refuge Area</t>
  </si>
  <si>
    <t>Flats</t>
  </si>
  <si>
    <t>Flats -106</t>
  </si>
  <si>
    <t>Sudhir Bhosale</t>
  </si>
  <si>
    <t>Tulsi Signature</t>
  </si>
  <si>
    <t>Open Plot</t>
  </si>
  <si>
    <t>Other Plot</t>
  </si>
  <si>
    <t>2.5 KM from Badlapur Railway Station</t>
  </si>
  <si>
    <t>Bhakti Paradise</t>
  </si>
  <si>
    <t xml:space="preserve">Please check for Fire NOC Certificate.
</t>
  </si>
  <si>
    <t>Wing F</t>
  </si>
  <si>
    <t>97B, H No.1B, P No. 5, 6 &amp; 7, S No. 97B, H No. 3 &amp; 4, S No. 97B, H No. 1, P. No 4, S No. 97B, H No. 2B</t>
  </si>
  <si>
    <t>https://maps.app.goo.gl/n8kyQvM4Jhy4seHt6</t>
  </si>
  <si>
    <t>19.1812935,73.2249652</t>
  </si>
  <si>
    <t xml:space="preserve">8th Floor </t>
  </si>
  <si>
    <t xml:space="preserve">Wing F = G + 1st to 12th Floor
</t>
  </si>
  <si>
    <r>
      <t xml:space="preserve">Proposed Amenities :                                                                                                                                                                                                                         </t>
    </r>
    <r>
      <rPr>
        <b/>
        <sz val="12"/>
        <rFont val="Times New Roman"/>
        <family val="1"/>
      </rPr>
      <t xml:space="preserve">                                               </t>
    </r>
  </si>
  <si>
    <t>1st Floor for Residential, Driver's Room, Society Office</t>
  </si>
  <si>
    <t>Balcony + E.P Area</t>
  </si>
  <si>
    <t>EP Area taken from Sale plan</t>
  </si>
  <si>
    <t>We considered Gross carpet area = Net carpet + E.P Area+ Balcony</t>
  </si>
  <si>
    <t>Builder Saleable area</t>
  </si>
  <si>
    <t>2nd to 7th, 9th to 12th Floor</t>
  </si>
  <si>
    <t xml:space="preserve">Wing F </t>
  </si>
  <si>
    <t>Other Charges</t>
  </si>
  <si>
    <t>OC = 250000 Bhargav verbal on 19/11/2024</t>
  </si>
  <si>
    <t>Remark No. 11 :</t>
  </si>
  <si>
    <t>As per visit dated 10/01/2025, We have observed that High Tension Tower is located at East direction of Project Dreams Enclave. Photo Attached Below.</t>
  </si>
  <si>
    <t>Pooja Kawale</t>
  </si>
  <si>
    <t>Construction work is in process at the time of Visit.</t>
  </si>
  <si>
    <t>rate 4300 by bhargav verbal for F1205 case on 23/07/2025.</t>
  </si>
  <si>
    <t>Recommended Rates/Other Charges of the Property have been revised on 19/11/2024 &amp; 23/07/2025.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</si>
</sst>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0"/>
  </numFmts>
  <fonts count="35">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sz val="18"/>
      <color rgb="FF000000"/>
      <name val="Calibri"/>
      <family val="2"/>
    </font>
    <font>
      <sz val="18"/>
      <color rgb="FF333333"/>
      <name val="Conv_GothamRoundedBook_21018"/>
    </font>
    <font>
      <sz val="11"/>
      <color rgb="FF333333"/>
      <name val="Arial"/>
      <family val="2"/>
    </font>
    <font>
      <sz val="11"/>
      <color rgb="FF272727"/>
      <name val="Arial"/>
      <family val="2"/>
    </font>
  </fonts>
  <fills count="3">
    <fill>
      <patternFill patternType="none"/>
    </fill>
    <fill>
      <patternFill patternType="gray125"/>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3">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10" xfId="0" applyFont="1" applyBorder="1" applyProtection="1">
      <protection hidden="1"/>
    </xf>
    <xf numFmtId="0" fontId="6" fillId="0" borderId="1" xfId="1" applyFont="1" applyBorder="1" applyAlignment="1" applyProtection="1">
      <alignment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9" xfId="1" applyFont="1" applyBorder="1"/>
    <xf numFmtId="0" fontId="18"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25" xfId="0" applyFont="1" applyBorder="1"/>
    <xf numFmtId="0" fontId="26" fillId="0" borderId="4" xfId="0" applyFont="1" applyBorder="1"/>
    <xf numFmtId="0" fontId="12"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0" fillId="0" borderId="1" xfId="0" applyFill="1" applyBorder="1" applyAlignment="1"/>
    <xf numFmtId="0" fontId="31" fillId="0" borderId="0" xfId="0" applyFont="1" applyAlignment="1">
      <alignment horizontal="left" vertical="center" readingOrder="1"/>
    </xf>
    <xf numFmtId="0" fontId="32" fillId="0" borderId="0" xfId="0" applyFont="1" applyAlignment="1">
      <alignment horizontal="left" vertical="center" readingOrder="1"/>
    </xf>
    <xf numFmtId="0" fontId="33" fillId="0" borderId="0" xfId="0" applyFont="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34" fillId="0" borderId="0" xfId="0" applyFont="1"/>
    <xf numFmtId="0" fontId="7" fillId="0" borderId="0" xfId="1" applyFont="1" applyAlignment="1">
      <alignment horizontal="center" vertical="center"/>
    </xf>
    <xf numFmtId="0" fontId="12" fillId="0" borderId="1" xfId="1" applyFont="1" applyBorder="1" applyAlignment="1" applyProtection="1">
      <alignment vertical="top" wrapText="1"/>
      <protection locked="0"/>
    </xf>
    <xf numFmtId="0" fontId="12" fillId="0" borderId="1" xfId="1" applyFont="1" applyBorder="1" applyAlignment="1" applyProtection="1">
      <alignment horizontal="center" vertical="top" wrapText="1"/>
      <protection locked="0"/>
    </xf>
    <xf numFmtId="9" fontId="12" fillId="0" borderId="1" xfId="8" applyFont="1" applyFill="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9" fontId="12" fillId="0" borderId="6" xfId="8" applyFont="1" applyFill="1" applyBorder="1" applyAlignment="1" applyProtection="1">
      <alignment horizontal="center" vertical="top" wrapText="1"/>
      <protection locked="0"/>
    </xf>
    <xf numFmtId="168" fontId="7" fillId="0" borderId="0" xfId="1" applyNumberFormat="1" applyFont="1" applyAlignment="1">
      <alignment horizontal="center" vertical="center"/>
    </xf>
    <xf numFmtId="9" fontId="13" fillId="0" borderId="13" xfId="8" applyFont="1" applyFill="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25" fillId="2" borderId="12" xfId="0" applyFont="1" applyFill="1" applyBorder="1"/>
    <xf numFmtId="0" fontId="26" fillId="0" borderId="8" xfId="0" applyFont="1" applyBorder="1"/>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15" fillId="0" borderId="16" xfId="1" applyFont="1" applyBorder="1" applyAlignment="1" applyProtection="1">
      <alignment horizontal="left" vertical="top" wrapText="1"/>
      <protection locked="0"/>
    </xf>
    <xf numFmtId="0" fontId="15" fillId="0" borderId="17"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1" fontId="6" fillId="0" borderId="1"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7" fillId="0" borderId="20" xfId="1" applyFont="1" applyBorder="1" applyAlignment="1">
      <alignment horizontal="center"/>
    </xf>
    <xf numFmtId="0" fontId="7" fillId="0" borderId="0" xfId="1" applyFont="1" applyAlignment="1">
      <alignment horizontal="center"/>
    </xf>
    <xf numFmtId="0" fontId="13" fillId="0" borderId="1" xfId="1" applyFont="1" applyBorder="1" applyAlignment="1" applyProtection="1">
      <alignment horizontal="center" vertical="top"/>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18" xfId="1"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164" fontId="6" fillId="0" borderId="1" xfId="1" applyNumberFormat="1" applyFont="1" applyBorder="1" applyAlignment="1" applyProtection="1">
      <alignment horizontal="left" vertical="top"/>
      <protection locked="0"/>
    </xf>
    <xf numFmtId="0" fontId="12" fillId="0" borderId="3" xfId="1" applyFont="1" applyBorder="1" applyAlignment="1" applyProtection="1">
      <alignment horizontal="center" vertical="top" wrapText="1"/>
      <protection locked="0"/>
    </xf>
    <xf numFmtId="0" fontId="12" fillId="0" borderId="1" xfId="1" applyFont="1" applyBorder="1" applyAlignment="1" applyProtection="1">
      <alignment horizontal="center" vertical="top" wrapText="1"/>
      <protection locked="0"/>
    </xf>
    <xf numFmtId="0" fontId="12" fillId="0" borderId="7"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14" fontId="12" fillId="0" borderId="7"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1" fontId="8" fillId="0" borderId="1" xfId="1" applyNumberFormat="1" applyFont="1" applyBorder="1" applyAlignment="1" applyProtection="1">
      <alignment horizontal="center" vertical="center"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18"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10" fillId="0" borderId="28" xfId="0" applyNumberFormat="1" applyFont="1" applyBorder="1" applyAlignment="1" applyProtection="1">
      <alignment horizontal="center" vertical="top" wrapText="1"/>
      <protection locked="0"/>
    </xf>
    <xf numFmtId="0" fontId="10" fillId="0" borderId="29" xfId="0" applyFont="1" applyBorder="1" applyAlignment="1" applyProtection="1">
      <alignment horizontal="center" vertical="top" wrapText="1"/>
      <protection locked="0"/>
    </xf>
    <xf numFmtId="1" fontId="8" fillId="0" borderId="26" xfId="0" applyNumberFormat="1" applyFont="1" applyBorder="1" applyAlignment="1" applyProtection="1">
      <alignment horizontal="center" vertical="center" wrapText="1"/>
      <protection locked="0"/>
    </xf>
    <xf numFmtId="1" fontId="8" fillId="0" borderId="27" xfId="0" applyNumberFormat="1" applyFont="1" applyBorder="1" applyAlignment="1" applyProtection="1">
      <alignment horizontal="center" vertical="center" wrapText="1"/>
      <protection locked="0"/>
    </xf>
    <xf numFmtId="1" fontId="10" fillId="0" borderId="27" xfId="0" applyNumberFormat="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18"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13" fillId="0" borderId="7" xfId="0" applyNumberFormat="1" applyFont="1" applyBorder="1" applyAlignment="1" applyProtection="1">
      <alignment vertical="top" wrapText="1"/>
      <protection locked="0"/>
    </xf>
    <xf numFmtId="1" fontId="13" fillId="0" borderId="18"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1" fontId="10" fillId="0" borderId="7" xfId="0" applyNumberFormat="1" applyFont="1" applyBorder="1" applyAlignment="1" applyProtection="1">
      <alignment horizontal="left" vertical="top" wrapText="1"/>
      <protection locked="0"/>
    </xf>
    <xf numFmtId="1" fontId="10" fillId="0" borderId="18" xfId="0" applyNumberFormat="1" applyFont="1" applyBorder="1" applyAlignment="1" applyProtection="1">
      <alignment horizontal="left" vertical="top" wrapText="1"/>
      <protection locked="0"/>
    </xf>
    <xf numFmtId="1" fontId="10" fillId="0" borderId="8" xfId="0" applyNumberFormat="1" applyFont="1" applyBorder="1" applyAlignment="1" applyProtection="1">
      <alignment horizontal="left" vertical="top" wrapText="1"/>
      <protection locked="0"/>
    </xf>
    <xf numFmtId="1" fontId="6" fillId="0" borderId="18"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0" fontId="12" fillId="0" borderId="4" xfId="1" applyFont="1" applyBorder="1" applyAlignment="1" applyProtection="1">
      <alignment horizontal="center" vertical="top" wrapText="1"/>
      <protection locked="0"/>
    </xf>
    <xf numFmtId="9" fontId="12" fillId="0" borderId="14" xfId="8" applyFont="1" applyFill="1" applyBorder="1" applyAlignment="1" applyProtection="1">
      <alignment horizontal="center" vertical="center" wrapText="1"/>
      <protection locked="0"/>
    </xf>
    <xf numFmtId="9" fontId="12" fillId="0" borderId="15" xfId="8" applyFont="1" applyFill="1" applyBorder="1" applyAlignment="1" applyProtection="1">
      <alignment horizontal="center" vertical="center" wrapText="1"/>
      <protection locked="0"/>
    </xf>
    <xf numFmtId="9" fontId="12" fillId="0" borderId="20" xfId="8" applyFont="1" applyFill="1" applyBorder="1" applyAlignment="1" applyProtection="1">
      <alignment horizontal="center" vertical="center" wrapText="1"/>
      <protection locked="0"/>
    </xf>
    <xf numFmtId="9" fontId="12" fillId="0" borderId="21" xfId="8" applyFont="1" applyFill="1" applyBorder="1" applyAlignment="1" applyProtection="1">
      <alignment horizontal="center" vertical="center" wrapText="1"/>
      <protection locked="0"/>
    </xf>
    <xf numFmtId="9" fontId="12" fillId="0" borderId="23" xfId="8" applyFont="1" applyFill="1" applyBorder="1" applyAlignment="1" applyProtection="1">
      <alignment horizontal="center" vertical="center" wrapText="1"/>
      <protection locked="0"/>
    </xf>
    <xf numFmtId="9" fontId="12" fillId="0" borderId="24" xfId="8" applyFont="1" applyFill="1" applyBorder="1" applyAlignment="1" applyProtection="1">
      <alignment horizontal="center" vertical="center" wrapText="1"/>
      <protection locked="0"/>
    </xf>
    <xf numFmtId="9" fontId="12" fillId="0" borderId="22" xfId="8" applyFont="1" applyFill="1" applyBorder="1" applyAlignment="1" applyProtection="1">
      <alignment horizontal="center" vertical="center" wrapText="1"/>
      <protection locked="0"/>
    </xf>
    <xf numFmtId="9" fontId="12" fillId="0" borderId="9" xfId="8" applyFont="1" applyFill="1" applyBorder="1" applyAlignment="1" applyProtection="1">
      <alignment horizontal="center" vertical="center" wrapText="1"/>
      <protection locked="0"/>
    </xf>
    <xf numFmtId="9" fontId="12" fillId="0" borderId="11" xfId="8" applyFont="1" applyFill="1" applyBorder="1" applyAlignment="1" applyProtection="1">
      <alignment horizontal="center" vertical="center" wrapText="1"/>
      <protection locked="0"/>
    </xf>
    <xf numFmtId="0" fontId="12" fillId="0" borderId="5" xfId="1" applyFont="1" applyBorder="1" applyAlignment="1" applyProtection="1">
      <alignment horizontal="center" vertical="top" wrapText="1"/>
      <protection locked="0"/>
    </xf>
    <xf numFmtId="0" fontId="12" fillId="0" borderId="6" xfId="1" applyFont="1" applyBorder="1" applyAlignment="1" applyProtection="1">
      <alignment horizontal="center" vertical="top" wrapText="1"/>
      <protection locked="0"/>
    </xf>
    <xf numFmtId="1" fontId="8" fillId="0" borderId="7" xfId="1" applyNumberFormat="1" applyFont="1" applyBorder="1" applyAlignment="1" applyProtection="1">
      <alignment horizontal="center" vertical="center" wrapText="1"/>
      <protection locked="0"/>
    </xf>
    <xf numFmtId="1" fontId="8" fillId="0" borderId="18"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8" fillId="0" borderId="1" xfId="1" applyFont="1" applyBorder="1" applyAlignment="1" applyProtection="1">
      <alignment horizontal="left" vertical="top" wrapText="1"/>
      <protection locked="0"/>
    </xf>
    <xf numFmtId="14" fontId="12" fillId="0" borderId="1" xfId="1" applyNumberFormat="1" applyFont="1" applyBorder="1" applyAlignment="1" applyProtection="1">
      <alignment horizontal="left" vertical="top"/>
      <protection locked="0"/>
    </xf>
    <xf numFmtId="0" fontId="12" fillId="0" borderId="7" xfId="1" applyFont="1" applyBorder="1" applyAlignment="1" applyProtection="1">
      <alignment horizontal="left" vertical="top"/>
      <protection locked="0"/>
    </xf>
    <xf numFmtId="0" fontId="12" fillId="0" borderId="1" xfId="1" applyFont="1" applyBorder="1" applyAlignment="1" applyProtection="1">
      <alignment horizontal="center"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3"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12" fillId="0" borderId="2" xfId="1" applyFont="1" applyBorder="1" applyAlignment="1" applyProtection="1">
      <alignment horizontal="left" vertical="top"/>
      <protection locked="0"/>
    </xf>
    <xf numFmtId="0" fontId="12" fillId="0" borderId="15" xfId="1" applyFont="1" applyBorder="1" applyAlignment="1" applyProtection="1">
      <alignment horizontal="lef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1" fontId="4" fillId="0" borderId="2" xfId="1" applyNumberFormat="1" applyFont="1" applyBorder="1" applyAlignment="1" applyProtection="1">
      <alignment horizontal="center" vertical="top" wrapText="1"/>
      <protection locked="0"/>
    </xf>
    <xf numFmtId="1" fontId="4" fillId="0" borderId="13" xfId="1" applyNumberFormat="1"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18"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3" fillId="0" borderId="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0" fontId="8" fillId="0" borderId="13" xfId="1" applyFont="1" applyBorder="1" applyAlignment="1" applyProtection="1">
      <alignment horizontal="left" vertical="top"/>
      <protection locked="0"/>
    </xf>
    <xf numFmtId="0" fontId="7" fillId="0" borderId="20" xfId="1" applyFont="1" applyBorder="1" applyAlignment="1">
      <alignment horizontal="center" vertical="center"/>
    </xf>
    <xf numFmtId="1" fontId="17" fillId="0" borderId="7" xfId="0" applyNumberFormat="1" applyFont="1" applyBorder="1" applyAlignment="1" applyProtection="1">
      <alignment vertical="top" wrapText="1"/>
      <protection locked="0"/>
    </xf>
    <xf numFmtId="1" fontId="17" fillId="0" borderId="18" xfId="0" applyNumberFormat="1" applyFont="1" applyBorder="1" applyAlignment="1" applyProtection="1">
      <alignment vertical="top" wrapText="1"/>
      <protection locked="0"/>
    </xf>
    <xf numFmtId="1" fontId="17" fillId="0" borderId="8" xfId="0" applyNumberFormat="1" applyFont="1" applyBorder="1" applyAlignment="1" applyProtection="1">
      <alignment vertical="top" wrapText="1"/>
      <protection locked="0"/>
    </xf>
    <xf numFmtId="1" fontId="8" fillId="0" borderId="2" xfId="0" applyNumberFormat="1" applyFont="1" applyBorder="1" applyAlignment="1" applyProtection="1">
      <alignment horizontal="center" vertical="center" wrapText="1"/>
      <protection locked="0"/>
    </xf>
    <xf numFmtId="0" fontId="8" fillId="0" borderId="13" xfId="1" applyFont="1" applyBorder="1" applyAlignment="1" applyProtection="1">
      <alignment horizontal="center" vertical="top"/>
      <protection locked="0"/>
    </xf>
    <xf numFmtId="0" fontId="10" fillId="0" borderId="1" xfId="0"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8</xdr:col>
      <xdr:colOff>466726</xdr:colOff>
      <xdr:row>29</xdr:row>
      <xdr:rowOff>47625</xdr:rowOff>
    </xdr:from>
    <xdr:to>
      <xdr:col>15</xdr:col>
      <xdr:colOff>9525</xdr:colOff>
      <xdr:row>46</xdr:row>
      <xdr:rowOff>51075</xdr:rowOff>
    </xdr:to>
    <xdr:pic>
      <xdr:nvPicPr>
        <xdr:cNvPr id="3" name="Picture 2"/>
        <xdr:cNvPicPr>
          <a:picLocks noChangeAspect="1"/>
        </xdr:cNvPicPr>
      </xdr:nvPicPr>
      <xdr:blipFill>
        <a:blip xmlns:r="http://schemas.openxmlformats.org/officeDocument/2006/relationships" r:embed="rId1"/>
        <a:stretch>
          <a:fillRect/>
        </a:stretch>
      </xdr:blipFill>
      <xdr:spPr>
        <a:xfrm>
          <a:off x="6781801" y="7219950"/>
          <a:ext cx="5534024" cy="3394350"/>
        </a:xfrm>
        <a:prstGeom prst="rect">
          <a:avLst/>
        </a:prstGeom>
      </xdr:spPr>
    </xdr:pic>
    <xdr:clientData/>
  </xdr:twoCellAnchor>
  <xdr:twoCellAnchor editAs="oneCell">
    <xdr:from>
      <xdr:col>8</xdr:col>
      <xdr:colOff>180976</xdr:colOff>
      <xdr:row>49</xdr:row>
      <xdr:rowOff>390525</xdr:rowOff>
    </xdr:from>
    <xdr:to>
      <xdr:col>13</xdr:col>
      <xdr:colOff>276225</xdr:colOff>
      <xdr:row>67</xdr:row>
      <xdr:rowOff>161700</xdr:rowOff>
    </xdr:to>
    <xdr:pic>
      <xdr:nvPicPr>
        <xdr:cNvPr id="4" name="Picture 3"/>
        <xdr:cNvPicPr>
          <a:picLocks noChangeAspect="1"/>
        </xdr:cNvPicPr>
      </xdr:nvPicPr>
      <xdr:blipFill>
        <a:blip xmlns:r="http://schemas.openxmlformats.org/officeDocument/2006/relationships" r:embed="rId2"/>
        <a:stretch>
          <a:fillRect/>
        </a:stretch>
      </xdr:blipFill>
      <xdr:spPr>
        <a:xfrm>
          <a:off x="6496051" y="11782425"/>
          <a:ext cx="4438649" cy="2771550"/>
        </a:xfrm>
        <a:prstGeom prst="rect">
          <a:avLst/>
        </a:prstGeom>
      </xdr:spPr>
    </xdr:pic>
    <xdr:clientData/>
  </xdr:twoCellAnchor>
  <xdr:twoCellAnchor editAs="oneCell">
    <xdr:from>
      <xdr:col>0</xdr:col>
      <xdr:colOff>657225</xdr:colOff>
      <xdr:row>279</xdr:row>
      <xdr:rowOff>9524</xdr:rowOff>
    </xdr:from>
    <xdr:to>
      <xdr:col>6</xdr:col>
      <xdr:colOff>704998</xdr:colOff>
      <xdr:row>293</xdr:row>
      <xdr:rowOff>89174</xdr:rowOff>
    </xdr:to>
    <xdr:pic>
      <xdr:nvPicPr>
        <xdr:cNvPr id="13" name="Picture 12"/>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657225" y="51073049"/>
          <a:ext cx="4895998" cy="2880000"/>
        </a:xfrm>
        <a:prstGeom prst="rect">
          <a:avLst/>
        </a:prstGeom>
        <a:ln>
          <a:solidFill>
            <a:schemeClr val="tx1"/>
          </a:solidFill>
        </a:ln>
      </xdr:spPr>
    </xdr:pic>
    <xdr:clientData/>
  </xdr:twoCellAnchor>
  <xdr:twoCellAnchor editAs="oneCell">
    <xdr:from>
      <xdr:col>1</xdr:col>
      <xdr:colOff>485774</xdr:colOff>
      <xdr:row>258</xdr:row>
      <xdr:rowOff>38099</xdr:rowOff>
    </xdr:from>
    <xdr:to>
      <xdr:col>5</xdr:col>
      <xdr:colOff>471609</xdr:colOff>
      <xdr:row>272</xdr:row>
      <xdr:rowOff>117749</xdr:rowOff>
    </xdr:to>
    <xdr:pic>
      <xdr:nvPicPr>
        <xdr:cNvPr id="16" name="Picture 15"/>
        <xdr:cNvPicPr>
          <a:picLocks noChangeAspect="1"/>
        </xdr:cNvPicPr>
      </xdr:nvPicPr>
      <xdr:blipFill>
        <a:blip xmlns:r="http://schemas.openxmlformats.org/officeDocument/2006/relationships" r:embed="rId4"/>
        <a:stretch>
          <a:fillRect/>
        </a:stretch>
      </xdr:blipFill>
      <xdr:spPr>
        <a:xfrm>
          <a:off x="1247774" y="50568224"/>
          <a:ext cx="3329110" cy="2880000"/>
        </a:xfrm>
        <a:prstGeom prst="rect">
          <a:avLst/>
        </a:prstGeom>
      </xdr:spPr>
    </xdr:pic>
    <xdr:clientData/>
  </xdr:twoCellAnchor>
  <xdr:twoCellAnchor>
    <xdr:from>
      <xdr:col>1</xdr:col>
      <xdr:colOff>9526</xdr:colOff>
      <xdr:row>240</xdr:row>
      <xdr:rowOff>38100</xdr:rowOff>
    </xdr:from>
    <xdr:to>
      <xdr:col>6</xdr:col>
      <xdr:colOff>268490</xdr:colOff>
      <xdr:row>257</xdr:row>
      <xdr:rowOff>37650</xdr:rowOff>
    </xdr:to>
    <xdr:pic>
      <xdr:nvPicPr>
        <xdr:cNvPr id="15" name="Picture 14"/>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771526" y="44691300"/>
          <a:ext cx="4345189" cy="3399975"/>
        </a:xfrm>
        <a:prstGeom prst="rect">
          <a:avLst/>
        </a:prstGeom>
        <a:ln>
          <a:solidFill>
            <a:sysClr val="windowText" lastClr="000000"/>
          </a:solidFill>
        </a:ln>
      </xdr:spPr>
    </xdr:pic>
    <xdr:clientData/>
  </xdr:twoCellAnchor>
  <xdr:twoCellAnchor>
    <xdr:from>
      <xdr:col>3</xdr:col>
      <xdr:colOff>647700</xdr:colOff>
      <xdr:row>246</xdr:row>
      <xdr:rowOff>183849</xdr:rowOff>
    </xdr:from>
    <xdr:to>
      <xdr:col>5</xdr:col>
      <xdr:colOff>114299</xdr:colOff>
      <xdr:row>251</xdr:row>
      <xdr:rowOff>38178</xdr:rowOff>
    </xdr:to>
    <xdr:sp macro="" textlink="">
      <xdr:nvSpPr>
        <xdr:cNvPr id="18" name="Rectangle 17"/>
        <xdr:cNvSpPr/>
      </xdr:nvSpPr>
      <xdr:spPr>
        <a:xfrm>
          <a:off x="3057525" y="46037199"/>
          <a:ext cx="1162049" cy="85445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1</xdr:col>
      <xdr:colOff>781050</xdr:colOff>
      <xdr:row>241</xdr:row>
      <xdr:rowOff>123825</xdr:rowOff>
    </xdr:from>
    <xdr:to>
      <xdr:col>2</xdr:col>
      <xdr:colOff>733425</xdr:colOff>
      <xdr:row>241</xdr:row>
      <xdr:rowOff>133350</xdr:rowOff>
    </xdr:to>
    <xdr:cxnSp macro="">
      <xdr:nvCxnSpPr>
        <xdr:cNvPr id="20" name="Straight Arrow Connector 19"/>
        <xdr:cNvCxnSpPr/>
      </xdr:nvCxnSpPr>
      <xdr:spPr>
        <a:xfrm>
          <a:off x="1543050" y="44977050"/>
          <a:ext cx="752475" cy="952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733425</xdr:colOff>
      <xdr:row>240</xdr:row>
      <xdr:rowOff>161925</xdr:rowOff>
    </xdr:from>
    <xdr:ext cx="317138" cy="342786"/>
    <xdr:sp macro="" textlink="">
      <xdr:nvSpPr>
        <xdr:cNvPr id="21" name="TextBox 20"/>
        <xdr:cNvSpPr txBox="1"/>
      </xdr:nvSpPr>
      <xdr:spPr>
        <a:xfrm>
          <a:off x="2295525" y="44815125"/>
          <a:ext cx="31713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a:t>
          </a:r>
        </a:p>
      </xdr:txBody>
    </xdr:sp>
    <xdr:clientData/>
  </xdr:oneCellAnchor>
  <xdr:twoCellAnchor>
    <xdr:from>
      <xdr:col>1</xdr:col>
      <xdr:colOff>628649</xdr:colOff>
      <xdr:row>271</xdr:row>
      <xdr:rowOff>28574</xdr:rowOff>
    </xdr:from>
    <xdr:to>
      <xdr:col>2</xdr:col>
      <xdr:colOff>581024</xdr:colOff>
      <xdr:row>271</xdr:row>
      <xdr:rowOff>38099</xdr:rowOff>
    </xdr:to>
    <xdr:cxnSp macro="">
      <xdr:nvCxnSpPr>
        <xdr:cNvPr id="22" name="Straight Arrow Connector 21"/>
        <xdr:cNvCxnSpPr/>
      </xdr:nvCxnSpPr>
      <xdr:spPr>
        <a:xfrm>
          <a:off x="1390649" y="50882549"/>
          <a:ext cx="752475" cy="9525"/>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581024</xdr:colOff>
      <xdr:row>270</xdr:row>
      <xdr:rowOff>66674</xdr:rowOff>
    </xdr:from>
    <xdr:ext cx="317138" cy="342786"/>
    <xdr:sp macro="" textlink="">
      <xdr:nvSpPr>
        <xdr:cNvPr id="23" name="TextBox 22"/>
        <xdr:cNvSpPr txBox="1"/>
      </xdr:nvSpPr>
      <xdr:spPr>
        <a:xfrm>
          <a:off x="2143124" y="50720624"/>
          <a:ext cx="31713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a:t>
          </a:r>
        </a:p>
      </xdr:txBody>
    </xdr:sp>
    <xdr:clientData/>
  </xdr:oneCellAnchor>
  <xdr:twoCellAnchor>
    <xdr:from>
      <xdr:col>1</xdr:col>
      <xdr:colOff>152400</xdr:colOff>
      <xdr:row>210</xdr:row>
      <xdr:rowOff>47625</xdr:rowOff>
    </xdr:from>
    <xdr:to>
      <xdr:col>7</xdr:col>
      <xdr:colOff>66675</xdr:colOff>
      <xdr:row>226</xdr:row>
      <xdr:rowOff>11113</xdr:rowOff>
    </xdr:to>
    <xdr:grpSp>
      <xdr:nvGrpSpPr>
        <xdr:cNvPr id="49" name="Group 48"/>
        <xdr:cNvGrpSpPr/>
      </xdr:nvGrpSpPr>
      <xdr:grpSpPr>
        <a:xfrm>
          <a:off x="952500" y="41919525"/>
          <a:ext cx="4968875" cy="3106738"/>
          <a:chOff x="1044575" y="1316037"/>
          <a:chExt cx="4733925" cy="3154363"/>
        </a:xfrm>
      </xdr:grpSpPr>
      <xdr:pic>
        <xdr:nvPicPr>
          <xdr:cNvPr id="50" name="Picture 49" descr="https://vsjcllp.vsjadon.com/upload/insp-203697-1525.jpg"/>
          <xdr:cNvPicPr>
            <a:picLocks noChangeAspect="1" noChangeArrowheads="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bwMode="auto">
          <a:xfrm>
            <a:off x="1044575" y="1316037"/>
            <a:ext cx="4733925" cy="3154363"/>
          </a:xfrm>
          <a:prstGeom prst="rect">
            <a:avLst/>
          </a:prstGeom>
          <a:noFill/>
          <a:extLst>
            <a:ext uri="{909E8E84-426E-40DD-AFC4-6F175D3DCCD1}">
              <a14:hiddenFill xmlns:a14="http://schemas.microsoft.com/office/drawing/2010/main">
                <a:solidFill>
                  <a:srgbClr val="FFFFFF"/>
                </a:solidFill>
              </a14:hiddenFill>
            </a:ext>
          </a:extLst>
        </xdr:spPr>
      </xdr:pic>
      <xdr:cxnSp macro="">
        <xdr:nvCxnSpPr>
          <xdr:cNvPr id="51" name="Straight Connector 50"/>
          <xdr:cNvCxnSpPr/>
        </xdr:nvCxnSpPr>
        <xdr:spPr>
          <a:xfrm>
            <a:off x="1892300" y="1316037"/>
            <a:ext cx="279400" cy="117316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51"/>
          <xdr:cNvCxnSpPr/>
        </xdr:nvCxnSpPr>
        <xdr:spPr>
          <a:xfrm flipH="1">
            <a:off x="2387600" y="1316037"/>
            <a:ext cx="393700" cy="1046163"/>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sp macro="" textlink="">
        <xdr:nvSpPr>
          <xdr:cNvPr id="53" name="TextBox 9"/>
          <xdr:cNvSpPr txBox="1"/>
        </xdr:nvSpPr>
        <xdr:spPr>
          <a:xfrm>
            <a:off x="1143577" y="1565870"/>
            <a:ext cx="964623" cy="923330"/>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High </a:t>
            </a:r>
          </a:p>
          <a:p>
            <a:r>
              <a:rPr lang="en-US" b="1">
                <a:solidFill>
                  <a:srgbClr val="FF0000"/>
                </a:solidFill>
              </a:rPr>
              <a:t>Tension </a:t>
            </a:r>
          </a:p>
          <a:p>
            <a:r>
              <a:rPr lang="en-US" b="1">
                <a:solidFill>
                  <a:srgbClr val="FF0000"/>
                </a:solidFill>
              </a:rPr>
              <a:t>Lines</a:t>
            </a:r>
            <a:endParaRPr lang="en-IN" b="1">
              <a:solidFill>
                <a:srgbClr val="FF0000"/>
              </a:solidFill>
            </a:endParaRPr>
          </a:p>
        </xdr:txBody>
      </xdr:sp>
    </xdr:grpSp>
    <xdr:clientData/>
  </xdr:twoCellAnchor>
  <xdr:twoCellAnchor editAs="oneCell">
    <xdr:from>
      <xdr:col>0</xdr:col>
      <xdr:colOff>695325</xdr:colOff>
      <xdr:row>294</xdr:row>
      <xdr:rowOff>66675</xdr:rowOff>
    </xdr:from>
    <xdr:to>
      <xdr:col>6</xdr:col>
      <xdr:colOff>607786</xdr:colOff>
      <xdr:row>310</xdr:row>
      <xdr:rowOff>1361</xdr:rowOff>
    </xdr:to>
    <xdr:pic>
      <xdr:nvPicPr>
        <xdr:cNvPr id="70" name="Picture 69"/>
        <xdr:cNvPicPr>
          <a:picLocks noChangeAspect="1"/>
        </xdr:cNvPicPr>
      </xdr:nvPicPr>
      <xdr:blipFill rotWithShape="1">
        <a:blip xmlns:r="http://schemas.openxmlformats.org/officeDocument/2006/relationships" r:embed="rId7" cstate="screen">
          <a:extLst>
            <a:ext uri="{28A0092B-C50C-407E-A947-70E740481C1C}">
              <a14:useLocalDpi xmlns:a14="http://schemas.microsoft.com/office/drawing/2010/main"/>
            </a:ext>
          </a:extLst>
        </a:blip>
        <a:srcRect/>
        <a:stretch/>
      </xdr:blipFill>
      <xdr:spPr>
        <a:xfrm>
          <a:off x="695325" y="63093600"/>
          <a:ext cx="4760686" cy="3135086"/>
        </a:xfrm>
        <a:prstGeom prst="rect">
          <a:avLst/>
        </a:prstGeom>
        <a:ln>
          <a:solidFill>
            <a:schemeClr val="tx1"/>
          </a:solidFill>
        </a:ln>
      </xdr:spPr>
    </xdr:pic>
    <xdr:clientData/>
  </xdr:twoCellAnchor>
  <xdr:twoCellAnchor>
    <xdr:from>
      <xdr:col>3</xdr:col>
      <xdr:colOff>881063</xdr:colOff>
      <xdr:row>302</xdr:row>
      <xdr:rowOff>160564</xdr:rowOff>
    </xdr:from>
    <xdr:to>
      <xdr:col>4</xdr:col>
      <xdr:colOff>142875</xdr:colOff>
      <xdr:row>303</xdr:row>
      <xdr:rowOff>174851</xdr:rowOff>
    </xdr:to>
    <xdr:sp macro="" textlink="">
      <xdr:nvSpPr>
        <xdr:cNvPr id="71" name="Rectangle 70"/>
        <xdr:cNvSpPr/>
      </xdr:nvSpPr>
      <xdr:spPr>
        <a:xfrm rot="2986156">
          <a:off x="3271838" y="64806739"/>
          <a:ext cx="214312" cy="17621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63228</xdr:colOff>
      <xdr:row>294</xdr:row>
      <xdr:rowOff>66675</xdr:rowOff>
    </xdr:from>
    <xdr:to>
      <xdr:col>5</xdr:col>
      <xdr:colOff>369933</xdr:colOff>
      <xdr:row>310</xdr:row>
      <xdr:rowOff>1361</xdr:rowOff>
    </xdr:to>
    <xdr:cxnSp macro="">
      <xdr:nvCxnSpPr>
        <xdr:cNvPr id="72" name="Straight Connector 71"/>
        <xdr:cNvCxnSpPr/>
      </xdr:nvCxnSpPr>
      <xdr:spPr>
        <a:xfrm>
          <a:off x="1625328" y="63093600"/>
          <a:ext cx="2849880" cy="313508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301353</xdr:colOff>
      <xdr:row>294</xdr:row>
      <xdr:rowOff>66675</xdr:rowOff>
    </xdr:from>
    <xdr:to>
      <xdr:col>5</xdr:col>
      <xdr:colOff>608058</xdr:colOff>
      <xdr:row>310</xdr:row>
      <xdr:rowOff>1361</xdr:rowOff>
    </xdr:to>
    <xdr:cxnSp macro="">
      <xdr:nvCxnSpPr>
        <xdr:cNvPr id="73" name="Straight Connector 72"/>
        <xdr:cNvCxnSpPr/>
      </xdr:nvCxnSpPr>
      <xdr:spPr>
        <a:xfrm>
          <a:off x="1863453" y="63093600"/>
          <a:ext cx="2849880" cy="313508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216022</xdr:colOff>
      <xdr:row>300</xdr:row>
      <xdr:rowOff>130531</xdr:rowOff>
    </xdr:from>
    <xdr:to>
      <xdr:col>3</xdr:col>
      <xdr:colOff>845664</xdr:colOff>
      <xdr:row>307</xdr:row>
      <xdr:rowOff>109938</xdr:rowOff>
    </xdr:to>
    <xdr:sp macro="" textlink="">
      <xdr:nvSpPr>
        <xdr:cNvPr id="74" name="Rectangle 73"/>
        <xdr:cNvSpPr/>
      </xdr:nvSpPr>
      <xdr:spPr>
        <a:xfrm rot="2942686">
          <a:off x="2250877" y="64732576"/>
          <a:ext cx="1379582" cy="629642"/>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2</xdr:col>
      <xdr:colOff>542925</xdr:colOff>
      <xdr:row>299</xdr:row>
      <xdr:rowOff>108380</xdr:rowOff>
    </xdr:from>
    <xdr:to>
      <xdr:col>3</xdr:col>
      <xdr:colOff>237721</xdr:colOff>
      <xdr:row>301</xdr:row>
      <xdr:rowOff>77662</xdr:rowOff>
    </xdr:to>
    <xdr:sp macro="" textlink="">
      <xdr:nvSpPr>
        <xdr:cNvPr id="75" name="TextBox 179"/>
        <xdr:cNvSpPr txBox="1"/>
      </xdr:nvSpPr>
      <xdr:spPr>
        <a:xfrm>
          <a:off x="2105025" y="64135430"/>
          <a:ext cx="54252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Site</a:t>
          </a:r>
          <a:endParaRPr lang="en-IN" b="1">
            <a:solidFill>
              <a:srgbClr val="FFFF00"/>
            </a:solidFill>
          </a:endParaRPr>
        </a:p>
      </xdr:txBody>
    </xdr:sp>
    <xdr:clientData/>
  </xdr:twoCellAnchor>
  <xdr:twoCellAnchor>
    <xdr:from>
      <xdr:col>4</xdr:col>
      <xdr:colOff>11644</xdr:colOff>
      <xdr:row>301</xdr:row>
      <xdr:rowOff>190294</xdr:rowOff>
    </xdr:from>
    <xdr:to>
      <xdr:col>5</xdr:col>
      <xdr:colOff>594622</xdr:colOff>
      <xdr:row>303</xdr:row>
      <xdr:rowOff>67243</xdr:rowOff>
    </xdr:to>
    <xdr:sp macro="" textlink="">
      <xdr:nvSpPr>
        <xdr:cNvPr id="76" name="TextBox 180"/>
        <xdr:cNvSpPr txBox="1"/>
      </xdr:nvSpPr>
      <xdr:spPr>
        <a:xfrm>
          <a:off x="3335869" y="64617394"/>
          <a:ext cx="1364028"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Tension Lines</a:t>
          </a:r>
          <a:endParaRPr lang="en-IN" sz="1200" b="1">
            <a:solidFill>
              <a:srgbClr val="FF0000"/>
            </a:solidFill>
          </a:endParaRPr>
        </a:p>
      </xdr:txBody>
    </xdr:sp>
    <xdr:clientData/>
  </xdr:twoCellAnchor>
  <xdr:twoCellAnchor editAs="oneCell">
    <xdr:from>
      <xdr:col>8</xdr:col>
      <xdr:colOff>992183</xdr:colOff>
      <xdr:row>165</xdr:row>
      <xdr:rowOff>107950</xdr:rowOff>
    </xdr:from>
    <xdr:to>
      <xdr:col>10</xdr:col>
      <xdr:colOff>532021</xdr:colOff>
      <xdr:row>175</xdr:row>
      <xdr:rowOff>94050</xdr:rowOff>
    </xdr:to>
    <xdr:pic>
      <xdr:nvPicPr>
        <xdr:cNvPr id="40" name="Picture 39"/>
        <xdr:cNvPicPr>
          <a:picLocks noChangeAspect="1"/>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7805733" y="32835850"/>
          <a:ext cx="1559138" cy="1948250"/>
        </a:xfrm>
        <a:prstGeom prst="rect">
          <a:avLst/>
        </a:prstGeom>
        <a:ln>
          <a:solidFill>
            <a:schemeClr val="tx1"/>
          </a:solidFill>
        </a:ln>
      </xdr:spPr>
    </xdr:pic>
    <xdr:clientData/>
  </xdr:twoCellAnchor>
  <xdr:twoCellAnchor>
    <xdr:from>
      <xdr:col>9</xdr:col>
      <xdr:colOff>11698</xdr:colOff>
      <xdr:row>165</xdr:row>
      <xdr:rowOff>107950</xdr:rowOff>
    </xdr:from>
    <xdr:to>
      <xdr:col>9</xdr:col>
      <xdr:colOff>552552</xdr:colOff>
      <xdr:row>171</xdr:row>
      <xdr:rowOff>56000</xdr:rowOff>
    </xdr:to>
    <xdr:cxnSp macro="">
      <xdr:nvCxnSpPr>
        <xdr:cNvPr id="41" name="Straight Connector 40"/>
        <xdr:cNvCxnSpPr>
          <a:endCxn id="40" idx="0"/>
        </xdr:cNvCxnSpPr>
      </xdr:nvCxnSpPr>
      <xdr:spPr>
        <a:xfrm flipV="1">
          <a:off x="8044448" y="32835850"/>
          <a:ext cx="540854" cy="11228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11698</xdr:colOff>
      <xdr:row>165</xdr:row>
      <xdr:rowOff>107951</xdr:rowOff>
    </xdr:from>
    <xdr:to>
      <xdr:col>10</xdr:col>
      <xdr:colOff>19318</xdr:colOff>
      <xdr:row>172</xdr:row>
      <xdr:rowOff>157600</xdr:rowOff>
    </xdr:to>
    <xdr:cxnSp macro="">
      <xdr:nvCxnSpPr>
        <xdr:cNvPr id="42" name="Straight Connector 41"/>
        <xdr:cNvCxnSpPr/>
      </xdr:nvCxnSpPr>
      <xdr:spPr>
        <a:xfrm flipV="1">
          <a:off x="8044448" y="32835851"/>
          <a:ext cx="807720" cy="14212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971550</xdr:colOff>
      <xdr:row>165</xdr:row>
      <xdr:rowOff>175299</xdr:rowOff>
    </xdr:from>
    <xdr:to>
      <xdr:col>9</xdr:col>
      <xdr:colOff>452486</xdr:colOff>
      <xdr:row>169</xdr:row>
      <xdr:rowOff>50198</xdr:rowOff>
    </xdr:to>
    <xdr:sp macro="" textlink="">
      <xdr:nvSpPr>
        <xdr:cNvPr id="43" name="TextBox 168"/>
        <xdr:cNvSpPr txBox="1"/>
      </xdr:nvSpPr>
      <xdr:spPr>
        <a:xfrm>
          <a:off x="7785100" y="33061949"/>
          <a:ext cx="700136"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a:t>
          </a:r>
        </a:p>
        <a:p>
          <a:r>
            <a:rPr lang="en-US" sz="1200" b="1">
              <a:solidFill>
                <a:srgbClr val="FF0000"/>
              </a:solidFill>
            </a:rPr>
            <a:t>Tension</a:t>
          </a:r>
        </a:p>
        <a:p>
          <a:r>
            <a:rPr lang="en-US" sz="1200" b="1">
              <a:solidFill>
                <a:srgbClr val="FF0000"/>
              </a:solidFill>
            </a:rPr>
            <a:t> Line</a:t>
          </a:r>
          <a:endParaRPr lang="en-IN" sz="1200" b="1">
            <a:solidFill>
              <a:srgbClr val="FF0000"/>
            </a:solidFill>
          </a:endParaRPr>
        </a:p>
      </xdr:txBody>
    </xdr:sp>
    <xdr:clientData/>
  </xdr:twoCellAnchor>
  <xdr:twoCellAnchor editAs="oneCell">
    <xdr:from>
      <xdr:col>8</xdr:col>
      <xdr:colOff>1174021</xdr:colOff>
      <xdr:row>186</xdr:row>
      <xdr:rowOff>134462</xdr:rowOff>
    </xdr:from>
    <xdr:to>
      <xdr:col>11</xdr:col>
      <xdr:colOff>805944</xdr:colOff>
      <xdr:row>195</xdr:row>
      <xdr:rowOff>162812</xdr:rowOff>
    </xdr:to>
    <xdr:pic>
      <xdr:nvPicPr>
        <xdr:cNvPr id="44" name="Picture 4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7987571" y="37148612"/>
          <a:ext cx="2387823" cy="1800000"/>
        </a:xfrm>
        <a:prstGeom prst="rect">
          <a:avLst/>
        </a:prstGeom>
        <a:ln>
          <a:solidFill>
            <a:schemeClr val="tx1"/>
          </a:solidFill>
        </a:ln>
      </xdr:spPr>
    </xdr:pic>
    <xdr:clientData/>
  </xdr:twoCellAnchor>
  <xdr:twoCellAnchor>
    <xdr:from>
      <xdr:col>10</xdr:col>
      <xdr:colOff>177800</xdr:colOff>
      <xdr:row>186</xdr:row>
      <xdr:rowOff>152400</xdr:rowOff>
    </xdr:from>
    <xdr:to>
      <xdr:col>11</xdr:col>
      <xdr:colOff>139700</xdr:colOff>
      <xdr:row>189</xdr:row>
      <xdr:rowOff>114300</xdr:rowOff>
    </xdr:to>
    <xdr:cxnSp macro="">
      <xdr:nvCxnSpPr>
        <xdr:cNvPr id="80" name="Straight Connector 79"/>
        <xdr:cNvCxnSpPr/>
      </xdr:nvCxnSpPr>
      <xdr:spPr>
        <a:xfrm flipV="1">
          <a:off x="9010650" y="37166550"/>
          <a:ext cx="698500" cy="5524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57150</xdr:colOff>
      <xdr:row>186</xdr:row>
      <xdr:rowOff>107951</xdr:rowOff>
    </xdr:from>
    <xdr:to>
      <xdr:col>10</xdr:col>
      <xdr:colOff>539750</xdr:colOff>
      <xdr:row>189</xdr:row>
      <xdr:rowOff>12700</xdr:rowOff>
    </xdr:to>
    <xdr:cxnSp macro="">
      <xdr:nvCxnSpPr>
        <xdr:cNvPr id="81" name="Straight Connector 80"/>
        <xdr:cNvCxnSpPr/>
      </xdr:nvCxnSpPr>
      <xdr:spPr>
        <a:xfrm flipV="1">
          <a:off x="8890000" y="37122101"/>
          <a:ext cx="482600" cy="49529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342171</xdr:colOff>
      <xdr:row>186</xdr:row>
      <xdr:rowOff>119261</xdr:rowOff>
    </xdr:from>
    <xdr:to>
      <xdr:col>10</xdr:col>
      <xdr:colOff>254907</xdr:colOff>
      <xdr:row>189</xdr:row>
      <xdr:rowOff>165517</xdr:rowOff>
    </xdr:to>
    <xdr:sp macro="" textlink="">
      <xdr:nvSpPr>
        <xdr:cNvPr id="82" name="TextBox 168"/>
        <xdr:cNvSpPr txBox="1"/>
      </xdr:nvSpPr>
      <xdr:spPr>
        <a:xfrm>
          <a:off x="8374921" y="37133411"/>
          <a:ext cx="712836" cy="636806"/>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a:t>
          </a:r>
        </a:p>
        <a:p>
          <a:r>
            <a:rPr lang="en-US" sz="1200" b="1">
              <a:solidFill>
                <a:srgbClr val="FF0000"/>
              </a:solidFill>
            </a:rPr>
            <a:t>Tension</a:t>
          </a:r>
        </a:p>
        <a:p>
          <a:r>
            <a:rPr lang="en-US" sz="1200" b="1">
              <a:solidFill>
                <a:srgbClr val="FF0000"/>
              </a:solidFill>
            </a:rPr>
            <a:t> Line</a:t>
          </a:r>
          <a:endParaRPr lang="en-IN" sz="1200" b="1">
            <a:solidFill>
              <a:srgbClr val="FF0000"/>
            </a:solidFill>
          </a:endParaRPr>
        </a:p>
      </xdr:txBody>
    </xdr:sp>
    <xdr:clientData/>
  </xdr:twoCellAnchor>
  <xdr:twoCellAnchor editAs="oneCell">
    <xdr:from>
      <xdr:col>2</xdr:col>
      <xdr:colOff>630284</xdr:colOff>
      <xdr:row>198</xdr:row>
      <xdr:rowOff>82378</xdr:rowOff>
    </xdr:from>
    <xdr:to>
      <xdr:col>5</xdr:col>
      <xdr:colOff>112327</xdr:colOff>
      <xdr:row>206</xdr:row>
      <xdr:rowOff>127578</xdr:rowOff>
    </xdr:to>
    <xdr:pic>
      <xdr:nvPicPr>
        <xdr:cNvPr id="39" name="Picture 38"/>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2268584" y="39458728"/>
          <a:ext cx="2149043" cy="1620000"/>
        </a:xfrm>
        <a:prstGeom prst="rect">
          <a:avLst/>
        </a:prstGeom>
        <a:ln>
          <a:solidFill>
            <a:schemeClr val="tx1"/>
          </a:solidFill>
        </a:ln>
      </xdr:spPr>
    </xdr:pic>
    <xdr:clientData/>
  </xdr:twoCellAnchor>
  <xdr:twoCellAnchor editAs="oneCell">
    <xdr:from>
      <xdr:col>0</xdr:col>
      <xdr:colOff>127000</xdr:colOff>
      <xdr:row>165</xdr:row>
      <xdr:rowOff>101600</xdr:rowOff>
    </xdr:from>
    <xdr:to>
      <xdr:col>2</xdr:col>
      <xdr:colOff>31994</xdr:colOff>
      <xdr:row>175</xdr:row>
      <xdr:rowOff>191450</xdr:rowOff>
    </xdr:to>
    <xdr:pic>
      <xdr:nvPicPr>
        <xdr:cNvPr id="54" name="Picture 53"/>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27000" y="32988250"/>
          <a:ext cx="1543294" cy="2052000"/>
        </a:xfrm>
        <a:prstGeom prst="rect">
          <a:avLst/>
        </a:prstGeom>
        <a:ln>
          <a:solidFill>
            <a:schemeClr val="tx1"/>
          </a:solidFill>
        </a:ln>
      </xdr:spPr>
    </xdr:pic>
    <xdr:clientData/>
  </xdr:twoCellAnchor>
  <xdr:twoCellAnchor editAs="oneCell">
    <xdr:from>
      <xdr:col>5</xdr:col>
      <xdr:colOff>610410</xdr:colOff>
      <xdr:row>187</xdr:row>
      <xdr:rowOff>90902</xdr:rowOff>
    </xdr:from>
    <xdr:to>
      <xdr:col>7</xdr:col>
      <xdr:colOff>597873</xdr:colOff>
      <xdr:row>197</xdr:row>
      <xdr:rowOff>174402</xdr:rowOff>
    </xdr:to>
    <xdr:pic>
      <xdr:nvPicPr>
        <xdr:cNvPr id="55" name="Picture 5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915710" y="37301902"/>
          <a:ext cx="1536863" cy="2052000"/>
        </a:xfrm>
        <a:prstGeom prst="rect">
          <a:avLst/>
        </a:prstGeom>
        <a:ln>
          <a:solidFill>
            <a:schemeClr val="tx1"/>
          </a:solidFill>
        </a:ln>
      </xdr:spPr>
    </xdr:pic>
    <xdr:clientData/>
  </xdr:twoCellAnchor>
  <xdr:twoCellAnchor editAs="oneCell">
    <xdr:from>
      <xdr:col>2</xdr:col>
      <xdr:colOff>161512</xdr:colOff>
      <xdr:row>165</xdr:row>
      <xdr:rowOff>101600</xdr:rowOff>
    </xdr:from>
    <xdr:to>
      <xdr:col>3</xdr:col>
      <xdr:colOff>815806</xdr:colOff>
      <xdr:row>175</xdr:row>
      <xdr:rowOff>191450</xdr:rowOff>
    </xdr:to>
    <xdr:pic>
      <xdr:nvPicPr>
        <xdr:cNvPr id="56" name="Picture 55"/>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799812" y="32988250"/>
          <a:ext cx="1543294" cy="2052000"/>
        </a:xfrm>
        <a:prstGeom prst="rect">
          <a:avLst/>
        </a:prstGeom>
        <a:ln>
          <a:solidFill>
            <a:schemeClr val="tx1"/>
          </a:solidFill>
        </a:ln>
      </xdr:spPr>
    </xdr:pic>
    <xdr:clientData/>
  </xdr:twoCellAnchor>
  <xdr:twoCellAnchor editAs="oneCell">
    <xdr:from>
      <xdr:col>3</xdr:col>
      <xdr:colOff>692855</xdr:colOff>
      <xdr:row>187</xdr:row>
      <xdr:rowOff>90902</xdr:rowOff>
    </xdr:from>
    <xdr:to>
      <xdr:col>5</xdr:col>
      <xdr:colOff>458149</xdr:colOff>
      <xdr:row>197</xdr:row>
      <xdr:rowOff>174402</xdr:rowOff>
    </xdr:to>
    <xdr:pic>
      <xdr:nvPicPr>
        <xdr:cNvPr id="57" name="Picture 5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3220155" y="37301902"/>
          <a:ext cx="1543294" cy="2052000"/>
        </a:xfrm>
        <a:prstGeom prst="rect">
          <a:avLst/>
        </a:prstGeom>
        <a:ln>
          <a:solidFill>
            <a:schemeClr val="tx1"/>
          </a:solidFill>
        </a:ln>
      </xdr:spPr>
    </xdr:pic>
    <xdr:clientData/>
  </xdr:twoCellAnchor>
  <xdr:twoCellAnchor editAs="oneCell">
    <xdr:from>
      <xdr:col>6</xdr:col>
      <xdr:colOff>59086</xdr:colOff>
      <xdr:row>165</xdr:row>
      <xdr:rowOff>101600</xdr:rowOff>
    </xdr:from>
    <xdr:to>
      <xdr:col>7</xdr:col>
      <xdr:colOff>834030</xdr:colOff>
      <xdr:row>175</xdr:row>
      <xdr:rowOff>191450</xdr:rowOff>
    </xdr:to>
    <xdr:pic>
      <xdr:nvPicPr>
        <xdr:cNvPr id="58" name="Picture 5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5145436" y="32988250"/>
          <a:ext cx="1543294" cy="2052000"/>
        </a:xfrm>
        <a:prstGeom prst="rect">
          <a:avLst/>
        </a:prstGeom>
        <a:ln>
          <a:solidFill>
            <a:schemeClr val="tx1"/>
          </a:solidFill>
        </a:ln>
      </xdr:spPr>
    </xdr:pic>
    <xdr:clientData/>
  </xdr:twoCellAnchor>
  <xdr:twoCellAnchor editAs="oneCell">
    <xdr:from>
      <xdr:col>6</xdr:col>
      <xdr:colOff>59086</xdr:colOff>
      <xdr:row>176</xdr:row>
      <xdr:rowOff>99426</xdr:rowOff>
    </xdr:from>
    <xdr:to>
      <xdr:col>7</xdr:col>
      <xdr:colOff>834030</xdr:colOff>
      <xdr:row>186</xdr:row>
      <xdr:rowOff>182926</xdr:rowOff>
    </xdr:to>
    <xdr:pic>
      <xdr:nvPicPr>
        <xdr:cNvPr id="59" name="Picture 5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5145436" y="35145076"/>
          <a:ext cx="1543294" cy="2052000"/>
        </a:xfrm>
        <a:prstGeom prst="rect">
          <a:avLst/>
        </a:prstGeom>
        <a:ln>
          <a:solidFill>
            <a:schemeClr val="tx1"/>
          </a:solidFill>
        </a:ln>
      </xdr:spPr>
    </xdr:pic>
    <xdr:clientData/>
  </xdr:twoCellAnchor>
  <xdr:twoCellAnchor editAs="oneCell">
    <xdr:from>
      <xdr:col>3</xdr:col>
      <xdr:colOff>945324</xdr:colOff>
      <xdr:row>176</xdr:row>
      <xdr:rowOff>99426</xdr:rowOff>
    </xdr:from>
    <xdr:to>
      <xdr:col>5</xdr:col>
      <xdr:colOff>710618</xdr:colOff>
      <xdr:row>186</xdr:row>
      <xdr:rowOff>182926</xdr:rowOff>
    </xdr:to>
    <xdr:pic>
      <xdr:nvPicPr>
        <xdr:cNvPr id="60" name="Picture 5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3472624" y="35145076"/>
          <a:ext cx="1543294" cy="2052000"/>
        </a:xfrm>
        <a:prstGeom prst="rect">
          <a:avLst/>
        </a:prstGeom>
        <a:ln>
          <a:solidFill>
            <a:schemeClr val="tx1"/>
          </a:solidFill>
        </a:ln>
      </xdr:spPr>
    </xdr:pic>
    <xdr:clientData/>
  </xdr:twoCellAnchor>
  <xdr:twoCellAnchor editAs="oneCell">
    <xdr:from>
      <xdr:col>2</xdr:col>
      <xdr:colOff>161512</xdr:colOff>
      <xdr:row>176</xdr:row>
      <xdr:rowOff>99426</xdr:rowOff>
    </xdr:from>
    <xdr:to>
      <xdr:col>3</xdr:col>
      <xdr:colOff>815806</xdr:colOff>
      <xdr:row>186</xdr:row>
      <xdr:rowOff>182926</xdr:rowOff>
    </xdr:to>
    <xdr:pic>
      <xdr:nvPicPr>
        <xdr:cNvPr id="61" name="Picture 60"/>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1799812" y="35145076"/>
          <a:ext cx="1543294" cy="2052000"/>
        </a:xfrm>
        <a:prstGeom prst="rect">
          <a:avLst/>
        </a:prstGeom>
        <a:ln>
          <a:solidFill>
            <a:schemeClr val="tx1"/>
          </a:solidFill>
        </a:ln>
      </xdr:spPr>
    </xdr:pic>
    <xdr:clientData/>
  </xdr:twoCellAnchor>
  <xdr:twoCellAnchor editAs="oneCell">
    <xdr:from>
      <xdr:col>0</xdr:col>
      <xdr:colOff>345775</xdr:colOff>
      <xdr:row>187</xdr:row>
      <xdr:rowOff>90902</xdr:rowOff>
    </xdr:from>
    <xdr:to>
      <xdr:col>3</xdr:col>
      <xdr:colOff>540594</xdr:colOff>
      <xdr:row>197</xdr:row>
      <xdr:rowOff>174402</xdr:rowOff>
    </xdr:to>
    <xdr:pic>
      <xdr:nvPicPr>
        <xdr:cNvPr id="62" name="Picture 61"/>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345775" y="37301902"/>
          <a:ext cx="2722119" cy="2052000"/>
        </a:xfrm>
        <a:prstGeom prst="rect">
          <a:avLst/>
        </a:prstGeom>
        <a:ln>
          <a:solidFill>
            <a:schemeClr val="tx1"/>
          </a:solidFill>
        </a:ln>
      </xdr:spPr>
    </xdr:pic>
    <xdr:clientData/>
  </xdr:twoCellAnchor>
  <xdr:twoCellAnchor editAs="oneCell">
    <xdr:from>
      <xdr:col>0</xdr:col>
      <xdr:colOff>127000</xdr:colOff>
      <xdr:row>176</xdr:row>
      <xdr:rowOff>99426</xdr:rowOff>
    </xdr:from>
    <xdr:to>
      <xdr:col>2</xdr:col>
      <xdr:colOff>31994</xdr:colOff>
      <xdr:row>186</xdr:row>
      <xdr:rowOff>182926</xdr:rowOff>
    </xdr:to>
    <xdr:pic>
      <xdr:nvPicPr>
        <xdr:cNvPr id="63" name="Picture 6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27000" y="35145076"/>
          <a:ext cx="1543294" cy="2052000"/>
        </a:xfrm>
        <a:prstGeom prst="rect">
          <a:avLst/>
        </a:prstGeom>
        <a:ln>
          <a:solidFill>
            <a:schemeClr val="tx1"/>
          </a:solidFill>
        </a:ln>
      </xdr:spPr>
    </xdr:pic>
    <xdr:clientData/>
  </xdr:twoCellAnchor>
  <xdr:twoCellAnchor editAs="oneCell">
    <xdr:from>
      <xdr:col>3</xdr:col>
      <xdr:colOff>945324</xdr:colOff>
      <xdr:row>165</xdr:row>
      <xdr:rowOff>101600</xdr:rowOff>
    </xdr:from>
    <xdr:to>
      <xdr:col>5</xdr:col>
      <xdr:colOff>710618</xdr:colOff>
      <xdr:row>175</xdr:row>
      <xdr:rowOff>191450</xdr:rowOff>
    </xdr:to>
    <xdr:pic>
      <xdr:nvPicPr>
        <xdr:cNvPr id="64" name="Picture 63"/>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a:ext>
          </a:extLst>
        </a:blip>
        <a:stretch>
          <a:fillRect/>
        </a:stretch>
      </xdr:blipFill>
      <xdr:spPr>
        <a:xfrm>
          <a:off x="3472624" y="32988250"/>
          <a:ext cx="1543294" cy="2052000"/>
        </a:xfrm>
        <a:prstGeom prst="rect">
          <a:avLst/>
        </a:prstGeom>
        <a:ln>
          <a:solidFill>
            <a:schemeClr val="tx1"/>
          </a:solidFill>
        </a:ln>
      </xdr:spPr>
    </xdr:pic>
    <xdr:clientData/>
  </xdr:twoCellAnchor>
  <xdr:twoCellAnchor>
    <xdr:from>
      <xdr:col>3</xdr:col>
      <xdr:colOff>491313</xdr:colOff>
      <xdr:row>198</xdr:row>
      <xdr:rowOff>152402</xdr:rowOff>
    </xdr:from>
    <xdr:to>
      <xdr:col>3</xdr:col>
      <xdr:colOff>723900</xdr:colOff>
      <xdr:row>201</xdr:row>
      <xdr:rowOff>44279</xdr:rowOff>
    </xdr:to>
    <xdr:cxnSp macro="">
      <xdr:nvCxnSpPr>
        <xdr:cNvPr id="65" name="Straight Connector 64"/>
        <xdr:cNvCxnSpPr/>
      </xdr:nvCxnSpPr>
      <xdr:spPr>
        <a:xfrm flipV="1">
          <a:off x="3018613" y="39528752"/>
          <a:ext cx="232587" cy="482427"/>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476250</xdr:colOff>
      <xdr:row>198</xdr:row>
      <xdr:rowOff>114300</xdr:rowOff>
    </xdr:from>
    <xdr:to>
      <xdr:col>3</xdr:col>
      <xdr:colOff>615950</xdr:colOff>
      <xdr:row>201</xdr:row>
      <xdr:rowOff>31750</xdr:rowOff>
    </xdr:to>
    <xdr:cxnSp macro="">
      <xdr:nvCxnSpPr>
        <xdr:cNvPr id="66" name="Straight Connector 65"/>
        <xdr:cNvCxnSpPr/>
      </xdr:nvCxnSpPr>
      <xdr:spPr>
        <a:xfrm flipV="1">
          <a:off x="3003550" y="39490650"/>
          <a:ext cx="139700" cy="50800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744584</xdr:colOff>
      <xdr:row>198</xdr:row>
      <xdr:rowOff>163538</xdr:rowOff>
    </xdr:from>
    <xdr:to>
      <xdr:col>3</xdr:col>
      <xdr:colOff>577850</xdr:colOff>
      <xdr:row>202</xdr:row>
      <xdr:rowOff>32087</xdr:rowOff>
    </xdr:to>
    <xdr:sp macro="" textlink="">
      <xdr:nvSpPr>
        <xdr:cNvPr id="67" name="TextBox 168"/>
        <xdr:cNvSpPr txBox="1"/>
      </xdr:nvSpPr>
      <xdr:spPr>
        <a:xfrm>
          <a:off x="2382884" y="39539888"/>
          <a:ext cx="722266"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FF00"/>
              </a:solidFill>
            </a:rPr>
            <a:t>High </a:t>
          </a:r>
        </a:p>
        <a:p>
          <a:r>
            <a:rPr lang="en-US" sz="1200" b="1">
              <a:solidFill>
                <a:srgbClr val="FFFF00"/>
              </a:solidFill>
            </a:rPr>
            <a:t>Tension</a:t>
          </a:r>
        </a:p>
        <a:p>
          <a:r>
            <a:rPr lang="en-US" sz="1200" b="1">
              <a:solidFill>
                <a:srgbClr val="FFFF00"/>
              </a:solidFill>
            </a:rPr>
            <a:t> Line</a:t>
          </a:r>
          <a:endParaRPr lang="en-IN" sz="1200" b="1">
            <a:solidFill>
              <a:srgbClr val="FFFF00"/>
            </a:solidFill>
          </a:endParaRPr>
        </a:p>
      </xdr:txBody>
    </xdr:sp>
    <xdr:clientData/>
  </xdr:twoCellAnchor>
  <xdr:twoCellAnchor>
    <xdr:from>
      <xdr:col>2</xdr:col>
      <xdr:colOff>527050</xdr:colOff>
      <xdr:row>165</xdr:row>
      <xdr:rowOff>101600</xdr:rowOff>
    </xdr:from>
    <xdr:to>
      <xdr:col>3</xdr:col>
      <xdr:colOff>44159</xdr:colOff>
      <xdr:row>171</xdr:row>
      <xdr:rowOff>38100</xdr:rowOff>
    </xdr:to>
    <xdr:cxnSp macro="">
      <xdr:nvCxnSpPr>
        <xdr:cNvPr id="68" name="Straight Connector 67"/>
        <xdr:cNvCxnSpPr>
          <a:endCxn id="56" idx="0"/>
        </xdr:cNvCxnSpPr>
      </xdr:nvCxnSpPr>
      <xdr:spPr>
        <a:xfrm flipV="1">
          <a:off x="2165350" y="32988250"/>
          <a:ext cx="406109" cy="1111250"/>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546100</xdr:colOff>
      <xdr:row>165</xdr:row>
      <xdr:rowOff>120651</xdr:rowOff>
    </xdr:from>
    <xdr:to>
      <xdr:col>3</xdr:col>
      <xdr:colOff>158750</xdr:colOff>
      <xdr:row>171</xdr:row>
      <xdr:rowOff>44450</xdr:rowOff>
    </xdr:to>
    <xdr:cxnSp macro="">
      <xdr:nvCxnSpPr>
        <xdr:cNvPr id="69" name="Straight Connector 68"/>
        <xdr:cNvCxnSpPr/>
      </xdr:nvCxnSpPr>
      <xdr:spPr>
        <a:xfrm flipV="1">
          <a:off x="2184400" y="33007301"/>
          <a:ext cx="501650" cy="1098549"/>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161512</xdr:colOff>
      <xdr:row>165</xdr:row>
      <xdr:rowOff>168949</xdr:rowOff>
    </xdr:from>
    <xdr:to>
      <xdr:col>2</xdr:col>
      <xdr:colOff>861648</xdr:colOff>
      <xdr:row>169</xdr:row>
      <xdr:rowOff>43848</xdr:rowOff>
    </xdr:to>
    <xdr:sp macro="" textlink="">
      <xdr:nvSpPr>
        <xdr:cNvPr id="83" name="TextBox 168"/>
        <xdr:cNvSpPr txBox="1"/>
      </xdr:nvSpPr>
      <xdr:spPr>
        <a:xfrm>
          <a:off x="1799812" y="33055599"/>
          <a:ext cx="700136" cy="65594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FF0000"/>
              </a:solidFill>
            </a:rPr>
            <a:t>High </a:t>
          </a:r>
        </a:p>
        <a:p>
          <a:r>
            <a:rPr lang="en-US" sz="1200" b="1">
              <a:solidFill>
                <a:srgbClr val="FF0000"/>
              </a:solidFill>
            </a:rPr>
            <a:t>Tension</a:t>
          </a:r>
        </a:p>
        <a:p>
          <a:r>
            <a:rPr lang="en-US" sz="1200" b="1">
              <a:solidFill>
                <a:srgbClr val="FF0000"/>
              </a:solidFill>
            </a:rPr>
            <a:t> Line</a:t>
          </a:r>
          <a:endParaRPr lang="en-IN"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n8kyQvM4Jhy4seHt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278"/>
  <sheetViews>
    <sheetView tabSelected="1" view="pageBreakPreview" topLeftCell="A140" zoomScaleNormal="100" zoomScaleSheetLayoutView="100" zoomScalePageLayoutView="85" workbookViewId="0">
      <selection activeCell="A153" sqref="A153:H153"/>
    </sheetView>
  </sheetViews>
  <sheetFormatPr defaultColWidth="9.1796875" defaultRowHeight="15.5"/>
  <cols>
    <col min="1" max="1" width="11.453125" style="35" customWidth="1"/>
    <col min="2" max="2" width="12" style="35" customWidth="1"/>
    <col min="3" max="3" width="12.7265625" style="35" customWidth="1"/>
    <col min="4" max="4" width="13.7265625" style="35" customWidth="1"/>
    <col min="5" max="5" width="11.7265625" style="35" customWidth="1"/>
    <col min="6" max="6" width="11.1796875" style="35" customWidth="1"/>
    <col min="7" max="7" width="11" style="35" customWidth="1"/>
    <col min="8" max="8" width="13.7265625" style="35" customWidth="1"/>
    <col min="9" max="9" width="17.453125" style="16" customWidth="1"/>
    <col min="10" max="10" width="11.453125" style="16" customWidth="1"/>
    <col min="11" max="11" width="10.54296875" style="16" bestFit="1" customWidth="1"/>
    <col min="12" max="12" width="13.81640625" style="16" bestFit="1" customWidth="1"/>
    <col min="13" max="13" width="11.81640625" style="16" customWidth="1"/>
    <col min="14" max="14" width="12.54296875" style="16" customWidth="1"/>
    <col min="15" max="15" width="12.1796875" style="16" customWidth="1"/>
    <col min="16" max="16" width="11.7265625" style="16" customWidth="1"/>
    <col min="17" max="18" width="9.1796875" style="16"/>
    <col min="19" max="19" width="10.81640625" style="16" bestFit="1" customWidth="1"/>
    <col min="20" max="20" width="10.7265625" style="16" customWidth="1"/>
    <col min="21" max="247" width="9.1796875" style="16"/>
    <col min="248" max="248" width="8.7265625" style="16" customWidth="1"/>
    <col min="249" max="249" width="9.81640625" style="16" customWidth="1"/>
    <col min="250" max="250" width="14.453125" style="16" customWidth="1"/>
    <col min="251" max="251" width="7.26953125" style="16" customWidth="1"/>
    <col min="252" max="252" width="5.54296875" style="16" customWidth="1"/>
    <col min="253" max="253" width="9" style="16" customWidth="1"/>
    <col min="254" max="255" width="9.81640625" style="16" customWidth="1"/>
    <col min="256" max="256" width="11.1796875" style="16" customWidth="1"/>
    <col min="257" max="257" width="2.81640625" style="16" customWidth="1"/>
    <col min="258" max="258" width="3.54296875" style="16" customWidth="1"/>
    <col min="259" max="503" width="9.1796875" style="16"/>
    <col min="504" max="504" width="8.7265625" style="16" customWidth="1"/>
    <col min="505" max="505" width="9.81640625" style="16" customWidth="1"/>
    <col min="506" max="506" width="14.453125" style="16" customWidth="1"/>
    <col min="507" max="507" width="7.26953125" style="16" customWidth="1"/>
    <col min="508" max="508" width="5.54296875" style="16" customWidth="1"/>
    <col min="509" max="509" width="9" style="16" customWidth="1"/>
    <col min="510" max="511" width="9.81640625" style="16" customWidth="1"/>
    <col min="512" max="512" width="11.1796875" style="16" customWidth="1"/>
    <col min="513" max="513" width="2.81640625" style="16" customWidth="1"/>
    <col min="514" max="514" width="3.54296875" style="16" customWidth="1"/>
    <col min="515" max="759" width="9.1796875" style="16"/>
    <col min="760" max="760" width="8.7265625" style="16" customWidth="1"/>
    <col min="761" max="761" width="9.81640625" style="16" customWidth="1"/>
    <col min="762" max="762" width="14.453125" style="16" customWidth="1"/>
    <col min="763" max="763" width="7.26953125" style="16" customWidth="1"/>
    <col min="764" max="764" width="5.54296875" style="16" customWidth="1"/>
    <col min="765" max="765" width="9" style="16" customWidth="1"/>
    <col min="766" max="767" width="9.81640625" style="16" customWidth="1"/>
    <col min="768" max="768" width="11.1796875" style="16" customWidth="1"/>
    <col min="769" max="769" width="2.81640625" style="16" customWidth="1"/>
    <col min="770" max="770" width="3.54296875" style="16" customWidth="1"/>
    <col min="771" max="1015" width="9.1796875" style="16"/>
    <col min="1016" max="1016" width="8.7265625" style="16" customWidth="1"/>
    <col min="1017" max="1017" width="9.81640625" style="16" customWidth="1"/>
    <col min="1018" max="1018" width="14.453125" style="16" customWidth="1"/>
    <col min="1019" max="1019" width="7.26953125" style="16" customWidth="1"/>
    <col min="1020" max="1020" width="5.54296875" style="16" customWidth="1"/>
    <col min="1021" max="1021" width="9" style="16" customWidth="1"/>
    <col min="1022" max="1023" width="9.81640625" style="16" customWidth="1"/>
    <col min="1024" max="1024" width="11.1796875" style="16" customWidth="1"/>
    <col min="1025" max="1025" width="2.81640625" style="16" customWidth="1"/>
    <col min="1026" max="1026" width="3.54296875" style="16" customWidth="1"/>
    <col min="1027" max="1271" width="9.1796875" style="16"/>
    <col min="1272" max="1272" width="8.7265625" style="16" customWidth="1"/>
    <col min="1273" max="1273" width="9.81640625" style="16" customWidth="1"/>
    <col min="1274" max="1274" width="14.453125" style="16" customWidth="1"/>
    <col min="1275" max="1275" width="7.26953125" style="16" customWidth="1"/>
    <col min="1276" max="1276" width="5.54296875" style="16" customWidth="1"/>
    <col min="1277" max="1277" width="9" style="16" customWidth="1"/>
    <col min="1278" max="1279" width="9.81640625" style="16" customWidth="1"/>
    <col min="1280" max="1280" width="11.1796875" style="16" customWidth="1"/>
    <col min="1281" max="1281" width="2.81640625" style="16" customWidth="1"/>
    <col min="1282" max="1282" width="3.54296875" style="16" customWidth="1"/>
    <col min="1283" max="1527" width="9.1796875" style="16"/>
    <col min="1528" max="1528" width="8.7265625" style="16" customWidth="1"/>
    <col min="1529" max="1529" width="9.81640625" style="16" customWidth="1"/>
    <col min="1530" max="1530" width="14.453125" style="16" customWidth="1"/>
    <col min="1531" max="1531" width="7.26953125" style="16" customWidth="1"/>
    <col min="1532" max="1532" width="5.54296875" style="16" customWidth="1"/>
    <col min="1533" max="1533" width="9" style="16" customWidth="1"/>
    <col min="1534" max="1535" width="9.81640625" style="16" customWidth="1"/>
    <col min="1536" max="1536" width="11.1796875" style="16" customWidth="1"/>
    <col min="1537" max="1537" width="2.81640625" style="16" customWidth="1"/>
    <col min="1538" max="1538" width="3.54296875" style="16" customWidth="1"/>
    <col min="1539" max="1783" width="9.1796875" style="16"/>
    <col min="1784" max="1784" width="8.7265625" style="16" customWidth="1"/>
    <col min="1785" max="1785" width="9.81640625" style="16" customWidth="1"/>
    <col min="1786" max="1786" width="14.453125" style="16" customWidth="1"/>
    <col min="1787" max="1787" width="7.26953125" style="16" customWidth="1"/>
    <col min="1788" max="1788" width="5.54296875" style="16" customWidth="1"/>
    <col min="1789" max="1789" width="9" style="16" customWidth="1"/>
    <col min="1790" max="1791" width="9.81640625" style="16" customWidth="1"/>
    <col min="1792" max="1792" width="11.1796875" style="16" customWidth="1"/>
    <col min="1793" max="1793" width="2.81640625" style="16" customWidth="1"/>
    <col min="1794" max="1794" width="3.54296875" style="16" customWidth="1"/>
    <col min="1795" max="2039" width="9.1796875" style="16"/>
    <col min="2040" max="2040" width="8.7265625" style="16" customWidth="1"/>
    <col min="2041" max="2041" width="9.81640625" style="16" customWidth="1"/>
    <col min="2042" max="2042" width="14.453125" style="16" customWidth="1"/>
    <col min="2043" max="2043" width="7.26953125" style="16" customWidth="1"/>
    <col min="2044" max="2044" width="5.54296875" style="16" customWidth="1"/>
    <col min="2045" max="2045" width="9" style="16" customWidth="1"/>
    <col min="2046" max="2047" width="9.81640625" style="16" customWidth="1"/>
    <col min="2048" max="2048" width="11.1796875" style="16" customWidth="1"/>
    <col min="2049" max="2049" width="2.81640625" style="16" customWidth="1"/>
    <col min="2050" max="2050" width="3.54296875" style="16" customWidth="1"/>
    <col min="2051" max="2295" width="9.1796875" style="16"/>
    <col min="2296" max="2296" width="8.7265625" style="16" customWidth="1"/>
    <col min="2297" max="2297" width="9.81640625" style="16" customWidth="1"/>
    <col min="2298" max="2298" width="14.453125" style="16" customWidth="1"/>
    <col min="2299" max="2299" width="7.26953125" style="16" customWidth="1"/>
    <col min="2300" max="2300" width="5.54296875" style="16" customWidth="1"/>
    <col min="2301" max="2301" width="9" style="16" customWidth="1"/>
    <col min="2302" max="2303" width="9.81640625" style="16" customWidth="1"/>
    <col min="2304" max="2304" width="11.1796875" style="16" customWidth="1"/>
    <col min="2305" max="2305" width="2.81640625" style="16" customWidth="1"/>
    <col min="2306" max="2306" width="3.54296875" style="16" customWidth="1"/>
    <col min="2307" max="2551" width="9.1796875" style="16"/>
    <col min="2552" max="2552" width="8.7265625" style="16" customWidth="1"/>
    <col min="2553" max="2553" width="9.81640625" style="16" customWidth="1"/>
    <col min="2554" max="2554" width="14.453125" style="16" customWidth="1"/>
    <col min="2555" max="2555" width="7.26953125" style="16" customWidth="1"/>
    <col min="2556" max="2556" width="5.54296875" style="16" customWidth="1"/>
    <col min="2557" max="2557" width="9" style="16" customWidth="1"/>
    <col min="2558" max="2559" width="9.81640625" style="16" customWidth="1"/>
    <col min="2560" max="2560" width="11.1796875" style="16" customWidth="1"/>
    <col min="2561" max="2561" width="2.81640625" style="16" customWidth="1"/>
    <col min="2562" max="2562" width="3.54296875" style="16" customWidth="1"/>
    <col min="2563" max="2807" width="9.1796875" style="16"/>
    <col min="2808" max="2808" width="8.7265625" style="16" customWidth="1"/>
    <col min="2809" max="2809" width="9.81640625" style="16" customWidth="1"/>
    <col min="2810" max="2810" width="14.453125" style="16" customWidth="1"/>
    <col min="2811" max="2811" width="7.26953125" style="16" customWidth="1"/>
    <col min="2812" max="2812" width="5.54296875" style="16" customWidth="1"/>
    <col min="2813" max="2813" width="9" style="16" customWidth="1"/>
    <col min="2814" max="2815" width="9.81640625" style="16" customWidth="1"/>
    <col min="2816" max="2816" width="11.1796875" style="16" customWidth="1"/>
    <col min="2817" max="2817" width="2.81640625" style="16" customWidth="1"/>
    <col min="2818" max="2818" width="3.54296875" style="16" customWidth="1"/>
    <col min="2819" max="3063" width="9.1796875" style="16"/>
    <col min="3064" max="3064" width="8.7265625" style="16" customWidth="1"/>
    <col min="3065" max="3065" width="9.81640625" style="16" customWidth="1"/>
    <col min="3066" max="3066" width="14.453125" style="16" customWidth="1"/>
    <col min="3067" max="3067" width="7.26953125" style="16" customWidth="1"/>
    <col min="3068" max="3068" width="5.54296875" style="16" customWidth="1"/>
    <col min="3069" max="3069" width="9" style="16" customWidth="1"/>
    <col min="3070" max="3071" width="9.81640625" style="16" customWidth="1"/>
    <col min="3072" max="3072" width="11.1796875" style="16" customWidth="1"/>
    <col min="3073" max="3073" width="2.81640625" style="16" customWidth="1"/>
    <col min="3074" max="3074" width="3.54296875" style="16" customWidth="1"/>
    <col min="3075" max="3319" width="9.1796875" style="16"/>
    <col min="3320" max="3320" width="8.7265625" style="16" customWidth="1"/>
    <col min="3321" max="3321" width="9.81640625" style="16" customWidth="1"/>
    <col min="3322" max="3322" width="14.453125" style="16" customWidth="1"/>
    <col min="3323" max="3323" width="7.26953125" style="16" customWidth="1"/>
    <col min="3324" max="3324" width="5.54296875" style="16" customWidth="1"/>
    <col min="3325" max="3325" width="9" style="16" customWidth="1"/>
    <col min="3326" max="3327" width="9.81640625" style="16" customWidth="1"/>
    <col min="3328" max="3328" width="11.1796875" style="16" customWidth="1"/>
    <col min="3329" max="3329" width="2.81640625" style="16" customWidth="1"/>
    <col min="3330" max="3330" width="3.54296875" style="16" customWidth="1"/>
    <col min="3331" max="3575" width="9.1796875" style="16"/>
    <col min="3576" max="3576" width="8.7265625" style="16" customWidth="1"/>
    <col min="3577" max="3577" width="9.81640625" style="16" customWidth="1"/>
    <col min="3578" max="3578" width="14.453125" style="16" customWidth="1"/>
    <col min="3579" max="3579" width="7.26953125" style="16" customWidth="1"/>
    <col min="3580" max="3580" width="5.54296875" style="16" customWidth="1"/>
    <col min="3581" max="3581" width="9" style="16" customWidth="1"/>
    <col min="3582" max="3583" width="9.81640625" style="16" customWidth="1"/>
    <col min="3584" max="3584" width="11.1796875" style="16" customWidth="1"/>
    <col min="3585" max="3585" width="2.81640625" style="16" customWidth="1"/>
    <col min="3586" max="3586" width="3.54296875" style="16" customWidth="1"/>
    <col min="3587" max="3831" width="9.1796875" style="16"/>
    <col min="3832" max="3832" width="8.7265625" style="16" customWidth="1"/>
    <col min="3833" max="3833" width="9.81640625" style="16" customWidth="1"/>
    <col min="3834" max="3834" width="14.453125" style="16" customWidth="1"/>
    <col min="3835" max="3835" width="7.26953125" style="16" customWidth="1"/>
    <col min="3836" max="3836" width="5.54296875" style="16" customWidth="1"/>
    <col min="3837" max="3837" width="9" style="16" customWidth="1"/>
    <col min="3838" max="3839" width="9.81640625" style="16" customWidth="1"/>
    <col min="3840" max="3840" width="11.1796875" style="16" customWidth="1"/>
    <col min="3841" max="3841" width="2.81640625" style="16" customWidth="1"/>
    <col min="3842" max="3842" width="3.54296875" style="16" customWidth="1"/>
    <col min="3843" max="4087" width="9.1796875" style="16"/>
    <col min="4088" max="4088" width="8.7265625" style="16" customWidth="1"/>
    <col min="4089" max="4089" width="9.81640625" style="16" customWidth="1"/>
    <col min="4090" max="4090" width="14.453125" style="16" customWidth="1"/>
    <col min="4091" max="4091" width="7.26953125" style="16" customWidth="1"/>
    <col min="4092" max="4092" width="5.54296875" style="16" customWidth="1"/>
    <col min="4093" max="4093" width="9" style="16" customWidth="1"/>
    <col min="4094" max="4095" width="9.81640625" style="16" customWidth="1"/>
    <col min="4096" max="4096" width="11.1796875" style="16" customWidth="1"/>
    <col min="4097" max="4097" width="2.81640625" style="16" customWidth="1"/>
    <col min="4098" max="4098" width="3.54296875" style="16" customWidth="1"/>
    <col min="4099" max="4343" width="9.1796875" style="16"/>
    <col min="4344" max="4344" width="8.7265625" style="16" customWidth="1"/>
    <col min="4345" max="4345" width="9.81640625" style="16" customWidth="1"/>
    <col min="4346" max="4346" width="14.453125" style="16" customWidth="1"/>
    <col min="4347" max="4347" width="7.26953125" style="16" customWidth="1"/>
    <col min="4348" max="4348" width="5.54296875" style="16" customWidth="1"/>
    <col min="4349" max="4349" width="9" style="16" customWidth="1"/>
    <col min="4350" max="4351" width="9.81640625" style="16" customWidth="1"/>
    <col min="4352" max="4352" width="11.1796875" style="16" customWidth="1"/>
    <col min="4353" max="4353" width="2.81640625" style="16" customWidth="1"/>
    <col min="4354" max="4354" width="3.54296875" style="16" customWidth="1"/>
    <col min="4355" max="4599" width="9.1796875" style="16"/>
    <col min="4600" max="4600" width="8.7265625" style="16" customWidth="1"/>
    <col min="4601" max="4601" width="9.81640625" style="16" customWidth="1"/>
    <col min="4602" max="4602" width="14.453125" style="16" customWidth="1"/>
    <col min="4603" max="4603" width="7.26953125" style="16" customWidth="1"/>
    <col min="4604" max="4604" width="5.54296875" style="16" customWidth="1"/>
    <col min="4605" max="4605" width="9" style="16" customWidth="1"/>
    <col min="4606" max="4607" width="9.81640625" style="16" customWidth="1"/>
    <col min="4608" max="4608" width="11.1796875" style="16" customWidth="1"/>
    <col min="4609" max="4609" width="2.81640625" style="16" customWidth="1"/>
    <col min="4610" max="4610" width="3.54296875" style="16" customWidth="1"/>
    <col min="4611" max="4855" width="9.1796875" style="16"/>
    <col min="4856" max="4856" width="8.7265625" style="16" customWidth="1"/>
    <col min="4857" max="4857" width="9.81640625" style="16" customWidth="1"/>
    <col min="4858" max="4858" width="14.453125" style="16" customWidth="1"/>
    <col min="4859" max="4859" width="7.26953125" style="16" customWidth="1"/>
    <col min="4860" max="4860" width="5.54296875" style="16" customWidth="1"/>
    <col min="4861" max="4861" width="9" style="16" customWidth="1"/>
    <col min="4862" max="4863" width="9.81640625" style="16" customWidth="1"/>
    <col min="4864" max="4864" width="11.1796875" style="16" customWidth="1"/>
    <col min="4865" max="4865" width="2.81640625" style="16" customWidth="1"/>
    <col min="4866" max="4866" width="3.54296875" style="16" customWidth="1"/>
    <col min="4867" max="5111" width="9.1796875" style="16"/>
    <col min="5112" max="5112" width="8.7265625" style="16" customWidth="1"/>
    <col min="5113" max="5113" width="9.81640625" style="16" customWidth="1"/>
    <col min="5114" max="5114" width="14.453125" style="16" customWidth="1"/>
    <col min="5115" max="5115" width="7.26953125" style="16" customWidth="1"/>
    <col min="5116" max="5116" width="5.54296875" style="16" customWidth="1"/>
    <col min="5117" max="5117" width="9" style="16" customWidth="1"/>
    <col min="5118" max="5119" width="9.81640625" style="16" customWidth="1"/>
    <col min="5120" max="5120" width="11.1796875" style="16" customWidth="1"/>
    <col min="5121" max="5121" width="2.81640625" style="16" customWidth="1"/>
    <col min="5122" max="5122" width="3.54296875" style="16" customWidth="1"/>
    <col min="5123" max="5367" width="9.1796875" style="16"/>
    <col min="5368" max="5368" width="8.7265625" style="16" customWidth="1"/>
    <col min="5369" max="5369" width="9.81640625" style="16" customWidth="1"/>
    <col min="5370" max="5370" width="14.453125" style="16" customWidth="1"/>
    <col min="5371" max="5371" width="7.26953125" style="16" customWidth="1"/>
    <col min="5372" max="5372" width="5.54296875" style="16" customWidth="1"/>
    <col min="5373" max="5373" width="9" style="16" customWidth="1"/>
    <col min="5374" max="5375" width="9.81640625" style="16" customWidth="1"/>
    <col min="5376" max="5376" width="11.1796875" style="16" customWidth="1"/>
    <col min="5377" max="5377" width="2.81640625" style="16" customWidth="1"/>
    <col min="5378" max="5378" width="3.54296875" style="16" customWidth="1"/>
    <col min="5379" max="5623" width="9.1796875" style="16"/>
    <col min="5624" max="5624" width="8.7265625" style="16" customWidth="1"/>
    <col min="5625" max="5625" width="9.81640625" style="16" customWidth="1"/>
    <col min="5626" max="5626" width="14.453125" style="16" customWidth="1"/>
    <col min="5627" max="5627" width="7.26953125" style="16" customWidth="1"/>
    <col min="5628" max="5628" width="5.54296875" style="16" customWidth="1"/>
    <col min="5629" max="5629" width="9" style="16" customWidth="1"/>
    <col min="5630" max="5631" width="9.81640625" style="16" customWidth="1"/>
    <col min="5632" max="5632" width="11.1796875" style="16" customWidth="1"/>
    <col min="5633" max="5633" width="2.81640625" style="16" customWidth="1"/>
    <col min="5634" max="5634" width="3.54296875" style="16" customWidth="1"/>
    <col min="5635" max="5879" width="9.1796875" style="16"/>
    <col min="5880" max="5880" width="8.7265625" style="16" customWidth="1"/>
    <col min="5881" max="5881" width="9.81640625" style="16" customWidth="1"/>
    <col min="5882" max="5882" width="14.453125" style="16" customWidth="1"/>
    <col min="5883" max="5883" width="7.26953125" style="16" customWidth="1"/>
    <col min="5884" max="5884" width="5.54296875" style="16" customWidth="1"/>
    <col min="5885" max="5885" width="9" style="16" customWidth="1"/>
    <col min="5886" max="5887" width="9.81640625" style="16" customWidth="1"/>
    <col min="5888" max="5888" width="11.1796875" style="16" customWidth="1"/>
    <col min="5889" max="5889" width="2.81640625" style="16" customWidth="1"/>
    <col min="5890" max="5890" width="3.54296875" style="16" customWidth="1"/>
    <col min="5891" max="6135" width="9.1796875" style="16"/>
    <col min="6136" max="6136" width="8.7265625" style="16" customWidth="1"/>
    <col min="6137" max="6137" width="9.81640625" style="16" customWidth="1"/>
    <col min="6138" max="6138" width="14.453125" style="16" customWidth="1"/>
    <col min="6139" max="6139" width="7.26953125" style="16" customWidth="1"/>
    <col min="6140" max="6140" width="5.54296875" style="16" customWidth="1"/>
    <col min="6141" max="6141" width="9" style="16" customWidth="1"/>
    <col min="6142" max="6143" width="9.81640625" style="16" customWidth="1"/>
    <col min="6144" max="6144" width="11.1796875" style="16" customWidth="1"/>
    <col min="6145" max="6145" width="2.81640625" style="16" customWidth="1"/>
    <col min="6146" max="6146" width="3.54296875" style="16" customWidth="1"/>
    <col min="6147" max="6391" width="9.1796875" style="16"/>
    <col min="6392" max="6392" width="8.7265625" style="16" customWidth="1"/>
    <col min="6393" max="6393" width="9.81640625" style="16" customWidth="1"/>
    <col min="6394" max="6394" width="14.453125" style="16" customWidth="1"/>
    <col min="6395" max="6395" width="7.26953125" style="16" customWidth="1"/>
    <col min="6396" max="6396" width="5.54296875" style="16" customWidth="1"/>
    <col min="6397" max="6397" width="9" style="16" customWidth="1"/>
    <col min="6398" max="6399" width="9.81640625" style="16" customWidth="1"/>
    <col min="6400" max="6400" width="11.1796875" style="16" customWidth="1"/>
    <col min="6401" max="6401" width="2.81640625" style="16" customWidth="1"/>
    <col min="6402" max="6402" width="3.54296875" style="16" customWidth="1"/>
    <col min="6403" max="6647" width="9.1796875" style="16"/>
    <col min="6648" max="6648" width="8.7265625" style="16" customWidth="1"/>
    <col min="6649" max="6649" width="9.81640625" style="16" customWidth="1"/>
    <col min="6650" max="6650" width="14.453125" style="16" customWidth="1"/>
    <col min="6651" max="6651" width="7.26953125" style="16" customWidth="1"/>
    <col min="6652" max="6652" width="5.54296875" style="16" customWidth="1"/>
    <col min="6653" max="6653" width="9" style="16" customWidth="1"/>
    <col min="6654" max="6655" width="9.81640625" style="16" customWidth="1"/>
    <col min="6656" max="6656" width="11.1796875" style="16" customWidth="1"/>
    <col min="6657" max="6657" width="2.81640625" style="16" customWidth="1"/>
    <col min="6658" max="6658" width="3.54296875" style="16" customWidth="1"/>
    <col min="6659" max="6903" width="9.1796875" style="16"/>
    <col min="6904" max="6904" width="8.7265625" style="16" customWidth="1"/>
    <col min="6905" max="6905" width="9.81640625" style="16" customWidth="1"/>
    <col min="6906" max="6906" width="14.453125" style="16" customWidth="1"/>
    <col min="6907" max="6907" width="7.26953125" style="16" customWidth="1"/>
    <col min="6908" max="6908" width="5.54296875" style="16" customWidth="1"/>
    <col min="6909" max="6909" width="9" style="16" customWidth="1"/>
    <col min="6910" max="6911" width="9.81640625" style="16" customWidth="1"/>
    <col min="6912" max="6912" width="11.1796875" style="16" customWidth="1"/>
    <col min="6913" max="6913" width="2.81640625" style="16" customWidth="1"/>
    <col min="6914" max="6914" width="3.54296875" style="16" customWidth="1"/>
    <col min="6915" max="7159" width="9.1796875" style="16"/>
    <col min="7160" max="7160" width="8.7265625" style="16" customWidth="1"/>
    <col min="7161" max="7161" width="9.81640625" style="16" customWidth="1"/>
    <col min="7162" max="7162" width="14.453125" style="16" customWidth="1"/>
    <col min="7163" max="7163" width="7.26953125" style="16" customWidth="1"/>
    <col min="7164" max="7164" width="5.54296875" style="16" customWidth="1"/>
    <col min="7165" max="7165" width="9" style="16" customWidth="1"/>
    <col min="7166" max="7167" width="9.81640625" style="16" customWidth="1"/>
    <col min="7168" max="7168" width="11.1796875" style="16" customWidth="1"/>
    <col min="7169" max="7169" width="2.81640625" style="16" customWidth="1"/>
    <col min="7170" max="7170" width="3.54296875" style="16" customWidth="1"/>
    <col min="7171" max="7415" width="9.1796875" style="16"/>
    <col min="7416" max="7416" width="8.7265625" style="16" customWidth="1"/>
    <col min="7417" max="7417" width="9.81640625" style="16" customWidth="1"/>
    <col min="7418" max="7418" width="14.453125" style="16" customWidth="1"/>
    <col min="7419" max="7419" width="7.26953125" style="16" customWidth="1"/>
    <col min="7420" max="7420" width="5.54296875" style="16" customWidth="1"/>
    <col min="7421" max="7421" width="9" style="16" customWidth="1"/>
    <col min="7422" max="7423" width="9.81640625" style="16" customWidth="1"/>
    <col min="7424" max="7424" width="11.1796875" style="16" customWidth="1"/>
    <col min="7425" max="7425" width="2.81640625" style="16" customWidth="1"/>
    <col min="7426" max="7426" width="3.54296875" style="16" customWidth="1"/>
    <col min="7427" max="7671" width="9.1796875" style="16"/>
    <col min="7672" max="7672" width="8.7265625" style="16" customWidth="1"/>
    <col min="7673" max="7673" width="9.81640625" style="16" customWidth="1"/>
    <col min="7674" max="7674" width="14.453125" style="16" customWidth="1"/>
    <col min="7675" max="7675" width="7.26953125" style="16" customWidth="1"/>
    <col min="7676" max="7676" width="5.54296875" style="16" customWidth="1"/>
    <col min="7677" max="7677" width="9" style="16" customWidth="1"/>
    <col min="7678" max="7679" width="9.81640625" style="16" customWidth="1"/>
    <col min="7680" max="7680" width="11.1796875" style="16" customWidth="1"/>
    <col min="7681" max="7681" width="2.81640625" style="16" customWidth="1"/>
    <col min="7682" max="7682" width="3.54296875" style="16" customWidth="1"/>
    <col min="7683" max="7927" width="9.1796875" style="16"/>
    <col min="7928" max="7928" width="8.7265625" style="16" customWidth="1"/>
    <col min="7929" max="7929" width="9.81640625" style="16" customWidth="1"/>
    <col min="7930" max="7930" width="14.453125" style="16" customWidth="1"/>
    <col min="7931" max="7931" width="7.26953125" style="16" customWidth="1"/>
    <col min="7932" max="7932" width="5.54296875" style="16" customWidth="1"/>
    <col min="7933" max="7933" width="9" style="16" customWidth="1"/>
    <col min="7934" max="7935" width="9.81640625" style="16" customWidth="1"/>
    <col min="7936" max="7936" width="11.1796875" style="16" customWidth="1"/>
    <col min="7937" max="7937" width="2.81640625" style="16" customWidth="1"/>
    <col min="7938" max="7938" width="3.54296875" style="16" customWidth="1"/>
    <col min="7939" max="8183" width="9.1796875" style="16"/>
    <col min="8184" max="8184" width="8.7265625" style="16" customWidth="1"/>
    <col min="8185" max="8185" width="9.81640625" style="16" customWidth="1"/>
    <col min="8186" max="8186" width="14.453125" style="16" customWidth="1"/>
    <col min="8187" max="8187" width="7.26953125" style="16" customWidth="1"/>
    <col min="8188" max="8188" width="5.54296875" style="16" customWidth="1"/>
    <col min="8189" max="8189" width="9" style="16" customWidth="1"/>
    <col min="8190" max="8191" width="9.81640625" style="16" customWidth="1"/>
    <col min="8192" max="8192" width="11.1796875" style="16" customWidth="1"/>
    <col min="8193" max="8193" width="2.81640625" style="16" customWidth="1"/>
    <col min="8194" max="8194" width="3.54296875" style="16" customWidth="1"/>
    <col min="8195" max="8439" width="9.1796875" style="16"/>
    <col min="8440" max="8440" width="8.7265625" style="16" customWidth="1"/>
    <col min="8441" max="8441" width="9.81640625" style="16" customWidth="1"/>
    <col min="8442" max="8442" width="14.453125" style="16" customWidth="1"/>
    <col min="8443" max="8443" width="7.26953125" style="16" customWidth="1"/>
    <col min="8444" max="8444" width="5.54296875" style="16" customWidth="1"/>
    <col min="8445" max="8445" width="9" style="16" customWidth="1"/>
    <col min="8446" max="8447" width="9.81640625" style="16" customWidth="1"/>
    <col min="8448" max="8448" width="11.1796875" style="16" customWidth="1"/>
    <col min="8449" max="8449" width="2.81640625" style="16" customWidth="1"/>
    <col min="8450" max="8450" width="3.54296875" style="16" customWidth="1"/>
    <col min="8451" max="8695" width="9.1796875" style="16"/>
    <col min="8696" max="8696" width="8.7265625" style="16" customWidth="1"/>
    <col min="8697" max="8697" width="9.81640625" style="16" customWidth="1"/>
    <col min="8698" max="8698" width="14.453125" style="16" customWidth="1"/>
    <col min="8699" max="8699" width="7.26953125" style="16" customWidth="1"/>
    <col min="8700" max="8700" width="5.54296875" style="16" customWidth="1"/>
    <col min="8701" max="8701" width="9" style="16" customWidth="1"/>
    <col min="8702" max="8703" width="9.81640625" style="16" customWidth="1"/>
    <col min="8704" max="8704" width="11.1796875" style="16" customWidth="1"/>
    <col min="8705" max="8705" width="2.81640625" style="16" customWidth="1"/>
    <col min="8706" max="8706" width="3.54296875" style="16" customWidth="1"/>
    <col min="8707" max="8951" width="9.1796875" style="16"/>
    <col min="8952" max="8952" width="8.7265625" style="16" customWidth="1"/>
    <col min="8953" max="8953" width="9.81640625" style="16" customWidth="1"/>
    <col min="8954" max="8954" width="14.453125" style="16" customWidth="1"/>
    <col min="8955" max="8955" width="7.26953125" style="16" customWidth="1"/>
    <col min="8956" max="8956" width="5.54296875" style="16" customWidth="1"/>
    <col min="8957" max="8957" width="9" style="16" customWidth="1"/>
    <col min="8958" max="8959" width="9.81640625" style="16" customWidth="1"/>
    <col min="8960" max="8960" width="11.1796875" style="16" customWidth="1"/>
    <col min="8961" max="8961" width="2.81640625" style="16" customWidth="1"/>
    <col min="8962" max="8962" width="3.54296875" style="16" customWidth="1"/>
    <col min="8963" max="9207" width="9.1796875" style="16"/>
    <col min="9208" max="9208" width="8.7265625" style="16" customWidth="1"/>
    <col min="9209" max="9209" width="9.81640625" style="16" customWidth="1"/>
    <col min="9210" max="9210" width="14.453125" style="16" customWidth="1"/>
    <col min="9211" max="9211" width="7.26953125" style="16" customWidth="1"/>
    <col min="9212" max="9212" width="5.54296875" style="16" customWidth="1"/>
    <col min="9213" max="9213" width="9" style="16" customWidth="1"/>
    <col min="9214" max="9215" width="9.81640625" style="16" customWidth="1"/>
    <col min="9216" max="9216" width="11.1796875" style="16" customWidth="1"/>
    <col min="9217" max="9217" width="2.81640625" style="16" customWidth="1"/>
    <col min="9218" max="9218" width="3.54296875" style="16" customWidth="1"/>
    <col min="9219" max="9463" width="9.1796875" style="16"/>
    <col min="9464" max="9464" width="8.7265625" style="16" customWidth="1"/>
    <col min="9465" max="9465" width="9.81640625" style="16" customWidth="1"/>
    <col min="9466" max="9466" width="14.453125" style="16" customWidth="1"/>
    <col min="9467" max="9467" width="7.26953125" style="16" customWidth="1"/>
    <col min="9468" max="9468" width="5.54296875" style="16" customWidth="1"/>
    <col min="9469" max="9469" width="9" style="16" customWidth="1"/>
    <col min="9470" max="9471" width="9.81640625" style="16" customWidth="1"/>
    <col min="9472" max="9472" width="11.1796875" style="16" customWidth="1"/>
    <col min="9473" max="9473" width="2.81640625" style="16" customWidth="1"/>
    <col min="9474" max="9474" width="3.54296875" style="16" customWidth="1"/>
    <col min="9475" max="9719" width="9.1796875" style="16"/>
    <col min="9720" max="9720" width="8.7265625" style="16" customWidth="1"/>
    <col min="9721" max="9721" width="9.81640625" style="16" customWidth="1"/>
    <col min="9722" max="9722" width="14.453125" style="16" customWidth="1"/>
    <col min="9723" max="9723" width="7.26953125" style="16" customWidth="1"/>
    <col min="9724" max="9724" width="5.54296875" style="16" customWidth="1"/>
    <col min="9725" max="9725" width="9" style="16" customWidth="1"/>
    <col min="9726" max="9727" width="9.81640625" style="16" customWidth="1"/>
    <col min="9728" max="9728" width="11.1796875" style="16" customWidth="1"/>
    <col min="9729" max="9729" width="2.81640625" style="16" customWidth="1"/>
    <col min="9730" max="9730" width="3.54296875" style="16" customWidth="1"/>
    <col min="9731" max="9975" width="9.1796875" style="16"/>
    <col min="9976" max="9976" width="8.7265625" style="16" customWidth="1"/>
    <col min="9977" max="9977" width="9.81640625" style="16" customWidth="1"/>
    <col min="9978" max="9978" width="14.453125" style="16" customWidth="1"/>
    <col min="9979" max="9979" width="7.26953125" style="16" customWidth="1"/>
    <col min="9980" max="9980" width="5.54296875" style="16" customWidth="1"/>
    <col min="9981" max="9981" width="9" style="16" customWidth="1"/>
    <col min="9982" max="9983" width="9.81640625" style="16" customWidth="1"/>
    <col min="9984" max="9984" width="11.1796875" style="16" customWidth="1"/>
    <col min="9985" max="9985" width="2.81640625" style="16" customWidth="1"/>
    <col min="9986" max="9986" width="3.54296875" style="16" customWidth="1"/>
    <col min="9987" max="10231" width="9.1796875" style="16"/>
    <col min="10232" max="10232" width="8.7265625" style="16" customWidth="1"/>
    <col min="10233" max="10233" width="9.81640625" style="16" customWidth="1"/>
    <col min="10234" max="10234" width="14.453125" style="16" customWidth="1"/>
    <col min="10235" max="10235" width="7.26953125" style="16" customWidth="1"/>
    <col min="10236" max="10236" width="5.54296875" style="16" customWidth="1"/>
    <col min="10237" max="10237" width="9" style="16" customWidth="1"/>
    <col min="10238" max="10239" width="9.81640625" style="16" customWidth="1"/>
    <col min="10240" max="10240" width="11.1796875" style="16" customWidth="1"/>
    <col min="10241" max="10241" width="2.81640625" style="16" customWidth="1"/>
    <col min="10242" max="10242" width="3.54296875" style="16" customWidth="1"/>
    <col min="10243" max="10487" width="9.1796875" style="16"/>
    <col min="10488" max="10488" width="8.7265625" style="16" customWidth="1"/>
    <col min="10489" max="10489" width="9.81640625" style="16" customWidth="1"/>
    <col min="10490" max="10490" width="14.453125" style="16" customWidth="1"/>
    <col min="10491" max="10491" width="7.26953125" style="16" customWidth="1"/>
    <col min="10492" max="10492" width="5.54296875" style="16" customWidth="1"/>
    <col min="10493" max="10493" width="9" style="16" customWidth="1"/>
    <col min="10494" max="10495" width="9.81640625" style="16" customWidth="1"/>
    <col min="10496" max="10496" width="11.1796875" style="16" customWidth="1"/>
    <col min="10497" max="10497" width="2.81640625" style="16" customWidth="1"/>
    <col min="10498" max="10498" width="3.54296875" style="16" customWidth="1"/>
    <col min="10499" max="10743" width="9.1796875" style="16"/>
    <col min="10744" max="10744" width="8.7265625" style="16" customWidth="1"/>
    <col min="10745" max="10745" width="9.81640625" style="16" customWidth="1"/>
    <col min="10746" max="10746" width="14.453125" style="16" customWidth="1"/>
    <col min="10747" max="10747" width="7.26953125" style="16" customWidth="1"/>
    <col min="10748" max="10748" width="5.54296875" style="16" customWidth="1"/>
    <col min="10749" max="10749" width="9" style="16" customWidth="1"/>
    <col min="10750" max="10751" width="9.81640625" style="16" customWidth="1"/>
    <col min="10752" max="10752" width="11.1796875" style="16" customWidth="1"/>
    <col min="10753" max="10753" width="2.81640625" style="16" customWidth="1"/>
    <col min="10754" max="10754" width="3.54296875" style="16" customWidth="1"/>
    <col min="10755" max="10999" width="9.1796875" style="16"/>
    <col min="11000" max="11000" width="8.7265625" style="16" customWidth="1"/>
    <col min="11001" max="11001" width="9.81640625" style="16" customWidth="1"/>
    <col min="11002" max="11002" width="14.453125" style="16" customWidth="1"/>
    <col min="11003" max="11003" width="7.26953125" style="16" customWidth="1"/>
    <col min="11004" max="11004" width="5.54296875" style="16" customWidth="1"/>
    <col min="11005" max="11005" width="9" style="16" customWidth="1"/>
    <col min="11006" max="11007" width="9.81640625" style="16" customWidth="1"/>
    <col min="11008" max="11008" width="11.1796875" style="16" customWidth="1"/>
    <col min="11009" max="11009" width="2.81640625" style="16" customWidth="1"/>
    <col min="11010" max="11010" width="3.54296875" style="16" customWidth="1"/>
    <col min="11011" max="11255" width="9.1796875" style="16"/>
    <col min="11256" max="11256" width="8.7265625" style="16" customWidth="1"/>
    <col min="11257" max="11257" width="9.81640625" style="16" customWidth="1"/>
    <col min="11258" max="11258" width="14.453125" style="16" customWidth="1"/>
    <col min="11259" max="11259" width="7.26953125" style="16" customWidth="1"/>
    <col min="11260" max="11260" width="5.54296875" style="16" customWidth="1"/>
    <col min="11261" max="11261" width="9" style="16" customWidth="1"/>
    <col min="11262" max="11263" width="9.81640625" style="16" customWidth="1"/>
    <col min="11264" max="11264" width="11.1796875" style="16" customWidth="1"/>
    <col min="11265" max="11265" width="2.81640625" style="16" customWidth="1"/>
    <col min="11266" max="11266" width="3.54296875" style="16" customWidth="1"/>
    <col min="11267" max="11511" width="9.1796875" style="16"/>
    <col min="11512" max="11512" width="8.7265625" style="16" customWidth="1"/>
    <col min="11513" max="11513" width="9.81640625" style="16" customWidth="1"/>
    <col min="11514" max="11514" width="14.453125" style="16" customWidth="1"/>
    <col min="11515" max="11515" width="7.26953125" style="16" customWidth="1"/>
    <col min="11516" max="11516" width="5.54296875" style="16" customWidth="1"/>
    <col min="11517" max="11517" width="9" style="16" customWidth="1"/>
    <col min="11518" max="11519" width="9.81640625" style="16" customWidth="1"/>
    <col min="11520" max="11520" width="11.1796875" style="16" customWidth="1"/>
    <col min="11521" max="11521" width="2.81640625" style="16" customWidth="1"/>
    <col min="11522" max="11522" width="3.54296875" style="16" customWidth="1"/>
    <col min="11523" max="11767" width="9.1796875" style="16"/>
    <col min="11768" max="11768" width="8.7265625" style="16" customWidth="1"/>
    <col min="11769" max="11769" width="9.81640625" style="16" customWidth="1"/>
    <col min="11770" max="11770" width="14.453125" style="16" customWidth="1"/>
    <col min="11771" max="11771" width="7.26953125" style="16" customWidth="1"/>
    <col min="11772" max="11772" width="5.54296875" style="16" customWidth="1"/>
    <col min="11773" max="11773" width="9" style="16" customWidth="1"/>
    <col min="11774" max="11775" width="9.81640625" style="16" customWidth="1"/>
    <col min="11776" max="11776" width="11.1796875" style="16" customWidth="1"/>
    <col min="11777" max="11777" width="2.81640625" style="16" customWidth="1"/>
    <col min="11778" max="11778" width="3.54296875" style="16" customWidth="1"/>
    <col min="11779" max="12023" width="9.1796875" style="16"/>
    <col min="12024" max="12024" width="8.7265625" style="16" customWidth="1"/>
    <col min="12025" max="12025" width="9.81640625" style="16" customWidth="1"/>
    <col min="12026" max="12026" width="14.453125" style="16" customWidth="1"/>
    <col min="12027" max="12027" width="7.26953125" style="16" customWidth="1"/>
    <col min="12028" max="12028" width="5.54296875" style="16" customWidth="1"/>
    <col min="12029" max="12029" width="9" style="16" customWidth="1"/>
    <col min="12030" max="12031" width="9.81640625" style="16" customWidth="1"/>
    <col min="12032" max="12032" width="11.1796875" style="16" customWidth="1"/>
    <col min="12033" max="12033" width="2.81640625" style="16" customWidth="1"/>
    <col min="12034" max="12034" width="3.54296875" style="16" customWidth="1"/>
    <col min="12035" max="12279" width="9.1796875" style="16"/>
    <col min="12280" max="12280" width="8.7265625" style="16" customWidth="1"/>
    <col min="12281" max="12281" width="9.81640625" style="16" customWidth="1"/>
    <col min="12282" max="12282" width="14.453125" style="16" customWidth="1"/>
    <col min="12283" max="12283" width="7.26953125" style="16" customWidth="1"/>
    <col min="12284" max="12284" width="5.54296875" style="16" customWidth="1"/>
    <col min="12285" max="12285" width="9" style="16" customWidth="1"/>
    <col min="12286" max="12287" width="9.81640625" style="16" customWidth="1"/>
    <col min="12288" max="12288" width="11.1796875" style="16" customWidth="1"/>
    <col min="12289" max="12289" width="2.81640625" style="16" customWidth="1"/>
    <col min="12290" max="12290" width="3.54296875" style="16" customWidth="1"/>
    <col min="12291" max="12535" width="9.1796875" style="16"/>
    <col min="12536" max="12536" width="8.7265625" style="16" customWidth="1"/>
    <col min="12537" max="12537" width="9.81640625" style="16" customWidth="1"/>
    <col min="12538" max="12538" width="14.453125" style="16" customWidth="1"/>
    <col min="12539" max="12539" width="7.26953125" style="16" customWidth="1"/>
    <col min="12540" max="12540" width="5.54296875" style="16" customWidth="1"/>
    <col min="12541" max="12541" width="9" style="16" customWidth="1"/>
    <col min="12542" max="12543" width="9.81640625" style="16" customWidth="1"/>
    <col min="12544" max="12544" width="11.1796875" style="16" customWidth="1"/>
    <col min="12545" max="12545" width="2.81640625" style="16" customWidth="1"/>
    <col min="12546" max="12546" width="3.54296875" style="16" customWidth="1"/>
    <col min="12547" max="12791" width="9.1796875" style="16"/>
    <col min="12792" max="12792" width="8.7265625" style="16" customWidth="1"/>
    <col min="12793" max="12793" width="9.81640625" style="16" customWidth="1"/>
    <col min="12794" max="12794" width="14.453125" style="16" customWidth="1"/>
    <col min="12795" max="12795" width="7.26953125" style="16" customWidth="1"/>
    <col min="12796" max="12796" width="5.54296875" style="16" customWidth="1"/>
    <col min="12797" max="12797" width="9" style="16" customWidth="1"/>
    <col min="12798" max="12799" width="9.81640625" style="16" customWidth="1"/>
    <col min="12800" max="12800" width="11.1796875" style="16" customWidth="1"/>
    <col min="12801" max="12801" width="2.81640625" style="16" customWidth="1"/>
    <col min="12802" max="12802" width="3.54296875" style="16" customWidth="1"/>
    <col min="12803" max="13047" width="9.1796875" style="16"/>
    <col min="13048" max="13048" width="8.7265625" style="16" customWidth="1"/>
    <col min="13049" max="13049" width="9.81640625" style="16" customWidth="1"/>
    <col min="13050" max="13050" width="14.453125" style="16" customWidth="1"/>
    <col min="13051" max="13051" width="7.26953125" style="16" customWidth="1"/>
    <col min="13052" max="13052" width="5.54296875" style="16" customWidth="1"/>
    <col min="13053" max="13053" width="9" style="16" customWidth="1"/>
    <col min="13054" max="13055" width="9.81640625" style="16" customWidth="1"/>
    <col min="13056" max="13056" width="11.1796875" style="16" customWidth="1"/>
    <col min="13057" max="13057" width="2.81640625" style="16" customWidth="1"/>
    <col min="13058" max="13058" width="3.54296875" style="16" customWidth="1"/>
    <col min="13059" max="13303" width="9.1796875" style="16"/>
    <col min="13304" max="13304" width="8.7265625" style="16" customWidth="1"/>
    <col min="13305" max="13305" width="9.81640625" style="16" customWidth="1"/>
    <col min="13306" max="13306" width="14.453125" style="16" customWidth="1"/>
    <col min="13307" max="13307" width="7.26953125" style="16" customWidth="1"/>
    <col min="13308" max="13308" width="5.54296875" style="16" customWidth="1"/>
    <col min="13309" max="13309" width="9" style="16" customWidth="1"/>
    <col min="13310" max="13311" width="9.81640625" style="16" customWidth="1"/>
    <col min="13312" max="13312" width="11.1796875" style="16" customWidth="1"/>
    <col min="13313" max="13313" width="2.81640625" style="16" customWidth="1"/>
    <col min="13314" max="13314" width="3.54296875" style="16" customWidth="1"/>
    <col min="13315" max="13559" width="9.1796875" style="16"/>
    <col min="13560" max="13560" width="8.7265625" style="16" customWidth="1"/>
    <col min="13561" max="13561" width="9.81640625" style="16" customWidth="1"/>
    <col min="13562" max="13562" width="14.453125" style="16" customWidth="1"/>
    <col min="13563" max="13563" width="7.26953125" style="16" customWidth="1"/>
    <col min="13564" max="13564" width="5.54296875" style="16" customWidth="1"/>
    <col min="13565" max="13565" width="9" style="16" customWidth="1"/>
    <col min="13566" max="13567" width="9.81640625" style="16" customWidth="1"/>
    <col min="13568" max="13568" width="11.1796875" style="16" customWidth="1"/>
    <col min="13569" max="13569" width="2.81640625" style="16" customWidth="1"/>
    <col min="13570" max="13570" width="3.54296875" style="16" customWidth="1"/>
    <col min="13571" max="13815" width="9.1796875" style="16"/>
    <col min="13816" max="13816" width="8.7265625" style="16" customWidth="1"/>
    <col min="13817" max="13817" width="9.81640625" style="16" customWidth="1"/>
    <col min="13818" max="13818" width="14.453125" style="16" customWidth="1"/>
    <col min="13819" max="13819" width="7.26953125" style="16" customWidth="1"/>
    <col min="13820" max="13820" width="5.54296875" style="16" customWidth="1"/>
    <col min="13821" max="13821" width="9" style="16" customWidth="1"/>
    <col min="13822" max="13823" width="9.81640625" style="16" customWidth="1"/>
    <col min="13824" max="13824" width="11.1796875" style="16" customWidth="1"/>
    <col min="13825" max="13825" width="2.81640625" style="16" customWidth="1"/>
    <col min="13826" max="13826" width="3.54296875" style="16" customWidth="1"/>
    <col min="13827" max="14071" width="9.1796875" style="16"/>
    <col min="14072" max="14072" width="8.7265625" style="16" customWidth="1"/>
    <col min="14073" max="14073" width="9.81640625" style="16" customWidth="1"/>
    <col min="14074" max="14074" width="14.453125" style="16" customWidth="1"/>
    <col min="14075" max="14075" width="7.26953125" style="16" customWidth="1"/>
    <col min="14076" max="14076" width="5.54296875" style="16" customWidth="1"/>
    <col min="14077" max="14077" width="9" style="16" customWidth="1"/>
    <col min="14078" max="14079" width="9.81640625" style="16" customWidth="1"/>
    <col min="14080" max="14080" width="11.1796875" style="16" customWidth="1"/>
    <col min="14081" max="14081" width="2.81640625" style="16" customWidth="1"/>
    <col min="14082" max="14082" width="3.54296875" style="16" customWidth="1"/>
    <col min="14083" max="14327" width="9.1796875" style="16"/>
    <col min="14328" max="14328" width="8.7265625" style="16" customWidth="1"/>
    <col min="14329" max="14329" width="9.81640625" style="16" customWidth="1"/>
    <col min="14330" max="14330" width="14.453125" style="16" customWidth="1"/>
    <col min="14331" max="14331" width="7.26953125" style="16" customWidth="1"/>
    <col min="14332" max="14332" width="5.54296875" style="16" customWidth="1"/>
    <col min="14333" max="14333" width="9" style="16" customWidth="1"/>
    <col min="14334" max="14335" width="9.81640625" style="16" customWidth="1"/>
    <col min="14336" max="14336" width="11.1796875" style="16" customWidth="1"/>
    <col min="14337" max="14337" width="2.81640625" style="16" customWidth="1"/>
    <col min="14338" max="14338" width="3.54296875" style="16" customWidth="1"/>
    <col min="14339" max="14583" width="9.1796875" style="16"/>
    <col min="14584" max="14584" width="8.7265625" style="16" customWidth="1"/>
    <col min="14585" max="14585" width="9.81640625" style="16" customWidth="1"/>
    <col min="14586" max="14586" width="14.453125" style="16" customWidth="1"/>
    <col min="14587" max="14587" width="7.26953125" style="16" customWidth="1"/>
    <col min="14588" max="14588" width="5.54296875" style="16" customWidth="1"/>
    <col min="14589" max="14589" width="9" style="16" customWidth="1"/>
    <col min="14590" max="14591" width="9.81640625" style="16" customWidth="1"/>
    <col min="14592" max="14592" width="11.1796875" style="16" customWidth="1"/>
    <col min="14593" max="14593" width="2.81640625" style="16" customWidth="1"/>
    <col min="14594" max="14594" width="3.54296875" style="16" customWidth="1"/>
    <col min="14595" max="14839" width="9.1796875" style="16"/>
    <col min="14840" max="14840" width="8.7265625" style="16" customWidth="1"/>
    <col min="14841" max="14841" width="9.81640625" style="16" customWidth="1"/>
    <col min="14842" max="14842" width="14.453125" style="16" customWidth="1"/>
    <col min="14843" max="14843" width="7.26953125" style="16" customWidth="1"/>
    <col min="14844" max="14844" width="5.54296875" style="16" customWidth="1"/>
    <col min="14845" max="14845" width="9" style="16" customWidth="1"/>
    <col min="14846" max="14847" width="9.81640625" style="16" customWidth="1"/>
    <col min="14848" max="14848" width="11.1796875" style="16" customWidth="1"/>
    <col min="14849" max="14849" width="2.81640625" style="16" customWidth="1"/>
    <col min="14850" max="14850" width="3.54296875" style="16" customWidth="1"/>
    <col min="14851" max="15095" width="9.1796875" style="16"/>
    <col min="15096" max="15096" width="8.7265625" style="16" customWidth="1"/>
    <col min="15097" max="15097" width="9.81640625" style="16" customWidth="1"/>
    <col min="15098" max="15098" width="14.453125" style="16" customWidth="1"/>
    <col min="15099" max="15099" width="7.26953125" style="16" customWidth="1"/>
    <col min="15100" max="15100" width="5.54296875" style="16" customWidth="1"/>
    <col min="15101" max="15101" width="9" style="16" customWidth="1"/>
    <col min="15102" max="15103" width="9.81640625" style="16" customWidth="1"/>
    <col min="15104" max="15104" width="11.1796875" style="16" customWidth="1"/>
    <col min="15105" max="15105" width="2.81640625" style="16" customWidth="1"/>
    <col min="15106" max="15106" width="3.54296875" style="16" customWidth="1"/>
    <col min="15107" max="15351" width="9.1796875" style="16"/>
    <col min="15352" max="15352" width="8.7265625" style="16" customWidth="1"/>
    <col min="15353" max="15353" width="9.81640625" style="16" customWidth="1"/>
    <col min="15354" max="15354" width="14.453125" style="16" customWidth="1"/>
    <col min="15355" max="15355" width="7.26953125" style="16" customWidth="1"/>
    <col min="15356" max="15356" width="5.54296875" style="16" customWidth="1"/>
    <col min="15357" max="15357" width="9" style="16" customWidth="1"/>
    <col min="15358" max="15359" width="9.81640625" style="16" customWidth="1"/>
    <col min="15360" max="15360" width="11.1796875" style="16" customWidth="1"/>
    <col min="15361" max="15361" width="2.81640625" style="16" customWidth="1"/>
    <col min="15362" max="15362" width="3.54296875" style="16" customWidth="1"/>
    <col min="15363" max="15607" width="9.1796875" style="16"/>
    <col min="15608" max="15608" width="8.7265625" style="16" customWidth="1"/>
    <col min="15609" max="15609" width="9.81640625" style="16" customWidth="1"/>
    <col min="15610" max="15610" width="14.453125" style="16" customWidth="1"/>
    <col min="15611" max="15611" width="7.26953125" style="16" customWidth="1"/>
    <col min="15612" max="15612" width="5.54296875" style="16" customWidth="1"/>
    <col min="15613" max="15613" width="9" style="16" customWidth="1"/>
    <col min="15614" max="15615" width="9.81640625" style="16" customWidth="1"/>
    <col min="15616" max="15616" width="11.1796875" style="16" customWidth="1"/>
    <col min="15617" max="15617" width="2.81640625" style="16" customWidth="1"/>
    <col min="15618" max="15618" width="3.54296875" style="16" customWidth="1"/>
    <col min="15619" max="15863" width="9.1796875" style="16"/>
    <col min="15864" max="15864" width="8.7265625" style="16" customWidth="1"/>
    <col min="15865" max="15865" width="9.81640625" style="16" customWidth="1"/>
    <col min="15866" max="15866" width="14.453125" style="16" customWidth="1"/>
    <col min="15867" max="15867" width="7.26953125" style="16" customWidth="1"/>
    <col min="15868" max="15868" width="5.54296875" style="16" customWidth="1"/>
    <col min="15869" max="15869" width="9" style="16" customWidth="1"/>
    <col min="15870" max="15871" width="9.81640625" style="16" customWidth="1"/>
    <col min="15872" max="15872" width="11.1796875" style="16" customWidth="1"/>
    <col min="15873" max="15873" width="2.81640625" style="16" customWidth="1"/>
    <col min="15874" max="15874" width="3.54296875" style="16" customWidth="1"/>
    <col min="15875" max="16119" width="9.1796875" style="16"/>
    <col min="16120" max="16120" width="8.7265625" style="16" customWidth="1"/>
    <col min="16121" max="16121" width="9.81640625" style="16" customWidth="1"/>
    <col min="16122" max="16122" width="14.453125" style="16" customWidth="1"/>
    <col min="16123" max="16123" width="7.26953125" style="16" customWidth="1"/>
    <col min="16124" max="16124" width="5.54296875" style="16" customWidth="1"/>
    <col min="16125" max="16125" width="9" style="16" customWidth="1"/>
    <col min="16126" max="16127" width="9.81640625" style="16" customWidth="1"/>
    <col min="16128" max="16128" width="11.1796875" style="16" customWidth="1"/>
    <col min="16129" max="16129" width="2.81640625" style="16" customWidth="1"/>
    <col min="16130" max="16130" width="3.54296875" style="16" customWidth="1"/>
    <col min="16131" max="16384" width="9.1796875" style="16"/>
  </cols>
  <sheetData>
    <row r="1" spans="1:26" ht="46.5" customHeight="1">
      <c r="A1" s="156" t="s">
        <v>157</v>
      </c>
      <c r="B1" s="156"/>
      <c r="C1" s="156"/>
      <c r="D1" s="156"/>
      <c r="E1" s="156"/>
      <c r="F1" s="156"/>
      <c r="G1" s="156"/>
      <c r="H1" s="156"/>
    </row>
    <row r="2" spans="1:26" ht="16.5" customHeight="1">
      <c r="A2" s="157" t="s">
        <v>0</v>
      </c>
      <c r="B2" s="157"/>
      <c r="C2" s="157"/>
      <c r="D2" s="157"/>
      <c r="E2" s="157"/>
      <c r="F2" s="157"/>
      <c r="G2" s="157"/>
      <c r="H2" s="157"/>
    </row>
    <row r="3" spans="1:26">
      <c r="A3" s="77" t="s">
        <v>1</v>
      </c>
      <c r="B3" s="77"/>
      <c r="C3" s="77"/>
      <c r="D3" s="77"/>
      <c r="E3" s="77" t="str">
        <f ca="1">TEXT(TODAY(),"DD/MM/YYYY")</f>
        <v>23/07/2025</v>
      </c>
      <c r="F3" s="77"/>
      <c r="G3" s="77"/>
      <c r="H3" s="77"/>
      <c r="K3" s="46" t="s">
        <v>227</v>
      </c>
      <c r="L3" s="43" t="s">
        <v>225</v>
      </c>
      <c r="M3" s="43" t="s">
        <v>230</v>
      </c>
      <c r="N3" s="43" t="s">
        <v>228</v>
      </c>
      <c r="O3" s="43" t="s">
        <v>229</v>
      </c>
      <c r="P3" s="43" t="s">
        <v>231</v>
      </c>
    </row>
    <row r="4" spans="1:26" ht="15" customHeight="1">
      <c r="A4" s="77" t="s">
        <v>224</v>
      </c>
      <c r="B4" s="77"/>
      <c r="C4" s="77"/>
      <c r="D4" s="77"/>
      <c r="E4" s="77" t="s">
        <v>225</v>
      </c>
      <c r="F4" s="77"/>
      <c r="G4" s="77"/>
      <c r="H4" s="77"/>
      <c r="J4"/>
      <c r="K4" s="42" t="s">
        <v>226</v>
      </c>
      <c r="L4" s="43" t="s">
        <v>163</v>
      </c>
      <c r="M4" s="43" t="s">
        <v>235</v>
      </c>
      <c r="N4" s="43" t="s">
        <v>237</v>
      </c>
      <c r="O4" s="43" t="s">
        <v>239</v>
      </c>
      <c r="P4" s="43"/>
    </row>
    <row r="5" spans="1:26" ht="15" customHeight="1">
      <c r="A5" s="77" t="s">
        <v>2</v>
      </c>
      <c r="B5" s="77"/>
      <c r="C5" s="77"/>
      <c r="D5" s="77"/>
      <c r="E5" s="77" t="s">
        <v>234</v>
      </c>
      <c r="F5" s="77"/>
      <c r="G5" s="77"/>
      <c r="H5" s="77"/>
      <c r="J5" s="53"/>
      <c r="K5" s="42"/>
      <c r="L5" s="43" t="s">
        <v>232</v>
      </c>
      <c r="M5" s="43" t="s">
        <v>236</v>
      </c>
      <c r="N5" s="43" t="s">
        <v>238</v>
      </c>
      <c r="O5" s="43" t="s">
        <v>240</v>
      </c>
      <c r="P5" s="43"/>
    </row>
    <row r="6" spans="1:26">
      <c r="A6" s="77" t="s">
        <v>3</v>
      </c>
      <c r="B6" s="77"/>
      <c r="C6" s="77"/>
      <c r="D6" s="77"/>
      <c r="E6" s="159">
        <v>45847</v>
      </c>
      <c r="F6" s="77"/>
      <c r="G6" s="77"/>
      <c r="H6" s="77"/>
      <c r="K6" s="42"/>
      <c r="L6" s="43" t="s">
        <v>233</v>
      </c>
      <c r="M6" s="43"/>
      <c r="N6" s="43"/>
      <c r="O6" s="43" t="s">
        <v>241</v>
      </c>
      <c r="P6" s="43"/>
    </row>
    <row r="7" spans="1:26" ht="16.5" customHeight="1">
      <c r="A7" s="77" t="s">
        <v>4</v>
      </c>
      <c r="B7" s="77"/>
      <c r="C7" s="77"/>
      <c r="D7" s="77"/>
      <c r="E7" s="84" t="s">
        <v>292</v>
      </c>
      <c r="F7" s="85"/>
      <c r="G7" s="85"/>
      <c r="H7" s="86"/>
      <c r="K7" s="42"/>
      <c r="L7" s="43" t="s">
        <v>234</v>
      </c>
      <c r="M7" s="43"/>
      <c r="N7" s="43"/>
      <c r="O7" s="43" t="s">
        <v>241</v>
      </c>
      <c r="P7" s="43"/>
    </row>
    <row r="8" spans="1:26" ht="15" customHeight="1">
      <c r="A8" s="77" t="s">
        <v>5</v>
      </c>
      <c r="B8" s="77"/>
      <c r="C8" s="77"/>
      <c r="D8" s="77"/>
      <c r="E8" s="160" t="str">
        <f>E7</f>
        <v>Dreamland Developers</v>
      </c>
      <c r="F8" s="119"/>
      <c r="G8" s="119"/>
      <c r="H8" s="120"/>
      <c r="K8" s="42"/>
      <c r="L8" s="43"/>
      <c r="M8" s="43"/>
      <c r="N8" s="43"/>
      <c r="O8" s="43" t="s">
        <v>242</v>
      </c>
      <c r="P8" s="43"/>
    </row>
    <row r="9" spans="1:26">
      <c r="A9" s="77" t="s">
        <v>6</v>
      </c>
      <c r="B9" s="77"/>
      <c r="C9" s="77"/>
      <c r="D9" s="77"/>
      <c r="E9" s="158" t="s">
        <v>293</v>
      </c>
      <c r="F9" s="158"/>
      <c r="G9" s="158"/>
      <c r="H9" s="158"/>
      <c r="K9" s="42"/>
      <c r="L9" s="43"/>
      <c r="M9" s="43"/>
      <c r="N9" s="43"/>
      <c r="O9" s="43" t="s">
        <v>243</v>
      </c>
      <c r="P9" s="43"/>
    </row>
    <row r="10" spans="1:26">
      <c r="A10" s="77" t="s">
        <v>160</v>
      </c>
      <c r="B10" s="77"/>
      <c r="C10" s="77"/>
      <c r="D10" s="77"/>
      <c r="E10" s="77" t="s">
        <v>294</v>
      </c>
      <c r="F10" s="77"/>
      <c r="G10" s="77"/>
      <c r="H10" s="77"/>
      <c r="I10" s="54"/>
      <c r="K10" s="42"/>
      <c r="L10" s="43"/>
      <c r="M10" s="43"/>
      <c r="N10" s="43"/>
      <c r="O10" s="43"/>
      <c r="P10" s="43"/>
    </row>
    <row r="11" spans="1:26" ht="16.5" hidden="1" customHeight="1">
      <c r="A11" s="77" t="s">
        <v>161</v>
      </c>
      <c r="B11" s="77"/>
      <c r="C11" s="77"/>
      <c r="D11" s="77"/>
      <c r="E11" s="77" t="s">
        <v>294</v>
      </c>
      <c r="F11" s="77"/>
      <c r="G11" s="77"/>
      <c r="H11" s="77"/>
    </row>
    <row r="12" spans="1:26">
      <c r="A12" s="77" t="s">
        <v>7</v>
      </c>
      <c r="B12" s="77"/>
      <c r="C12" s="77"/>
      <c r="D12" s="77"/>
      <c r="E12" s="160" t="s">
        <v>322</v>
      </c>
      <c r="F12" s="119"/>
      <c r="G12" s="119"/>
      <c r="H12" s="120"/>
    </row>
    <row r="13" spans="1:26" ht="16.5" customHeight="1">
      <c r="A13" s="77" t="s">
        <v>164</v>
      </c>
      <c r="B13" s="77"/>
      <c r="C13" s="77"/>
      <c r="D13" s="77"/>
      <c r="E13" s="77" t="s">
        <v>28</v>
      </c>
      <c r="F13" s="77"/>
      <c r="G13" s="77"/>
      <c r="H13" s="77"/>
      <c r="J13" s="52"/>
      <c r="K13" s="53"/>
      <c r="S13" s="43" t="s">
        <v>170</v>
      </c>
      <c r="T13" s="43" t="s">
        <v>180</v>
      </c>
      <c r="U13" s="43" t="s">
        <v>165</v>
      </c>
      <c r="V13" s="43" t="s">
        <v>185</v>
      </c>
      <c r="W13" s="43" t="s">
        <v>203</v>
      </c>
      <c r="X13"/>
      <c r="Y13" t="s">
        <v>185</v>
      </c>
      <c r="Z13" t="e">
        <f ca="1">OFFSET($S$13,1,MATCH($G20,$S$13:$W$13,0)-1,15,1)</f>
        <v>#VALUE!</v>
      </c>
    </row>
    <row r="14" spans="1:26" ht="32.25" customHeight="1">
      <c r="A14" s="72" t="s">
        <v>270</v>
      </c>
      <c r="B14" s="72"/>
      <c r="C14" s="72"/>
      <c r="D14" s="72"/>
      <c r="E14" s="76" t="s">
        <v>220</v>
      </c>
      <c r="F14" s="76"/>
      <c r="G14" s="76"/>
      <c r="H14" s="76"/>
      <c r="I14" s="52"/>
      <c r="S14" s="43" t="s">
        <v>171</v>
      </c>
      <c r="T14" s="43" t="s">
        <v>178</v>
      </c>
      <c r="U14" s="43" t="s">
        <v>200</v>
      </c>
      <c r="V14" s="43" t="s">
        <v>186</v>
      </c>
      <c r="W14" s="43" t="s">
        <v>204</v>
      </c>
      <c r="X14"/>
      <c r="Y14"/>
      <c r="Z14"/>
    </row>
    <row r="15" spans="1:26">
      <c r="A15" s="72" t="s">
        <v>8</v>
      </c>
      <c r="B15" s="72"/>
      <c r="C15" s="72"/>
      <c r="D15" s="72"/>
      <c r="E15" s="76" t="s">
        <v>295</v>
      </c>
      <c r="F15" s="77"/>
      <c r="G15" s="77"/>
      <c r="H15" s="77"/>
      <c r="I15" s="96" t="e">
        <f ca="1">OFFSET($D$5,1,MATCH($J13,$D$5:$H$5,0)-1,15,1)</f>
        <v>#N/A</v>
      </c>
      <c r="J15" s="97"/>
      <c r="K15" s="97"/>
      <c r="L15" s="97"/>
      <c r="M15" s="97"/>
      <c r="N15" s="97"/>
      <c r="O15" s="97"/>
      <c r="P15" s="97"/>
      <c r="S15" s="43" t="s">
        <v>172</v>
      </c>
      <c r="T15" s="43" t="s">
        <v>179</v>
      </c>
      <c r="U15" s="43" t="s">
        <v>201</v>
      </c>
      <c r="V15" s="43" t="s">
        <v>187</v>
      </c>
      <c r="W15" s="43" t="s">
        <v>217</v>
      </c>
      <c r="X15"/>
      <c r="Y15"/>
      <c r="Z15"/>
    </row>
    <row r="16" spans="1:26" ht="48.75" customHeight="1">
      <c r="A16" s="75" t="s">
        <v>9</v>
      </c>
      <c r="B16" s="75"/>
      <c r="C16" s="75" t="str">
        <f>CONCATENATE((IF(OR(E9="",E9="NA"),"",E9)),", ",(IF(OR(A17="",A17="NA"),"",A17)),".",(IF(OR(C17="",C17="NA"),"",C17)),", near ",(IF(OR(C22="",C22="NA"),"",C22)),", ",(IF(OR(C19="",C19="NA"),"",C19)),", ",(IF(OR(C18="",C18="NA"),"",C18)),", ",(IF(OR(G19="",G19="NA"),"",G19)),", ",(IF(OR(C20="",C20="NA"),"",C20)),", ",(IF(OR(C21="",C21="NA"),"",C21)),", ",(IF(OR(G20="",G20="NA"),"",G20))," - ",(IF(OR(G21="",G21="NA"),"",G21)),".")</f>
        <v>Dreams Enclave, Survey No.97B, H No.1B, P No. 5, 6 &amp; 7, S No. 97B, H No. 3 &amp; 4, S No. 97B, H No. 1, P. No 4, S No. 97B, H No. 2B, near Ratan Galaxy, Internal Road, Badlapur, Belavali, Badlapur East, Ambernath, Thane  - 421503.</v>
      </c>
      <c r="D16" s="75"/>
      <c r="E16" s="75"/>
      <c r="F16" s="75"/>
      <c r="G16" s="75"/>
      <c r="H16" s="75"/>
      <c r="I16"/>
      <c r="S16" s="43" t="s">
        <v>173</v>
      </c>
      <c r="T16" s="43" t="s">
        <v>181</v>
      </c>
      <c r="U16" s="43" t="s">
        <v>202</v>
      </c>
      <c r="V16" s="43" t="s">
        <v>188</v>
      </c>
      <c r="W16" s="43" t="s">
        <v>205</v>
      </c>
      <c r="X16"/>
      <c r="Y16"/>
      <c r="Z16"/>
    </row>
    <row r="17" spans="1:26" ht="34.5" customHeight="1">
      <c r="A17" s="76" t="s">
        <v>296</v>
      </c>
      <c r="B17" s="76"/>
      <c r="C17" s="76" t="s">
        <v>323</v>
      </c>
      <c r="D17" s="76"/>
      <c r="E17" s="76"/>
      <c r="F17" s="76"/>
      <c r="G17" s="76"/>
      <c r="H17" s="76"/>
      <c r="S17" s="43" t="s">
        <v>174</v>
      </c>
      <c r="T17" s="43" t="s">
        <v>182</v>
      </c>
      <c r="U17" s="43" t="s">
        <v>165</v>
      </c>
      <c r="V17" s="43" t="s">
        <v>189</v>
      </c>
      <c r="W17" s="43" t="s">
        <v>206</v>
      </c>
      <c r="X17"/>
      <c r="Y17"/>
      <c r="Z17"/>
    </row>
    <row r="18" spans="1:26" ht="15.75" customHeight="1">
      <c r="A18" s="76" t="s">
        <v>155</v>
      </c>
      <c r="B18" s="76"/>
      <c r="C18" s="76" t="s">
        <v>297</v>
      </c>
      <c r="D18" s="76"/>
      <c r="E18" s="76"/>
      <c r="F18" s="76"/>
      <c r="G18" s="76"/>
      <c r="H18" s="76"/>
      <c r="S18" s="43" t="s">
        <v>175</v>
      </c>
      <c r="T18" s="43" t="s">
        <v>180</v>
      </c>
      <c r="U18" s="43"/>
      <c r="V18" s="43" t="s">
        <v>190</v>
      </c>
      <c r="W18" s="43" t="s">
        <v>207</v>
      </c>
      <c r="X18"/>
      <c r="Y18"/>
      <c r="Z18"/>
    </row>
    <row r="19" spans="1:26" ht="15.75" customHeight="1">
      <c r="A19" s="76" t="s">
        <v>10</v>
      </c>
      <c r="B19" s="76"/>
      <c r="C19" s="77" t="s">
        <v>301</v>
      </c>
      <c r="D19" s="77"/>
      <c r="E19" s="76" t="s">
        <v>70</v>
      </c>
      <c r="F19" s="76"/>
      <c r="G19" s="76" t="s">
        <v>298</v>
      </c>
      <c r="H19" s="76"/>
      <c r="J19"/>
      <c r="L19"/>
      <c r="S19" s="43" t="s">
        <v>176</v>
      </c>
      <c r="T19" s="43" t="s">
        <v>183</v>
      </c>
      <c r="U19" s="43"/>
      <c r="V19" s="43" t="s">
        <v>191</v>
      </c>
      <c r="W19" s="43" t="s">
        <v>208</v>
      </c>
      <c r="X19"/>
      <c r="Y19"/>
      <c r="Z19"/>
    </row>
    <row r="20" spans="1:26">
      <c r="A20" s="77" t="s">
        <v>12</v>
      </c>
      <c r="B20" s="77"/>
      <c r="C20" s="76" t="s">
        <v>300</v>
      </c>
      <c r="D20" s="76"/>
      <c r="E20" s="76" t="s">
        <v>11</v>
      </c>
      <c r="F20" s="76"/>
      <c r="G20" s="162" t="s">
        <v>170</v>
      </c>
      <c r="H20" s="162"/>
      <c r="S20" s="43" t="s">
        <v>177</v>
      </c>
      <c r="T20" s="43" t="s">
        <v>184</v>
      </c>
      <c r="U20" s="43"/>
      <c r="V20" s="43" t="s">
        <v>192</v>
      </c>
      <c r="W20" s="43" t="s">
        <v>209</v>
      </c>
      <c r="X20"/>
      <c r="Y20"/>
      <c r="Z20"/>
    </row>
    <row r="21" spans="1:26">
      <c r="A21" s="77" t="s">
        <v>71</v>
      </c>
      <c r="B21" s="77"/>
      <c r="C21" s="76" t="s">
        <v>176</v>
      </c>
      <c r="D21" s="76"/>
      <c r="E21" s="76" t="s">
        <v>13</v>
      </c>
      <c r="F21" s="76"/>
      <c r="G21" s="76">
        <v>421503</v>
      </c>
      <c r="H21" s="76"/>
      <c r="S21" s="43"/>
      <c r="T21" s="43"/>
      <c r="U21" s="43"/>
      <c r="V21" s="43" t="s">
        <v>193</v>
      </c>
      <c r="W21" s="43" t="s">
        <v>210</v>
      </c>
      <c r="X21"/>
      <c r="Y21"/>
      <c r="Z21"/>
    </row>
    <row r="22" spans="1:26" ht="32.25" customHeight="1">
      <c r="A22" s="72" t="s">
        <v>117</v>
      </c>
      <c r="B22" s="72"/>
      <c r="C22" s="76" t="s">
        <v>299</v>
      </c>
      <c r="D22" s="76"/>
      <c r="E22" s="75" t="s">
        <v>14</v>
      </c>
      <c r="F22" s="75"/>
      <c r="G22" s="76" t="s">
        <v>319</v>
      </c>
      <c r="H22" s="76"/>
      <c r="S22" s="43"/>
      <c r="T22" s="43"/>
      <c r="U22" s="43"/>
      <c r="V22" s="43" t="s">
        <v>194</v>
      </c>
      <c r="W22" s="43" t="s">
        <v>211</v>
      </c>
      <c r="X22"/>
      <c r="Y22"/>
      <c r="Z22"/>
    </row>
    <row r="23" spans="1:26" ht="15" customHeight="1">
      <c r="A23" s="75" t="s">
        <v>72</v>
      </c>
      <c r="B23" s="75"/>
      <c r="C23" s="75"/>
      <c r="D23" s="75"/>
      <c r="E23" s="77" t="s">
        <v>15</v>
      </c>
      <c r="F23" s="77"/>
      <c r="G23" s="77"/>
      <c r="H23" s="77"/>
      <c r="S23" s="43"/>
      <c r="T23" s="43"/>
      <c r="U23" s="43"/>
      <c r="V23" s="43" t="s">
        <v>195</v>
      </c>
      <c r="W23" s="43" t="s">
        <v>212</v>
      </c>
      <c r="X23"/>
      <c r="Y23"/>
      <c r="Z23"/>
    </row>
    <row r="24" spans="1:26" ht="18.75" customHeight="1">
      <c r="A24" s="75"/>
      <c r="B24" s="75"/>
      <c r="C24" s="75"/>
      <c r="D24" s="75"/>
      <c r="E24" s="77"/>
      <c r="F24" s="77"/>
      <c r="G24" s="77"/>
      <c r="H24" s="77"/>
      <c r="S24" s="43"/>
      <c r="T24" s="43"/>
      <c r="U24" s="43"/>
      <c r="V24" s="43" t="s">
        <v>196</v>
      </c>
      <c r="W24" s="43" t="s">
        <v>213</v>
      </c>
      <c r="X24"/>
      <c r="Y24"/>
      <c r="Z24"/>
    </row>
    <row r="25" spans="1:26" ht="15" customHeight="1">
      <c r="A25" s="75" t="s">
        <v>16</v>
      </c>
      <c r="B25" s="75"/>
      <c r="C25" s="75"/>
      <c r="D25" s="75"/>
      <c r="E25" s="76" t="s">
        <v>17</v>
      </c>
      <c r="F25" s="76"/>
      <c r="G25" s="76"/>
      <c r="H25" s="76"/>
      <c r="S25" s="43"/>
      <c r="T25" s="43"/>
      <c r="U25" s="43"/>
      <c r="V25" s="43" t="s">
        <v>197</v>
      </c>
      <c r="W25" s="43" t="s">
        <v>214</v>
      </c>
      <c r="X25"/>
      <c r="Y25"/>
      <c r="Z25"/>
    </row>
    <row r="26" spans="1:26" ht="15" customHeight="1">
      <c r="A26" s="72" t="s">
        <v>18</v>
      </c>
      <c r="B26" s="72"/>
      <c r="C26" s="72"/>
      <c r="D26" s="72"/>
      <c r="E26" s="76" t="str">
        <f>IF(AND(G20="Mumbai"),"Upper Class","Middle Class")</f>
        <v>Middle Class</v>
      </c>
      <c r="F26" s="76"/>
      <c r="G26" s="76"/>
      <c r="H26" s="76"/>
      <c r="S26" s="43"/>
      <c r="T26" s="43"/>
      <c r="U26" s="43"/>
      <c r="V26" s="43" t="s">
        <v>198</v>
      </c>
      <c r="W26" s="43" t="s">
        <v>215</v>
      </c>
      <c r="X26"/>
      <c r="Y26"/>
      <c r="Z26"/>
    </row>
    <row r="27" spans="1:26">
      <c r="A27" s="72" t="s">
        <v>19</v>
      </c>
      <c r="B27" s="72"/>
      <c r="C27" s="72"/>
      <c r="D27" s="72"/>
      <c r="E27" s="76" t="s">
        <v>20</v>
      </c>
      <c r="F27" s="76"/>
      <c r="G27" s="76"/>
      <c r="H27" s="76"/>
      <c r="S27" s="43"/>
      <c r="T27" s="43"/>
      <c r="U27" s="43"/>
      <c r="V27" s="43" t="s">
        <v>199</v>
      </c>
      <c r="W27" s="43" t="s">
        <v>216</v>
      </c>
      <c r="X27"/>
      <c r="Y27"/>
      <c r="Z27"/>
    </row>
    <row r="28" spans="1:26" ht="15.75" customHeight="1">
      <c r="A28" s="72" t="s">
        <v>21</v>
      </c>
      <c r="B28" s="72"/>
      <c r="C28" s="72"/>
      <c r="D28" s="72"/>
      <c r="E28" s="76" t="str">
        <f>IF(AND(G20="Mumbai"),"Developed","Developing")</f>
        <v>Developing</v>
      </c>
      <c r="F28" s="76"/>
      <c r="G28" s="76"/>
      <c r="H28" s="76"/>
    </row>
    <row r="29" spans="1:26">
      <c r="A29" s="72" t="s">
        <v>22</v>
      </c>
      <c r="B29" s="72"/>
      <c r="C29" s="72"/>
      <c r="D29" s="72"/>
      <c r="E29" s="76" t="s">
        <v>23</v>
      </c>
      <c r="F29" s="76"/>
      <c r="G29" s="76"/>
      <c r="H29" s="76"/>
    </row>
    <row r="30" spans="1:26" ht="15.75" customHeight="1">
      <c r="A30" s="72" t="s">
        <v>77</v>
      </c>
      <c r="B30" s="72"/>
      <c r="C30" s="72"/>
      <c r="D30" s="72"/>
      <c r="E30" s="76" t="s">
        <v>78</v>
      </c>
      <c r="F30" s="76"/>
      <c r="G30" s="76"/>
      <c r="H30" s="76"/>
    </row>
    <row r="31" spans="1:26" ht="15" customHeight="1">
      <c r="A31" s="72" t="s">
        <v>30</v>
      </c>
      <c r="B31" s="72"/>
      <c r="C31" s="72"/>
      <c r="D31" s="72"/>
      <c r="E31" s="76"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v>
      </c>
      <c r="F31" s="76"/>
      <c r="G31" s="76"/>
      <c r="H31" s="76"/>
    </row>
    <row r="32" spans="1:26" ht="15.75" customHeight="1">
      <c r="A32" s="72" t="s">
        <v>89</v>
      </c>
      <c r="B32" s="72"/>
      <c r="C32" s="72"/>
      <c r="D32" s="72"/>
      <c r="E32" s="76" t="s">
        <v>31</v>
      </c>
      <c r="F32" s="76"/>
      <c r="G32" s="76"/>
      <c r="H32" s="76"/>
    </row>
    <row r="33" spans="1:19" s="17" customFormat="1">
      <c r="A33" s="164" t="s">
        <v>90</v>
      </c>
      <c r="B33" s="164"/>
      <c r="C33" s="98" t="s">
        <v>166</v>
      </c>
      <c r="D33" s="98"/>
      <c r="E33" s="98"/>
      <c r="F33" s="98" t="s">
        <v>29</v>
      </c>
      <c r="G33" s="98"/>
      <c r="H33" s="98"/>
      <c r="S33" s="17" t="e">
        <f ca="1">OFFSET($S$13,1,MATCH($G20,$S$13:$W$13,0)-1,15,1)</f>
        <v>#VALUE!</v>
      </c>
    </row>
    <row r="34" spans="1:19" s="17" customFormat="1">
      <c r="A34" s="163" t="s">
        <v>24</v>
      </c>
      <c r="B34" s="163" t="s">
        <v>28</v>
      </c>
      <c r="C34" s="161" t="s">
        <v>318</v>
      </c>
      <c r="D34" s="161"/>
      <c r="E34" s="161"/>
      <c r="F34" s="161" t="s">
        <v>317</v>
      </c>
      <c r="G34" s="161"/>
      <c r="H34" s="161"/>
    </row>
    <row r="35" spans="1:19">
      <c r="A35" s="163" t="s">
        <v>25</v>
      </c>
      <c r="B35" s="163" t="s">
        <v>28</v>
      </c>
      <c r="C35" s="161" t="s">
        <v>307</v>
      </c>
      <c r="D35" s="161"/>
      <c r="E35" s="161"/>
      <c r="F35" s="161" t="s">
        <v>320</v>
      </c>
      <c r="G35" s="161"/>
      <c r="H35" s="161"/>
    </row>
    <row r="36" spans="1:19" s="17" customFormat="1">
      <c r="A36" s="163" t="s">
        <v>27</v>
      </c>
      <c r="B36" s="163" t="s">
        <v>28</v>
      </c>
      <c r="C36" s="161" t="s">
        <v>10</v>
      </c>
      <c r="D36" s="161"/>
      <c r="E36" s="161"/>
      <c r="F36" s="161" t="s">
        <v>10</v>
      </c>
      <c r="G36" s="161"/>
      <c r="H36" s="161"/>
    </row>
    <row r="37" spans="1:19">
      <c r="A37" s="163" t="s">
        <v>26</v>
      </c>
      <c r="B37" s="163" t="s">
        <v>28</v>
      </c>
      <c r="C37" s="161" t="s">
        <v>307</v>
      </c>
      <c r="D37" s="161"/>
      <c r="E37" s="161"/>
      <c r="F37" s="161" t="s">
        <v>316</v>
      </c>
      <c r="G37" s="161"/>
      <c r="H37" s="161"/>
    </row>
    <row r="38" spans="1:19">
      <c r="A38" s="72" t="s">
        <v>271</v>
      </c>
      <c r="B38" s="72"/>
      <c r="C38" s="72"/>
      <c r="D38" s="72"/>
      <c r="E38" s="72"/>
      <c r="F38" s="72"/>
      <c r="G38" s="72"/>
      <c r="H38" s="72"/>
    </row>
    <row r="39" spans="1:19" ht="15.75" customHeight="1">
      <c r="A39" s="72" t="s">
        <v>158</v>
      </c>
      <c r="B39" s="72"/>
      <c r="C39" s="74" t="s">
        <v>325</v>
      </c>
      <c r="D39" s="74"/>
      <c r="E39" s="74"/>
      <c r="F39" s="74"/>
      <c r="G39" s="74"/>
      <c r="H39" s="74"/>
    </row>
    <row r="40" spans="1:19">
      <c r="A40" s="72" t="s">
        <v>154</v>
      </c>
      <c r="B40" s="72"/>
      <c r="C40" s="173" t="s">
        <v>324</v>
      </c>
      <c r="D40" s="76"/>
      <c r="E40" s="76"/>
      <c r="F40" s="76"/>
      <c r="G40" s="76"/>
      <c r="H40" s="76"/>
    </row>
    <row r="41" spans="1:19">
      <c r="A41" s="74" t="s">
        <v>32</v>
      </c>
      <c r="B41" s="74"/>
      <c r="C41" s="74"/>
      <c r="D41" s="74"/>
      <c r="E41" s="74"/>
      <c r="F41" s="74"/>
      <c r="G41" s="74"/>
      <c r="H41" s="74"/>
    </row>
    <row r="42" spans="1:19">
      <c r="A42" s="72" t="s">
        <v>33</v>
      </c>
      <c r="B42" s="72"/>
      <c r="C42" s="72"/>
      <c r="D42" s="72"/>
      <c r="E42" s="165">
        <v>7920.8</v>
      </c>
      <c r="F42" s="165"/>
      <c r="G42" s="165"/>
      <c r="H42" s="165"/>
    </row>
    <row r="43" spans="1:19">
      <c r="A43" s="72" t="s">
        <v>34</v>
      </c>
      <c r="B43" s="72"/>
      <c r="C43" s="72"/>
      <c r="D43" s="72"/>
      <c r="E43" s="103">
        <f>8712.88/E42</f>
        <v>1.0999999999999999</v>
      </c>
      <c r="F43" s="103"/>
      <c r="G43" s="103"/>
      <c r="H43" s="103"/>
    </row>
    <row r="44" spans="1:19">
      <c r="A44" s="72" t="s">
        <v>35</v>
      </c>
      <c r="B44" s="72"/>
      <c r="C44" s="72"/>
      <c r="D44" s="72"/>
      <c r="E44" s="103">
        <f>E46/E42-E43</f>
        <v>1.4037256337743662</v>
      </c>
      <c r="F44" s="103"/>
      <c r="G44" s="103"/>
      <c r="H44" s="103"/>
    </row>
    <row r="45" spans="1:19">
      <c r="A45" s="72" t="s">
        <v>36</v>
      </c>
      <c r="B45" s="72"/>
      <c r="C45" s="72"/>
      <c r="D45" s="72"/>
      <c r="E45" s="103">
        <f>E43+E44</f>
        <v>2.5037256337743661</v>
      </c>
      <c r="F45" s="103"/>
      <c r="G45" s="103"/>
      <c r="H45" s="103"/>
    </row>
    <row r="46" spans="1:19">
      <c r="A46" s="77" t="s">
        <v>88</v>
      </c>
      <c r="B46" s="77"/>
      <c r="C46" s="77"/>
      <c r="D46" s="77"/>
      <c r="E46" s="167">
        <v>19831.509999999998</v>
      </c>
      <c r="F46" s="167"/>
      <c r="G46" s="167"/>
      <c r="H46" s="167"/>
    </row>
    <row r="47" spans="1:19">
      <c r="A47" s="77" t="s">
        <v>37</v>
      </c>
      <c r="B47" s="77"/>
      <c r="C47" s="77"/>
      <c r="D47" s="77"/>
      <c r="E47" s="77" t="s">
        <v>116</v>
      </c>
      <c r="F47" s="77"/>
      <c r="G47" s="77"/>
      <c r="H47" s="77"/>
    </row>
    <row r="48" spans="1:19">
      <c r="A48" s="168" t="s">
        <v>38</v>
      </c>
      <c r="B48" s="168"/>
      <c r="C48" s="168"/>
      <c r="D48" s="168"/>
      <c r="E48" s="168"/>
      <c r="F48" s="168"/>
      <c r="G48" s="168"/>
      <c r="H48" s="168"/>
    </row>
    <row r="49" spans="1:24" ht="33.75" customHeight="1">
      <c r="A49" s="106" t="s">
        <v>145</v>
      </c>
      <c r="B49" s="107"/>
      <c r="C49" s="179" t="s">
        <v>253</v>
      </c>
      <c r="D49" s="180"/>
      <c r="E49" s="180"/>
      <c r="F49" s="180"/>
      <c r="G49" s="180"/>
      <c r="H49" s="181"/>
      <c r="R49" t="s">
        <v>244</v>
      </c>
      <c r="S49" t="s">
        <v>165</v>
      </c>
      <c r="T49" t="s">
        <v>170</v>
      </c>
      <c r="U49" t="s">
        <v>185</v>
      </c>
      <c r="V49" t="s">
        <v>180</v>
      </c>
    </row>
    <row r="50" spans="1:24" ht="33" customHeight="1">
      <c r="A50" s="106" t="s">
        <v>39</v>
      </c>
      <c r="B50" s="107"/>
      <c r="C50" s="106" t="s">
        <v>303</v>
      </c>
      <c r="D50" s="108"/>
      <c r="E50" s="107"/>
      <c r="F50" s="60" t="s">
        <v>40</v>
      </c>
      <c r="G50" s="109">
        <v>44694</v>
      </c>
      <c r="H50" s="107"/>
      <c r="R50"/>
      <c r="S50" t="s">
        <v>245</v>
      </c>
      <c r="T50" t="s">
        <v>250</v>
      </c>
      <c r="U50" t="s">
        <v>261</v>
      </c>
      <c r="V50" t="s">
        <v>266</v>
      </c>
    </row>
    <row r="51" spans="1:24" ht="30.75" customHeight="1">
      <c r="A51" s="84" t="s">
        <v>41</v>
      </c>
      <c r="B51" s="86"/>
      <c r="C51" s="84" t="str">
        <f>C50</f>
        <v>KBNP/NRV/BP/3899-13</v>
      </c>
      <c r="D51" s="85"/>
      <c r="E51" s="86"/>
      <c r="F51" s="15" t="s">
        <v>40</v>
      </c>
      <c r="G51" s="110">
        <f>G50</f>
        <v>44694</v>
      </c>
      <c r="H51" s="86"/>
      <c r="R51"/>
      <c r="S51" t="s">
        <v>246</v>
      </c>
      <c r="T51" t="s">
        <v>251</v>
      </c>
      <c r="U51" t="s">
        <v>259</v>
      </c>
      <c r="V51" t="s">
        <v>267</v>
      </c>
    </row>
    <row r="52" spans="1:24" s="18" customFormat="1" ht="31.5" customHeight="1">
      <c r="A52" s="113" t="s">
        <v>148</v>
      </c>
      <c r="B52" s="114"/>
      <c r="C52" s="84" t="s">
        <v>302</v>
      </c>
      <c r="D52" s="85"/>
      <c r="E52" s="86"/>
      <c r="F52" s="15" t="s">
        <v>40</v>
      </c>
      <c r="G52" s="110">
        <f>G51</f>
        <v>44694</v>
      </c>
      <c r="H52" s="86"/>
      <c r="R52"/>
      <c r="S52" t="s">
        <v>247</v>
      </c>
      <c r="T52" t="s">
        <v>252</v>
      </c>
      <c r="U52" t="s">
        <v>249</v>
      </c>
      <c r="V52" t="s">
        <v>268</v>
      </c>
    </row>
    <row r="53" spans="1:24" s="18" customFormat="1" ht="15.75" customHeight="1">
      <c r="A53" s="115"/>
      <c r="B53" s="116"/>
      <c r="C53" s="84" t="s">
        <v>304</v>
      </c>
      <c r="D53" s="85"/>
      <c r="E53" s="85"/>
      <c r="F53" s="85"/>
      <c r="G53" s="85"/>
      <c r="H53" s="86"/>
      <c r="O53" s="84"/>
      <c r="P53" s="85"/>
      <c r="Q53" s="86"/>
      <c r="R53"/>
      <c r="S53" t="s">
        <v>248</v>
      </c>
      <c r="T53" t="s">
        <v>255</v>
      </c>
      <c r="U53" t="s">
        <v>262</v>
      </c>
    </row>
    <row r="54" spans="1:24" s="18" customFormat="1" hidden="1">
      <c r="A54" s="80" t="s">
        <v>272</v>
      </c>
      <c r="B54" s="81"/>
      <c r="C54" s="84" t="str">
        <f>C53</f>
        <v>G(st) + 1st to 12th Floor</v>
      </c>
      <c r="D54" s="85"/>
      <c r="E54" s="86"/>
      <c r="F54" s="15" t="s">
        <v>40</v>
      </c>
      <c r="G54" s="84"/>
      <c r="H54" s="86"/>
      <c r="R54"/>
      <c r="S54" t="s">
        <v>247</v>
      </c>
      <c r="T54" t="s">
        <v>252</v>
      </c>
      <c r="U54" t="s">
        <v>249</v>
      </c>
      <c r="V54" t="s">
        <v>268</v>
      </c>
    </row>
    <row r="55" spans="1:24" s="18" customFormat="1" ht="32.25" hidden="1" customHeight="1">
      <c r="A55" s="82"/>
      <c r="B55" s="83"/>
      <c r="C55" s="176"/>
      <c r="D55" s="177"/>
      <c r="E55" s="177"/>
      <c r="F55" s="177"/>
      <c r="G55" s="177"/>
      <c r="H55" s="178"/>
      <c r="R55"/>
      <c r="S55" t="s">
        <v>249</v>
      </c>
      <c r="T55" t="s">
        <v>253</v>
      </c>
      <c r="U55" t="s">
        <v>263</v>
      </c>
      <c r="V55" s="16"/>
      <c r="W55" s="16"/>
      <c r="X55" s="16"/>
    </row>
    <row r="56" spans="1:24" s="18" customFormat="1" ht="34.5" hidden="1" customHeight="1">
      <c r="A56" s="80" t="s">
        <v>273</v>
      </c>
      <c r="B56" s="81"/>
      <c r="C56" s="84">
        <f>C55</f>
        <v>0</v>
      </c>
      <c r="D56" s="85"/>
      <c r="E56" s="86"/>
      <c r="F56" s="15" t="s">
        <v>40</v>
      </c>
      <c r="G56" s="84">
        <f>G55</f>
        <v>0</v>
      </c>
      <c r="H56" s="86"/>
      <c r="R56"/>
      <c r="S56" s="16"/>
      <c r="T56" t="s">
        <v>254</v>
      </c>
      <c r="U56" t="s">
        <v>264</v>
      </c>
      <c r="V56" s="16"/>
      <c r="W56" s="16"/>
      <c r="X56" s="16"/>
    </row>
    <row r="57" spans="1:24" s="18" customFormat="1" ht="41.25" hidden="1" customHeight="1">
      <c r="A57" s="82"/>
      <c r="B57" s="83"/>
      <c r="C57" s="84"/>
      <c r="D57" s="85"/>
      <c r="E57" s="85"/>
      <c r="F57" s="85"/>
      <c r="G57" s="85"/>
      <c r="H57" s="86"/>
      <c r="R57"/>
      <c r="S57" s="16"/>
      <c r="T57" t="s">
        <v>256</v>
      </c>
      <c r="U57" t="s">
        <v>265</v>
      </c>
      <c r="V57" s="16"/>
      <c r="W57" s="16"/>
      <c r="X57" s="16"/>
    </row>
    <row r="58" spans="1:24" s="18" customFormat="1" ht="15.75" hidden="1" customHeight="1">
      <c r="A58" s="80" t="s">
        <v>274</v>
      </c>
      <c r="B58" s="81"/>
      <c r="C58" s="84">
        <f>C57</f>
        <v>0</v>
      </c>
      <c r="D58" s="85"/>
      <c r="E58" s="86"/>
      <c r="F58" s="15" t="s">
        <v>40</v>
      </c>
      <c r="G58" s="84">
        <f>G57</f>
        <v>0</v>
      </c>
      <c r="H58" s="86"/>
      <c r="R58"/>
      <c r="S58" s="16"/>
      <c r="T58" t="s">
        <v>257</v>
      </c>
      <c r="U58" s="16" t="s">
        <v>288</v>
      </c>
      <c r="V58" s="16"/>
      <c r="W58" s="16"/>
      <c r="X58" s="16"/>
    </row>
    <row r="59" spans="1:24" s="18" customFormat="1" ht="33.75" hidden="1" customHeight="1">
      <c r="A59" s="82"/>
      <c r="B59" s="83"/>
      <c r="C59" s="84"/>
      <c r="D59" s="85"/>
      <c r="E59" s="85"/>
      <c r="F59" s="85"/>
      <c r="G59" s="85"/>
      <c r="H59" s="86"/>
      <c r="R59"/>
      <c r="S59" s="16"/>
      <c r="T59" t="s">
        <v>258</v>
      </c>
      <c r="U59" s="16"/>
      <c r="V59" s="16"/>
      <c r="W59" s="16"/>
      <c r="X59" s="16"/>
    </row>
    <row r="60" spans="1:24">
      <c r="A60" s="99" t="s">
        <v>42</v>
      </c>
      <c r="B60" s="100"/>
      <c r="C60" s="99" t="s">
        <v>101</v>
      </c>
      <c r="D60" s="101"/>
      <c r="E60" s="100"/>
      <c r="F60" s="37" t="s">
        <v>40</v>
      </c>
      <c r="G60" s="78" t="s">
        <v>28</v>
      </c>
      <c r="H60" s="79"/>
      <c r="R60"/>
      <c r="T60" t="s">
        <v>260</v>
      </c>
    </row>
    <row r="61" spans="1:24">
      <c r="A61" s="111" t="s">
        <v>44</v>
      </c>
      <c r="B61" s="111"/>
      <c r="C61" s="111"/>
      <c r="D61" s="111"/>
      <c r="E61" s="111"/>
      <c r="F61" s="111"/>
      <c r="G61" s="111"/>
      <c r="H61" s="111"/>
      <c r="T61" t="s">
        <v>269</v>
      </c>
    </row>
    <row r="62" spans="1:24">
      <c r="A62" s="75" t="s">
        <v>87</v>
      </c>
      <c r="B62" s="75"/>
      <c r="C62" s="75"/>
      <c r="D62" s="72">
        <f>5871.24</f>
        <v>5871.24</v>
      </c>
      <c r="E62" s="72"/>
      <c r="F62" s="72"/>
      <c r="G62" s="72"/>
      <c r="H62" s="72"/>
      <c r="R62"/>
    </row>
    <row r="63" spans="1:24">
      <c r="A63" s="76" t="s">
        <v>45</v>
      </c>
      <c r="B63" s="77"/>
      <c r="C63" s="77"/>
      <c r="D63" s="77" t="s">
        <v>314</v>
      </c>
      <c r="E63" s="77"/>
      <c r="F63" s="77"/>
      <c r="G63" s="77"/>
      <c r="H63" s="77"/>
      <c r="I63" s="19"/>
      <c r="R63"/>
    </row>
    <row r="64" spans="1:24" ht="15" customHeight="1">
      <c r="A64" s="117" t="s">
        <v>46</v>
      </c>
      <c r="B64" s="118"/>
      <c r="C64" s="171"/>
      <c r="D64" s="169" t="s">
        <v>327</v>
      </c>
      <c r="E64" s="170"/>
      <c r="F64" s="170"/>
      <c r="G64" s="170"/>
      <c r="H64" s="170"/>
      <c r="R64"/>
    </row>
    <row r="65" spans="1:19" ht="15.75" customHeight="1">
      <c r="A65" s="117" t="s">
        <v>85</v>
      </c>
      <c r="B65" s="118"/>
      <c r="C65" s="118"/>
      <c r="D65" s="106" t="s">
        <v>327</v>
      </c>
      <c r="E65" s="119"/>
      <c r="F65" s="119"/>
      <c r="G65" s="119"/>
      <c r="H65" s="120"/>
      <c r="R65"/>
    </row>
    <row r="66" spans="1:19" ht="15.75" customHeight="1">
      <c r="A66" s="72" t="s">
        <v>43</v>
      </c>
      <c r="B66" s="72"/>
      <c r="C66" s="72"/>
      <c r="D66" s="75" t="s">
        <v>305</v>
      </c>
      <c r="E66" s="75"/>
      <c r="F66" s="75"/>
      <c r="G66" s="75"/>
      <c r="H66" s="75"/>
      <c r="J66" s="20"/>
      <c r="K66" s="19"/>
      <c r="N66" s="19"/>
      <c r="S66"/>
    </row>
    <row r="67" spans="1:19" ht="15.75" customHeight="1">
      <c r="A67" s="72" t="s">
        <v>83</v>
      </c>
      <c r="B67" s="72"/>
      <c r="C67" s="72"/>
      <c r="D67" s="166" t="str">
        <f>(IF(G60="NA","60 Years After Completion",IF(G60&lt;&gt;"NA",""&amp;60-ROUNDDOWN((E3-G60)/360,0)&amp;" Years"," ")))</f>
        <v>60 Years After Completion</v>
      </c>
      <c r="E67" s="166"/>
      <c r="F67" s="166"/>
      <c r="G67" s="166"/>
      <c r="H67" s="166"/>
      <c r="N67" s="19"/>
      <c r="S67"/>
    </row>
    <row r="68" spans="1:19" ht="15.75" customHeight="1">
      <c r="A68" s="72" t="s">
        <v>84</v>
      </c>
      <c r="B68" s="72"/>
      <c r="C68" s="72"/>
      <c r="D68" s="75" t="s">
        <v>23</v>
      </c>
      <c r="E68" s="75"/>
      <c r="F68" s="75"/>
      <c r="G68" s="75"/>
      <c r="H68" s="75"/>
      <c r="J68" s="21"/>
      <c r="K68" s="21"/>
      <c r="S68"/>
    </row>
    <row r="69" spans="1:19">
      <c r="A69" s="77" t="s">
        <v>328</v>
      </c>
      <c r="B69" s="77"/>
      <c r="C69" s="77"/>
      <c r="D69" s="76" t="s">
        <v>306</v>
      </c>
      <c r="E69" s="75"/>
      <c r="F69" s="75"/>
      <c r="G69" s="75"/>
      <c r="H69" s="75"/>
      <c r="S69"/>
    </row>
    <row r="70" spans="1:19">
      <c r="A70" s="75" t="s">
        <v>143</v>
      </c>
      <c r="B70" s="75"/>
      <c r="C70" s="75"/>
      <c r="D70" s="75" t="s">
        <v>28</v>
      </c>
      <c r="E70" s="75"/>
      <c r="F70" s="75"/>
      <c r="G70" s="75"/>
      <c r="H70" s="75"/>
      <c r="I70" s="22"/>
      <c r="J70" s="22"/>
      <c r="K70" s="22"/>
      <c r="L70" s="22"/>
      <c r="M70" s="22"/>
      <c r="N70" s="22"/>
    </row>
    <row r="71" spans="1:19" ht="15.75" customHeight="1">
      <c r="A71" s="72" t="s">
        <v>82</v>
      </c>
      <c r="B71" s="72"/>
      <c r="C71" s="72"/>
      <c r="D71" s="76" t="str">
        <f ca="1">(IF(G77&gt;95%,"Nothing",IF(G77&gt;0%,"Cement, Aggregate, Steel, etc",IF(G77=0%,"Work not yet Started"))))</f>
        <v>Cement, Aggregate, Steel, etc</v>
      </c>
      <c r="E71" s="76"/>
      <c r="F71" s="76"/>
      <c r="G71" s="76"/>
      <c r="H71" s="76"/>
      <c r="J71" s="21"/>
      <c r="S71"/>
    </row>
    <row r="72" spans="1:19" ht="33.75" customHeight="1" thickBot="1">
      <c r="A72" s="75" t="s">
        <v>114</v>
      </c>
      <c r="B72" s="75"/>
      <c r="C72" s="75"/>
      <c r="D72" s="76" t="str">
        <f ca="1">(IF(D71="Nothing","Yes",IF(D71="Cement, Aggregate, Steel, etc","Under Construction",IF(D71="Work not yet Started","Work not yet Started"))))</f>
        <v>Under Construction</v>
      </c>
      <c r="E72" s="76"/>
      <c r="F72" s="76" t="str">
        <f ca="1">(IF(D71="Nothing","Yes",IF(D71="Cement, Aggregate, Steel, etc","Under Construction",IF(D71="Work not yet Started","Work not yet Started"))))</f>
        <v>Under Construction</v>
      </c>
      <c r="G72" s="76"/>
      <c r="H72" s="76"/>
      <c r="S72"/>
    </row>
    <row r="73" spans="1:19" ht="15.75" customHeight="1">
      <c r="A73" s="140" t="s">
        <v>135</v>
      </c>
      <c r="B73" s="140"/>
      <c r="C73" s="140" t="str">
        <f>D65</f>
        <v xml:space="preserve">Wing F = G + 1st to 12th Floor
</v>
      </c>
      <c r="D73" s="140"/>
      <c r="E73" s="140"/>
      <c r="F73" s="140"/>
      <c r="G73" s="140"/>
      <c r="H73" s="140"/>
      <c r="I73" s="69" t="str">
        <f ca="1">IF(D86=100%,"All work Completed. Possession granted to the Building.",IF(D85=100%,"All work Completed, Waiting for OC",I74&amp;""&amp;I75&amp;""&amp;J74&amp;""&amp;J73&amp;" "&amp;J75))</f>
        <v>Excavation, Plinth, RCC Slab, Brickwork, Internal Plaster, External Plaster Completed, Flooring upto 11 Floor, Painting upto 10 Floor, Finishing upto 2 Floor Completed</v>
      </c>
      <c r="J73" s="39"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Flooring upto 11 Floor, Painting upto 10 Floor, Finishing upto 2 Floor</v>
      </c>
      <c r="S73"/>
    </row>
    <row r="74" spans="1:19">
      <c r="A74" s="41" t="s">
        <v>137</v>
      </c>
      <c r="B74" s="41">
        <f>IF(AND(ISNUMBER(SEARCH("1B",C73))),1,IF(AND(ISNUMBER(SEARCH("2B",C73))),2,IF(AND(ISNUMBER(SEARCH("3B",C73))),3,IF(AND(ISNUMBER(SEARCH("4B",C73))),4,IF(ISNUMBER(SEARCH("5B",C73)),5,0)))))</f>
        <v>0</v>
      </c>
      <c r="C74" s="41" t="s">
        <v>69</v>
      </c>
      <c r="D74" s="41">
        <v>1</v>
      </c>
      <c r="E74" s="41" t="s">
        <v>68</v>
      </c>
      <c r="F74" s="41">
        <v>0</v>
      </c>
      <c r="G74" s="41" t="s">
        <v>76</v>
      </c>
      <c r="H74" s="41">
        <f ca="1">--TRIM(RIGHT(SUBSTITUTE(LEFT(C73,_xlfn.AGGREGATE(16,6,FIND({0,1,2,3,4,5,6,7,8,9},C73,ROW(INDIRECT("1:"&amp;LEN(C73)))),1))," ",REPT(" ",LEN(C73))),LEN(C73)))</f>
        <v>12</v>
      </c>
      <c r="I74" s="70" t="str">
        <f ca="1">IF(D77=100%,"Excavation","")&amp;IF(D78=100%,", Plinth","")&amp;IF(D79=100%,", RCC Slab","")&amp;IF(D80=100%,", Brickwork","")&amp;IF(D81=100%,", Internal Plaster","")&amp;IF(D82=100%,", External Plaster","")&amp;IF(D83=100%,", Flooring","")&amp;IF(D84=100%,", Painting","")&amp;IF(D85=100%,", Building common Amenities","")</f>
        <v>Excavation, Plinth, RCC Slab, Brickwork, Internal Plaster, External Plaster</v>
      </c>
      <c r="J74" s="40"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49" customHeight="1">
      <c r="A75" s="168" t="s">
        <v>86</v>
      </c>
      <c r="B75" s="168"/>
      <c r="C75" s="140" t="str">
        <f ca="1">I73</f>
        <v>Excavation, Plinth, RCC Slab, Brickwork, Internal Plaster, External Plaster Completed, Flooring upto 11 Floor, Painting upto 10 Floor, Finishing upto 2 Floor Completed</v>
      </c>
      <c r="D75" s="140"/>
      <c r="E75" s="140"/>
      <c r="F75" s="140"/>
      <c r="G75" s="140"/>
      <c r="H75" s="140"/>
      <c r="I75" s="70" t="str">
        <f ca="1">IF(I74&lt;&gt;""," Completed","")</f>
        <v xml:space="preserve"> Completed</v>
      </c>
      <c r="J75" s="40" t="str">
        <f ca="1">IF(J73&lt;&gt;"","Completed","")</f>
        <v>Completed</v>
      </c>
      <c r="S75"/>
    </row>
    <row r="76" spans="1:19" ht="15.75" customHeight="1">
      <c r="A76" s="104" t="s">
        <v>47</v>
      </c>
      <c r="B76" s="105"/>
      <c r="C76" s="61" t="s">
        <v>134</v>
      </c>
      <c r="D76" s="61" t="s">
        <v>79</v>
      </c>
      <c r="E76" s="105" t="s">
        <v>81</v>
      </c>
      <c r="F76" s="105"/>
      <c r="G76" s="105" t="s">
        <v>80</v>
      </c>
      <c r="H76" s="141"/>
      <c r="I76" s="13" t="s">
        <v>136</v>
      </c>
      <c r="J76" s="23">
        <f ca="1">H74*25%</f>
        <v>3</v>
      </c>
      <c r="S76"/>
    </row>
    <row r="77" spans="1:19">
      <c r="A77" s="104" t="s">
        <v>123</v>
      </c>
      <c r="B77" s="105"/>
      <c r="C77" s="61">
        <f ca="1">J78</f>
        <v>12</v>
      </c>
      <c r="D77" s="62">
        <f ca="1">((100/H74)*C77)/100</f>
        <v>1</v>
      </c>
      <c r="E77" s="142">
        <f ca="1">(((C78/H74*10)+(40/(D74+F74+H74)*C79)+(7.5/(H74)*C80)+(7.5/(H74)*C81)+(10/H74*C82)+(10/H74*C83)+(5/H74*C84)+(5/H74*C85)+(5/H74*C86))/100)</f>
        <v>0.89166666666666672</v>
      </c>
      <c r="F77" s="143"/>
      <c r="G77" s="142">
        <f ca="1">((((C77/H74)*20)+((C78/H74)*25)+(30/(H74+F74+D74)*C79)+(5/H74*C80)+(5/H74*C81)+(5/H74*C82)+(5/H74*C83)+(0/H74*C84)+(0/H74*C85)+(5/H74*C86))/100)</f>
        <v>0.9458333333333333</v>
      </c>
      <c r="H77" s="148"/>
      <c r="I77" s="13" t="s">
        <v>96</v>
      </c>
      <c r="J77" s="24">
        <f ca="1">H74*50%</f>
        <v>6</v>
      </c>
    </row>
    <row r="78" spans="1:19">
      <c r="A78" s="104" t="s">
        <v>48</v>
      </c>
      <c r="B78" s="105"/>
      <c r="C78" s="61">
        <f ca="1">J86</f>
        <v>12</v>
      </c>
      <c r="D78" s="62">
        <f ca="1">((100/H74)*C78)/100</f>
        <v>1</v>
      </c>
      <c r="E78" s="144"/>
      <c r="F78" s="145"/>
      <c r="G78" s="144"/>
      <c r="H78" s="149"/>
      <c r="I78" s="13" t="s">
        <v>97</v>
      </c>
      <c r="J78" s="24">
        <f ca="1">H74</f>
        <v>12</v>
      </c>
      <c r="S78"/>
    </row>
    <row r="79" spans="1:19" ht="15.75" customHeight="1">
      <c r="A79" s="104" t="s">
        <v>124</v>
      </c>
      <c r="B79" s="105"/>
      <c r="C79" s="61">
        <v>13</v>
      </c>
      <c r="D79" s="62">
        <f ca="1">((100/(D74+F74+H74))*C79)/100</f>
        <v>1</v>
      </c>
      <c r="E79" s="144"/>
      <c r="F79" s="145"/>
      <c r="G79" s="144"/>
      <c r="H79" s="149"/>
      <c r="I79" s="13" t="s">
        <v>98</v>
      </c>
      <c r="J79" s="25">
        <f ca="1">(IF(B74&gt;1,(H74/(B74+2)),H74/4))</f>
        <v>3</v>
      </c>
      <c r="S79"/>
    </row>
    <row r="80" spans="1:19" ht="15.75" customHeight="1">
      <c r="A80" s="104" t="s">
        <v>131</v>
      </c>
      <c r="B80" s="105" t="s">
        <v>125</v>
      </c>
      <c r="C80" s="61">
        <v>12</v>
      </c>
      <c r="D80" s="62">
        <f ca="1">((100/H74)*C80)/100</f>
        <v>1</v>
      </c>
      <c r="E80" s="144"/>
      <c r="F80" s="145"/>
      <c r="G80" s="144"/>
      <c r="H80" s="149"/>
      <c r="I80" s="13" t="s">
        <v>99</v>
      </c>
      <c r="J80" s="25">
        <f ca="1">(IF(B74&gt;1,(H74/(B74+2)+J79),H74/4+J79))</f>
        <v>6</v>
      </c>
    </row>
    <row r="81" spans="1:22" ht="15.75" customHeight="1">
      <c r="A81" s="104" t="s">
        <v>132</v>
      </c>
      <c r="B81" s="105" t="s">
        <v>125</v>
      </c>
      <c r="C81" s="61">
        <v>12</v>
      </c>
      <c r="D81" s="62">
        <f ca="1">((100/H74)*C81)/100</f>
        <v>1</v>
      </c>
      <c r="E81" s="144"/>
      <c r="F81" s="145"/>
      <c r="G81" s="144"/>
      <c r="H81" s="149"/>
      <c r="I81" s="13" t="s">
        <v>141</v>
      </c>
      <c r="J81" s="25">
        <f>(IF(B74&gt;1,(H74/(B74+2)+J80),0))</f>
        <v>0</v>
      </c>
    </row>
    <row r="82" spans="1:22" ht="15" customHeight="1">
      <c r="A82" s="104" t="s">
        <v>130</v>
      </c>
      <c r="B82" s="105" t="s">
        <v>127</v>
      </c>
      <c r="C82" s="61">
        <v>12</v>
      </c>
      <c r="D82" s="62">
        <f ca="1">((100/(H74))*C82)/100</f>
        <v>1</v>
      </c>
      <c r="E82" s="144"/>
      <c r="F82" s="145"/>
      <c r="G82" s="144"/>
      <c r="H82" s="149"/>
      <c r="I82" s="13" t="s">
        <v>138</v>
      </c>
      <c r="J82" s="25">
        <f>(IF(B74&gt;2,(H74/(B74+2)+J81),0))</f>
        <v>0</v>
      </c>
    </row>
    <row r="83" spans="1:22" ht="15.75" customHeight="1">
      <c r="A83" s="104" t="s">
        <v>126</v>
      </c>
      <c r="B83" s="105" t="s">
        <v>126</v>
      </c>
      <c r="C83" s="61">
        <v>11</v>
      </c>
      <c r="D83" s="62">
        <f ca="1">((100/H74)*C83)/100</f>
        <v>0.91666666666666674</v>
      </c>
      <c r="E83" s="144"/>
      <c r="F83" s="145"/>
      <c r="G83" s="144"/>
      <c r="H83" s="149"/>
      <c r="I83" s="13" t="s">
        <v>139</v>
      </c>
      <c r="J83" s="26">
        <f>(IF(B74&gt;3,(H74/(B74+2)+J82),0))</f>
        <v>0</v>
      </c>
    </row>
    <row r="84" spans="1:22" ht="15.75" customHeight="1">
      <c r="A84" s="104" t="s">
        <v>133</v>
      </c>
      <c r="B84" s="105"/>
      <c r="C84" s="61">
        <v>10</v>
      </c>
      <c r="D84" s="62">
        <f ca="1">((100/H74)*C84)/100</f>
        <v>0.83333333333333348</v>
      </c>
      <c r="E84" s="144"/>
      <c r="F84" s="145"/>
      <c r="G84" s="144"/>
      <c r="H84" s="149"/>
      <c r="I84" s="13" t="s">
        <v>140</v>
      </c>
      <c r="J84" s="25">
        <f>(IF(B74&gt;4,(H74/(B74+2)+J83),0))</f>
        <v>0</v>
      </c>
    </row>
    <row r="85" spans="1:22" ht="15.75" customHeight="1">
      <c r="A85" s="104" t="s">
        <v>128</v>
      </c>
      <c r="B85" s="105" t="s">
        <v>128</v>
      </c>
      <c r="C85" s="61">
        <v>2</v>
      </c>
      <c r="D85" s="62">
        <f ca="1">((100/(H74))*C85)/100</f>
        <v>0.16666666666666669</v>
      </c>
      <c r="E85" s="144"/>
      <c r="F85" s="145"/>
      <c r="G85" s="144"/>
      <c r="H85" s="149"/>
      <c r="I85" s="13" t="s">
        <v>142</v>
      </c>
      <c r="J85" s="25">
        <f ca="1">(IF(B74=1,(H74/(B74+3)+J80),IF(B74=0,(H74/4+J80),IF(B74&gt;1,0))))</f>
        <v>9</v>
      </c>
    </row>
    <row r="86" spans="1:22" ht="16" thickBot="1">
      <c r="A86" s="151" t="s">
        <v>129</v>
      </c>
      <c r="B86" s="152"/>
      <c r="C86" s="63">
        <v>0</v>
      </c>
      <c r="D86" s="64">
        <f ca="1">((100/(H74))*C86)/100</f>
        <v>0</v>
      </c>
      <c r="E86" s="146"/>
      <c r="F86" s="147"/>
      <c r="G86" s="146"/>
      <c r="H86" s="150"/>
      <c r="I86" s="14" t="s">
        <v>100</v>
      </c>
      <c r="J86" s="27">
        <f ca="1">(IF(B74&gt;1.5,(H74/(B74+2)+J80+MAX(0,J81-J80)+MAX(0,J82-J81)+MAX(0,J83-J82)+MAX(0,J84-J83)+MAX(0,J85-J84)),IF(B74=1,(H74/(B74+3)+J85),IF(B74=0,H74/4+J85))))</f>
        <v>12</v>
      </c>
    </row>
    <row r="87" spans="1:22">
      <c r="A87" s="182" t="s">
        <v>149</v>
      </c>
      <c r="B87" s="182"/>
      <c r="C87" s="182"/>
      <c r="D87" s="182"/>
      <c r="E87" s="182"/>
      <c r="F87" s="188" t="s">
        <v>153</v>
      </c>
      <c r="G87" s="188"/>
      <c r="H87" s="188"/>
      <c r="R87" t="s">
        <v>244</v>
      </c>
      <c r="S87" t="s">
        <v>165</v>
      </c>
      <c r="T87" t="s">
        <v>170</v>
      </c>
      <c r="U87" t="s">
        <v>185</v>
      </c>
      <c r="V87" t="s">
        <v>180</v>
      </c>
    </row>
    <row r="88" spans="1:22" ht="15.75" customHeight="1">
      <c r="A88" s="72" t="s">
        <v>151</v>
      </c>
      <c r="B88" s="72"/>
      <c r="C88" s="72"/>
      <c r="D88" s="72"/>
      <c r="E88" s="72"/>
      <c r="F88" s="73">
        <v>4300</v>
      </c>
      <c r="G88" s="73"/>
      <c r="H88" s="73"/>
      <c r="I88" s="16" t="s">
        <v>342</v>
      </c>
      <c r="R88"/>
      <c r="S88">
        <v>800000</v>
      </c>
      <c r="T88">
        <v>100000</v>
      </c>
      <c r="U88">
        <v>100000</v>
      </c>
      <c r="V88">
        <v>100000</v>
      </c>
    </row>
    <row r="89" spans="1:22" hidden="1">
      <c r="A89" s="72" t="s">
        <v>150</v>
      </c>
      <c r="B89" s="72"/>
      <c r="C89" s="72"/>
      <c r="D89" s="72"/>
      <c r="E89" s="72"/>
      <c r="F89" s="73"/>
      <c r="G89" s="73"/>
      <c r="H89" s="73"/>
      <c r="R89"/>
      <c r="S89">
        <v>900000</v>
      </c>
      <c r="T89">
        <v>150000</v>
      </c>
      <c r="U89">
        <v>150000</v>
      </c>
      <c r="V89">
        <v>150000</v>
      </c>
    </row>
    <row r="90" spans="1:22" hidden="1">
      <c r="A90" s="72" t="s">
        <v>152</v>
      </c>
      <c r="B90" s="72"/>
      <c r="C90" s="72"/>
      <c r="D90" s="72"/>
      <c r="E90" s="72"/>
      <c r="F90" s="73"/>
      <c r="G90" s="73"/>
      <c r="H90" s="73"/>
      <c r="R90"/>
      <c r="S90">
        <v>1000000</v>
      </c>
      <c r="T90">
        <v>200000</v>
      </c>
      <c r="U90">
        <v>200000</v>
      </c>
      <c r="V90">
        <v>200000</v>
      </c>
    </row>
    <row r="91" spans="1:22" s="28" customFormat="1" hidden="1">
      <c r="A91" s="72" t="s">
        <v>168</v>
      </c>
      <c r="B91" s="72"/>
      <c r="C91" s="72"/>
      <c r="D91" s="72"/>
      <c r="E91" s="72"/>
      <c r="F91" s="73"/>
      <c r="G91" s="73"/>
      <c r="H91" s="73"/>
      <c r="R91"/>
      <c r="S91">
        <v>1100000</v>
      </c>
      <c r="T91">
        <v>250000</v>
      </c>
      <c r="U91">
        <v>250000</v>
      </c>
      <c r="V91" s="18">
        <v>250000</v>
      </c>
    </row>
    <row r="92" spans="1:22" s="28" customFormat="1" hidden="1">
      <c r="A92" s="72" t="s">
        <v>91</v>
      </c>
      <c r="B92" s="72"/>
      <c r="C92" s="72"/>
      <c r="D92" s="72"/>
      <c r="E92" s="72"/>
      <c r="F92" s="73"/>
      <c r="G92" s="73"/>
      <c r="H92" s="73"/>
      <c r="R92"/>
      <c r="S92">
        <v>1200000</v>
      </c>
      <c r="T92">
        <v>300000</v>
      </c>
      <c r="U92">
        <v>300000</v>
      </c>
      <c r="V92">
        <v>300000</v>
      </c>
    </row>
    <row r="93" spans="1:22" s="28" customFormat="1">
      <c r="A93" s="72" t="s">
        <v>336</v>
      </c>
      <c r="B93" s="72"/>
      <c r="C93" s="72"/>
      <c r="D93" s="72"/>
      <c r="E93" s="72"/>
      <c r="F93" s="73">
        <v>250000</v>
      </c>
      <c r="G93" s="73"/>
      <c r="H93" s="73"/>
      <c r="I93" s="28" t="s">
        <v>337</v>
      </c>
      <c r="R93"/>
      <c r="S93">
        <v>1300000</v>
      </c>
      <c r="T93">
        <v>350000</v>
      </c>
      <c r="U93">
        <v>350000</v>
      </c>
      <c r="V93" s="18">
        <v>400000</v>
      </c>
    </row>
    <row r="94" spans="1:22" s="28" customFormat="1" hidden="1">
      <c r="A94" s="72" t="s">
        <v>92</v>
      </c>
      <c r="B94" s="72"/>
      <c r="C94" s="72"/>
      <c r="D94" s="72"/>
      <c r="E94" s="72"/>
      <c r="F94" s="73"/>
      <c r="G94" s="73"/>
      <c r="H94" s="73"/>
      <c r="R94"/>
      <c r="S94">
        <v>1400000</v>
      </c>
      <c r="T94">
        <v>400000</v>
      </c>
      <c r="U94">
        <v>400000</v>
      </c>
      <c r="V94"/>
    </row>
    <row r="95" spans="1:22" s="28" customFormat="1" hidden="1">
      <c r="A95" s="72" t="s">
        <v>93</v>
      </c>
      <c r="B95" s="72"/>
      <c r="C95" s="72"/>
      <c r="D95" s="72"/>
      <c r="E95" s="72"/>
      <c r="F95" s="73"/>
      <c r="G95" s="73"/>
      <c r="H95" s="73"/>
      <c r="R95"/>
      <c r="S95">
        <v>1500000</v>
      </c>
      <c r="T95">
        <v>500000</v>
      </c>
      <c r="U95">
        <v>500000</v>
      </c>
      <c r="V95" s="18"/>
    </row>
    <row r="96" spans="1:22" s="28" customFormat="1" hidden="1">
      <c r="A96" s="72" t="s">
        <v>94</v>
      </c>
      <c r="B96" s="72"/>
      <c r="C96" s="72"/>
      <c r="D96" s="72"/>
      <c r="E96" s="72"/>
      <c r="F96" s="73"/>
      <c r="G96" s="73"/>
      <c r="H96" s="73"/>
      <c r="R96"/>
      <c r="S96">
        <v>1600000</v>
      </c>
      <c r="T96">
        <v>600000</v>
      </c>
      <c r="U96">
        <v>600000</v>
      </c>
      <c r="V96"/>
    </row>
    <row r="97" spans="1:22" s="28" customFormat="1" hidden="1">
      <c r="A97" s="72" t="s">
        <v>95</v>
      </c>
      <c r="B97" s="72"/>
      <c r="C97" s="72"/>
      <c r="D97" s="72"/>
      <c r="E97" s="72"/>
      <c r="F97" s="73"/>
      <c r="G97" s="73"/>
      <c r="H97" s="73"/>
      <c r="R97"/>
      <c r="S97">
        <v>1700000</v>
      </c>
      <c r="T97">
        <v>700000</v>
      </c>
      <c r="U97"/>
      <c r="V97" s="18"/>
    </row>
    <row r="98" spans="1:22">
      <c r="A98" s="72" t="s">
        <v>49</v>
      </c>
      <c r="B98" s="72"/>
      <c r="C98" s="72"/>
      <c r="D98" s="72"/>
      <c r="E98" s="72"/>
      <c r="F98" s="73">
        <v>200000</v>
      </c>
      <c r="G98" s="73"/>
      <c r="H98" s="73"/>
      <c r="R98"/>
      <c r="S98">
        <v>1800000</v>
      </c>
      <c r="T98">
        <v>800000</v>
      </c>
      <c r="U98"/>
    </row>
    <row r="99" spans="1:22" s="29" customFormat="1">
      <c r="A99" s="74" t="s">
        <v>50</v>
      </c>
      <c r="B99" s="74"/>
      <c r="C99" s="74"/>
      <c r="D99" s="74"/>
      <c r="E99" s="74"/>
      <c r="F99" s="73">
        <f>F88*0.8</f>
        <v>3440</v>
      </c>
      <c r="G99" s="73"/>
      <c r="H99" s="73"/>
      <c r="R99" s="16"/>
      <c r="S99" s="16"/>
      <c r="T99">
        <v>900000</v>
      </c>
      <c r="U99"/>
      <c r="V99" s="16"/>
    </row>
    <row r="100" spans="1:22" s="30" customFormat="1">
      <c r="A100" s="93" t="s">
        <v>67</v>
      </c>
      <c r="B100" s="93"/>
      <c r="C100" s="93"/>
      <c r="D100" s="93"/>
      <c r="E100" s="93"/>
      <c r="F100" s="93"/>
      <c r="G100" s="93"/>
      <c r="H100" s="93"/>
      <c r="T100">
        <v>1000000</v>
      </c>
    </row>
    <row r="101" spans="1:22" s="30" customFormat="1" ht="15.75" customHeight="1">
      <c r="A101" s="94" t="s">
        <v>51</v>
      </c>
      <c r="B101" s="94"/>
      <c r="C101" s="102" t="s">
        <v>74</v>
      </c>
      <c r="D101" s="102"/>
      <c r="E101" s="189" t="s">
        <v>52</v>
      </c>
      <c r="F101" s="189"/>
      <c r="G101" s="94" t="s">
        <v>53</v>
      </c>
      <c r="H101" s="94"/>
      <c r="T101"/>
    </row>
    <row r="102" spans="1:22" s="30" customFormat="1">
      <c r="A102" s="92" t="s">
        <v>313</v>
      </c>
      <c r="B102" s="92"/>
      <c r="C102" s="95">
        <f>COUNT(D112:D118)+COUNT(D120)+COUNT(D122:D130)*10+COUNT(D132)+COUNT(D134:D140)</f>
        <v>106</v>
      </c>
      <c r="D102" s="95"/>
      <c r="E102" s="95">
        <f>SUM(F112:F118)+SUM(F120)+SUM(F122:F130)*10+SUM(F132)+SUM(F134:F140)</f>
        <v>48365.773559999994</v>
      </c>
      <c r="F102" s="95"/>
      <c r="G102" s="95">
        <f>SUM(H112:H118)+SUM(H120)+SUM(H122:H130)*10+SUM(H132)+SUM(H134:H140)</f>
        <v>71700</v>
      </c>
      <c r="H102" s="95"/>
      <c r="T102"/>
    </row>
    <row r="103" spans="1:22" s="30" customFormat="1" ht="16" thickBot="1">
      <c r="A103" s="187" t="s">
        <v>144</v>
      </c>
      <c r="B103" s="187"/>
      <c r="C103" s="122">
        <f>SUM(C102)</f>
        <v>106</v>
      </c>
      <c r="D103" s="123"/>
      <c r="E103" s="122">
        <f>SUM(E102)</f>
        <v>48365.773559999994</v>
      </c>
      <c r="F103" s="123"/>
      <c r="G103" s="122">
        <f>SUM(G102)</f>
        <v>71700</v>
      </c>
      <c r="H103" s="123"/>
      <c r="T103"/>
    </row>
    <row r="104" spans="1:22" s="30" customFormat="1" ht="16" thickBot="1">
      <c r="A104" s="124" t="s">
        <v>159</v>
      </c>
      <c r="B104" s="125"/>
      <c r="C104" s="126">
        <f>SUM(C103)</f>
        <v>106</v>
      </c>
      <c r="D104" s="126"/>
      <c r="E104" s="126">
        <f>SUM(E103)</f>
        <v>48365.773559999994</v>
      </c>
      <c r="F104" s="126"/>
      <c r="G104" s="126">
        <f>SUM(G103)</f>
        <v>71700</v>
      </c>
      <c r="H104" s="126"/>
      <c r="T104"/>
    </row>
    <row r="105" spans="1:22" s="29" customFormat="1">
      <c r="A105" s="188" t="s">
        <v>54</v>
      </c>
      <c r="B105" s="188"/>
      <c r="C105" s="188"/>
      <c r="D105" s="188"/>
      <c r="E105" s="188"/>
      <c r="F105" s="188"/>
      <c r="G105" s="188"/>
      <c r="H105" s="188"/>
      <c r="T105"/>
    </row>
    <row r="106" spans="1:22">
      <c r="A106" s="98" t="s">
        <v>167</v>
      </c>
      <c r="B106" s="98"/>
      <c r="C106" s="98"/>
      <c r="D106" s="98"/>
      <c r="E106" s="98"/>
      <c r="F106" s="98"/>
      <c r="G106" s="98"/>
      <c r="H106" s="98"/>
      <c r="T106"/>
    </row>
    <row r="107" spans="1:22" ht="47.25" customHeight="1">
      <c r="A107" s="190" t="s">
        <v>115</v>
      </c>
      <c r="B107" s="90" t="s">
        <v>169</v>
      </c>
      <c r="C107" s="90" t="s">
        <v>55</v>
      </c>
      <c r="D107" s="90" t="s">
        <v>223</v>
      </c>
      <c r="E107" s="90" t="s">
        <v>330</v>
      </c>
      <c r="F107" s="90" t="s">
        <v>56</v>
      </c>
      <c r="G107" s="174" t="s">
        <v>57</v>
      </c>
      <c r="H107" s="45" t="s">
        <v>333</v>
      </c>
      <c r="I107" s="31"/>
      <c r="T107" s="30"/>
    </row>
    <row r="108" spans="1:22" s="32" customFormat="1" hidden="1">
      <c r="A108" s="191"/>
      <c r="B108" s="91"/>
      <c r="C108" s="91"/>
      <c r="D108" s="91"/>
      <c r="E108" s="91"/>
      <c r="F108" s="91"/>
      <c r="G108" s="175"/>
      <c r="H108" s="66">
        <v>0.5</v>
      </c>
      <c r="I108" s="31"/>
      <c r="T108" s="30"/>
    </row>
    <row r="109" spans="1:22" s="59" customFormat="1">
      <c r="A109" s="153" t="s">
        <v>335</v>
      </c>
      <c r="B109" s="154"/>
      <c r="C109" s="154"/>
      <c r="D109" s="154"/>
      <c r="E109" s="154"/>
      <c r="F109" s="154"/>
      <c r="G109" s="154"/>
      <c r="H109" s="155"/>
      <c r="J109" s="31"/>
      <c r="T109" s="30"/>
    </row>
    <row r="110" spans="1:22" s="32" customFormat="1">
      <c r="A110" s="112" t="s">
        <v>308</v>
      </c>
      <c r="B110" s="112"/>
      <c r="C110" s="112"/>
      <c r="D110" s="112"/>
      <c r="E110" s="112"/>
      <c r="F110" s="112"/>
      <c r="G110" s="112"/>
      <c r="H110" s="112"/>
      <c r="J110" s="31"/>
      <c r="T110" s="30"/>
    </row>
    <row r="111" spans="1:22" s="32" customFormat="1">
      <c r="A111" s="112" t="s">
        <v>329</v>
      </c>
      <c r="B111" s="112"/>
      <c r="C111" s="112"/>
      <c r="D111" s="112"/>
      <c r="E111" s="112"/>
      <c r="F111" s="112"/>
      <c r="G111" s="112"/>
      <c r="H111" s="112"/>
      <c r="I111" s="31"/>
      <c r="L111" s="172"/>
      <c r="M111" s="172"/>
      <c r="T111" s="30"/>
    </row>
    <row r="112" spans="1:22" s="32" customFormat="1">
      <c r="A112" s="87">
        <f>LEFT(A111,SUM(LEN(A111)-LEN(SUBSTITUTE(A111,{"0","1","2","3","4","5","6","7","8","9"},""))))*100+1</f>
        <v>101</v>
      </c>
      <c r="B112" s="87"/>
      <c r="C112" s="68" t="s">
        <v>309</v>
      </c>
      <c r="D112" s="57">
        <f>(33.11)*(10.764)</f>
        <v>356.39603999999997</v>
      </c>
      <c r="E112" s="57">
        <f>(2.7+3.94)*(10.764)</f>
        <v>71.47296</v>
      </c>
      <c r="F112" s="68">
        <f>D112+E112</f>
        <v>427.86899999999997</v>
      </c>
      <c r="G112" s="68">
        <v>0</v>
      </c>
      <c r="H112" s="68">
        <v>635</v>
      </c>
      <c r="I112" s="55">
        <f>(2.75*4.65+2.3*2.3+3*2.75+1.25*1.5+0.95*1.2+0.9*2.3)</f>
        <v>31.412500000000001</v>
      </c>
      <c r="J112" s="55">
        <f>2.75*1+0.75*(2.3+3)</f>
        <v>6.7249999999999996</v>
      </c>
      <c r="K112" s="65">
        <f>0.75*(2.3+3)</f>
        <v>3.9749999999999996</v>
      </c>
      <c r="L112" s="57">
        <f>10.764</f>
        <v>10.763999999999999</v>
      </c>
      <c r="M112" s="183" t="s">
        <v>331</v>
      </c>
      <c r="N112" s="172"/>
      <c r="O112" s="172"/>
    </row>
    <row r="113" spans="1:20" s="32" customFormat="1">
      <c r="A113" s="87">
        <f>A112+1</f>
        <v>102</v>
      </c>
      <c r="B113" s="87"/>
      <c r="C113" s="68" t="s">
        <v>309</v>
      </c>
      <c r="D113" s="57">
        <f>(30.91)*(10.764)</f>
        <v>332.71523999999999</v>
      </c>
      <c r="E113" s="57">
        <f>(5.45+3.34)*(10.764)</f>
        <v>94.615559999999988</v>
      </c>
      <c r="F113" s="68">
        <f>D113+E113</f>
        <v>427.33079999999995</v>
      </c>
      <c r="G113" s="68">
        <v>0</v>
      </c>
      <c r="H113" s="68">
        <v>635</v>
      </c>
      <c r="I113" s="31"/>
      <c r="N113" s="31"/>
    </row>
    <row r="114" spans="1:20" s="32" customFormat="1">
      <c r="A114" s="87">
        <f>A113+1</f>
        <v>103</v>
      </c>
      <c r="B114" s="87"/>
      <c r="C114" s="68" t="s">
        <v>310</v>
      </c>
      <c r="D114" s="57">
        <f>(43.42)*(10.764)</f>
        <v>467.37288000000001</v>
      </c>
      <c r="E114" s="57">
        <f>(2.7+5.7)*(10.764)</f>
        <v>90.417599999999993</v>
      </c>
      <c r="F114" s="68">
        <f>D114+E114</f>
        <v>557.79048</v>
      </c>
      <c r="G114" s="68">
        <v>0</v>
      </c>
      <c r="H114" s="68">
        <v>825</v>
      </c>
      <c r="I114" s="55">
        <f>(3.65*2.75+2.1*2.3+2.75*3.3+2.75*3.3+1.2*2.1+1.2*2.1+0.9*3.35)</f>
        <v>41.072500000000005</v>
      </c>
      <c r="J114" s="55">
        <f>1*2.75+0.75*(2.75+2.1+2.75)</f>
        <v>8.4499999999999993</v>
      </c>
      <c r="N114" s="31"/>
    </row>
    <row r="115" spans="1:20" s="32" customFormat="1">
      <c r="A115" s="87">
        <f>A114+1</f>
        <v>104</v>
      </c>
      <c r="B115" s="87"/>
      <c r="C115" s="68" t="s">
        <v>309</v>
      </c>
      <c r="D115" s="57">
        <f>(33.62)*(10.764)</f>
        <v>361.88567999999992</v>
      </c>
      <c r="E115" s="57">
        <f>(1.8+3.79)*(10.764)</f>
        <v>60.170759999999994</v>
      </c>
      <c r="F115" s="68">
        <f>D118+E115</f>
        <v>422.0564399999999</v>
      </c>
      <c r="G115" s="68">
        <v>0</v>
      </c>
      <c r="H115" s="68">
        <v>625</v>
      </c>
      <c r="I115" s="31"/>
      <c r="M115" s="31"/>
      <c r="N115" s="31"/>
    </row>
    <row r="116" spans="1:20" s="32" customFormat="1">
      <c r="A116" s="87">
        <f t="shared" ref="A116:A119" si="0">A115+1</f>
        <v>105</v>
      </c>
      <c r="B116" s="87"/>
      <c r="C116" s="68" t="s">
        <v>309</v>
      </c>
      <c r="D116" s="57">
        <f>(33.62)*(10.764)</f>
        <v>361.88567999999992</v>
      </c>
      <c r="E116" s="57">
        <f>(1.8+3.79)*(10.764)</f>
        <v>60.170759999999994</v>
      </c>
      <c r="F116" s="68">
        <f>D116+E116</f>
        <v>422.0564399999999</v>
      </c>
      <c r="G116" s="68">
        <v>0</v>
      </c>
      <c r="H116" s="68">
        <v>625</v>
      </c>
      <c r="I116" s="31"/>
      <c r="N116" s="31"/>
    </row>
    <row r="117" spans="1:20" s="56" customFormat="1">
      <c r="A117" s="87">
        <f t="shared" si="0"/>
        <v>106</v>
      </c>
      <c r="B117" s="87"/>
      <c r="C117" s="68" t="s">
        <v>309</v>
      </c>
      <c r="D117" s="57">
        <f>(33.62)*(10.764)</f>
        <v>361.88567999999992</v>
      </c>
      <c r="E117" s="57">
        <f>(1.8+3.79)*(10.764)</f>
        <v>60.170759999999994</v>
      </c>
      <c r="F117" s="68">
        <f t="shared" ref="F117:F118" si="1">D117+E117</f>
        <v>422.0564399999999</v>
      </c>
      <c r="G117" s="68">
        <v>0</v>
      </c>
      <c r="H117" s="68">
        <v>625</v>
      </c>
      <c r="I117" s="31"/>
      <c r="N117" s="31"/>
      <c r="T117" s="32"/>
    </row>
    <row r="118" spans="1:20" s="56" customFormat="1">
      <c r="A118" s="87">
        <f t="shared" si="0"/>
        <v>107</v>
      </c>
      <c r="B118" s="87"/>
      <c r="C118" s="68" t="s">
        <v>309</v>
      </c>
      <c r="D118" s="57">
        <f>(33.62)*(10.764)</f>
        <v>361.88567999999992</v>
      </c>
      <c r="E118" s="57">
        <f>(1.8+3.79)*(10.764)</f>
        <v>60.170759999999994</v>
      </c>
      <c r="F118" s="68">
        <f t="shared" si="1"/>
        <v>422.0564399999999</v>
      </c>
      <c r="G118" s="68">
        <v>0</v>
      </c>
      <c r="H118" s="68">
        <v>625</v>
      </c>
      <c r="I118" s="31"/>
      <c r="N118" s="31"/>
      <c r="T118" s="32"/>
    </row>
    <row r="119" spans="1:20" s="56" customFormat="1">
      <c r="A119" s="87">
        <f t="shared" si="0"/>
        <v>108</v>
      </c>
      <c r="B119" s="87"/>
      <c r="C119" s="87" t="s">
        <v>311</v>
      </c>
      <c r="D119" s="87"/>
      <c r="E119" s="87"/>
      <c r="F119" s="87"/>
      <c r="G119" s="87"/>
      <c r="H119" s="87"/>
      <c r="I119" s="31"/>
      <c r="N119" s="31"/>
      <c r="T119" s="32"/>
    </row>
    <row r="120" spans="1:20" s="56" customFormat="1">
      <c r="A120" s="87">
        <f>A119+1</f>
        <v>109</v>
      </c>
      <c r="B120" s="87"/>
      <c r="C120" s="68" t="s">
        <v>309</v>
      </c>
      <c r="D120" s="57">
        <f>(33.56)*(10.764)</f>
        <v>361.23984000000002</v>
      </c>
      <c r="E120" s="57">
        <f>(6.35)*(10.764)</f>
        <v>68.351399999999998</v>
      </c>
      <c r="F120" s="68">
        <f t="shared" ref="F120" si="2">D120+E120</f>
        <v>429.59124000000003</v>
      </c>
      <c r="G120" s="68">
        <v>0</v>
      </c>
      <c r="H120" s="68">
        <v>640</v>
      </c>
      <c r="I120" s="31"/>
      <c r="N120" s="31"/>
      <c r="T120" s="32"/>
    </row>
    <row r="121" spans="1:20" s="32" customFormat="1" ht="15.75" customHeight="1">
      <c r="A121" s="112" t="s">
        <v>334</v>
      </c>
      <c r="B121" s="112"/>
      <c r="C121" s="112"/>
      <c r="D121" s="112"/>
      <c r="E121" s="112"/>
      <c r="F121" s="112"/>
      <c r="G121" s="112"/>
      <c r="H121" s="112"/>
      <c r="I121" s="31"/>
      <c r="K121" s="56"/>
      <c r="T121" s="56"/>
    </row>
    <row r="122" spans="1:20" s="32" customFormat="1" ht="15.75" customHeight="1">
      <c r="A122" s="87" t="str">
        <f ca="1">(SUMPRODUCT(MID(0&amp;(LEFT(A121,SUM(LEN(A121)-LEN(SUBSTITUTE(A121,{"0","1","2"},""))))), LARGE(INDEX(ISNUMBER(--MID((LEFT(A121,SUM(LEN(A121)-LEN(SUBSTITUTE(A121,{"0","1","2"},""))))), ROW(INDIRECT("1:"&amp;LEN((LEFT(A121,SUM(LEN(A121)-LEN(SUBSTITUTE(A121,{"0","1","2"},"")))))))), 1)) * ROW(INDIRECT("1:"&amp;LEN((LEFT(A121,SUM(LEN(A121)-LEN(SUBSTITUTE(A121,{"0","1","2"},"")))))))), 0), ROW(INDIRECT("1:"&amp;LEN((LEFT(A121,SUM(LEN(A121)-LEN(SUBSTITUTE(A121,{"0","1","2"},"")))))))))+1, 1) * 10^ROW(INDIRECT("1:"&amp;LEN((LEFT(A121,SUM(LEN(A121)-LEN(SUBSTITUTE(A121,{"0","1","2"},""))))))))/10))*100+1&amp;""&amp;" ,.., "&amp;""&amp;(SUMPRODUCT(MID(0&amp;(--TRIM(RIGHT(SUBSTITUTE(LEFT(A121,_xlfn.AGGREGATE(16,6,FIND({0,1,2,3,4,5,6,7,8,9},A121,ROW(INDIRECT("1:"&amp;LEN(A121)))),1))," ",REPT(" ",LEN(A121))),LEN(A121)))), LARGE(INDEX(ISNUMBER(--MID((--TRIM(RIGHT(SUBSTITUTE(LEFT(A121,_xlfn.AGGREGATE(16,6,FIND({0,1,2,3,4,5,6,7,8,9},A121,ROW(INDIRECT("1:"&amp;LEN(A121)))),1))," ",REPT(" ",LEN(A121))),LEN(A121)))), ROW(INDIRECT("1:"&amp;LEN((--TRIM(RIGHT(SUBSTITUTE(LEFT(A121,_xlfn.AGGREGATE(16,6,FIND({0,1,2,3,4,5,6,7,8,9},A121,ROW(INDIRECT("1:"&amp;LEN(A121)))),1))," ",REPT(" ",LEN(A121))),LEN(A121))))))), 1)) * ROW(INDIRECT("1:"&amp;LEN((--TRIM(RIGHT(SUBSTITUTE(LEFT(A121,_xlfn.AGGREGATE(16,6,FIND({0,1,2,3,4,5,6,7,8,9},A121,ROW(INDIRECT("1:"&amp;LEN(A121)))),1))," ",REPT(" ",LEN(A121))),LEN(A121))))))), 0), ROW(INDIRECT("1:"&amp;LEN((--TRIM(RIGHT(SUBSTITUTE(LEFT(A121,_xlfn.AGGREGATE(16,6,FIND({0,1,2,3,4,5,6,7,8,9},A121,ROW(INDIRECT("1:"&amp;LEN(A121)))),1))," ",REPT(" ",LEN(A121))),LEN(A121))))))))+1, 1) * 10^ROW(INDIRECT("1:"&amp;LEN((--TRIM(RIGHT(SUBSTITUTE(LEFT(A121,_xlfn.AGGREGATE(16,6,FIND({0,1,2,3,4,5,6,7,8,9},A121,ROW(INDIRECT("1:"&amp;LEN(A121)))),1))," ",REPT(" ",LEN(A121))),LEN(A121)))))))/10))*100+1</f>
        <v>201 ,.., 1201</v>
      </c>
      <c r="B122" s="87"/>
      <c r="C122" s="68" t="s">
        <v>309</v>
      </c>
      <c r="D122" s="57">
        <f>(33.11)*(10.764)</f>
        <v>356.39603999999997</v>
      </c>
      <c r="E122" s="57">
        <f>(2.7+3.94)*(10.764)</f>
        <v>71.47296</v>
      </c>
      <c r="F122" s="68">
        <f>D122+E122</f>
        <v>427.86899999999997</v>
      </c>
      <c r="G122" s="68">
        <v>0</v>
      </c>
      <c r="H122" s="68">
        <v>635</v>
      </c>
      <c r="I122" s="31"/>
      <c r="T122" s="56"/>
    </row>
    <row r="123" spans="1:20" s="32" customFormat="1" ht="15.75" customHeight="1">
      <c r="A123" s="87" t="str">
        <f ca="1">(SUMPRODUCT(MID(0&amp;(LEFT(A122,SUM(LEN(A122)-LEN(SUBSTITUTE(A122,{"0","1","2"},""))))), LARGE(INDEX(ISNUMBER(--MID((LEFT(A122,SUM(LEN(A122)-LEN(SUBSTITUTE(A122,{"0","1","2"},""))))), ROW(INDIRECT("1:"&amp;LEN((LEFT(A122,SUM(LEN(A122)-LEN(SUBSTITUTE(A122,{"0","1","2"},"")))))))), 1)) * ROW(INDIRECT("1:"&amp;LEN((LEFT(A122,SUM(LEN(A122)-LEN(SUBSTITUTE(A122,{"0","1","2"},"")))))))), 0), ROW(INDIRECT("1:"&amp;LEN((LEFT(A122,SUM(LEN(A122)-LEN(SUBSTITUTE(A122,{"0","1","2"},"")))))))))+1, 1) * 10^ROW(INDIRECT("1:"&amp;LEN((LEFT(A122,SUM(LEN(A122)-LEN(SUBSTITUTE(A122,{"0","1","2"},""))))))))/10))*1+1&amp;""&amp;" ,.., "&amp;""&amp;(SUMPRODUCT(MID(0&amp;(--TRIM(RIGHT(SUBSTITUTE(LEFT(A122,_xlfn.AGGREGATE(16,6,FIND({0,1,2,3,4,5,6,7,8,9},A122,ROW(INDIRECT("1:"&amp;LEN(A122)))),1))," ",REPT(" ",LEN(A122))),LEN(A122)))), LARGE(INDEX(ISNUMBER(--MID((--TRIM(RIGHT(SUBSTITUTE(LEFT(A122,_xlfn.AGGREGATE(16,6,FIND({0,1,2,3,4,5,6,7,8,9},A122,ROW(INDIRECT("1:"&amp;LEN(A122)))),1))," ",REPT(" ",LEN(A122))),LEN(A122)))), ROW(INDIRECT("1:"&amp;LEN((--TRIM(RIGHT(SUBSTITUTE(LEFT(A122,_xlfn.AGGREGATE(16,6,FIND({0,1,2,3,4,5,6,7,8,9},A122,ROW(INDIRECT("1:"&amp;LEN(A122)))),1))," ",REPT(" ",LEN(A122))),LEN(A122))))))), 1)) * ROW(INDIRECT("1:"&amp;LEN((--TRIM(RIGHT(SUBSTITUTE(LEFT(A122,_xlfn.AGGREGATE(16,6,FIND({0,1,2,3,4,5,6,7,8,9},A122,ROW(INDIRECT("1:"&amp;LEN(A122)))),1))," ",REPT(" ",LEN(A122))),LEN(A122))))))), 0), ROW(INDIRECT("1:"&amp;LEN((--TRIM(RIGHT(SUBSTITUTE(LEFT(A122,_xlfn.AGGREGATE(16,6,FIND({0,1,2,3,4,5,6,7,8,9},A122,ROW(INDIRECT("1:"&amp;LEN(A122)))),1))," ",REPT(" ",LEN(A122))),LEN(A122))))))))+1, 1) * 10^ROW(INDIRECT("1:"&amp;LEN((--TRIM(RIGHT(SUBSTITUTE(LEFT(A122,_xlfn.AGGREGATE(16,6,FIND({0,1,2,3,4,5,6,7,8,9},A122,ROW(INDIRECT("1:"&amp;LEN(A122)))),1))," ",REPT(" ",LEN(A122))),LEN(A122)))))))/10))*1+1</f>
        <v>202 ,.., 1202</v>
      </c>
      <c r="B123" s="87"/>
      <c r="C123" s="68" t="s">
        <v>309</v>
      </c>
      <c r="D123" s="57">
        <f>(30.91)*(10.764)</f>
        <v>332.71523999999999</v>
      </c>
      <c r="E123" s="57">
        <f>(5.45+3.34)*(10.764)</f>
        <v>94.615559999999988</v>
      </c>
      <c r="F123" s="68">
        <f>D123+E123</f>
        <v>427.33079999999995</v>
      </c>
      <c r="G123" s="68">
        <v>0</v>
      </c>
      <c r="H123" s="68">
        <v>635</v>
      </c>
      <c r="I123" s="31"/>
      <c r="T123" s="56"/>
    </row>
    <row r="124" spans="1:20" s="32" customFormat="1" ht="15.75" customHeight="1">
      <c r="A124" s="88" t="str">
        <f ca="1">(SUMPRODUCT(MID(0&amp;(LEFT(A123,SUM(LEN(A123)-LEN(SUBSTITUTE(A123,{"0","1","2"},""))))), LARGE(INDEX(ISNUMBER(--MID((LEFT(A123,SUM(LEN(A123)-LEN(SUBSTITUTE(A123,{"0","1","2"},""))))), ROW(INDIRECT("1:"&amp;LEN((LEFT(A123,SUM(LEN(A123)-LEN(SUBSTITUTE(A123,{"0","1","2"},"")))))))), 1)) * ROW(INDIRECT("1:"&amp;LEN((LEFT(A123,SUM(LEN(A123)-LEN(SUBSTITUTE(A123,{"0","1","2"},"")))))))), 0), ROW(INDIRECT("1:"&amp;LEN((LEFT(A123,SUM(LEN(A123)-LEN(SUBSTITUTE(A123,{"0","1","2"},"")))))))))+1, 1) * 10^ROW(INDIRECT("1:"&amp;LEN((LEFT(A123,SUM(LEN(A123)-LEN(SUBSTITUTE(A123,{"0","1","2"},""))))))))/10))*1+1&amp;""&amp;" ,.., "&amp;""&amp;(SUMPRODUCT(MID(0&amp;(--TRIM(RIGHT(SUBSTITUTE(LEFT(A123,_xlfn.AGGREGATE(16,6,FIND({0,1,2,3,4,5,6,7,8,9},A123,ROW(INDIRECT("1:"&amp;LEN(A123)))),1))," ",REPT(" ",LEN(A123))),LEN(A123)))), LARGE(INDEX(ISNUMBER(--MID((--TRIM(RIGHT(SUBSTITUTE(LEFT(A123,_xlfn.AGGREGATE(16,6,FIND({0,1,2,3,4,5,6,7,8,9},A123,ROW(INDIRECT("1:"&amp;LEN(A123)))),1))," ",REPT(" ",LEN(A123))),LEN(A123)))), ROW(INDIRECT("1:"&amp;LEN((--TRIM(RIGHT(SUBSTITUTE(LEFT(A123,_xlfn.AGGREGATE(16,6,FIND({0,1,2,3,4,5,6,7,8,9},A123,ROW(INDIRECT("1:"&amp;LEN(A123)))),1))," ",REPT(" ",LEN(A123))),LEN(A123))))))), 1)) * ROW(INDIRECT("1:"&amp;LEN((--TRIM(RIGHT(SUBSTITUTE(LEFT(A123,_xlfn.AGGREGATE(16,6,FIND({0,1,2,3,4,5,6,7,8,9},A123,ROW(INDIRECT("1:"&amp;LEN(A123)))),1))," ",REPT(" ",LEN(A123))),LEN(A123))))))), 0), ROW(INDIRECT("1:"&amp;LEN((--TRIM(RIGHT(SUBSTITUTE(LEFT(A123,_xlfn.AGGREGATE(16,6,FIND({0,1,2,3,4,5,6,7,8,9},A123,ROW(INDIRECT("1:"&amp;LEN(A123)))),1))," ",REPT(" ",LEN(A123))),LEN(A123))))))))+1, 1) * 10^ROW(INDIRECT("1:"&amp;LEN((--TRIM(RIGHT(SUBSTITUTE(LEFT(A123,_xlfn.AGGREGATE(16,6,FIND({0,1,2,3,4,5,6,7,8,9},A123,ROW(INDIRECT("1:"&amp;LEN(A123)))),1))," ",REPT(" ",LEN(A123))),LEN(A123)))))))/10))*1+1</f>
        <v>203 ,.., 1203</v>
      </c>
      <c r="B124" s="89"/>
      <c r="C124" s="55" t="s">
        <v>310</v>
      </c>
      <c r="D124" s="57">
        <f>(43.42)*(10.764)</f>
        <v>467.37288000000001</v>
      </c>
      <c r="E124" s="57">
        <f>(2.7+5.7)*(10.764)</f>
        <v>90.417599999999993</v>
      </c>
      <c r="F124" s="44">
        <f>D124+E124</f>
        <v>557.79048</v>
      </c>
      <c r="G124" s="44">
        <v>0</v>
      </c>
      <c r="H124" s="44">
        <v>825</v>
      </c>
      <c r="I124" s="31"/>
      <c r="T124" s="56"/>
    </row>
    <row r="125" spans="1:20" s="32" customFormat="1" ht="15.75" customHeight="1">
      <c r="A125" s="88" t="str">
        <f ca="1">(SUMPRODUCT(MID(0&amp;(LEFT(A124,SUM(LEN(A124)-LEN(SUBSTITUTE(A124,{"0","1","2"},""))))), LARGE(INDEX(ISNUMBER(--MID((LEFT(A124,SUM(LEN(A124)-LEN(SUBSTITUTE(A124,{"0","1","2"},""))))), ROW(INDIRECT("1:"&amp;LEN((LEFT(A124,SUM(LEN(A124)-LEN(SUBSTITUTE(A124,{"0","1","2"},"")))))))), 1)) * ROW(INDIRECT("1:"&amp;LEN((LEFT(A124,SUM(LEN(A124)-LEN(SUBSTITUTE(A124,{"0","1","2"},"")))))))), 0), ROW(INDIRECT("1:"&amp;LEN((LEFT(A124,SUM(LEN(A124)-LEN(SUBSTITUTE(A124,{"0","1","2"},"")))))))))+1, 1) * 10^ROW(INDIRECT("1:"&amp;LEN((LEFT(A124,SUM(LEN(A124)-LEN(SUBSTITUTE(A124,{"0","1","2"},""))))))))/10))*1+1&amp;""&amp;" ,.., "&amp;""&amp;(SUMPRODUCT(MID(0&amp;(--TRIM(RIGHT(SUBSTITUTE(LEFT(A124,_xlfn.AGGREGATE(16,6,FIND({0,1,2,3,4,5,6,7,8,9},A124,ROW(INDIRECT("1:"&amp;LEN(A124)))),1))," ",REPT(" ",LEN(A124))),LEN(A124)))), LARGE(INDEX(ISNUMBER(--MID((--TRIM(RIGHT(SUBSTITUTE(LEFT(A124,_xlfn.AGGREGATE(16,6,FIND({0,1,2,3,4,5,6,7,8,9},A124,ROW(INDIRECT("1:"&amp;LEN(A124)))),1))," ",REPT(" ",LEN(A124))),LEN(A124)))), ROW(INDIRECT("1:"&amp;LEN((--TRIM(RIGHT(SUBSTITUTE(LEFT(A124,_xlfn.AGGREGATE(16,6,FIND({0,1,2,3,4,5,6,7,8,9},A124,ROW(INDIRECT("1:"&amp;LEN(A124)))),1))," ",REPT(" ",LEN(A124))),LEN(A124))))))), 1)) * ROW(INDIRECT("1:"&amp;LEN((--TRIM(RIGHT(SUBSTITUTE(LEFT(A124,_xlfn.AGGREGATE(16,6,FIND({0,1,2,3,4,5,6,7,8,9},A124,ROW(INDIRECT("1:"&amp;LEN(A124)))),1))," ",REPT(" ",LEN(A124))),LEN(A124))))))), 0), ROW(INDIRECT("1:"&amp;LEN((--TRIM(RIGHT(SUBSTITUTE(LEFT(A124,_xlfn.AGGREGATE(16,6,FIND({0,1,2,3,4,5,6,7,8,9},A124,ROW(INDIRECT("1:"&amp;LEN(A124)))),1))," ",REPT(" ",LEN(A124))),LEN(A124))))))))+1, 1) * 10^ROW(INDIRECT("1:"&amp;LEN((--TRIM(RIGHT(SUBSTITUTE(LEFT(A124,_xlfn.AGGREGATE(16,6,FIND({0,1,2,3,4,5,6,7,8,9},A124,ROW(INDIRECT("1:"&amp;LEN(A124)))),1))," ",REPT(" ",LEN(A124))),LEN(A124)))))))/10))*1+1</f>
        <v>204 ,.., 1204</v>
      </c>
      <c r="B125" s="89"/>
      <c r="C125" s="55" t="s">
        <v>309</v>
      </c>
      <c r="D125" s="57">
        <f>(33.62)*(10.764)</f>
        <v>361.88567999999992</v>
      </c>
      <c r="E125" s="57">
        <f>(1.8+3.79)*(10.764)</f>
        <v>60.170759999999994</v>
      </c>
      <c r="F125" s="44">
        <f>D125+E125</f>
        <v>422.0564399999999</v>
      </c>
      <c r="G125" s="44">
        <v>0</v>
      </c>
      <c r="H125" s="55">
        <v>625</v>
      </c>
      <c r="I125" s="31"/>
    </row>
    <row r="126" spans="1:20" s="32" customFormat="1" ht="15.75" customHeight="1">
      <c r="A126" s="88" t="str">
        <f ca="1">(SUMPRODUCT(MID(0&amp;(LEFT(A125,SUM(LEN(A125)-LEN(SUBSTITUTE(A125,{"0","1","2"},""))))), LARGE(INDEX(ISNUMBER(--MID((LEFT(A125,SUM(LEN(A125)-LEN(SUBSTITUTE(A125,{"0","1","2"},""))))), ROW(INDIRECT("1:"&amp;LEN((LEFT(A125,SUM(LEN(A125)-LEN(SUBSTITUTE(A125,{"0","1","2"},"")))))))), 1)) * ROW(INDIRECT("1:"&amp;LEN((LEFT(A125,SUM(LEN(A125)-LEN(SUBSTITUTE(A125,{"0","1","2"},"")))))))), 0), ROW(INDIRECT("1:"&amp;LEN((LEFT(A125,SUM(LEN(A125)-LEN(SUBSTITUTE(A125,{"0","1","2"},"")))))))))+1, 1) * 10^ROW(INDIRECT("1:"&amp;LEN((LEFT(A125,SUM(LEN(A125)-LEN(SUBSTITUTE(A125,{"0","1","2"},""))))))))/10))*1+1&amp;""&amp;" ,.., "&amp;""&amp;(SUMPRODUCT(MID(0&amp;(--TRIM(RIGHT(SUBSTITUTE(LEFT(A125,_xlfn.AGGREGATE(16,6,FIND({0,1,2,3,4,5,6,7,8,9},A125,ROW(INDIRECT("1:"&amp;LEN(A125)))),1))," ",REPT(" ",LEN(A125))),LEN(A125)))), LARGE(INDEX(ISNUMBER(--MID((--TRIM(RIGHT(SUBSTITUTE(LEFT(A125,_xlfn.AGGREGATE(16,6,FIND({0,1,2,3,4,5,6,7,8,9},A125,ROW(INDIRECT("1:"&amp;LEN(A125)))),1))," ",REPT(" ",LEN(A125))),LEN(A125)))), ROW(INDIRECT("1:"&amp;LEN((--TRIM(RIGHT(SUBSTITUTE(LEFT(A125,_xlfn.AGGREGATE(16,6,FIND({0,1,2,3,4,5,6,7,8,9},A125,ROW(INDIRECT("1:"&amp;LEN(A125)))),1))," ",REPT(" ",LEN(A125))),LEN(A125))))))), 1)) * ROW(INDIRECT("1:"&amp;LEN((--TRIM(RIGHT(SUBSTITUTE(LEFT(A125,_xlfn.AGGREGATE(16,6,FIND({0,1,2,3,4,5,6,7,8,9},A125,ROW(INDIRECT("1:"&amp;LEN(A125)))),1))," ",REPT(" ",LEN(A125))),LEN(A125))))))), 0), ROW(INDIRECT("1:"&amp;LEN((--TRIM(RIGHT(SUBSTITUTE(LEFT(A125,_xlfn.AGGREGATE(16,6,FIND({0,1,2,3,4,5,6,7,8,9},A125,ROW(INDIRECT("1:"&amp;LEN(A125)))),1))," ",REPT(" ",LEN(A125))),LEN(A125))))))))+1, 1) * 10^ROW(INDIRECT("1:"&amp;LEN((--TRIM(RIGHT(SUBSTITUTE(LEFT(A125,_xlfn.AGGREGATE(16,6,FIND({0,1,2,3,4,5,6,7,8,9},A125,ROW(INDIRECT("1:"&amp;LEN(A125)))),1))," ",REPT(" ",LEN(A125))),LEN(A125)))))))/10))*1+1</f>
        <v>205 ,.., 1205</v>
      </c>
      <c r="B126" s="89"/>
      <c r="C126" s="55" t="s">
        <v>309</v>
      </c>
      <c r="D126" s="57">
        <f>(33.62)*(10.764)</f>
        <v>361.88567999999992</v>
      </c>
      <c r="E126" s="57">
        <f>(1.8+3.79)*(10.764)</f>
        <v>60.170759999999994</v>
      </c>
      <c r="F126" s="55">
        <f t="shared" ref="F126:F130" si="3">D126+E126</f>
        <v>422.0564399999999</v>
      </c>
      <c r="G126" s="55">
        <v>0</v>
      </c>
      <c r="H126" s="55">
        <v>625</v>
      </c>
      <c r="I126" s="31"/>
    </row>
    <row r="127" spans="1:20" s="56" customFormat="1" ht="15.75" customHeight="1">
      <c r="A127" s="88" t="str">
        <f ca="1">(SUMPRODUCT(MID(0&amp;(LEFT(A126,SUM(LEN(A126)-LEN(SUBSTITUTE(A126,{"0","1","2"},""))))), LARGE(INDEX(ISNUMBER(--MID((LEFT(A126,SUM(LEN(A126)-LEN(SUBSTITUTE(A126,{"0","1","2"},""))))), ROW(INDIRECT("1:"&amp;LEN((LEFT(A126,SUM(LEN(A126)-LEN(SUBSTITUTE(A126,{"0","1","2"},"")))))))), 1)) * ROW(INDIRECT("1:"&amp;LEN((LEFT(A126,SUM(LEN(A126)-LEN(SUBSTITUTE(A126,{"0","1","2"},"")))))))), 0), ROW(INDIRECT("1:"&amp;LEN((LEFT(A126,SUM(LEN(A126)-LEN(SUBSTITUTE(A126,{"0","1","2"},"")))))))))+1, 1) * 10^ROW(INDIRECT("1:"&amp;LEN((LEFT(A126,SUM(LEN(A126)-LEN(SUBSTITUTE(A126,{"0","1","2"},""))))))))/10))*1+1&amp;""&amp;" ,.., "&amp;""&amp;(SUMPRODUCT(MID(0&amp;(--TRIM(RIGHT(SUBSTITUTE(LEFT(A126,_xlfn.AGGREGATE(16,6,FIND({0,1,2,3,4,5,6,7,8,9},A126,ROW(INDIRECT("1:"&amp;LEN(A126)))),1))," ",REPT(" ",LEN(A126))),LEN(A126)))), LARGE(INDEX(ISNUMBER(--MID((--TRIM(RIGHT(SUBSTITUTE(LEFT(A126,_xlfn.AGGREGATE(16,6,FIND({0,1,2,3,4,5,6,7,8,9},A126,ROW(INDIRECT("1:"&amp;LEN(A126)))),1))," ",REPT(" ",LEN(A126))),LEN(A126)))), ROW(INDIRECT("1:"&amp;LEN((--TRIM(RIGHT(SUBSTITUTE(LEFT(A126,_xlfn.AGGREGATE(16,6,FIND({0,1,2,3,4,5,6,7,8,9},A126,ROW(INDIRECT("1:"&amp;LEN(A126)))),1))," ",REPT(" ",LEN(A126))),LEN(A126))))))), 1)) * ROW(INDIRECT("1:"&amp;LEN((--TRIM(RIGHT(SUBSTITUTE(LEFT(A126,_xlfn.AGGREGATE(16,6,FIND({0,1,2,3,4,5,6,7,8,9},A126,ROW(INDIRECT("1:"&amp;LEN(A126)))),1))," ",REPT(" ",LEN(A126))),LEN(A126))))))), 0), ROW(INDIRECT("1:"&amp;LEN((--TRIM(RIGHT(SUBSTITUTE(LEFT(A126,_xlfn.AGGREGATE(16,6,FIND({0,1,2,3,4,5,6,7,8,9},A126,ROW(INDIRECT("1:"&amp;LEN(A126)))),1))," ",REPT(" ",LEN(A126))),LEN(A126))))))))+1, 1) * 10^ROW(INDIRECT("1:"&amp;LEN((--TRIM(RIGHT(SUBSTITUTE(LEFT(A126,_xlfn.AGGREGATE(16,6,FIND({0,1,2,3,4,5,6,7,8,9},A126,ROW(INDIRECT("1:"&amp;LEN(A126)))),1))," ",REPT(" ",LEN(A126))),LEN(A126)))))))/10))*1+1</f>
        <v>206 ,.., 1206</v>
      </c>
      <c r="B127" s="89"/>
      <c r="C127" s="55" t="s">
        <v>309</v>
      </c>
      <c r="D127" s="57">
        <f>(33.62)*(10.764)</f>
        <v>361.88567999999992</v>
      </c>
      <c r="E127" s="57">
        <f>(1.8+3.79)*(10.764)</f>
        <v>60.170759999999994</v>
      </c>
      <c r="F127" s="55">
        <f t="shared" si="3"/>
        <v>422.0564399999999</v>
      </c>
      <c r="G127" s="55">
        <v>0</v>
      </c>
      <c r="H127" s="55">
        <v>625</v>
      </c>
      <c r="I127" s="31"/>
      <c r="T127" s="32"/>
    </row>
    <row r="128" spans="1:20" s="56" customFormat="1" ht="15.75" customHeight="1">
      <c r="A128" s="88" t="str">
        <f ca="1">(SUMPRODUCT(MID(0&amp;(LEFT(A127,SUM(LEN(A127)-LEN(SUBSTITUTE(A127,{"0","1","2"},""))))), LARGE(INDEX(ISNUMBER(--MID((LEFT(A127,SUM(LEN(A127)-LEN(SUBSTITUTE(A127,{"0","1","2"},""))))), ROW(INDIRECT("1:"&amp;LEN((LEFT(A127,SUM(LEN(A127)-LEN(SUBSTITUTE(A127,{"0","1","2"},"")))))))), 1)) * ROW(INDIRECT("1:"&amp;LEN((LEFT(A127,SUM(LEN(A127)-LEN(SUBSTITUTE(A127,{"0","1","2"},"")))))))), 0), ROW(INDIRECT("1:"&amp;LEN((LEFT(A127,SUM(LEN(A127)-LEN(SUBSTITUTE(A127,{"0","1","2"},"")))))))))+1, 1) * 10^ROW(INDIRECT("1:"&amp;LEN((LEFT(A127,SUM(LEN(A127)-LEN(SUBSTITUTE(A127,{"0","1","2"},""))))))))/10))*1+1&amp;""&amp;" ,.., "&amp;""&amp;(SUMPRODUCT(MID(0&amp;(--TRIM(RIGHT(SUBSTITUTE(LEFT(A127,_xlfn.AGGREGATE(16,6,FIND({0,1,2,3,4,5,6,7,8,9},A127,ROW(INDIRECT("1:"&amp;LEN(A127)))),1))," ",REPT(" ",LEN(A127))),LEN(A127)))), LARGE(INDEX(ISNUMBER(--MID((--TRIM(RIGHT(SUBSTITUTE(LEFT(A127,_xlfn.AGGREGATE(16,6,FIND({0,1,2,3,4,5,6,7,8,9},A127,ROW(INDIRECT("1:"&amp;LEN(A127)))),1))," ",REPT(" ",LEN(A127))),LEN(A127)))), ROW(INDIRECT("1:"&amp;LEN((--TRIM(RIGHT(SUBSTITUTE(LEFT(A127,_xlfn.AGGREGATE(16,6,FIND({0,1,2,3,4,5,6,7,8,9},A127,ROW(INDIRECT("1:"&amp;LEN(A127)))),1))," ",REPT(" ",LEN(A127))),LEN(A127))))))), 1)) * ROW(INDIRECT("1:"&amp;LEN((--TRIM(RIGHT(SUBSTITUTE(LEFT(A127,_xlfn.AGGREGATE(16,6,FIND({0,1,2,3,4,5,6,7,8,9},A127,ROW(INDIRECT("1:"&amp;LEN(A127)))),1))," ",REPT(" ",LEN(A127))),LEN(A127))))))), 0), ROW(INDIRECT("1:"&amp;LEN((--TRIM(RIGHT(SUBSTITUTE(LEFT(A127,_xlfn.AGGREGATE(16,6,FIND({0,1,2,3,4,5,6,7,8,9},A127,ROW(INDIRECT("1:"&amp;LEN(A127)))),1))," ",REPT(" ",LEN(A127))),LEN(A127))))))))+1, 1) * 10^ROW(INDIRECT("1:"&amp;LEN((--TRIM(RIGHT(SUBSTITUTE(LEFT(A127,_xlfn.AGGREGATE(16,6,FIND({0,1,2,3,4,5,6,7,8,9},A127,ROW(INDIRECT("1:"&amp;LEN(A127)))),1))," ",REPT(" ",LEN(A127))),LEN(A127)))))))/10))*1+1</f>
        <v>207 ,.., 1207</v>
      </c>
      <c r="B128" s="89"/>
      <c r="C128" s="55" t="s">
        <v>309</v>
      </c>
      <c r="D128" s="57">
        <f>((33.62)*(10.764))</f>
        <v>361.88567999999992</v>
      </c>
      <c r="E128" s="57">
        <f>(1.8+3.79)*(10.764)</f>
        <v>60.170759999999994</v>
      </c>
      <c r="F128" s="55">
        <f t="shared" si="3"/>
        <v>422.0564399999999</v>
      </c>
      <c r="G128" s="55">
        <v>0</v>
      </c>
      <c r="H128" s="55">
        <v>625</v>
      </c>
      <c r="I128" s="31"/>
      <c r="T128" s="32"/>
    </row>
    <row r="129" spans="1:20" s="56" customFormat="1" ht="15.75" customHeight="1">
      <c r="A129" s="88" t="str">
        <f ca="1">(SUMPRODUCT(MID(0&amp;(LEFT(A128,SUM(LEN(A128)-LEN(SUBSTITUTE(A128,{"0","1","2"},""))))), LARGE(INDEX(ISNUMBER(--MID((LEFT(A128,SUM(LEN(A128)-LEN(SUBSTITUTE(A128,{"0","1","2"},""))))), ROW(INDIRECT("1:"&amp;LEN((LEFT(A128,SUM(LEN(A128)-LEN(SUBSTITUTE(A128,{"0","1","2"},"")))))))), 1)) * ROW(INDIRECT("1:"&amp;LEN((LEFT(A128,SUM(LEN(A128)-LEN(SUBSTITUTE(A128,{"0","1","2"},"")))))))), 0), ROW(INDIRECT("1:"&amp;LEN((LEFT(A128,SUM(LEN(A128)-LEN(SUBSTITUTE(A128,{"0","1","2"},"")))))))))+1, 1) * 10^ROW(INDIRECT("1:"&amp;LEN((LEFT(A128,SUM(LEN(A128)-LEN(SUBSTITUTE(A128,{"0","1","2"},""))))))))/10))*1+1&amp;""&amp;" ,.., "&amp;""&amp;(SUMPRODUCT(MID(0&amp;(--TRIM(RIGHT(SUBSTITUTE(LEFT(A128,_xlfn.AGGREGATE(16,6,FIND({0,1,2,3,4,5,6,7,8,9},A128,ROW(INDIRECT("1:"&amp;LEN(A128)))),1))," ",REPT(" ",LEN(A128))),LEN(A128)))), LARGE(INDEX(ISNUMBER(--MID((--TRIM(RIGHT(SUBSTITUTE(LEFT(A128,_xlfn.AGGREGATE(16,6,FIND({0,1,2,3,4,5,6,7,8,9},A128,ROW(INDIRECT("1:"&amp;LEN(A128)))),1))," ",REPT(" ",LEN(A128))),LEN(A128)))), ROW(INDIRECT("1:"&amp;LEN((--TRIM(RIGHT(SUBSTITUTE(LEFT(A128,_xlfn.AGGREGATE(16,6,FIND({0,1,2,3,4,5,6,7,8,9},A128,ROW(INDIRECT("1:"&amp;LEN(A128)))),1))," ",REPT(" ",LEN(A128))),LEN(A128))))))), 1)) * ROW(INDIRECT("1:"&amp;LEN((--TRIM(RIGHT(SUBSTITUTE(LEFT(A128,_xlfn.AGGREGATE(16,6,FIND({0,1,2,3,4,5,6,7,8,9},A128,ROW(INDIRECT("1:"&amp;LEN(A128)))),1))," ",REPT(" ",LEN(A128))),LEN(A128))))))), 0), ROW(INDIRECT("1:"&amp;LEN((--TRIM(RIGHT(SUBSTITUTE(LEFT(A128,_xlfn.AGGREGATE(16,6,FIND({0,1,2,3,4,5,6,7,8,9},A128,ROW(INDIRECT("1:"&amp;LEN(A128)))),1))," ",REPT(" ",LEN(A128))),LEN(A128))))))))+1, 1) * 10^ROW(INDIRECT("1:"&amp;LEN((--TRIM(RIGHT(SUBSTITUTE(LEFT(A128,_xlfn.AGGREGATE(16,6,FIND({0,1,2,3,4,5,6,7,8,9},A128,ROW(INDIRECT("1:"&amp;LEN(A128)))),1))," ",REPT(" ",LEN(A128))),LEN(A128)))))))/10))*1+1</f>
        <v>208 ,.., 1208</v>
      </c>
      <c r="B129" s="89"/>
      <c r="C129" s="55" t="s">
        <v>310</v>
      </c>
      <c r="D129" s="57">
        <f>(45.85)*(10.764)</f>
        <v>493.52940000000001</v>
      </c>
      <c r="E129" s="57">
        <f>(2.7+5.7)*(10.764)</f>
        <v>90.417599999999993</v>
      </c>
      <c r="F129" s="55">
        <f t="shared" si="3"/>
        <v>583.947</v>
      </c>
      <c r="G129" s="55">
        <v>0</v>
      </c>
      <c r="H129" s="55">
        <v>865</v>
      </c>
      <c r="I129" s="31"/>
      <c r="J129" s="56">
        <f>0.75*(2.75+2.1+2.75)</f>
        <v>5.6999999999999993</v>
      </c>
      <c r="T129" s="32"/>
    </row>
    <row r="130" spans="1:20" s="56" customFormat="1" ht="15.75" customHeight="1">
      <c r="A130" s="88" t="str">
        <f ca="1">(SUMPRODUCT(MID(0&amp;(LEFT(A129,SUM(LEN(A129)-LEN(SUBSTITUTE(A129,{"0","1","2"},""))))), LARGE(INDEX(ISNUMBER(--MID((LEFT(A129,SUM(LEN(A129)-LEN(SUBSTITUTE(A129,{"0","1","2"},""))))), ROW(INDIRECT("1:"&amp;LEN((LEFT(A129,SUM(LEN(A129)-LEN(SUBSTITUTE(A129,{"0","1","2"},"")))))))), 1)) * ROW(INDIRECT("1:"&amp;LEN((LEFT(A129,SUM(LEN(A129)-LEN(SUBSTITUTE(A129,{"0","1","2"},"")))))))), 0), ROW(INDIRECT("1:"&amp;LEN((LEFT(A129,SUM(LEN(A129)-LEN(SUBSTITUTE(A129,{"0","1","2"},"")))))))))+1, 1) * 10^ROW(INDIRECT("1:"&amp;LEN((LEFT(A129,SUM(LEN(A129)-LEN(SUBSTITUTE(A129,{"0","1","2"},""))))))))/10))*1+1&amp;""&amp;" ,.., "&amp;""&amp;(SUMPRODUCT(MID(0&amp;(--TRIM(RIGHT(SUBSTITUTE(LEFT(A129,_xlfn.AGGREGATE(16,6,FIND({0,1,2,3,4,5,6,7,8,9},A129,ROW(INDIRECT("1:"&amp;LEN(A129)))),1))," ",REPT(" ",LEN(A129))),LEN(A129)))), LARGE(INDEX(ISNUMBER(--MID((--TRIM(RIGHT(SUBSTITUTE(LEFT(A129,_xlfn.AGGREGATE(16,6,FIND({0,1,2,3,4,5,6,7,8,9},A129,ROW(INDIRECT("1:"&amp;LEN(A129)))),1))," ",REPT(" ",LEN(A129))),LEN(A129)))), ROW(INDIRECT("1:"&amp;LEN((--TRIM(RIGHT(SUBSTITUTE(LEFT(A129,_xlfn.AGGREGATE(16,6,FIND({0,1,2,3,4,5,6,7,8,9},A129,ROW(INDIRECT("1:"&amp;LEN(A129)))),1))," ",REPT(" ",LEN(A129))),LEN(A129))))))), 1)) * ROW(INDIRECT("1:"&amp;LEN((--TRIM(RIGHT(SUBSTITUTE(LEFT(A129,_xlfn.AGGREGATE(16,6,FIND({0,1,2,3,4,5,6,7,8,9},A129,ROW(INDIRECT("1:"&amp;LEN(A129)))),1))," ",REPT(" ",LEN(A129))),LEN(A129))))))), 0), ROW(INDIRECT("1:"&amp;LEN((--TRIM(RIGHT(SUBSTITUTE(LEFT(A129,_xlfn.AGGREGATE(16,6,FIND({0,1,2,3,4,5,6,7,8,9},A129,ROW(INDIRECT("1:"&amp;LEN(A129)))),1))," ",REPT(" ",LEN(A129))),LEN(A129))))))))+1, 1) * 10^ROW(INDIRECT("1:"&amp;LEN((--TRIM(RIGHT(SUBSTITUTE(LEFT(A129,_xlfn.AGGREGATE(16,6,FIND({0,1,2,3,4,5,6,7,8,9},A129,ROW(INDIRECT("1:"&amp;LEN(A129)))),1))," ",REPT(" ",LEN(A129))),LEN(A129)))))))/10))*1+1</f>
        <v>209 ,.., 1209</v>
      </c>
      <c r="B130" s="89"/>
      <c r="C130" s="55" t="s">
        <v>309</v>
      </c>
      <c r="D130" s="57">
        <f>(33.56)*(10.764)</f>
        <v>361.23984000000002</v>
      </c>
      <c r="E130" s="57">
        <f>(6.35)*(10.764)</f>
        <v>68.351399999999998</v>
      </c>
      <c r="F130" s="55">
        <f t="shared" si="3"/>
        <v>429.59124000000003</v>
      </c>
      <c r="G130" s="55">
        <v>0</v>
      </c>
      <c r="H130" s="55">
        <v>640</v>
      </c>
      <c r="I130" s="31"/>
      <c r="T130" s="32"/>
    </row>
    <row r="131" spans="1:20" s="32" customFormat="1" ht="15.75" customHeight="1">
      <c r="A131" s="112" t="s">
        <v>326</v>
      </c>
      <c r="B131" s="112"/>
      <c r="C131" s="112"/>
      <c r="D131" s="112"/>
      <c r="E131" s="112"/>
      <c r="F131" s="112"/>
      <c r="G131" s="112"/>
      <c r="H131" s="112"/>
      <c r="I131" s="31"/>
      <c r="T131" s="56"/>
    </row>
    <row r="132" spans="1:20" s="32" customFormat="1" ht="15.75" customHeight="1">
      <c r="A132" s="87">
        <f>LEFT(A131,SUM(LEN(A131)-LEN(SUBSTITUTE(A131,{"0","1","2","3","4","5","6","7","8","9"},""))))*100+1</f>
        <v>801</v>
      </c>
      <c r="B132" s="87"/>
      <c r="C132" s="55" t="s">
        <v>309</v>
      </c>
      <c r="D132" s="57">
        <f>(33.11)*(10.764)</f>
        <v>356.39603999999997</v>
      </c>
      <c r="E132" s="57">
        <f>(2.7+3.94)*(10.764)</f>
        <v>71.47296</v>
      </c>
      <c r="F132" s="55">
        <f>D132+E132</f>
        <v>427.86899999999997</v>
      </c>
      <c r="G132" s="55">
        <v>0</v>
      </c>
      <c r="H132" s="55">
        <v>635</v>
      </c>
      <c r="I132" s="31"/>
      <c r="T132" s="56"/>
    </row>
    <row r="133" spans="1:20" s="32" customFormat="1" ht="15.75" customHeight="1">
      <c r="A133" s="87">
        <f>A132+1</f>
        <v>802</v>
      </c>
      <c r="B133" s="87"/>
      <c r="C133" s="88" t="s">
        <v>312</v>
      </c>
      <c r="D133" s="138"/>
      <c r="E133" s="138"/>
      <c r="F133" s="138"/>
      <c r="G133" s="138"/>
      <c r="H133" s="89"/>
      <c r="I133" s="31"/>
      <c r="T133" s="56"/>
    </row>
    <row r="134" spans="1:20" s="32" customFormat="1" ht="15.75" customHeight="1">
      <c r="A134" s="87">
        <f>A133+1</f>
        <v>803</v>
      </c>
      <c r="B134" s="87"/>
      <c r="C134" s="55" t="s">
        <v>310</v>
      </c>
      <c r="D134" s="57">
        <f>(43.42)*(10.764)</f>
        <v>467.37288000000001</v>
      </c>
      <c r="E134" s="57">
        <f>(2.7+5.7)*(10.764)</f>
        <v>90.417599999999993</v>
      </c>
      <c r="F134" s="55">
        <f>D134+E134</f>
        <v>557.79048</v>
      </c>
      <c r="G134" s="55">
        <v>0</v>
      </c>
      <c r="H134" s="55">
        <v>825</v>
      </c>
      <c r="I134" s="31"/>
      <c r="T134" s="56"/>
    </row>
    <row r="135" spans="1:20" s="32" customFormat="1" ht="15.75" customHeight="1">
      <c r="A135" s="87">
        <f>A134+1</f>
        <v>804</v>
      </c>
      <c r="B135" s="87"/>
      <c r="C135" s="55" t="s">
        <v>309</v>
      </c>
      <c r="D135" s="57">
        <f>(33.62)*(10.764)</f>
        <v>361.88567999999992</v>
      </c>
      <c r="E135" s="57">
        <f>(1.8+3.79)*(10.764)</f>
        <v>60.170759999999994</v>
      </c>
      <c r="F135" s="55">
        <f>D135+E135</f>
        <v>422.0564399999999</v>
      </c>
      <c r="G135" s="55">
        <v>0</v>
      </c>
      <c r="H135" s="55">
        <v>625</v>
      </c>
      <c r="I135" s="31"/>
    </row>
    <row r="136" spans="1:20" s="32" customFormat="1" ht="15.75" customHeight="1">
      <c r="A136" s="87">
        <f t="shared" ref="A136:A140" si="4">A135+1</f>
        <v>805</v>
      </c>
      <c r="B136" s="87"/>
      <c r="C136" s="55" t="s">
        <v>309</v>
      </c>
      <c r="D136" s="57">
        <f>(33.62)*(10.764)</f>
        <v>361.88567999999992</v>
      </c>
      <c r="E136" s="57">
        <f>(1.8+3.79)*(10.764)</f>
        <v>60.170759999999994</v>
      </c>
      <c r="F136" s="55">
        <f t="shared" ref="F136:F140" si="5">D136+E136</f>
        <v>422.0564399999999</v>
      </c>
      <c r="G136" s="55">
        <v>0</v>
      </c>
      <c r="H136" s="55">
        <v>625</v>
      </c>
      <c r="I136" s="31"/>
    </row>
    <row r="137" spans="1:20" s="56" customFormat="1" ht="15.75" customHeight="1">
      <c r="A137" s="87">
        <f t="shared" si="4"/>
        <v>806</v>
      </c>
      <c r="B137" s="87"/>
      <c r="C137" s="55" t="s">
        <v>309</v>
      </c>
      <c r="D137" s="57">
        <f>(33.62)*(10.764)</f>
        <v>361.88567999999992</v>
      </c>
      <c r="E137" s="57">
        <f>(1.8+3.79)*(10.764)</f>
        <v>60.170759999999994</v>
      </c>
      <c r="F137" s="55">
        <f t="shared" si="5"/>
        <v>422.0564399999999</v>
      </c>
      <c r="G137" s="55">
        <v>0</v>
      </c>
      <c r="H137" s="55">
        <v>625</v>
      </c>
      <c r="I137" s="31"/>
      <c r="T137" s="32"/>
    </row>
    <row r="138" spans="1:20" s="56" customFormat="1" ht="15.75" customHeight="1">
      <c r="A138" s="87">
        <f t="shared" si="4"/>
        <v>807</v>
      </c>
      <c r="B138" s="87"/>
      <c r="C138" s="55" t="s">
        <v>309</v>
      </c>
      <c r="D138" s="57">
        <f>(33.62)*(10.764)</f>
        <v>361.88567999999992</v>
      </c>
      <c r="E138" s="57">
        <f>(1.8+3.79)*(10.764)</f>
        <v>60.170759999999994</v>
      </c>
      <c r="F138" s="55">
        <f t="shared" si="5"/>
        <v>422.0564399999999</v>
      </c>
      <c r="G138" s="55">
        <v>0</v>
      </c>
      <c r="H138" s="55">
        <v>625</v>
      </c>
      <c r="I138" s="31"/>
      <c r="T138" s="32"/>
    </row>
    <row r="139" spans="1:20" s="56" customFormat="1" ht="15.75" customHeight="1">
      <c r="A139" s="87">
        <f t="shared" si="4"/>
        <v>808</v>
      </c>
      <c r="B139" s="87"/>
      <c r="C139" s="55" t="s">
        <v>310</v>
      </c>
      <c r="D139" s="57">
        <f>(45.85)*(10.764)</f>
        <v>493.52940000000001</v>
      </c>
      <c r="E139" s="57">
        <f>(2.7+5.7)*(10.764)</f>
        <v>90.417599999999993</v>
      </c>
      <c r="F139" s="55">
        <f t="shared" si="5"/>
        <v>583.947</v>
      </c>
      <c r="G139" s="55">
        <v>0</v>
      </c>
      <c r="H139" s="55">
        <v>865</v>
      </c>
      <c r="I139" s="31"/>
      <c r="T139" s="32"/>
    </row>
    <row r="140" spans="1:20" s="56" customFormat="1" ht="15.75" customHeight="1">
      <c r="A140" s="87">
        <f t="shared" si="4"/>
        <v>809</v>
      </c>
      <c r="B140" s="87"/>
      <c r="C140" s="55" t="s">
        <v>309</v>
      </c>
      <c r="D140" s="57">
        <f>(33.56)*(10.764)</f>
        <v>361.23984000000002</v>
      </c>
      <c r="E140" s="57">
        <f>(6.35)*(10.764)</f>
        <v>68.351399999999998</v>
      </c>
      <c r="F140" s="55">
        <f t="shared" si="5"/>
        <v>429.59124000000003</v>
      </c>
      <c r="G140" s="55">
        <v>0</v>
      </c>
      <c r="H140" s="55">
        <v>640</v>
      </c>
      <c r="I140" s="31"/>
      <c r="T140" s="32"/>
    </row>
    <row r="141" spans="1:20" s="30" customFormat="1">
      <c r="A141" s="139" t="s">
        <v>65</v>
      </c>
      <c r="B141" s="139"/>
      <c r="C141" s="139"/>
      <c r="D141" s="139"/>
      <c r="E141" s="139"/>
      <c r="F141" s="139"/>
      <c r="G141" s="139"/>
      <c r="H141" s="139"/>
      <c r="T141" s="56"/>
    </row>
    <row r="142" spans="1:20" s="30" customFormat="1" ht="15" customHeight="1">
      <c r="A142" s="38">
        <v>1</v>
      </c>
      <c r="B142" s="132" t="s">
        <v>341</v>
      </c>
      <c r="C142" s="133"/>
      <c r="D142" s="133"/>
      <c r="E142" s="133"/>
      <c r="F142" s="133"/>
      <c r="G142" s="133"/>
      <c r="H142" s="134"/>
      <c r="T142" s="56"/>
    </row>
    <row r="143" spans="1:20" s="30" customFormat="1">
      <c r="A143" s="38">
        <f>A142+1</f>
        <v>2</v>
      </c>
      <c r="B143" s="132" t="str">
        <f>(IF(H107="Saleable area Loading :","We have considered Saleable area of Flats as per our Calculation.","We considered Saleable area of Flat as per Builder area Sheet."))</f>
        <v>We considered Saleable area of Flat as per Builder area Sheet.</v>
      </c>
      <c r="C143" s="133"/>
      <c r="D143" s="133"/>
      <c r="E143" s="133"/>
      <c r="F143" s="133"/>
      <c r="G143" s="133"/>
      <c r="H143" s="134"/>
      <c r="T143" s="56"/>
    </row>
    <row r="144" spans="1:20" s="30" customFormat="1">
      <c r="A144" s="67">
        <f t="shared" ref="A144:A152" si="6">A143+1</f>
        <v>3</v>
      </c>
      <c r="B144" s="127" t="s">
        <v>118</v>
      </c>
      <c r="C144" s="128"/>
      <c r="D144" s="128"/>
      <c r="E144" s="128"/>
      <c r="F144" s="128"/>
      <c r="G144" s="128"/>
      <c r="H144" s="129"/>
      <c r="T144" s="32"/>
    </row>
    <row r="145" spans="1:20" s="30" customFormat="1">
      <c r="A145" s="67">
        <f t="shared" si="6"/>
        <v>4</v>
      </c>
      <c r="B145" s="127" t="s">
        <v>332</v>
      </c>
      <c r="C145" s="128"/>
      <c r="D145" s="128"/>
      <c r="E145" s="128"/>
      <c r="F145" s="128"/>
      <c r="G145" s="128"/>
      <c r="H145" s="129"/>
      <c r="T145" s="32"/>
    </row>
    <row r="146" spans="1:20" s="30" customFormat="1">
      <c r="A146" s="67">
        <f t="shared" si="6"/>
        <v>5</v>
      </c>
      <c r="B146" s="127" t="s">
        <v>146</v>
      </c>
      <c r="C146" s="128"/>
      <c r="D146" s="128"/>
      <c r="E146" s="128"/>
      <c r="F146" s="128"/>
      <c r="G146" s="128"/>
      <c r="H146" s="129"/>
      <c r="T146" s="32"/>
    </row>
    <row r="147" spans="1:20" s="30" customFormat="1">
      <c r="A147" s="67">
        <f t="shared" si="6"/>
        <v>6</v>
      </c>
      <c r="B147" s="127" t="s">
        <v>119</v>
      </c>
      <c r="C147" s="128"/>
      <c r="D147" s="128"/>
      <c r="E147" s="128"/>
      <c r="F147" s="128"/>
      <c r="G147" s="128"/>
      <c r="H147" s="129"/>
    </row>
    <row r="148" spans="1:20" s="30" customFormat="1" ht="34.5" customHeight="1">
      <c r="A148" s="67">
        <f t="shared" si="6"/>
        <v>7</v>
      </c>
      <c r="B148" s="127" t="s">
        <v>147</v>
      </c>
      <c r="C148" s="128"/>
      <c r="D148" s="128"/>
      <c r="E148" s="128"/>
      <c r="F148" s="128"/>
      <c r="G148" s="128"/>
      <c r="H148" s="129"/>
    </row>
    <row r="149" spans="1:20" s="30" customFormat="1">
      <c r="A149" s="67">
        <f t="shared" si="6"/>
        <v>8</v>
      </c>
      <c r="B149" s="127" t="s">
        <v>120</v>
      </c>
      <c r="C149" s="128"/>
      <c r="D149" s="128"/>
      <c r="E149" s="128"/>
      <c r="F149" s="128"/>
      <c r="G149" s="128"/>
      <c r="H149" s="129"/>
    </row>
    <row r="150" spans="1:20" s="30" customFormat="1" hidden="1">
      <c r="A150" s="67" t="e">
        <f>#REF!+1</f>
        <v>#REF!</v>
      </c>
      <c r="B150" s="184" t="s">
        <v>321</v>
      </c>
      <c r="C150" s="185"/>
      <c r="D150" s="185"/>
      <c r="E150" s="185"/>
      <c r="F150" s="185"/>
      <c r="G150" s="185"/>
      <c r="H150" s="186"/>
    </row>
    <row r="151" spans="1:20" s="30" customFormat="1" ht="32.25" customHeight="1">
      <c r="A151" s="67">
        <v>9</v>
      </c>
      <c r="B151" s="135" t="s">
        <v>339</v>
      </c>
      <c r="C151" s="136"/>
      <c r="D151" s="136"/>
      <c r="E151" s="136"/>
      <c r="F151" s="136"/>
      <c r="G151" s="136"/>
      <c r="H151" s="137"/>
    </row>
    <row r="152" spans="1:20" s="30" customFormat="1" ht="32" customHeight="1">
      <c r="A152" s="71">
        <f t="shared" si="6"/>
        <v>10</v>
      </c>
      <c r="B152" s="127" t="s">
        <v>343</v>
      </c>
      <c r="C152" s="128"/>
      <c r="D152" s="128"/>
      <c r="E152" s="128"/>
      <c r="F152" s="128"/>
      <c r="G152" s="128"/>
      <c r="H152" s="129"/>
    </row>
    <row r="153" spans="1:20">
      <c r="A153" s="111" t="s">
        <v>58</v>
      </c>
      <c r="B153" s="111"/>
      <c r="C153" s="111"/>
      <c r="D153" s="111"/>
      <c r="E153" s="111"/>
      <c r="F153" s="111"/>
      <c r="G153" s="111"/>
      <c r="H153" s="111"/>
      <c r="T153" s="30"/>
    </row>
    <row r="154" spans="1:20">
      <c r="A154" s="72" t="s">
        <v>59</v>
      </c>
      <c r="B154" s="72"/>
      <c r="C154" s="72"/>
      <c r="D154" s="72"/>
      <c r="E154" s="72"/>
      <c r="F154" s="72"/>
      <c r="G154" s="72"/>
      <c r="H154" s="72"/>
      <c r="T154" s="30"/>
    </row>
    <row r="155" spans="1:20" ht="15.75" customHeight="1">
      <c r="A155" s="121" t="s">
        <v>60</v>
      </c>
      <c r="B155" s="121"/>
      <c r="C155" s="121"/>
      <c r="D155" s="121"/>
      <c r="E155" s="121"/>
      <c r="F155" s="121"/>
      <c r="G155" s="121"/>
      <c r="H155" s="121"/>
      <c r="T155" s="30"/>
    </row>
    <row r="156" spans="1:20">
      <c r="A156" s="72" t="s">
        <v>61</v>
      </c>
      <c r="B156" s="72"/>
      <c r="C156" s="72"/>
      <c r="D156" s="72"/>
      <c r="E156" s="72"/>
      <c r="F156" s="72"/>
      <c r="G156" s="72"/>
      <c r="H156" s="72"/>
      <c r="T156" s="30"/>
    </row>
    <row r="157" spans="1:20">
      <c r="A157" s="72" t="s">
        <v>62</v>
      </c>
      <c r="B157" s="72"/>
      <c r="C157" s="72"/>
      <c r="D157" s="72"/>
      <c r="E157" s="72"/>
      <c r="F157" s="72"/>
      <c r="G157" s="72"/>
      <c r="H157" s="72"/>
      <c r="T157" s="30"/>
    </row>
    <row r="158" spans="1:20">
      <c r="A158" s="72" t="s">
        <v>121</v>
      </c>
      <c r="B158" s="72"/>
      <c r="C158" s="72"/>
      <c r="D158" s="72"/>
      <c r="E158" s="72"/>
      <c r="F158" s="72"/>
      <c r="G158" s="72"/>
      <c r="H158" s="72"/>
      <c r="T158" s="30"/>
    </row>
    <row r="159" spans="1:20">
      <c r="A159" s="75" t="s">
        <v>122</v>
      </c>
      <c r="B159" s="75"/>
      <c r="C159" s="75"/>
      <c r="D159" s="75"/>
      <c r="E159" s="75"/>
      <c r="F159" s="75"/>
      <c r="G159" s="75"/>
      <c r="H159" s="75"/>
      <c r="J159" s="58"/>
      <c r="T159" s="30"/>
    </row>
    <row r="160" spans="1:20">
      <c r="A160" s="131" t="s">
        <v>73</v>
      </c>
      <c r="B160" s="131"/>
      <c r="C160" s="131" t="s">
        <v>315</v>
      </c>
      <c r="D160" s="131"/>
      <c r="E160" s="131" t="s">
        <v>102</v>
      </c>
      <c r="F160" s="131"/>
      <c r="G160" s="131" t="s">
        <v>340</v>
      </c>
      <c r="H160" s="131"/>
    </row>
    <row r="161" spans="1:8">
      <c r="A161" s="130" t="s">
        <v>75</v>
      </c>
      <c r="B161" s="130"/>
      <c r="C161" s="130"/>
      <c r="D161" s="130"/>
      <c r="E161" s="130"/>
      <c r="F161" s="130"/>
      <c r="G161" s="130"/>
      <c r="H161" s="130"/>
    </row>
    <row r="162" spans="1:8">
      <c r="A162" s="130"/>
      <c r="B162" s="130"/>
      <c r="C162" s="130"/>
      <c r="D162" s="130"/>
      <c r="E162" s="130"/>
      <c r="F162" s="130"/>
      <c r="G162" s="130"/>
      <c r="H162" s="130"/>
    </row>
    <row r="163" spans="1:8" ht="17" customHeight="1">
      <c r="A163" s="130"/>
      <c r="B163" s="130"/>
      <c r="C163" s="130"/>
      <c r="D163" s="130"/>
      <c r="E163" s="130"/>
      <c r="F163" s="130"/>
      <c r="G163" s="130"/>
      <c r="H163" s="130"/>
    </row>
    <row r="164" spans="1:8" hidden="1">
      <c r="A164" s="130"/>
      <c r="B164" s="130"/>
      <c r="C164" s="130"/>
      <c r="D164" s="130"/>
      <c r="E164" s="130"/>
      <c r="F164" s="130"/>
      <c r="G164" s="130"/>
      <c r="H164" s="130"/>
    </row>
    <row r="165" spans="1:8">
      <c r="A165" s="33" t="s">
        <v>63</v>
      </c>
      <c r="B165" s="34"/>
      <c r="C165" s="34"/>
      <c r="D165" s="33" t="str">
        <f>E9</f>
        <v>Dreams Enclave</v>
      </c>
      <c r="F165" s="34"/>
      <c r="G165" s="34"/>
      <c r="H165" s="34"/>
    </row>
    <row r="166" spans="1:8">
      <c r="A166" s="34"/>
      <c r="B166" s="34"/>
      <c r="C166" s="34"/>
      <c r="D166" s="34"/>
      <c r="E166" s="34"/>
      <c r="F166" s="34"/>
      <c r="G166" s="34"/>
      <c r="H166" s="34"/>
    </row>
    <row r="167" spans="1:8">
      <c r="A167" s="34"/>
      <c r="B167" s="34"/>
      <c r="C167" s="34"/>
      <c r="D167" s="34"/>
      <c r="E167" s="34"/>
      <c r="F167" s="34"/>
      <c r="G167" s="34"/>
      <c r="H167" s="34"/>
    </row>
    <row r="168" spans="1:8" ht="15" customHeight="1"/>
    <row r="208" spans="1:8">
      <c r="A208" s="33" t="s">
        <v>338</v>
      </c>
      <c r="B208" s="34"/>
      <c r="C208" s="34"/>
      <c r="D208" s="33"/>
      <c r="F208" s="34"/>
      <c r="G208" s="34"/>
      <c r="H208" s="34"/>
    </row>
    <row r="209" spans="1:8">
      <c r="A209" s="34"/>
      <c r="B209" s="34"/>
      <c r="C209" s="34"/>
      <c r="D209" s="34"/>
      <c r="E209" s="34"/>
      <c r="F209" s="34"/>
      <c r="G209" s="34"/>
      <c r="H209" s="34"/>
    </row>
    <row r="210" spans="1:8">
      <c r="A210" s="34"/>
      <c r="B210" s="34"/>
      <c r="C210" s="34"/>
      <c r="D210" s="34"/>
      <c r="E210" s="34"/>
      <c r="F210" s="34"/>
      <c r="G210" s="34"/>
      <c r="H210" s="34"/>
    </row>
    <row r="211" spans="1:8" ht="15" customHeight="1"/>
    <row r="238" spans="1:1">
      <c r="A238" s="36" t="s">
        <v>156</v>
      </c>
    </row>
    <row r="278" spans="1:1">
      <c r="A278" s="36" t="s">
        <v>64</v>
      </c>
    </row>
  </sheetData>
  <mergeCells count="285">
    <mergeCell ref="M112:O112"/>
    <mergeCell ref="A133:B133"/>
    <mergeCell ref="A79:B79"/>
    <mergeCell ref="B150:H150"/>
    <mergeCell ref="A92:E92"/>
    <mergeCell ref="A103:B103"/>
    <mergeCell ref="E103:F103"/>
    <mergeCell ref="A97:E97"/>
    <mergeCell ref="G103:H103"/>
    <mergeCell ref="B148:H148"/>
    <mergeCell ref="A134:B134"/>
    <mergeCell ref="A115:B115"/>
    <mergeCell ref="A131:H131"/>
    <mergeCell ref="A121:H121"/>
    <mergeCell ref="F87:H87"/>
    <mergeCell ref="F92:H92"/>
    <mergeCell ref="A93:E93"/>
    <mergeCell ref="F93:H93"/>
    <mergeCell ref="A95:E95"/>
    <mergeCell ref="F90:H90"/>
    <mergeCell ref="A94:E94"/>
    <mergeCell ref="E101:F101"/>
    <mergeCell ref="A105:H105"/>
    <mergeCell ref="A107:A108"/>
    <mergeCell ref="A45:D45"/>
    <mergeCell ref="L111:M111"/>
    <mergeCell ref="A116:B116"/>
    <mergeCell ref="A113:B113"/>
    <mergeCell ref="A114:B114"/>
    <mergeCell ref="A132:B132"/>
    <mergeCell ref="A40:B40"/>
    <mergeCell ref="C40:H40"/>
    <mergeCell ref="C107:C108"/>
    <mergeCell ref="G107:G108"/>
    <mergeCell ref="A120:B120"/>
    <mergeCell ref="G104:H104"/>
    <mergeCell ref="C55:H55"/>
    <mergeCell ref="A76:B76"/>
    <mergeCell ref="A49:B49"/>
    <mergeCell ref="C49:H49"/>
    <mergeCell ref="F89:H89"/>
    <mergeCell ref="A89:E89"/>
    <mergeCell ref="A91:E91"/>
    <mergeCell ref="A90:E90"/>
    <mergeCell ref="A87:E87"/>
    <mergeCell ref="F91:H91"/>
    <mergeCell ref="A75:B75"/>
    <mergeCell ref="A73:B73"/>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A39:B39"/>
    <mergeCell ref="C39:H39"/>
    <mergeCell ref="A46:D46"/>
    <mergeCell ref="A47:D47"/>
    <mergeCell ref="A48:H48"/>
    <mergeCell ref="D64:H64"/>
    <mergeCell ref="A64:C64"/>
    <mergeCell ref="F37:H37"/>
    <mergeCell ref="E27:H27"/>
    <mergeCell ref="A29:D29"/>
    <mergeCell ref="E29:H29"/>
    <mergeCell ref="A26:D26"/>
    <mergeCell ref="E26:H26"/>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A25:D25"/>
    <mergeCell ref="E25:H25"/>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F34:H34"/>
    <mergeCell ref="F35:H35"/>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130:B130"/>
    <mergeCell ref="A137:B137"/>
    <mergeCell ref="A138:B138"/>
    <mergeCell ref="A139:B139"/>
    <mergeCell ref="A140:B140"/>
    <mergeCell ref="C133:H133"/>
    <mergeCell ref="A141:H141"/>
    <mergeCell ref="A135:B135"/>
    <mergeCell ref="C73:H73"/>
    <mergeCell ref="A81:B81"/>
    <mergeCell ref="C75:H75"/>
    <mergeCell ref="A78:B78"/>
    <mergeCell ref="A80:B80"/>
    <mergeCell ref="E76:F76"/>
    <mergeCell ref="A77:B77"/>
    <mergeCell ref="G76:H76"/>
    <mergeCell ref="E77:F86"/>
    <mergeCell ref="G77:H86"/>
    <mergeCell ref="A85:B85"/>
    <mergeCell ref="A86:B86"/>
    <mergeCell ref="A84:B84"/>
    <mergeCell ref="A83:B83"/>
    <mergeCell ref="A136:B136"/>
    <mergeCell ref="A109:H109"/>
    <mergeCell ref="A161:H164"/>
    <mergeCell ref="A160:B160"/>
    <mergeCell ref="E160:F160"/>
    <mergeCell ref="C160:D160"/>
    <mergeCell ref="G160:H160"/>
    <mergeCell ref="B147:H147"/>
    <mergeCell ref="B142:H142"/>
    <mergeCell ref="B143:H143"/>
    <mergeCell ref="B144:H144"/>
    <mergeCell ref="B145:H145"/>
    <mergeCell ref="B149:H149"/>
    <mergeCell ref="A156:H156"/>
    <mergeCell ref="A159:H159"/>
    <mergeCell ref="A157:H157"/>
    <mergeCell ref="A153:H153"/>
    <mergeCell ref="A154:H154"/>
    <mergeCell ref="B151:H151"/>
    <mergeCell ref="B146:H146"/>
    <mergeCell ref="B152:H152"/>
    <mergeCell ref="G51:H51"/>
    <mergeCell ref="A52:B53"/>
    <mergeCell ref="C52:E52"/>
    <mergeCell ref="A65:C65"/>
    <mergeCell ref="D65:H65"/>
    <mergeCell ref="C51:E51"/>
    <mergeCell ref="A158:H158"/>
    <mergeCell ref="A155:H155"/>
    <mergeCell ref="A112:B112"/>
    <mergeCell ref="A101:B101"/>
    <mergeCell ref="D107:D108"/>
    <mergeCell ref="E107:E108"/>
    <mergeCell ref="F88:H88"/>
    <mergeCell ref="F94:H94"/>
    <mergeCell ref="C103:D103"/>
    <mergeCell ref="A110:H110"/>
    <mergeCell ref="A125:B125"/>
    <mergeCell ref="A122:B122"/>
    <mergeCell ref="A104:B104"/>
    <mergeCell ref="C104:D104"/>
    <mergeCell ref="E104:F104"/>
    <mergeCell ref="A128:B128"/>
    <mergeCell ref="A129:B129"/>
    <mergeCell ref="I15:P15"/>
    <mergeCell ref="F97:H97"/>
    <mergeCell ref="F95:H95"/>
    <mergeCell ref="A123:B123"/>
    <mergeCell ref="A106:H106"/>
    <mergeCell ref="A96:E96"/>
    <mergeCell ref="A60:B60"/>
    <mergeCell ref="C60:E60"/>
    <mergeCell ref="D62:H62"/>
    <mergeCell ref="F96:H96"/>
    <mergeCell ref="C101:D101"/>
    <mergeCell ref="D70:H70"/>
    <mergeCell ref="A71:C71"/>
    <mergeCell ref="E43:H43"/>
    <mergeCell ref="A43:D43"/>
    <mergeCell ref="A82:B82"/>
    <mergeCell ref="A50:B50"/>
    <mergeCell ref="C50:E50"/>
    <mergeCell ref="G50:H50"/>
    <mergeCell ref="G52:H52"/>
    <mergeCell ref="A51:B51"/>
    <mergeCell ref="A61:H61"/>
    <mergeCell ref="F99:H99"/>
    <mergeCell ref="A111:H111"/>
    <mergeCell ref="O53:Q53"/>
    <mergeCell ref="C53:H53"/>
    <mergeCell ref="A117:B117"/>
    <mergeCell ref="A118:B118"/>
    <mergeCell ref="A119:B119"/>
    <mergeCell ref="C119:H119"/>
    <mergeCell ref="A127:B127"/>
    <mergeCell ref="F107:F108"/>
    <mergeCell ref="A88:E88"/>
    <mergeCell ref="A102:B102"/>
    <mergeCell ref="A124:B124"/>
    <mergeCell ref="A100:H100"/>
    <mergeCell ref="G101:H101"/>
    <mergeCell ref="A126:B126"/>
    <mergeCell ref="B107:B108"/>
    <mergeCell ref="C102:D102"/>
    <mergeCell ref="E102:F102"/>
    <mergeCell ref="G102:H102"/>
    <mergeCell ref="A68:C68"/>
    <mergeCell ref="D68:H68"/>
    <mergeCell ref="A69:C69"/>
    <mergeCell ref="D69:H69"/>
    <mergeCell ref="A72:C72"/>
    <mergeCell ref="D72:H72"/>
    <mergeCell ref="A54:B55"/>
    <mergeCell ref="C54:E54"/>
    <mergeCell ref="G54:H54"/>
    <mergeCell ref="A56:B57"/>
    <mergeCell ref="C56:E56"/>
    <mergeCell ref="G56:H56"/>
    <mergeCell ref="A58:B59"/>
    <mergeCell ref="C58:E58"/>
    <mergeCell ref="G58:H58"/>
    <mergeCell ref="A98:E98"/>
    <mergeCell ref="F98:H98"/>
    <mergeCell ref="A99:E99"/>
    <mergeCell ref="A62:C62"/>
    <mergeCell ref="A63:C63"/>
    <mergeCell ref="A70:C70"/>
    <mergeCell ref="D71:H71"/>
    <mergeCell ref="D63:H63"/>
    <mergeCell ref="G60:H60"/>
  </mergeCells>
  <dataValidations count="13">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G160:H160">
      <formula1>"Gaurav Panchal,Kunal Kadam,Pranita Mhatre,Shruti Fule,Pooja Kawale,Shruti Tathare,Anjali Kamble,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07:B10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07:E108">
      <formula1>"Fungible area,Balcony Area,Chajja Area,Balcony + E.P Area,Cornice Area,AP Area,WS Area"</formula1>
    </dataValidation>
    <dataValidation type="list" allowBlank="1" showInputMessage="1" showErrorMessage="1" sqref="H10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2" max="16383" man="1"/>
    <brk id="164" max="16383" man="1"/>
    <brk id="207" max="16383" man="1"/>
    <brk id="237" max="16383" man="1"/>
    <brk id="277"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row r="2" spans="1:9" ht="15" customHeight="1">
      <c r="A2" s="2"/>
      <c r="B2" s="2"/>
      <c r="C2" s="2"/>
      <c r="D2" s="2"/>
      <c r="E2" s="2"/>
      <c r="F2" s="2"/>
      <c r="G2" s="2"/>
      <c r="H2" s="2"/>
    </row>
    <row r="3" spans="1:9" ht="15.75" customHeight="1">
      <c r="A3" s="2"/>
      <c r="B3" s="192" t="s">
        <v>103</v>
      </c>
      <c r="C3" s="192"/>
      <c r="D3" s="192"/>
      <c r="E3" s="192"/>
      <c r="F3" s="192"/>
      <c r="G3" s="192"/>
      <c r="H3" s="192"/>
    </row>
    <row r="4" spans="1:9">
      <c r="A4" s="2"/>
      <c r="B4" s="3" t="s">
        <v>104</v>
      </c>
      <c r="C4" s="3" t="s">
        <v>105</v>
      </c>
      <c r="D4" s="3" t="s">
        <v>66</v>
      </c>
      <c r="E4" s="3" t="s">
        <v>106</v>
      </c>
      <c r="F4" s="3" t="s">
        <v>112</v>
      </c>
      <c r="G4" s="3" t="s">
        <v>113</v>
      </c>
      <c r="H4" s="3" t="s">
        <v>107</v>
      </c>
    </row>
    <row r="5" spans="1:9" ht="15" customHeight="1">
      <c r="A5" s="2"/>
      <c r="B5" s="5" t="s">
        <v>108</v>
      </c>
      <c r="C5" s="6"/>
      <c r="D5" s="5"/>
      <c r="E5" s="5"/>
      <c r="F5" s="7">
        <f>E5*1.6</f>
        <v>0</v>
      </c>
      <c r="G5" s="7" t="e">
        <f>H5/F5</f>
        <v>#DIV/0!</v>
      </c>
      <c r="H5" s="8"/>
    </row>
    <row r="6" spans="1:9">
      <c r="A6" s="2"/>
      <c r="B6" s="5" t="s">
        <v>108</v>
      </c>
      <c r="C6" s="9"/>
      <c r="D6" s="5"/>
      <c r="E6" s="5"/>
      <c r="F6" s="7">
        <f t="shared" ref="F6:F11" si="0">E6*1.6</f>
        <v>0</v>
      </c>
      <c r="G6" s="7" t="e">
        <f t="shared" ref="G6:G11" si="1">H6/F6</f>
        <v>#DIV/0!</v>
      </c>
      <c r="H6" s="8"/>
    </row>
    <row r="7" spans="1:9" ht="15" customHeight="1">
      <c r="A7" s="2"/>
      <c r="B7" s="5" t="s">
        <v>108</v>
      </c>
      <c r="C7" s="6"/>
      <c r="D7" s="5"/>
      <c r="E7" s="5"/>
      <c r="F7" s="7">
        <f t="shared" si="0"/>
        <v>0</v>
      </c>
      <c r="G7" s="7" t="e">
        <f t="shared" si="1"/>
        <v>#DIV/0!</v>
      </c>
      <c r="H7" s="8"/>
    </row>
    <row r="8" spans="1:9">
      <c r="A8" s="2"/>
      <c r="B8" s="5" t="s">
        <v>108</v>
      </c>
      <c r="C8" s="9"/>
      <c r="D8" s="5"/>
      <c r="E8" s="5"/>
      <c r="F8" s="7">
        <f t="shared" si="0"/>
        <v>0</v>
      </c>
      <c r="G8" s="7" t="e">
        <f t="shared" si="1"/>
        <v>#DIV/0!</v>
      </c>
      <c r="H8" s="8"/>
    </row>
    <row r="9" spans="1:9" ht="15" customHeight="1">
      <c r="A9" s="2"/>
      <c r="B9" s="5" t="s">
        <v>108</v>
      </c>
      <c r="C9" s="9"/>
      <c r="D9" s="5"/>
      <c r="E9" s="5"/>
      <c r="F9" s="7">
        <f t="shared" si="0"/>
        <v>0</v>
      </c>
      <c r="G9" s="7" t="e">
        <f t="shared" si="1"/>
        <v>#DIV/0!</v>
      </c>
      <c r="H9" s="8"/>
    </row>
    <row r="10" spans="1:9" ht="15" customHeight="1">
      <c r="A10" s="2"/>
      <c r="B10" s="5" t="s">
        <v>109</v>
      </c>
      <c r="C10" s="6"/>
      <c r="D10" s="5"/>
      <c r="E10" s="5"/>
      <c r="F10" s="7">
        <f t="shared" si="0"/>
        <v>0</v>
      </c>
      <c r="G10" s="7" t="e">
        <f t="shared" si="1"/>
        <v>#DIV/0!</v>
      </c>
      <c r="H10" s="8"/>
    </row>
    <row r="11" spans="1:9" ht="15" customHeight="1">
      <c r="A11" s="2"/>
      <c r="B11" s="5" t="s">
        <v>109</v>
      </c>
      <c r="C11" s="6"/>
      <c r="D11" s="5"/>
      <c r="E11" s="5"/>
      <c r="F11" s="7">
        <f t="shared" si="0"/>
        <v>0</v>
      </c>
      <c r="G11" s="7" t="e">
        <f t="shared" si="1"/>
        <v>#DIV/0!</v>
      </c>
      <c r="H11" s="8"/>
    </row>
    <row r="12" spans="1:9" ht="15" customHeight="1">
      <c r="A12" s="2"/>
      <c r="B12" s="10" t="s">
        <v>110</v>
      </c>
      <c r="C12" s="5"/>
      <c r="D12" s="5"/>
      <c r="E12" s="5"/>
      <c r="F12" s="5"/>
      <c r="G12" s="11" t="e">
        <f>AVERAGE(G5:G11)</f>
        <v>#DIV/0!</v>
      </c>
      <c r="H12" s="5"/>
    </row>
    <row r="13" spans="1:9" ht="15" customHeight="1">
      <c r="B13" s="10" t="s">
        <v>111</v>
      </c>
      <c r="C13" s="5"/>
      <c r="D13" s="5"/>
      <c r="E13" s="5"/>
      <c r="F13" s="12"/>
      <c r="G13" s="10"/>
      <c r="H13" s="10"/>
      <c r="I13" s="4"/>
    </row>
    <row r="14" spans="1:9" ht="15" customHeight="1"/>
    <row r="15" spans="1:9" ht="15" customHeight="1"/>
    <row r="16" spans="1:9" ht="15" customHeight="1"/>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c r="J3">
        <v>1</v>
      </c>
      <c r="K3">
        <v>2</v>
      </c>
    </row>
    <row r="4" spans="2:11">
      <c r="B4" s="42"/>
      <c r="C4" s="42" t="s">
        <v>11</v>
      </c>
      <c r="D4" s="43" t="s">
        <v>170</v>
      </c>
      <c r="E4" s="43" t="s">
        <v>180</v>
      </c>
      <c r="F4" s="43" t="s">
        <v>165</v>
      </c>
      <c r="G4" s="43" t="s">
        <v>185</v>
      </c>
      <c r="H4" s="43" t="s">
        <v>203</v>
      </c>
      <c r="J4" t="s">
        <v>185</v>
      </c>
      <c r="K4" t="s">
        <v>201</v>
      </c>
    </row>
    <row r="5" spans="2:11">
      <c r="B5" s="42"/>
      <c r="C5" s="42"/>
      <c r="D5" s="43" t="s">
        <v>171</v>
      </c>
      <c r="E5" s="43" t="s">
        <v>178</v>
      </c>
      <c r="F5" s="43" t="s">
        <v>200</v>
      </c>
      <c r="G5" s="43" t="s">
        <v>186</v>
      </c>
      <c r="H5" s="43" t="s">
        <v>204</v>
      </c>
    </row>
    <row r="6" spans="2:11">
      <c r="B6" s="42"/>
      <c r="C6" s="42"/>
      <c r="D6" s="43" t="s">
        <v>172</v>
      </c>
      <c r="E6" s="43" t="s">
        <v>179</v>
      </c>
      <c r="F6" s="43" t="s">
        <v>201</v>
      </c>
      <c r="G6" s="43" t="s">
        <v>187</v>
      </c>
      <c r="H6" s="43" t="s">
        <v>217</v>
      </c>
    </row>
    <row r="7" spans="2:11">
      <c r="B7" s="42"/>
      <c r="C7" s="42"/>
      <c r="D7" s="43" t="s">
        <v>173</v>
      </c>
      <c r="E7" s="43" t="s">
        <v>181</v>
      </c>
      <c r="F7" s="43" t="s">
        <v>202</v>
      </c>
      <c r="G7" s="43" t="s">
        <v>188</v>
      </c>
      <c r="H7" s="43" t="s">
        <v>205</v>
      </c>
    </row>
    <row r="8" spans="2:11">
      <c r="B8" s="42"/>
      <c r="C8" s="42"/>
      <c r="D8" s="43" t="s">
        <v>174</v>
      </c>
      <c r="E8" s="43" t="s">
        <v>182</v>
      </c>
      <c r="F8" s="43"/>
      <c r="G8" s="43" t="s">
        <v>189</v>
      </c>
      <c r="H8" s="43" t="s">
        <v>206</v>
      </c>
    </row>
    <row r="9" spans="2:11">
      <c r="B9" s="42"/>
      <c r="C9" s="42"/>
      <c r="D9" s="43" t="s">
        <v>175</v>
      </c>
      <c r="E9" s="43" t="s">
        <v>180</v>
      </c>
      <c r="F9" s="43"/>
      <c r="G9" s="43" t="s">
        <v>190</v>
      </c>
      <c r="H9" s="43" t="s">
        <v>207</v>
      </c>
    </row>
    <row r="10" spans="2:11">
      <c r="B10" s="42"/>
      <c r="C10" s="42"/>
      <c r="D10" s="43" t="s">
        <v>176</v>
      </c>
      <c r="E10" s="43" t="s">
        <v>183</v>
      </c>
      <c r="F10" s="43"/>
      <c r="G10" s="43" t="s">
        <v>191</v>
      </c>
      <c r="H10" s="43" t="s">
        <v>208</v>
      </c>
    </row>
    <row r="11" spans="2:11">
      <c r="B11" s="42"/>
      <c r="C11" s="42"/>
      <c r="D11" s="43" t="s">
        <v>177</v>
      </c>
      <c r="E11" s="43" t="s">
        <v>184</v>
      </c>
      <c r="F11" s="43"/>
      <c r="G11" s="43" t="s">
        <v>192</v>
      </c>
      <c r="H11" s="43" t="s">
        <v>209</v>
      </c>
    </row>
    <row r="12" spans="2:11">
      <c r="B12" s="42"/>
      <c r="C12" s="42"/>
      <c r="D12" s="43"/>
      <c r="E12" s="43"/>
      <c r="F12" s="43"/>
      <c r="G12" s="43" t="s">
        <v>193</v>
      </c>
      <c r="H12" s="43" t="s">
        <v>210</v>
      </c>
    </row>
    <row r="13" spans="2:11">
      <c r="B13" s="42"/>
      <c r="C13" s="42"/>
      <c r="D13" s="43"/>
      <c r="E13" s="43"/>
      <c r="F13" s="43"/>
      <c r="G13" s="43" t="s">
        <v>194</v>
      </c>
      <c r="H13" s="43" t="s">
        <v>211</v>
      </c>
    </row>
    <row r="14" spans="2:11">
      <c r="B14" s="42"/>
      <c r="C14" s="42"/>
      <c r="D14" s="43"/>
      <c r="E14" s="43"/>
      <c r="F14" s="43"/>
      <c r="G14" s="43" t="s">
        <v>195</v>
      </c>
      <c r="H14" s="43" t="s">
        <v>212</v>
      </c>
    </row>
    <row r="15" spans="2:11">
      <c r="B15" s="42"/>
      <c r="C15" s="42"/>
      <c r="D15" s="43"/>
      <c r="E15" s="43"/>
      <c r="F15" s="43"/>
      <c r="G15" s="43" t="s">
        <v>196</v>
      </c>
      <c r="H15" s="43" t="s">
        <v>213</v>
      </c>
    </row>
    <row r="16" spans="2:11">
      <c r="B16" s="42"/>
      <c r="C16" s="42"/>
      <c r="D16" s="43"/>
      <c r="E16" s="43"/>
      <c r="F16" s="43"/>
      <c r="G16" s="43" t="s">
        <v>197</v>
      </c>
      <c r="H16" s="43" t="s">
        <v>214</v>
      </c>
    </row>
    <row r="17" spans="2:8">
      <c r="B17" s="42"/>
      <c r="C17" s="42"/>
      <c r="D17" s="43"/>
      <c r="E17" s="43"/>
      <c r="F17" s="43"/>
      <c r="G17" s="43" t="s">
        <v>198</v>
      </c>
      <c r="H17" s="43" t="s">
        <v>215</v>
      </c>
    </row>
    <row r="18" spans="2:8">
      <c r="B18" s="42"/>
      <c r="C18" s="42"/>
      <c r="D18" s="43"/>
      <c r="E18" s="43"/>
      <c r="F18" s="43"/>
      <c r="G18" s="43" t="s">
        <v>199</v>
      </c>
      <c r="H18" s="43" t="s">
        <v>216</v>
      </c>
    </row>
    <row r="24" spans="2:8">
      <c r="C24" t="s">
        <v>162</v>
      </c>
    </row>
    <row r="25" spans="2:8">
      <c r="C25" t="s">
        <v>218</v>
      </c>
    </row>
    <row r="26" spans="2:8">
      <c r="C26" t="s">
        <v>219</v>
      </c>
    </row>
    <row r="27" spans="2:8">
      <c r="C27" t="s">
        <v>220</v>
      </c>
    </row>
    <row r="28" spans="2:8">
      <c r="C28" t="s">
        <v>221</v>
      </c>
    </row>
    <row r="29" spans="2:8">
      <c r="C29" t="s">
        <v>222</v>
      </c>
    </row>
    <row r="30" spans="2:8">
      <c r="C30" t="s">
        <v>162</v>
      </c>
    </row>
    <row r="33" spans="3:11">
      <c r="J33">
        <v>1</v>
      </c>
      <c r="K33">
        <v>2</v>
      </c>
    </row>
    <row r="34" spans="3:11">
      <c r="C34" s="46" t="s">
        <v>227</v>
      </c>
      <c r="D34" s="43" t="s">
        <v>225</v>
      </c>
      <c r="E34" s="43" t="s">
        <v>230</v>
      </c>
      <c r="F34" s="43" t="s">
        <v>228</v>
      </c>
      <c r="G34" s="43" t="s">
        <v>229</v>
      </c>
      <c r="H34" s="43" t="s">
        <v>231</v>
      </c>
      <c r="J34" t="s">
        <v>185</v>
      </c>
      <c r="K34" t="s">
        <v>201</v>
      </c>
    </row>
    <row r="35" spans="3:11">
      <c r="C35" s="42" t="s">
        <v>226</v>
      </c>
      <c r="D35" s="43" t="s">
        <v>163</v>
      </c>
      <c r="E35" s="43" t="s">
        <v>235</v>
      </c>
      <c r="F35" s="43" t="s">
        <v>237</v>
      </c>
      <c r="G35" s="43" t="s">
        <v>239</v>
      </c>
      <c r="H35" s="43"/>
    </row>
    <row r="36" spans="3:11">
      <c r="C36" s="42"/>
      <c r="D36" s="43" t="s">
        <v>232</v>
      </c>
      <c r="E36" s="43" t="s">
        <v>236</v>
      </c>
      <c r="F36" s="43" t="s">
        <v>238</v>
      </c>
      <c r="G36" s="43" t="s">
        <v>240</v>
      </c>
      <c r="H36" s="43"/>
    </row>
    <row r="37" spans="3:11">
      <c r="C37" s="42"/>
      <c r="D37" s="43" t="s">
        <v>233</v>
      </c>
      <c r="E37" s="43"/>
      <c r="F37" s="43"/>
      <c r="G37" s="43" t="s">
        <v>241</v>
      </c>
      <c r="H37" s="43"/>
    </row>
    <row r="38" spans="3:11">
      <c r="C38" s="42"/>
      <c r="D38" s="43" t="s">
        <v>234</v>
      </c>
      <c r="E38" s="43"/>
      <c r="F38" s="43"/>
      <c r="G38" s="43" t="s">
        <v>241</v>
      </c>
      <c r="H38" s="43"/>
    </row>
    <row r="39" spans="3:11">
      <c r="C39" s="42"/>
      <c r="D39" s="43"/>
      <c r="E39" s="43"/>
      <c r="F39" s="43"/>
      <c r="G39" s="43" t="s">
        <v>242</v>
      </c>
      <c r="H39" s="43"/>
    </row>
    <row r="40" spans="3:11">
      <c r="C40" s="42"/>
      <c r="D40" s="43"/>
      <c r="E40" s="43"/>
      <c r="F40" s="43"/>
      <c r="G40" s="43" t="s">
        <v>243</v>
      </c>
      <c r="H40" s="43"/>
    </row>
    <row r="41" spans="3:11">
      <c r="C41" s="42"/>
      <c r="D41" s="43"/>
      <c r="E41" s="43"/>
      <c r="F41" s="43"/>
      <c r="G41" s="43"/>
      <c r="H41" s="43"/>
    </row>
    <row r="43" spans="3:11">
      <c r="C43" t="s">
        <v>244</v>
      </c>
    </row>
    <row r="44" spans="3:11">
      <c r="C44" t="s">
        <v>165</v>
      </c>
      <c r="D44" t="s">
        <v>245</v>
      </c>
    </row>
    <row r="45" spans="3:11">
      <c r="D45" t="s">
        <v>246</v>
      </c>
    </row>
    <row r="46" spans="3:11">
      <c r="D46" t="s">
        <v>247</v>
      </c>
    </row>
    <row r="47" spans="3:11">
      <c r="D47" t="s">
        <v>248</v>
      </c>
    </row>
    <row r="48" spans="3:11">
      <c r="D48" t="s">
        <v>249</v>
      </c>
    </row>
    <row r="49" spans="3:4">
      <c r="C49" t="s">
        <v>170</v>
      </c>
      <c r="D49" t="s">
        <v>250</v>
      </c>
    </row>
    <row r="50" spans="3:4">
      <c r="D50" t="s">
        <v>251</v>
      </c>
    </row>
    <row r="51" spans="3:4">
      <c r="D51" t="s">
        <v>252</v>
      </c>
    </row>
    <row r="52" spans="3:4">
      <c r="D52" t="s">
        <v>255</v>
      </c>
    </row>
    <row r="53" spans="3:4">
      <c r="D53" t="s">
        <v>253</v>
      </c>
    </row>
    <row r="54" spans="3:4">
      <c r="D54" t="s">
        <v>254</v>
      </c>
    </row>
    <row r="55" spans="3:4">
      <c r="D55" t="s">
        <v>256</v>
      </c>
    </row>
    <row r="56" spans="3:4">
      <c r="D56" t="s">
        <v>257</v>
      </c>
    </row>
    <row r="57" spans="3:4">
      <c r="D57" t="s">
        <v>258</v>
      </c>
    </row>
    <row r="58" spans="3:4">
      <c r="D58" t="s">
        <v>260</v>
      </c>
    </row>
    <row r="59" spans="3:4">
      <c r="D59" t="s">
        <v>269</v>
      </c>
    </row>
    <row r="60" spans="3:4">
      <c r="C60" t="s">
        <v>185</v>
      </c>
      <c r="D60" t="s">
        <v>261</v>
      </c>
    </row>
    <row r="61" spans="3:4">
      <c r="D61" t="s">
        <v>259</v>
      </c>
    </row>
    <row r="62" spans="3:4">
      <c r="D62" t="s">
        <v>249</v>
      </c>
    </row>
    <row r="63" spans="3:4">
      <c r="D63" t="s">
        <v>262</v>
      </c>
    </row>
    <row r="64" spans="3:4">
      <c r="D64" t="s">
        <v>263</v>
      </c>
    </row>
    <row r="65" spans="3:4">
      <c r="D65" t="s">
        <v>264</v>
      </c>
    </row>
    <row r="66" spans="3:4">
      <c r="D66" t="s">
        <v>265</v>
      </c>
    </row>
    <row r="67" spans="3:4">
      <c r="C67" t="s">
        <v>180</v>
      </c>
      <c r="D67" t="s">
        <v>266</v>
      </c>
    </row>
    <row r="68" spans="3:4">
      <c r="D68" t="s">
        <v>267</v>
      </c>
    </row>
    <row r="69" spans="3:4">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8"/>
  <sheetViews>
    <sheetView topLeftCell="A4" workbookViewId="0">
      <selection activeCell="C16" sqref="C16"/>
    </sheetView>
  </sheetViews>
  <sheetFormatPr defaultRowHeight="14.5"/>
  <cols>
    <col min="2" max="2" width="3" bestFit="1" customWidth="1"/>
    <col min="3" max="3" width="167.1796875" customWidth="1"/>
  </cols>
  <sheetData>
    <row r="2" spans="2:3" ht="15" customHeight="1">
      <c r="B2" s="47">
        <v>1</v>
      </c>
      <c r="C2" s="50" t="s">
        <v>275</v>
      </c>
    </row>
    <row r="3" spans="2:3">
      <c r="B3" s="47">
        <v>2</v>
      </c>
      <c r="C3" s="48" t="s">
        <v>276</v>
      </c>
    </row>
    <row r="4" spans="2:3">
      <c r="B4" s="47">
        <v>3</v>
      </c>
      <c r="C4" s="49" t="s">
        <v>277</v>
      </c>
    </row>
    <row r="5" spans="2:3">
      <c r="B5" s="47">
        <v>4</v>
      </c>
      <c r="C5" s="48" t="s">
        <v>278</v>
      </c>
    </row>
    <row r="6" spans="2:3">
      <c r="B6" s="47">
        <v>5</v>
      </c>
      <c r="C6" s="49" t="s">
        <v>279</v>
      </c>
    </row>
    <row r="7" spans="2:3">
      <c r="B7" s="47">
        <v>6</v>
      </c>
      <c r="C7" s="48" t="s">
        <v>280</v>
      </c>
    </row>
    <row r="8" spans="2:3" ht="72.5">
      <c r="B8" s="47">
        <v>7</v>
      </c>
      <c r="C8" s="48" t="s">
        <v>281</v>
      </c>
    </row>
    <row r="9" spans="2:3">
      <c r="B9" s="47">
        <v>8</v>
      </c>
      <c r="C9" s="49" t="s">
        <v>282</v>
      </c>
    </row>
    <row r="10" spans="2:3">
      <c r="B10" s="47">
        <v>9</v>
      </c>
      <c r="C10" s="49" t="s">
        <v>283</v>
      </c>
    </row>
    <row r="11" spans="2:3">
      <c r="B11" s="47">
        <v>10</v>
      </c>
      <c r="C11" s="49" t="s">
        <v>284</v>
      </c>
    </row>
    <row r="12" spans="2:3">
      <c r="B12" s="47">
        <v>11</v>
      </c>
      <c r="C12" s="49" t="s">
        <v>285</v>
      </c>
    </row>
    <row r="13" spans="2:3">
      <c r="B13" s="47">
        <v>12</v>
      </c>
      <c r="C13" s="49" t="s">
        <v>286</v>
      </c>
    </row>
    <row r="14" spans="2:3">
      <c r="B14" s="47">
        <v>13</v>
      </c>
      <c r="C14" s="49" t="s">
        <v>287</v>
      </c>
    </row>
    <row r="15" spans="2:3">
      <c r="B15" s="47">
        <v>14</v>
      </c>
      <c r="C15" s="49" t="s">
        <v>289</v>
      </c>
    </row>
    <row r="16" spans="2:3">
      <c r="B16" s="47">
        <v>15</v>
      </c>
      <c r="C16" s="49" t="s">
        <v>290</v>
      </c>
    </row>
    <row r="17" spans="2:3">
      <c r="B17" s="47">
        <v>16</v>
      </c>
      <c r="C17" s="51" t="s">
        <v>291</v>
      </c>
    </row>
    <row r="18" spans="2:3">
      <c r="B18" s="47">
        <v>15</v>
      </c>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2025-07-10T12:13:27Z</cp:lastPrinted>
  <dcterms:created xsi:type="dcterms:W3CDTF">2019-07-16T09:29:46Z</dcterms:created>
  <dcterms:modified xsi:type="dcterms:W3CDTF">2025-07-23T13:14:32Z</dcterms:modified>
</cp:coreProperties>
</file>