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120" i="1"/>
  <c r="I118" i="1"/>
  <c r="G110" i="1" l="1"/>
  <c r="G109" i="1"/>
  <c r="G111" i="1" s="1"/>
  <c r="D174" i="1" l="1"/>
  <c r="D173" i="1"/>
  <c r="D171" i="1"/>
  <c r="D170" i="1"/>
  <c r="D169" i="1"/>
  <c r="D168" i="1"/>
  <c r="D166" i="1"/>
  <c r="I166" i="1" s="1"/>
  <c r="D165" i="1"/>
  <c r="I165" i="1" s="1"/>
  <c r="D164" i="1"/>
  <c r="I164" i="1" s="1"/>
  <c r="D163" i="1"/>
  <c r="I163" i="1" s="1"/>
  <c r="D162" i="1"/>
  <c r="I162" i="1" s="1"/>
  <c r="D161" i="1"/>
  <c r="I161" i="1" s="1"/>
  <c r="D160" i="1"/>
  <c r="I160" i="1" s="1"/>
  <c r="E152" i="1"/>
  <c r="D158" i="1"/>
  <c r="D157" i="1"/>
  <c r="D156" i="1"/>
  <c r="D155" i="1"/>
  <c r="D154" i="1"/>
  <c r="D153" i="1"/>
  <c r="D152" i="1"/>
  <c r="E145" i="1"/>
  <c r="D150" i="1"/>
  <c r="I150" i="1" s="1"/>
  <c r="D149" i="1"/>
  <c r="I149" i="1" s="1"/>
  <c r="D148" i="1"/>
  <c r="I148" i="1" s="1"/>
  <c r="D147" i="1"/>
  <c r="I147" i="1" s="1"/>
  <c r="D146" i="1"/>
  <c r="I146" i="1" s="1"/>
  <c r="D145" i="1"/>
  <c r="D140" i="1"/>
  <c r="D139" i="1"/>
  <c r="D138" i="1"/>
  <c r="D137" i="1"/>
  <c r="D136" i="1"/>
  <c r="D135" i="1"/>
  <c r="D133" i="1"/>
  <c r="D131" i="1"/>
  <c r="D130" i="1"/>
  <c r="D128" i="1"/>
  <c r="M128" i="1" s="1"/>
  <c r="D127" i="1"/>
  <c r="D126" i="1"/>
  <c r="M126" i="1" s="1"/>
  <c r="D125" i="1"/>
  <c r="D124" i="1"/>
  <c r="M124" i="1" s="1"/>
  <c r="D123" i="1"/>
  <c r="D122" i="1"/>
  <c r="M122" i="1" s="1"/>
  <c r="D121" i="1"/>
  <c r="M121" i="1" s="1"/>
  <c r="M120" i="1"/>
  <c r="D119" i="1"/>
  <c r="M119" i="1" s="1"/>
  <c r="D118" i="1"/>
  <c r="I132" i="1"/>
  <c r="A169" i="1"/>
  <c r="A170" i="1" s="1"/>
  <c r="A171" i="1" s="1"/>
  <c r="A172" i="1" s="1"/>
  <c r="A173" i="1" s="1"/>
  <c r="A174" i="1" s="1"/>
  <c r="G168" i="1"/>
  <c r="A161" i="1"/>
  <c r="A162" i="1" s="1"/>
  <c r="A163" i="1" s="1"/>
  <c r="A164" i="1" s="1"/>
  <c r="A165" i="1" s="1"/>
  <c r="A166" i="1" s="1"/>
  <c r="G160" i="1"/>
  <c r="A153" i="1"/>
  <c r="A154" i="1" s="1"/>
  <c r="A155" i="1" s="1"/>
  <c r="A156" i="1" s="1"/>
  <c r="A157" i="1" s="1"/>
  <c r="A158" i="1" s="1"/>
  <c r="G152" i="1"/>
  <c r="L120" i="1"/>
  <c r="L118" i="1"/>
  <c r="K118" i="1"/>
  <c r="J121" i="1"/>
  <c r="J118" i="1"/>
  <c r="A145" i="1"/>
  <c r="A146" i="1" s="1"/>
  <c r="A147" i="1" s="1"/>
  <c r="A148" i="1" s="1"/>
  <c r="A149" i="1" s="1"/>
  <c r="A150" i="1" s="1"/>
  <c r="G144" i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G130" i="1"/>
  <c r="M118" i="1" l="1"/>
  <c r="C109" i="1"/>
  <c r="E109" i="1"/>
  <c r="C110" i="1"/>
  <c r="E110" i="1"/>
  <c r="I145" i="1"/>
  <c r="M123" i="1"/>
  <c r="M125" i="1"/>
  <c r="M127" i="1"/>
  <c r="D60" i="1"/>
  <c r="E29" i="1"/>
  <c r="B177" i="1"/>
  <c r="C66" i="1"/>
  <c r="B67" i="1" s="1"/>
  <c r="E24" i="1"/>
  <c r="E111" i="1" l="1"/>
  <c r="C111" i="1"/>
  <c r="E26" i="1"/>
  <c r="C14" i="1"/>
  <c r="E42" i="1" l="1"/>
  <c r="E43" i="1" s="1"/>
  <c r="F10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7" i="1"/>
  <c r="G118" i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C80" i="1"/>
  <c r="B81" i="1" s="1"/>
  <c r="D54" i="1"/>
  <c r="C49" i="1"/>
  <c r="E7" i="1"/>
  <c r="E3" i="1"/>
  <c r="H81" i="1"/>
  <c r="H67" i="1"/>
  <c r="J86" i="1" l="1"/>
  <c r="J80" i="1"/>
  <c r="J82" i="1" s="1"/>
  <c r="D91" i="1"/>
  <c r="D92" i="1"/>
  <c r="D93" i="1"/>
  <c r="D87" i="1"/>
  <c r="D88" i="1"/>
  <c r="D89" i="1"/>
  <c r="D90" i="1"/>
  <c r="D79" i="1"/>
  <c r="D77" i="1"/>
  <c r="D76" i="1"/>
  <c r="D75" i="1"/>
  <c r="D73" i="1"/>
  <c r="J66" i="1"/>
  <c r="D78" i="1"/>
  <c r="D74" i="1"/>
  <c r="J70" i="1"/>
  <c r="J71" i="1"/>
  <c r="J69" i="1"/>
  <c r="J72" i="1"/>
  <c r="J73" i="1" s="1"/>
  <c r="J78" i="1" s="1"/>
  <c r="J84" i="1"/>
  <c r="J85" i="1"/>
  <c r="C84" i="1" s="1"/>
  <c r="J83" i="1"/>
  <c r="J87" i="1" l="1"/>
  <c r="J92" i="1" s="1"/>
  <c r="J88" i="1"/>
  <c r="J89" i="1" s="1"/>
  <c r="J90" i="1" s="1"/>
  <c r="J91" i="1" s="1"/>
  <c r="J74" i="1"/>
  <c r="J75" i="1" s="1"/>
  <c r="J76" i="1" s="1"/>
  <c r="J77" i="1" s="1"/>
  <c r="D86" i="1"/>
  <c r="D72" i="1"/>
  <c r="J68" i="1"/>
  <c r="D70" i="1"/>
  <c r="D84" i="1"/>
  <c r="J79" i="1" l="1"/>
  <c r="G70" i="1" s="1"/>
  <c r="J93" i="1"/>
  <c r="C85" i="1" l="1"/>
  <c r="J81" i="1" s="1"/>
  <c r="J67" i="1"/>
  <c r="D71" i="1"/>
  <c r="I67" i="1" s="1"/>
  <c r="E70" i="1"/>
  <c r="G84" i="1" l="1"/>
  <c r="D64" i="1" s="1"/>
  <c r="D65" i="1" s="1"/>
  <c r="D85" i="1"/>
  <c r="I81" i="1" s="1"/>
  <c r="I82" i="1" s="1"/>
  <c r="E84" i="1"/>
  <c r="I68" i="1"/>
  <c r="I66" i="1" s="1"/>
  <c r="C68" i="1" s="1"/>
  <c r="I80" i="1" l="1"/>
  <c r="C82" i="1" s="1"/>
  <c r="F65" i="1"/>
</calcChain>
</file>

<file path=xl/sharedStrings.xml><?xml version="1.0" encoding="utf-8"?>
<sst xmlns="http://schemas.openxmlformats.org/spreadsheetml/2006/main" count="340" uniqueCount="222">
  <si>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</si>
  <si>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</si>
  <si>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</si>
  <si>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</si>
  <si>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</si>
  <si>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</si>
  <si>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</si>
  <si>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</si>
  <si>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</si>
  <si>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</si>
  <si>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</si>
  <si>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</si>
  <si>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</si>
  <si>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</si>
  <si>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</si>
  <si>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</si>
  <si>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</si>
  <si>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</si>
  <si>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</si>
  <si>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</si>
  <si>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</si>
  <si>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</si>
  <si>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</si>
  <si>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</si>
  <si>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</si>
  <si>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</si>
  <si>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</si>
  <si>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</si>
  <si>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</si>
  <si>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</si>
  <si>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</si>
  <si>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</si>
  <si>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</si>
  <si>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</si>
  <si>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</si>
  <si>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</si>
  <si>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</si>
  <si>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</si>
  <si>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</si>
  <si>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</si>
  <si>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</si>
  <si>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</si>
  <si>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</si>
  <si>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</si>
  <si>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</si>
  <si>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</si>
  <si>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</si>
  <si>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</si>
  <si>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</si>
  <si>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</si>
  <si>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</si>
  <si>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</si>
  <si>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</si>
  <si>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</si>
  <si>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</si>
  <si>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</si>
  <si>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</si>
  <si>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</si>
  <si>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</si>
  <si>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</si>
  <si>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</si>
  <si>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</si>
  <si>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</si>
  <si>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</si>
  <si>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</si>
  <si>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</si>
  <si>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</si>
  <si>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</si>
  <si>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</si>
  <si>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</si>
  <si>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</si>
  <si>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</si>
  <si>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</si>
  <si>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</si>
  <si>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</si>
  <si>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</si>
  <si>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</si>
  <si>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</si>
  <si>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</si>
  <si>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</si>
  <si>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</si>
  <si>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</si>
  <si>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</si>
  <si>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</si>
  <si>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</si>
  <si>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</si>
  <si>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</si>
  <si>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</si>
  <si>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</si>
  <si>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</si>
  <si>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</si>
  <si>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</si>
  <si>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</si>
  <si>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</si>
  <si>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</si>
  <si>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</si>
  <si>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</si>
  <si>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</si>
  <si>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</si>
  <si>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</si>
  <si>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</si>
  <si>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</si>
  <si>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</si>
  <si>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</si>
  <si>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</si>
  <si>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</si>
  <si>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</si>
  <si>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</si>
  <si>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</si>
  <si>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</si>
  <si>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</si>
  <si>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</si>
  <si>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</si>
  <si>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</si>
  <si>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</si>
  <si>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</si>
  <si>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</si>
  <si>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</si>
  <si>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</si>
  <si>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</si>
  <si>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</si>
  <si>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</si>
  <si>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</si>
  <si>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</si>
  <si>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</si>
  <si>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</si>
  <si>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</si>
  <si>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</si>
  <si>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</si>
  <si>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</si>
  <si>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</si>
  <si>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</si>
  <si>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</si>
  <si>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</si>
  <si>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</si>
  <si>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</si>
  <si>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</si>
  <si>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</si>
  <si>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</si>
  <si>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</si>
  <si>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</si>
  <si>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</si>
  <si>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</si>
  <si>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</si>
  <si>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</si>
  <si>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</si>
  <si>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</si>
  <si>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</si>
  <si>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</si>
  <si>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</si>
  <si>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</si>
  <si>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</si>
  <si>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</si>
  <si>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</si>
  <si>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</si>
  <si>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</si>
  <si>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</si>
  <si>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</si>
  <si>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</si>
  <si>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</si>
  <si>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</si>
  <si>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</si>
  <si>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</si>
  <si>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</si>
  <si>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</si>
  <si>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</si>
  <si>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</si>
  <si>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</si>
  <si>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Badlapur</t>
  </si>
  <si>
    <t>Shrushti Creators</t>
  </si>
  <si>
    <t>Hari Shrushti</t>
  </si>
  <si>
    <t>P51700049971</t>
  </si>
  <si>
    <t>Mr.Mayank Patel - 9909922434</t>
  </si>
  <si>
    <t>Mrs.Nilam (Sales) - 9146733561</t>
  </si>
  <si>
    <t>Wing B &amp; C</t>
  </si>
  <si>
    <t>Survey No</t>
  </si>
  <si>
    <t>105/A, H.No.4/1</t>
  </si>
  <si>
    <t>Thane</t>
  </si>
  <si>
    <t>Ambarnath</t>
  </si>
  <si>
    <t>Belavali</t>
  </si>
  <si>
    <t>Badlapur</t>
  </si>
  <si>
    <t>3.1 KM from Badlapur Railway Station</t>
  </si>
  <si>
    <t>https://goo.gl/maps/m3f9eydvYSAB5gVu6?coh=178572&amp;entry=tt</t>
  </si>
  <si>
    <t>19.180056, 73.230056</t>
  </si>
  <si>
    <t>Internal Road</t>
  </si>
  <si>
    <t>Mrunali Paradise</t>
  </si>
  <si>
    <t>Krishna Hills Building</t>
  </si>
  <si>
    <t>Ganesh Prabhat Apartments</t>
  </si>
  <si>
    <t>Carmel convent high school</t>
  </si>
  <si>
    <t>Kulgaon Badlapur Municipal Council (KBMC)</t>
  </si>
  <si>
    <t>KBNP/NRV/BP/6008-61</t>
  </si>
  <si>
    <t>KBNP/NRV/BP/6008/2022-2023 Unique No.61</t>
  </si>
  <si>
    <t>As per RERA - 31/12/2027</t>
  </si>
  <si>
    <t>Sudhir Bhosale</t>
  </si>
  <si>
    <t>02 Wings</t>
  </si>
  <si>
    <t>B &amp; C Wing = G + 1st to 11th Floor</t>
  </si>
  <si>
    <t>Wing B</t>
  </si>
  <si>
    <t>1st to 7th, 9th to 11th Floor For Residential</t>
  </si>
  <si>
    <t>2BHK</t>
  </si>
  <si>
    <t>1BHK</t>
  </si>
  <si>
    <t>We considered Gross carpet area = Net carpet + A.P Area + E.P Area.</t>
  </si>
  <si>
    <t>8th Floor (Part Refuge Area)</t>
  </si>
  <si>
    <t>Wing C</t>
  </si>
  <si>
    <t>Ground Floor For Entrance Lobby, Society Office, Meter Room, Driver Room &amp; Parking</t>
  </si>
  <si>
    <t xml:space="preserve">1st Floor For Fitness Center &amp; Residential </t>
  </si>
  <si>
    <t>Refuge Area</t>
  </si>
  <si>
    <t>Fitness Center</t>
  </si>
  <si>
    <t>3rd to 7th, 9th to 11th Floor</t>
  </si>
  <si>
    <t>B Wing = G + 1st to 11th Floor</t>
  </si>
  <si>
    <t>C Wing = G + 1st to 11th Floor</t>
  </si>
  <si>
    <t>Builder Saleable area</t>
  </si>
  <si>
    <t>Flats - 195</t>
  </si>
  <si>
    <t>Approved Plans, CC, Builder Saleable Area, Cost Sheet</t>
  </si>
  <si>
    <t>Fitness Center, Fire Protection And Fire Safety Requirements, Landscaping &amp; Tree Planting, Rain Water Harvesting etc.</t>
  </si>
  <si>
    <t>Ground Floor For Entrance Lobby, Meter Room &amp; Parking</t>
  </si>
  <si>
    <t xml:space="preserve">2nd Floor For Residential </t>
  </si>
  <si>
    <t>carpet area from plan &amp; Ap + Ep Area from builder sheet</t>
  </si>
  <si>
    <t>Grill Charges</t>
  </si>
  <si>
    <t>Corpus Fund</t>
  </si>
  <si>
    <t>B Wing = Work not yet Started.
C Wing = Construction work is in process at the time of Visit.</t>
  </si>
  <si>
    <t>Since wing B have received CC on 30/06/2022, but as of construction work is not started.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</si>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</sst>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4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3" xfId="0" applyFont="1" applyFill="1" applyBorder="1"/>
    <xf numFmtId="0" fontId="25" fillId="0" borderId="9" xfId="0" applyFont="1" applyBorder="1"/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2" borderId="21" xfId="1" applyNumberFormat="1" applyFont="1" applyFill="1" applyBorder="1" applyAlignment="1">
      <alignment horizontal="center" vertical="center" wrapText="1"/>
    </xf>
    <xf numFmtId="1" fontId="7" fillId="2" borderId="0" xfId="1" applyNumberFormat="1" applyFont="1" applyFill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433102</xdr:colOff>
      <xdr:row>299</xdr:row>
      <xdr:rowOff>82047</xdr:rowOff>
    </xdr:from>
    <xdr:to>
      <xdr:col>6</xdr:col>
      <xdr:colOff>431056</xdr:colOff>
      <xdr:row>313</xdr:row>
      <xdr:rowOff>173820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5102" y="65207070"/>
          <a:ext cx="414565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432955</xdr:colOff>
      <xdr:row>284</xdr:row>
      <xdr:rowOff>8659</xdr:rowOff>
    </xdr:from>
    <xdr:to>
      <xdr:col>6</xdr:col>
      <xdr:colOff>431056</xdr:colOff>
      <xdr:row>298</xdr:row>
      <xdr:rowOff>100432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4955" y="62146295"/>
          <a:ext cx="414580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9</xdr:col>
      <xdr:colOff>103909</xdr:colOff>
      <xdr:row>205</xdr:row>
      <xdr:rowOff>95251</xdr:rowOff>
    </xdr:from>
    <xdr:to>
      <xdr:col>10</xdr:col>
      <xdr:colOff>25977</xdr:colOff>
      <xdr:row>206</xdr:row>
      <xdr:rowOff>129887</xdr:rowOff>
    </xdr:to>
    <xdr:sp macro="" textlink="">
      <xdr:nvSpPr>
        <xdr:cNvPr id="2" name="TextBox 1"/>
        <xdr:cNvSpPr txBox="1"/>
      </xdr:nvSpPr>
      <xdr:spPr>
        <a:xfrm>
          <a:off x="7784523" y="42559433"/>
          <a:ext cx="684068" cy="233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200" b="1"/>
            <a:t>Wing C</a:t>
          </a:r>
        </a:p>
      </xdr:txBody>
    </xdr:sp>
    <xdr:clientData/>
  </xdr:twoCellAnchor>
  <xdr:twoCellAnchor>
    <xdr:from>
      <xdr:col>1</xdr:col>
      <xdr:colOff>450272</xdr:colOff>
      <xdr:row>240</xdr:row>
      <xdr:rowOff>190500</xdr:rowOff>
    </xdr:from>
    <xdr:to>
      <xdr:col>6</xdr:col>
      <xdr:colOff>360040</xdr:colOff>
      <xdr:row>253</xdr:row>
      <xdr:rowOff>121432</xdr:rowOff>
    </xdr:to>
    <xdr:grpSp>
      <xdr:nvGrpSpPr>
        <xdr:cNvPr id="18" name="Group 17"/>
        <xdr:cNvGrpSpPr/>
      </xdr:nvGrpSpPr>
      <xdr:grpSpPr>
        <a:xfrm>
          <a:off x="1250372" y="49307750"/>
          <a:ext cx="4265868" cy="2489982"/>
          <a:chOff x="1400263" y="3312000"/>
          <a:chExt cx="4057473" cy="2520000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00263" y="3312000"/>
            <a:ext cx="4057473" cy="252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1" r="15134"/>
          <a:stretch/>
        </xdr:blipFill>
        <xdr:spPr>
          <a:xfrm>
            <a:off x="5011106" y="5191023"/>
            <a:ext cx="294408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356725</xdr:colOff>
      <xdr:row>254</xdr:row>
      <xdr:rowOff>95262</xdr:rowOff>
    </xdr:from>
    <xdr:to>
      <xdr:col>5</xdr:col>
      <xdr:colOff>436269</xdr:colOff>
      <xdr:row>268</xdr:row>
      <xdr:rowOff>187034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15361" y="53859557"/>
          <a:ext cx="265129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926522</xdr:colOff>
      <xdr:row>260</xdr:row>
      <xdr:rowOff>8660</xdr:rowOff>
    </xdr:from>
    <xdr:to>
      <xdr:col>4</xdr:col>
      <xdr:colOff>259772</xdr:colOff>
      <xdr:row>261</xdr:row>
      <xdr:rowOff>25977</xdr:rowOff>
    </xdr:to>
    <xdr:sp macro="" textlink="">
      <xdr:nvSpPr>
        <xdr:cNvPr id="22" name="Rectangle 21"/>
        <xdr:cNvSpPr/>
      </xdr:nvSpPr>
      <xdr:spPr>
        <a:xfrm>
          <a:off x="3333749" y="54967910"/>
          <a:ext cx="277091" cy="216476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710045</xdr:colOff>
      <xdr:row>305</xdr:row>
      <xdr:rowOff>95250</xdr:rowOff>
    </xdr:from>
    <xdr:to>
      <xdr:col>4</xdr:col>
      <xdr:colOff>675409</xdr:colOff>
      <xdr:row>309</xdr:row>
      <xdr:rowOff>0</xdr:rowOff>
    </xdr:to>
    <xdr:sp macro="" textlink="">
      <xdr:nvSpPr>
        <xdr:cNvPr id="3" name="TextBox 2"/>
        <xdr:cNvSpPr txBox="1"/>
      </xdr:nvSpPr>
      <xdr:spPr>
        <a:xfrm rot="1820305">
          <a:off x="3117272" y="64267773"/>
          <a:ext cx="909205" cy="701386"/>
        </a:xfrm>
        <a:prstGeom prst="rect">
          <a:avLst/>
        </a:prstGeom>
        <a:noFill/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0</xdr:col>
      <xdr:colOff>152400</xdr:colOff>
      <xdr:row>197</xdr:row>
      <xdr:rowOff>88900</xdr:rowOff>
    </xdr:from>
    <xdr:to>
      <xdr:col>7</xdr:col>
      <xdr:colOff>675854</xdr:colOff>
      <xdr:row>237</xdr:row>
      <xdr:rowOff>75883</xdr:rowOff>
    </xdr:to>
    <xdr:grpSp>
      <xdr:nvGrpSpPr>
        <xdr:cNvPr id="7" name="Group 6"/>
        <xdr:cNvGrpSpPr/>
      </xdr:nvGrpSpPr>
      <xdr:grpSpPr>
        <a:xfrm>
          <a:off x="152400" y="40747950"/>
          <a:ext cx="6498804" cy="7854633"/>
          <a:chOff x="152400" y="40747950"/>
          <a:chExt cx="6498804" cy="7854633"/>
        </a:xfrm>
      </xdr:grpSpPr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30664" y="46442160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3480" y="407479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2940" y="407479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400" y="407479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3480" y="43595055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2940" y="4359135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50098" y="46442583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400" y="4359135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2763" y="46442583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3f9eydvYSAB5gVu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83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22" t="s">
        <v>164</v>
      </c>
      <c r="B1" s="122"/>
      <c r="C1" s="122"/>
      <c r="D1" s="122"/>
      <c r="E1" s="122"/>
      <c r="F1" s="122"/>
      <c r="G1" s="122"/>
      <c r="H1" s="122"/>
    </row>
    <row r="2" spans="1:8" ht="16.5" customHeight="1" x14ac:dyDescent="0.35">
      <c r="A2" s="123" t="s">
        <v>0</v>
      </c>
      <c r="B2" s="123"/>
      <c r="C2" s="123"/>
      <c r="D2" s="123"/>
      <c r="E2" s="123"/>
      <c r="F2" s="123"/>
      <c r="G2" s="123"/>
      <c r="H2" s="123"/>
    </row>
    <row r="3" spans="1:8" x14ac:dyDescent="0.35">
      <c r="A3" s="89" t="s">
        <v>1</v>
      </c>
      <c r="B3" s="89"/>
      <c r="C3" s="89"/>
      <c r="D3" s="89"/>
      <c r="E3" s="89" t="str">
        <f ca="1">TEXT(TODAY(),"DD/MM/YYYY")</f>
        <v>14/07/2025</v>
      </c>
      <c r="F3" s="89"/>
      <c r="G3" s="89"/>
      <c r="H3" s="89"/>
    </row>
    <row r="4" spans="1:8" x14ac:dyDescent="0.35">
      <c r="A4" s="89" t="s">
        <v>2</v>
      </c>
      <c r="B4" s="89"/>
      <c r="C4" s="89"/>
      <c r="D4" s="89"/>
      <c r="E4" s="89" t="s">
        <v>168</v>
      </c>
      <c r="F4" s="89"/>
      <c r="G4" s="89"/>
      <c r="H4" s="89"/>
    </row>
    <row r="5" spans="1:8" x14ac:dyDescent="0.35">
      <c r="A5" s="89" t="s">
        <v>3</v>
      </c>
      <c r="B5" s="89"/>
      <c r="C5" s="89"/>
      <c r="D5" s="89"/>
      <c r="E5" s="124">
        <v>45847</v>
      </c>
      <c r="F5" s="89"/>
      <c r="G5" s="89"/>
      <c r="H5" s="89"/>
    </row>
    <row r="6" spans="1:8" ht="16.5" customHeight="1" x14ac:dyDescent="0.35">
      <c r="A6" s="89" t="s">
        <v>4</v>
      </c>
      <c r="B6" s="89"/>
      <c r="C6" s="89"/>
      <c r="D6" s="89"/>
      <c r="E6" s="89" t="s">
        <v>169</v>
      </c>
      <c r="F6" s="89"/>
      <c r="G6" s="89"/>
      <c r="H6" s="89"/>
    </row>
    <row r="7" spans="1:8" ht="15" customHeight="1" x14ac:dyDescent="0.35">
      <c r="A7" s="89" t="s">
        <v>5</v>
      </c>
      <c r="B7" s="89"/>
      <c r="C7" s="89"/>
      <c r="D7" s="89"/>
      <c r="E7" s="89" t="str">
        <f>E6</f>
        <v>Shrushti Creators</v>
      </c>
      <c r="F7" s="89"/>
      <c r="G7" s="89"/>
      <c r="H7" s="89"/>
    </row>
    <row r="8" spans="1:8" x14ac:dyDescent="0.35">
      <c r="A8" s="89" t="s">
        <v>6</v>
      </c>
      <c r="B8" s="89"/>
      <c r="C8" s="89"/>
      <c r="D8" s="89"/>
      <c r="E8" s="98" t="s">
        <v>170</v>
      </c>
      <c r="F8" s="99"/>
      <c r="G8" s="99"/>
      <c r="H8" s="100"/>
    </row>
    <row r="9" spans="1:8" x14ac:dyDescent="0.35">
      <c r="A9" s="89" t="s">
        <v>166</v>
      </c>
      <c r="B9" s="89"/>
      <c r="C9" s="89"/>
      <c r="D9" s="89"/>
      <c r="E9" s="89" t="s">
        <v>172</v>
      </c>
      <c r="F9" s="89"/>
      <c r="G9" s="89"/>
      <c r="H9" s="89"/>
    </row>
    <row r="10" spans="1:8" hidden="1" x14ac:dyDescent="0.35">
      <c r="A10" s="89" t="s">
        <v>167</v>
      </c>
      <c r="B10" s="89"/>
      <c r="C10" s="89"/>
      <c r="D10" s="89"/>
      <c r="E10" s="89" t="s">
        <v>173</v>
      </c>
      <c r="F10" s="89"/>
      <c r="G10" s="89"/>
      <c r="H10" s="89"/>
    </row>
    <row r="11" spans="1:8" x14ac:dyDescent="0.35">
      <c r="A11" s="89" t="s">
        <v>7</v>
      </c>
      <c r="B11" s="89"/>
      <c r="C11" s="89"/>
      <c r="D11" s="89"/>
      <c r="E11" s="89" t="s">
        <v>174</v>
      </c>
      <c r="F11" s="89"/>
      <c r="G11" s="89"/>
      <c r="H11" s="89"/>
    </row>
    <row r="12" spans="1:8" ht="32.25" customHeight="1" x14ac:dyDescent="0.35">
      <c r="A12" s="75" t="s">
        <v>8</v>
      </c>
      <c r="B12" s="75"/>
      <c r="C12" s="75"/>
      <c r="D12" s="75"/>
      <c r="E12" s="125" t="s">
        <v>212</v>
      </c>
      <c r="F12" s="125"/>
      <c r="G12" s="125"/>
      <c r="H12" s="125"/>
    </row>
    <row r="13" spans="1:8" x14ac:dyDescent="0.35">
      <c r="A13" s="75" t="s">
        <v>9</v>
      </c>
      <c r="B13" s="75"/>
      <c r="C13" s="75"/>
      <c r="D13" s="75"/>
      <c r="E13" s="95" t="s">
        <v>171</v>
      </c>
      <c r="F13" s="89"/>
      <c r="G13" s="89"/>
      <c r="H13" s="89"/>
    </row>
    <row r="14" spans="1:8" ht="34.5" customHeight="1" x14ac:dyDescent="0.35">
      <c r="A14" s="95" t="s">
        <v>10</v>
      </c>
      <c r="B14" s="95"/>
      <c r="C14" s="9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Hari Shrushti, Survey No.105/A, H.No.4/1, near Mrunali Paradise, Internal Road, Belavali, Belavali, Badlapur, Ambarnath, Thane - 421503.</v>
      </c>
      <c r="D14" s="95"/>
      <c r="E14" s="95"/>
      <c r="F14" s="95"/>
      <c r="G14" s="95"/>
      <c r="H14" s="95"/>
    </row>
    <row r="15" spans="1:8" x14ac:dyDescent="0.35">
      <c r="A15" s="95" t="s">
        <v>175</v>
      </c>
      <c r="B15" s="95"/>
      <c r="C15" s="95" t="s">
        <v>176</v>
      </c>
      <c r="D15" s="95"/>
      <c r="E15" s="95"/>
      <c r="F15" s="95"/>
      <c r="G15" s="95"/>
      <c r="H15" s="95"/>
    </row>
    <row r="16" spans="1:8" ht="15.75" customHeight="1" x14ac:dyDescent="0.35">
      <c r="A16" s="95" t="s">
        <v>162</v>
      </c>
      <c r="B16" s="95"/>
      <c r="C16" s="95" t="s">
        <v>179</v>
      </c>
      <c r="D16" s="95"/>
      <c r="E16" s="95"/>
      <c r="F16" s="95"/>
      <c r="G16" s="95"/>
      <c r="H16" s="95"/>
    </row>
    <row r="17" spans="1:8" ht="15.75" customHeight="1" x14ac:dyDescent="0.35">
      <c r="A17" s="95" t="s">
        <v>11</v>
      </c>
      <c r="B17" s="95"/>
      <c r="C17" s="89" t="s">
        <v>184</v>
      </c>
      <c r="D17" s="89"/>
      <c r="E17" s="95" t="s">
        <v>75</v>
      </c>
      <c r="F17" s="95"/>
      <c r="G17" s="95" t="s">
        <v>179</v>
      </c>
      <c r="H17" s="95"/>
    </row>
    <row r="18" spans="1:8" x14ac:dyDescent="0.35">
      <c r="A18" s="89" t="s">
        <v>13</v>
      </c>
      <c r="B18" s="89"/>
      <c r="C18" s="95" t="s">
        <v>180</v>
      </c>
      <c r="D18" s="95"/>
      <c r="E18" s="95" t="s">
        <v>12</v>
      </c>
      <c r="F18" s="95"/>
      <c r="G18" s="121" t="s">
        <v>177</v>
      </c>
      <c r="H18" s="121"/>
    </row>
    <row r="19" spans="1:8" x14ac:dyDescent="0.35">
      <c r="A19" s="89" t="s">
        <v>76</v>
      </c>
      <c r="B19" s="89"/>
      <c r="C19" s="95" t="s">
        <v>178</v>
      </c>
      <c r="D19" s="95"/>
      <c r="E19" s="95" t="s">
        <v>14</v>
      </c>
      <c r="F19" s="95"/>
      <c r="G19" s="95">
        <v>421503</v>
      </c>
      <c r="H19" s="95"/>
    </row>
    <row r="20" spans="1:8" ht="32.25" customHeight="1" x14ac:dyDescent="0.35">
      <c r="A20" s="89" t="s">
        <v>122</v>
      </c>
      <c r="B20" s="89"/>
      <c r="C20" s="95" t="s">
        <v>185</v>
      </c>
      <c r="D20" s="95"/>
      <c r="E20" s="95" t="s">
        <v>15</v>
      </c>
      <c r="F20" s="95"/>
      <c r="G20" s="95" t="s">
        <v>181</v>
      </c>
      <c r="H20" s="95"/>
    </row>
    <row r="21" spans="1:8" ht="15" customHeight="1" x14ac:dyDescent="0.35">
      <c r="A21" s="95" t="s">
        <v>78</v>
      </c>
      <c r="B21" s="95"/>
      <c r="C21" s="95"/>
      <c r="D21" s="95"/>
      <c r="E21" s="89" t="s">
        <v>16</v>
      </c>
      <c r="F21" s="89"/>
      <c r="G21" s="89"/>
      <c r="H21" s="89"/>
    </row>
    <row r="22" spans="1:8" ht="18.75" customHeight="1" x14ac:dyDescent="0.35">
      <c r="A22" s="95"/>
      <c r="B22" s="95"/>
      <c r="C22" s="95"/>
      <c r="D22" s="95"/>
      <c r="E22" s="89"/>
      <c r="F22" s="89"/>
      <c r="G22" s="89"/>
      <c r="H22" s="89"/>
    </row>
    <row r="23" spans="1:8" ht="15" customHeight="1" x14ac:dyDescent="0.35">
      <c r="A23" s="93" t="s">
        <v>17</v>
      </c>
      <c r="B23" s="93"/>
      <c r="C23" s="93"/>
      <c r="D23" s="93"/>
      <c r="E23" s="95" t="s">
        <v>18</v>
      </c>
      <c r="F23" s="95"/>
      <c r="G23" s="95"/>
      <c r="H23" s="95"/>
    </row>
    <row r="24" spans="1:8" ht="15" customHeight="1" x14ac:dyDescent="0.35">
      <c r="A24" s="75" t="s">
        <v>19</v>
      </c>
      <c r="B24" s="75"/>
      <c r="C24" s="75"/>
      <c r="D24" s="75"/>
      <c r="E24" s="118" t="str">
        <f>IF(AND(G18="Mumbai"),"Upper Class","Middle Class")</f>
        <v>Middle Class</v>
      </c>
      <c r="F24" s="118"/>
      <c r="G24" s="118"/>
      <c r="H24" s="118"/>
    </row>
    <row r="25" spans="1:8" x14ac:dyDescent="0.35">
      <c r="A25" s="75" t="s">
        <v>20</v>
      </c>
      <c r="B25" s="75"/>
      <c r="C25" s="75"/>
      <c r="D25" s="75"/>
      <c r="E25" s="95" t="s">
        <v>21</v>
      </c>
      <c r="F25" s="95"/>
      <c r="G25" s="95"/>
      <c r="H25" s="95"/>
    </row>
    <row r="26" spans="1:8" ht="15.75" customHeight="1" x14ac:dyDescent="0.35">
      <c r="A26" s="75" t="s">
        <v>22</v>
      </c>
      <c r="B26" s="75"/>
      <c r="C26" s="75"/>
      <c r="D26" s="75"/>
      <c r="E26" s="118" t="str">
        <f>IF(AND(G18="Mumbai"),"Developed","Developing")</f>
        <v>Developing</v>
      </c>
      <c r="F26" s="118"/>
      <c r="G26" s="118"/>
      <c r="H26" s="118"/>
    </row>
    <row r="27" spans="1:8" x14ac:dyDescent="0.35">
      <c r="A27" s="75" t="s">
        <v>23</v>
      </c>
      <c r="B27" s="75"/>
      <c r="C27" s="75"/>
      <c r="D27" s="75"/>
      <c r="E27" s="95" t="s">
        <v>24</v>
      </c>
      <c r="F27" s="95"/>
      <c r="G27" s="95"/>
      <c r="H27" s="95"/>
    </row>
    <row r="28" spans="1:8" ht="15.75" customHeight="1" x14ac:dyDescent="0.35">
      <c r="A28" s="75" t="s">
        <v>83</v>
      </c>
      <c r="B28" s="75"/>
      <c r="C28" s="75"/>
      <c r="D28" s="75"/>
      <c r="E28" s="95" t="s">
        <v>84</v>
      </c>
      <c r="F28" s="95"/>
      <c r="G28" s="95"/>
      <c r="H28" s="95"/>
    </row>
    <row r="29" spans="1:8" ht="15" customHeight="1" x14ac:dyDescent="0.35">
      <c r="A29" s="75" t="s">
        <v>33</v>
      </c>
      <c r="B29" s="75"/>
      <c r="C29" s="75"/>
      <c r="D29" s="75"/>
      <c r="E29" s="11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18"/>
      <c r="G29" s="118"/>
      <c r="H29" s="118"/>
    </row>
    <row r="30" spans="1:8" ht="15.75" customHeight="1" x14ac:dyDescent="0.35">
      <c r="A30" s="75" t="s">
        <v>95</v>
      </c>
      <c r="B30" s="75"/>
      <c r="C30" s="75"/>
      <c r="D30" s="75"/>
      <c r="E30" s="95" t="s">
        <v>34</v>
      </c>
      <c r="F30" s="95"/>
      <c r="G30" s="95"/>
      <c r="H30" s="95"/>
    </row>
    <row r="31" spans="1:8" s="21" customFormat="1" x14ac:dyDescent="0.35">
      <c r="A31" s="120" t="s">
        <v>96</v>
      </c>
      <c r="B31" s="120"/>
      <c r="C31" s="119" t="s">
        <v>29</v>
      </c>
      <c r="D31" s="119"/>
      <c r="E31" s="119"/>
      <c r="F31" s="119" t="s">
        <v>31</v>
      </c>
      <c r="G31" s="119"/>
      <c r="H31" s="119"/>
    </row>
    <row r="32" spans="1:8" s="21" customFormat="1" x14ac:dyDescent="0.35">
      <c r="A32" s="102" t="s">
        <v>25</v>
      </c>
      <c r="B32" s="102" t="s">
        <v>30</v>
      </c>
      <c r="C32" s="103" t="s">
        <v>30</v>
      </c>
      <c r="D32" s="103"/>
      <c r="E32" s="103"/>
      <c r="F32" s="103" t="s">
        <v>188</v>
      </c>
      <c r="G32" s="103"/>
      <c r="H32" s="103"/>
    </row>
    <row r="33" spans="1:8" x14ac:dyDescent="0.35">
      <c r="A33" s="102" t="s">
        <v>26</v>
      </c>
      <c r="B33" s="102" t="s">
        <v>30</v>
      </c>
      <c r="C33" s="103" t="s">
        <v>30</v>
      </c>
      <c r="D33" s="103"/>
      <c r="E33" s="103"/>
      <c r="F33" s="103" t="s">
        <v>186</v>
      </c>
      <c r="G33" s="103"/>
      <c r="H33" s="103"/>
    </row>
    <row r="34" spans="1:8" s="21" customFormat="1" x14ac:dyDescent="0.35">
      <c r="A34" s="102" t="s">
        <v>28</v>
      </c>
      <c r="B34" s="102" t="s">
        <v>30</v>
      </c>
      <c r="C34" s="103" t="s">
        <v>30</v>
      </c>
      <c r="D34" s="103"/>
      <c r="E34" s="103"/>
      <c r="F34" s="103" t="s">
        <v>187</v>
      </c>
      <c r="G34" s="103"/>
      <c r="H34" s="103"/>
    </row>
    <row r="35" spans="1:8" x14ac:dyDescent="0.35">
      <c r="A35" s="102" t="s">
        <v>27</v>
      </c>
      <c r="B35" s="102" t="s">
        <v>30</v>
      </c>
      <c r="C35" s="103" t="s">
        <v>30</v>
      </c>
      <c r="D35" s="103"/>
      <c r="E35" s="103"/>
      <c r="F35" s="103" t="s">
        <v>184</v>
      </c>
      <c r="G35" s="103"/>
      <c r="H35" s="103"/>
    </row>
    <row r="36" spans="1:8" x14ac:dyDescent="0.35">
      <c r="A36" s="75" t="s">
        <v>32</v>
      </c>
      <c r="B36" s="75"/>
      <c r="C36" s="75"/>
      <c r="D36" s="75"/>
      <c r="E36" s="75"/>
      <c r="F36" s="75"/>
      <c r="G36" s="75"/>
      <c r="H36" s="75"/>
    </row>
    <row r="37" spans="1:8" ht="15.75" customHeight="1" x14ac:dyDescent="0.35">
      <c r="A37" s="75" t="s">
        <v>165</v>
      </c>
      <c r="B37" s="75"/>
      <c r="C37" s="105" t="s">
        <v>183</v>
      </c>
      <c r="D37" s="105"/>
      <c r="E37" s="105"/>
      <c r="F37" s="105"/>
      <c r="G37" s="105"/>
      <c r="H37" s="105"/>
    </row>
    <row r="38" spans="1:8" x14ac:dyDescent="0.35">
      <c r="A38" s="75" t="s">
        <v>161</v>
      </c>
      <c r="B38" s="75"/>
      <c r="C38" s="106" t="s">
        <v>182</v>
      </c>
      <c r="D38" s="95"/>
      <c r="E38" s="95"/>
      <c r="F38" s="95"/>
      <c r="G38" s="95"/>
      <c r="H38" s="95"/>
    </row>
    <row r="39" spans="1:8" x14ac:dyDescent="0.35">
      <c r="A39" s="105" t="s">
        <v>35</v>
      </c>
      <c r="B39" s="105"/>
      <c r="C39" s="105"/>
      <c r="D39" s="105"/>
      <c r="E39" s="105"/>
      <c r="F39" s="105"/>
      <c r="G39" s="105"/>
      <c r="H39" s="105"/>
    </row>
    <row r="40" spans="1:8" x14ac:dyDescent="0.35">
      <c r="A40" s="75" t="s">
        <v>36</v>
      </c>
      <c r="B40" s="75"/>
      <c r="C40" s="75"/>
      <c r="D40" s="75"/>
      <c r="E40" s="104">
        <v>5845</v>
      </c>
      <c r="F40" s="104"/>
      <c r="G40" s="104"/>
      <c r="H40" s="104"/>
    </row>
    <row r="41" spans="1:8" x14ac:dyDescent="0.35">
      <c r="A41" s="75" t="s">
        <v>37</v>
      </c>
      <c r="B41" s="75"/>
      <c r="C41" s="75"/>
      <c r="D41" s="75"/>
      <c r="E41" s="87">
        <v>1.1000000000000001</v>
      </c>
      <c r="F41" s="87"/>
      <c r="G41" s="87"/>
      <c r="H41" s="87"/>
    </row>
    <row r="42" spans="1:8" x14ac:dyDescent="0.35">
      <c r="A42" s="75" t="s">
        <v>38</v>
      </c>
      <c r="B42" s="75"/>
      <c r="C42" s="75"/>
      <c r="D42" s="75"/>
      <c r="E42" s="87">
        <f>E44/E40-E41</f>
        <v>0.71748502994011987</v>
      </c>
      <c r="F42" s="87"/>
      <c r="G42" s="87"/>
      <c r="H42" s="87"/>
    </row>
    <row r="43" spans="1:8" x14ac:dyDescent="0.35">
      <c r="A43" s="75" t="s">
        <v>39</v>
      </c>
      <c r="B43" s="75"/>
      <c r="C43" s="75"/>
      <c r="D43" s="75"/>
      <c r="E43" s="87">
        <f>E41+E42</f>
        <v>1.81748502994012</v>
      </c>
      <c r="F43" s="87"/>
      <c r="G43" s="87"/>
      <c r="H43" s="87"/>
    </row>
    <row r="44" spans="1:8" x14ac:dyDescent="0.35">
      <c r="A44" s="75" t="s">
        <v>94</v>
      </c>
      <c r="B44" s="75"/>
      <c r="C44" s="75"/>
      <c r="D44" s="75"/>
      <c r="E44" s="88">
        <v>10623.2</v>
      </c>
      <c r="F44" s="88"/>
      <c r="G44" s="88"/>
      <c r="H44" s="88"/>
    </row>
    <row r="45" spans="1:8" x14ac:dyDescent="0.35">
      <c r="A45" s="89" t="s">
        <v>40</v>
      </c>
      <c r="B45" s="89"/>
      <c r="C45" s="89"/>
      <c r="D45" s="89"/>
      <c r="E45" s="89" t="s">
        <v>194</v>
      </c>
      <c r="F45" s="89"/>
      <c r="G45" s="89"/>
      <c r="H45" s="89"/>
    </row>
    <row r="46" spans="1:8" x14ac:dyDescent="0.35">
      <c r="A46" s="105" t="s">
        <v>41</v>
      </c>
      <c r="B46" s="105"/>
      <c r="C46" s="105"/>
      <c r="D46" s="105"/>
      <c r="E46" s="105"/>
      <c r="F46" s="105"/>
      <c r="G46" s="105"/>
      <c r="H46" s="105"/>
    </row>
    <row r="47" spans="1:8" ht="33.75" customHeight="1" x14ac:dyDescent="0.35">
      <c r="A47" s="96" t="s">
        <v>150</v>
      </c>
      <c r="B47" s="97"/>
      <c r="C47" s="98" t="s">
        <v>189</v>
      </c>
      <c r="D47" s="99"/>
      <c r="E47" s="99"/>
      <c r="F47" s="99"/>
      <c r="G47" s="99"/>
      <c r="H47" s="100"/>
    </row>
    <row r="48" spans="1:8" ht="15.75" customHeight="1" x14ac:dyDescent="0.35">
      <c r="A48" s="96" t="s">
        <v>42</v>
      </c>
      <c r="B48" s="97"/>
      <c r="C48" s="96" t="s">
        <v>190</v>
      </c>
      <c r="D48" s="117"/>
      <c r="E48" s="97"/>
      <c r="F48" s="17" t="s">
        <v>43</v>
      </c>
      <c r="G48" s="112">
        <v>44742</v>
      </c>
      <c r="H48" s="97"/>
    </row>
    <row r="49" spans="1:14" x14ac:dyDescent="0.35">
      <c r="A49" s="96" t="s">
        <v>44</v>
      </c>
      <c r="B49" s="97"/>
      <c r="C49" s="96" t="str">
        <f>C48</f>
        <v>KBNP/NRV/BP/6008-61</v>
      </c>
      <c r="D49" s="117"/>
      <c r="E49" s="97"/>
      <c r="F49" s="17" t="s">
        <v>43</v>
      </c>
      <c r="G49" s="112">
        <v>44742</v>
      </c>
      <c r="H49" s="97"/>
    </row>
    <row r="50" spans="1:14" s="22" customFormat="1" ht="33" customHeight="1" x14ac:dyDescent="0.35">
      <c r="A50" s="113" t="s">
        <v>154</v>
      </c>
      <c r="B50" s="114"/>
      <c r="C50" s="96" t="s">
        <v>191</v>
      </c>
      <c r="D50" s="117"/>
      <c r="E50" s="97"/>
      <c r="F50" s="17" t="s">
        <v>43</v>
      </c>
      <c r="G50" s="112">
        <v>44742</v>
      </c>
      <c r="H50" s="97"/>
    </row>
    <row r="51" spans="1:14" s="22" customFormat="1" x14ac:dyDescent="0.35">
      <c r="A51" s="115"/>
      <c r="B51" s="116"/>
      <c r="C51" s="96" t="s">
        <v>195</v>
      </c>
      <c r="D51" s="117"/>
      <c r="E51" s="117"/>
      <c r="F51" s="117"/>
      <c r="G51" s="117"/>
      <c r="H51" s="97"/>
    </row>
    <row r="52" spans="1:14" x14ac:dyDescent="0.35">
      <c r="A52" s="162" t="s">
        <v>45</v>
      </c>
      <c r="B52" s="163"/>
      <c r="C52" s="162" t="s">
        <v>106</v>
      </c>
      <c r="D52" s="164"/>
      <c r="E52" s="163"/>
      <c r="F52" s="44" t="s">
        <v>43</v>
      </c>
      <c r="G52" s="166" t="s">
        <v>30</v>
      </c>
      <c r="H52" s="167"/>
    </row>
    <row r="53" spans="1:14" x14ac:dyDescent="0.35">
      <c r="A53" s="130" t="s">
        <v>47</v>
      </c>
      <c r="B53" s="130"/>
      <c r="C53" s="130"/>
      <c r="D53" s="130"/>
      <c r="E53" s="130"/>
      <c r="F53" s="130"/>
      <c r="G53" s="130"/>
      <c r="H53" s="130"/>
    </row>
    <row r="54" spans="1:14" x14ac:dyDescent="0.35">
      <c r="A54" s="93" t="s">
        <v>93</v>
      </c>
      <c r="B54" s="93"/>
      <c r="C54" s="93"/>
      <c r="D54" s="75">
        <f>E44</f>
        <v>10623.2</v>
      </c>
      <c r="E54" s="75"/>
      <c r="F54" s="75"/>
      <c r="G54" s="75"/>
      <c r="H54" s="75"/>
    </row>
    <row r="55" spans="1:14" x14ac:dyDescent="0.35">
      <c r="A55" s="95" t="s">
        <v>48</v>
      </c>
      <c r="B55" s="89"/>
      <c r="C55" s="89"/>
      <c r="D55" s="165" t="s">
        <v>211</v>
      </c>
      <c r="E55" s="165"/>
      <c r="F55" s="165"/>
      <c r="G55" s="165"/>
      <c r="H55" s="165"/>
      <c r="I55" s="23"/>
    </row>
    <row r="56" spans="1:14" x14ac:dyDescent="0.35">
      <c r="A56" s="109" t="s">
        <v>49</v>
      </c>
      <c r="B56" s="110"/>
      <c r="C56" s="111"/>
      <c r="D56" s="107" t="s">
        <v>195</v>
      </c>
      <c r="E56" s="108"/>
      <c r="F56" s="108"/>
      <c r="G56" s="108"/>
      <c r="H56" s="108"/>
    </row>
    <row r="57" spans="1:14" ht="15.75" customHeight="1" x14ac:dyDescent="0.35">
      <c r="A57" s="109" t="s">
        <v>91</v>
      </c>
      <c r="B57" s="110"/>
      <c r="C57" s="110"/>
      <c r="D57" s="156" t="s">
        <v>208</v>
      </c>
      <c r="E57" s="157"/>
      <c r="F57" s="157"/>
      <c r="G57" s="157"/>
      <c r="H57" s="158"/>
    </row>
    <row r="58" spans="1:14" ht="15.75" customHeight="1" x14ac:dyDescent="0.35">
      <c r="A58" s="154"/>
      <c r="B58" s="155"/>
      <c r="C58" s="155"/>
      <c r="D58" s="159" t="s">
        <v>209</v>
      </c>
      <c r="E58" s="160"/>
      <c r="F58" s="160"/>
      <c r="G58" s="160"/>
      <c r="H58" s="161"/>
    </row>
    <row r="59" spans="1:14" ht="15.75" customHeight="1" x14ac:dyDescent="0.35">
      <c r="A59" s="75" t="s">
        <v>46</v>
      </c>
      <c r="B59" s="75"/>
      <c r="C59" s="75"/>
      <c r="D59" s="101" t="s">
        <v>192</v>
      </c>
      <c r="E59" s="101"/>
      <c r="F59" s="101"/>
      <c r="G59" s="101"/>
      <c r="H59" s="101"/>
      <c r="J59" s="24"/>
      <c r="K59" s="23"/>
      <c r="N59" s="23"/>
    </row>
    <row r="60" spans="1:14" ht="15.75" customHeight="1" x14ac:dyDescent="0.35">
      <c r="A60" s="75" t="s">
        <v>89</v>
      </c>
      <c r="B60" s="75"/>
      <c r="C60" s="75"/>
      <c r="D60" s="86" t="str">
        <f>(IF(G52="NA","60 Years After Completion",IF(G52&lt;&gt;"NA",""&amp;60-ROUNDDOWN((E3-G52)/360,0)&amp;" Years"," ")))</f>
        <v>60 Years After Completion</v>
      </c>
      <c r="E60" s="86"/>
      <c r="F60" s="86"/>
      <c r="G60" s="86"/>
      <c r="H60" s="86"/>
      <c r="N60" s="23"/>
    </row>
    <row r="61" spans="1:14" ht="15.75" customHeight="1" x14ac:dyDescent="0.35">
      <c r="A61" s="75" t="s">
        <v>90</v>
      </c>
      <c r="B61" s="75"/>
      <c r="C61" s="75"/>
      <c r="D61" s="93" t="s">
        <v>24</v>
      </c>
      <c r="E61" s="93"/>
      <c r="F61" s="93"/>
      <c r="G61" s="93"/>
      <c r="H61" s="93"/>
      <c r="J61" s="25"/>
      <c r="K61" s="25"/>
    </row>
    <row r="62" spans="1:14" ht="33.75" customHeight="1" x14ac:dyDescent="0.35">
      <c r="A62" s="75" t="s">
        <v>77</v>
      </c>
      <c r="B62" s="75"/>
      <c r="C62" s="75"/>
      <c r="D62" s="95" t="s">
        <v>213</v>
      </c>
      <c r="E62" s="93"/>
      <c r="F62" s="93"/>
      <c r="G62" s="93"/>
      <c r="H62" s="93"/>
    </row>
    <row r="63" spans="1:14" x14ac:dyDescent="0.35">
      <c r="A63" s="93" t="s">
        <v>148</v>
      </c>
      <c r="B63" s="93"/>
      <c r="C63" s="93"/>
      <c r="D63" s="93" t="s">
        <v>30</v>
      </c>
      <c r="E63" s="93"/>
      <c r="F63" s="93"/>
      <c r="G63" s="93"/>
      <c r="H63" s="93"/>
      <c r="I63" s="26"/>
      <c r="J63" s="26"/>
      <c r="K63" s="26"/>
      <c r="L63" s="26"/>
      <c r="M63" s="26"/>
      <c r="N63" s="26"/>
    </row>
    <row r="64" spans="1:14" ht="15.75" customHeight="1" x14ac:dyDescent="0.35">
      <c r="A64" s="137" t="s">
        <v>88</v>
      </c>
      <c r="B64" s="137"/>
      <c r="C64" s="137"/>
      <c r="D64" s="107" t="str">
        <f ca="1">(IF(G84&gt;95%,"Nothing",IF(G84&gt;0%,"Cement, Aggregate, Steel, etc",IF(G84=0%,"Work not yet Started"))))</f>
        <v>Cement, Aggregate, Steel, etc</v>
      </c>
      <c r="E64" s="107"/>
      <c r="F64" s="107"/>
      <c r="G64" s="107"/>
      <c r="H64" s="107"/>
      <c r="J64" s="25"/>
    </row>
    <row r="65" spans="1:10" ht="33.75" customHeight="1" thickBot="1" x14ac:dyDescent="0.4">
      <c r="A65" s="93" t="s">
        <v>119</v>
      </c>
      <c r="B65" s="93"/>
      <c r="C65" s="93"/>
      <c r="D65" s="95" t="str">
        <f ca="1">(IF(D64="Nothing","Yes",IF(D64="Cement, Aggregate, Steel, etc","Under Construction",IF(D64="Work not yet Started","Work not yet Started"))))</f>
        <v>Under Construction</v>
      </c>
      <c r="E65" s="95"/>
      <c r="F65" s="95" t="str">
        <f ca="1">(IF(D64="Nothing","Yes",IF(D64="Cement, Aggregate, Steel, etc","Under Construction",IF(D64="Work not yet Started","Work not yet Started"))))</f>
        <v>Under Construction</v>
      </c>
      <c r="G65" s="95"/>
      <c r="H65" s="95"/>
    </row>
    <row r="66" spans="1:10" ht="15.75" customHeight="1" x14ac:dyDescent="0.35">
      <c r="A66" s="92" t="s">
        <v>140</v>
      </c>
      <c r="B66" s="92"/>
      <c r="C66" s="92" t="str">
        <f>D57</f>
        <v>B Wing = G + 1st to 11th Floor</v>
      </c>
      <c r="D66" s="92"/>
      <c r="E66" s="92"/>
      <c r="F66" s="92"/>
      <c r="G66" s="92"/>
      <c r="H66" s="92"/>
      <c r="I66" s="68" t="str">
        <f ca="1">IF(D79=100%,"All work Completed. Possession granted to the Building.",IF(D78=100%,"All work Completed, Waiting for OC",I67&amp;""&amp;I68&amp;""&amp;J67&amp;""&amp;J66&amp;" "&amp;J68))</f>
        <v xml:space="preserve">Work not yet Started. 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35">
      <c r="A67" s="67" t="s">
        <v>142</v>
      </c>
      <c r="B67" s="67">
        <f>IF(AND(ISNUMBER(SEARCH("1B",C66))),1,IF(AND(ISNUMBER(SEARCH("2B",C66))),2,IF(AND(ISNUMBER(SEARCH("3B",C66))),3,IF(AND(ISNUMBER(SEARCH("4B",C66))),4,IF(ISNUMBER(SEARCH("5B",C66)),5,0)))))</f>
        <v>0</v>
      </c>
      <c r="C67" s="67" t="s">
        <v>74</v>
      </c>
      <c r="D67" s="67">
        <v>1</v>
      </c>
      <c r="E67" s="67" t="s">
        <v>73</v>
      </c>
      <c r="F67" s="67">
        <v>0</v>
      </c>
      <c r="G67" s="47" t="s">
        <v>82</v>
      </c>
      <c r="H67" s="67">
        <f ca="1">--TRIM(RIGHT(SUBSTITUTE(LEFT(C66,_xlfn.AGGREGATE(16,6,FIND({0,1,2,3,4,5,6,7,8,9},C66,ROW(INDIRECT("1:"&amp;LEN(C66)))),1))," ",REPT(" ",LEN(C66))),LEN(C66)))</f>
        <v>11</v>
      </c>
      <c r="I67" s="6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/>
      </c>
      <c r="J67" s="51" t="str">
        <f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>Work not yet Started.</v>
      </c>
    </row>
    <row r="68" spans="1:10" x14ac:dyDescent="0.35">
      <c r="A68" s="91" t="s">
        <v>92</v>
      </c>
      <c r="B68" s="91"/>
      <c r="C68" s="94" t="str">
        <f ca="1">I66</f>
        <v xml:space="preserve">Work not yet Started. </v>
      </c>
      <c r="D68" s="94"/>
      <c r="E68" s="94"/>
      <c r="F68" s="94"/>
      <c r="G68" s="94"/>
      <c r="H68" s="94"/>
      <c r="I68" s="69" t="str">
        <f ca="1">IF(I67&lt;&gt;""," Completed","")</f>
        <v/>
      </c>
      <c r="J68" s="51" t="str">
        <f ca="1">IF(J66&lt;&gt;"","Completed","")</f>
        <v/>
      </c>
    </row>
    <row r="69" spans="1:10" ht="15.75" customHeight="1" x14ac:dyDescent="0.35">
      <c r="A69" s="90" t="s">
        <v>50</v>
      </c>
      <c r="B69" s="90"/>
      <c r="C69" s="66" t="s">
        <v>139</v>
      </c>
      <c r="D69" s="66" t="s">
        <v>85</v>
      </c>
      <c r="E69" s="90" t="s">
        <v>87</v>
      </c>
      <c r="F69" s="90"/>
      <c r="G69" s="90" t="s">
        <v>86</v>
      </c>
      <c r="H69" s="90"/>
      <c r="I69" s="13" t="s">
        <v>141</v>
      </c>
      <c r="J69" s="27">
        <f ca="1">H67*25%</f>
        <v>2.75</v>
      </c>
    </row>
    <row r="70" spans="1:10" x14ac:dyDescent="0.35">
      <c r="A70" s="90" t="s">
        <v>128</v>
      </c>
      <c r="B70" s="90"/>
      <c r="C70" s="66">
        <v>0</v>
      </c>
      <c r="D70" s="18">
        <f ca="1">((100/H67)*C70)/100</f>
        <v>0</v>
      </c>
      <c r="E70" s="132">
        <f ca="1">(((C71/H67*10)+(40/(D67+F67+H67)*C72)+(7.5/(H67)*C73)+(7.5/(H67)*C74)+(10/H67*C75)+(10/H67*C76)+(5/H67*C77)+(5/H67*C78)+(5/H67*C79))/100)</f>
        <v>0</v>
      </c>
      <c r="F70" s="132"/>
      <c r="G70" s="132">
        <f ca="1">((((C70/H67)*20)+((C71/H67)*25)+(30/(H67+F67+D67)*C72)+(5/H67*C73)+(5/H67*C74)+(5/H67*C75)+(5/H67*C76)+(0/H67*C77)+(0/H67*C78)+(5/H67*C79))/100)</f>
        <v>0</v>
      </c>
      <c r="H70" s="132"/>
      <c r="I70" s="13" t="s">
        <v>101</v>
      </c>
      <c r="J70" s="28">
        <f ca="1">H67*50%</f>
        <v>5.5</v>
      </c>
    </row>
    <row r="71" spans="1:10" x14ac:dyDescent="0.35">
      <c r="A71" s="90" t="s">
        <v>51</v>
      </c>
      <c r="B71" s="90"/>
      <c r="C71" s="66">
        <v>0</v>
      </c>
      <c r="D71" s="18">
        <f ca="1">((100/H67)*C71)/100</f>
        <v>0</v>
      </c>
      <c r="E71" s="132"/>
      <c r="F71" s="132"/>
      <c r="G71" s="132"/>
      <c r="H71" s="132"/>
      <c r="I71" s="13" t="s">
        <v>102</v>
      </c>
      <c r="J71" s="28">
        <f ca="1">H67</f>
        <v>11</v>
      </c>
    </row>
    <row r="72" spans="1:10" ht="15.75" customHeight="1" x14ac:dyDescent="0.35">
      <c r="A72" s="90" t="s">
        <v>129</v>
      </c>
      <c r="B72" s="90"/>
      <c r="C72" s="66">
        <v>0</v>
      </c>
      <c r="D72" s="18">
        <f ca="1">((100/(D67+F67+H67))*C72)/100</f>
        <v>0</v>
      </c>
      <c r="E72" s="132"/>
      <c r="F72" s="132"/>
      <c r="G72" s="132"/>
      <c r="H72" s="132"/>
      <c r="I72" s="13" t="s">
        <v>103</v>
      </c>
      <c r="J72" s="29">
        <f ca="1">(IF(B67&gt;1,(H67/(B67+2)),H67/4))</f>
        <v>2.75</v>
      </c>
    </row>
    <row r="73" spans="1:10" ht="15.75" customHeight="1" x14ac:dyDescent="0.35">
      <c r="A73" s="90" t="s">
        <v>136</v>
      </c>
      <c r="B73" s="90" t="s">
        <v>130</v>
      </c>
      <c r="C73" s="66">
        <v>0</v>
      </c>
      <c r="D73" s="18">
        <f ca="1">((100/H67)*C73)/100</f>
        <v>0</v>
      </c>
      <c r="E73" s="132"/>
      <c r="F73" s="132"/>
      <c r="G73" s="132"/>
      <c r="H73" s="132"/>
      <c r="I73" s="13" t="s">
        <v>104</v>
      </c>
      <c r="J73" s="29">
        <f ca="1">(IF(B67&gt;1,(H67/(B67+2)+J72),H67/4+J72))</f>
        <v>5.5</v>
      </c>
    </row>
    <row r="74" spans="1:10" ht="15.75" customHeight="1" x14ac:dyDescent="0.35">
      <c r="A74" s="90" t="s">
        <v>137</v>
      </c>
      <c r="B74" s="90" t="s">
        <v>130</v>
      </c>
      <c r="C74" s="66">
        <v>0</v>
      </c>
      <c r="D74" s="18">
        <f ca="1">((100/H67)*C74)/100</f>
        <v>0</v>
      </c>
      <c r="E74" s="132"/>
      <c r="F74" s="132"/>
      <c r="G74" s="132"/>
      <c r="H74" s="132"/>
      <c r="I74" s="13" t="s">
        <v>146</v>
      </c>
      <c r="J74" s="29">
        <f>(IF(B67&gt;1,(H67/(B67+2)+J73),0))</f>
        <v>0</v>
      </c>
    </row>
    <row r="75" spans="1:10" ht="15" customHeight="1" x14ac:dyDescent="0.35">
      <c r="A75" s="90" t="s">
        <v>135</v>
      </c>
      <c r="B75" s="90" t="s">
        <v>132</v>
      </c>
      <c r="C75" s="66">
        <v>0</v>
      </c>
      <c r="D75" s="18">
        <f ca="1">((100/(H67))*C75)/100</f>
        <v>0</v>
      </c>
      <c r="E75" s="132"/>
      <c r="F75" s="132"/>
      <c r="G75" s="132"/>
      <c r="H75" s="132"/>
      <c r="I75" s="13" t="s">
        <v>143</v>
      </c>
      <c r="J75" s="29">
        <f>(IF(B67&gt;2,(H67/(B67+2)+J74),0))</f>
        <v>0</v>
      </c>
    </row>
    <row r="76" spans="1:10" ht="15.75" customHeight="1" x14ac:dyDescent="0.35">
      <c r="A76" s="90" t="s">
        <v>131</v>
      </c>
      <c r="B76" s="90" t="s">
        <v>131</v>
      </c>
      <c r="C76" s="66">
        <v>0</v>
      </c>
      <c r="D76" s="18">
        <f ca="1">((100/H67)*C76)/100</f>
        <v>0</v>
      </c>
      <c r="E76" s="132"/>
      <c r="F76" s="132"/>
      <c r="G76" s="132"/>
      <c r="H76" s="132"/>
      <c r="I76" s="13" t="s">
        <v>144</v>
      </c>
      <c r="J76" s="30">
        <f>(IF(B67&gt;3,(H67/(B67+2)+J75),0))</f>
        <v>0</v>
      </c>
    </row>
    <row r="77" spans="1:10" ht="15.75" customHeight="1" x14ac:dyDescent="0.35">
      <c r="A77" s="90" t="s">
        <v>138</v>
      </c>
      <c r="B77" s="90"/>
      <c r="C77" s="66">
        <v>0</v>
      </c>
      <c r="D77" s="18">
        <f ca="1">((100/H67)*C77)/100</f>
        <v>0</v>
      </c>
      <c r="E77" s="132"/>
      <c r="F77" s="132"/>
      <c r="G77" s="132"/>
      <c r="H77" s="132"/>
      <c r="I77" s="13" t="s">
        <v>145</v>
      </c>
      <c r="J77" s="29">
        <f>(IF(B67&gt;4,(H67/(B67+2)+J76),0))</f>
        <v>0</v>
      </c>
    </row>
    <row r="78" spans="1:10" ht="15.75" customHeight="1" x14ac:dyDescent="0.35">
      <c r="A78" s="90" t="s">
        <v>133</v>
      </c>
      <c r="B78" s="90" t="s">
        <v>133</v>
      </c>
      <c r="C78" s="66">
        <v>0</v>
      </c>
      <c r="D78" s="18">
        <f ca="1">((100/(H67))*C78)/100</f>
        <v>0</v>
      </c>
      <c r="E78" s="132"/>
      <c r="F78" s="132"/>
      <c r="G78" s="132"/>
      <c r="H78" s="132"/>
      <c r="I78" s="13" t="s">
        <v>147</v>
      </c>
      <c r="J78" s="29">
        <f ca="1">(IF(B67=1,(H67/(B67+3)+J73),IF(B67=0,(H67/4+J73),IF(B67&gt;1,0))))</f>
        <v>8.25</v>
      </c>
    </row>
    <row r="79" spans="1:10" ht="16" thickBot="1" x14ac:dyDescent="0.4">
      <c r="A79" s="90" t="s">
        <v>134</v>
      </c>
      <c r="B79" s="90"/>
      <c r="C79" s="66">
        <v>0</v>
      </c>
      <c r="D79" s="18">
        <f ca="1">((100/(H67))*C79)/100</f>
        <v>0</v>
      </c>
      <c r="E79" s="132"/>
      <c r="F79" s="132"/>
      <c r="G79" s="132"/>
      <c r="H79" s="132"/>
      <c r="I79" s="14" t="s">
        <v>105</v>
      </c>
      <c r="J79" s="31">
        <f ca="1">(IF(B67&gt;1.5,(H67/(B67+2)+J73+MAX(0,J74-J73)+MAX(0,J75-J74)+MAX(0,J76-J75)+MAX(0,J77-J76)+MAX(0,J78-J77)),IF(B67=1,(H67/(B67+3)+J78),IF(B67=0,H67/4+J78))))</f>
        <v>11</v>
      </c>
    </row>
    <row r="80" spans="1:10" ht="15.75" customHeight="1" x14ac:dyDescent="0.35">
      <c r="A80" s="171" t="s">
        <v>140</v>
      </c>
      <c r="B80" s="172"/>
      <c r="C80" s="173" t="str">
        <f>D58</f>
        <v>C Wing = G + 1st to 11th Floor</v>
      </c>
      <c r="D80" s="174"/>
      <c r="E80" s="174"/>
      <c r="F80" s="174"/>
      <c r="G80" s="174"/>
      <c r="H80" s="175"/>
      <c r="I80" s="48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 Completed, External Plaster upto 6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6 Floor</v>
      </c>
    </row>
    <row r="81" spans="1:10" x14ac:dyDescent="0.35">
      <c r="A81" s="15" t="s">
        <v>142</v>
      </c>
      <c r="B81" s="52">
        <f>IF(AND(ISNUMBER(SEARCH("1B",C80))),1,IF(AND(ISNUMBER(SEARCH("2B",C80))),2,IF(AND(ISNUMBER(SEARCH("3B",C80))),3,IF(AND(ISNUMBER(SEARCH("4B",C80))),4,IF(ISNUMBER(SEARCH("5B",C80)),5,0)))))</f>
        <v>0</v>
      </c>
      <c r="C81" s="46" t="s">
        <v>74</v>
      </c>
      <c r="D81" s="46">
        <v>1</v>
      </c>
      <c r="E81" s="46" t="s">
        <v>73</v>
      </c>
      <c r="F81" s="60">
        <v>0</v>
      </c>
      <c r="G81" s="47" t="s">
        <v>82</v>
      </c>
      <c r="H81" s="16">
        <f ca="1">--TRIM(RIGHT(SUBSTITUTE(LEFT(C80,_xlfn.AGGREGATE(16,6,FIND({0,1,2,3,4,5,6,7,8,9},C80,ROW(INDIRECT("1:"&amp;LEN(C80)))),1))," ",REPT(" ",LEN(C80))),LEN(C80)))</f>
        <v>11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" customHeight="1" x14ac:dyDescent="0.35">
      <c r="A82" s="152" t="s">
        <v>92</v>
      </c>
      <c r="B82" s="91"/>
      <c r="C82" s="94" t="str">
        <f ca="1">(IF($G$52="NA",I80,"All work Completed. OC Received."))</f>
        <v>Excavation, Plinth, RCC Slab, Brickwork, Internal Plaster Completed, External Plaster upto 6 Floor Completed</v>
      </c>
      <c r="D82" s="94"/>
      <c r="E82" s="94"/>
      <c r="F82" s="94"/>
      <c r="G82" s="94"/>
      <c r="H82" s="153"/>
      <c r="I82" s="5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0" ht="15.75" customHeight="1" x14ac:dyDescent="0.35">
      <c r="A83" s="140" t="s">
        <v>50</v>
      </c>
      <c r="B83" s="90"/>
      <c r="C83" s="42" t="s">
        <v>139</v>
      </c>
      <c r="D83" s="42" t="s">
        <v>85</v>
      </c>
      <c r="E83" s="90" t="s">
        <v>87</v>
      </c>
      <c r="F83" s="90"/>
      <c r="G83" s="90" t="s">
        <v>86</v>
      </c>
      <c r="H83" s="150"/>
      <c r="I83" s="13" t="s">
        <v>141</v>
      </c>
      <c r="J83" s="27">
        <f ca="1">H81*25%</f>
        <v>2.75</v>
      </c>
    </row>
    <row r="84" spans="1:10" x14ac:dyDescent="0.35">
      <c r="A84" s="140" t="s">
        <v>128</v>
      </c>
      <c r="B84" s="90"/>
      <c r="C84" s="42">
        <f ca="1">J85</f>
        <v>11</v>
      </c>
      <c r="D84" s="18">
        <f ca="1">((100/H81)*C84)/100</f>
        <v>1.0000000000000002</v>
      </c>
      <c r="E84" s="141">
        <f ca="1">(((C85/H81*10)+(40/(D81+F81+H81)*C86)+(7.5/(H81)*C87)+(7.5/(H81)*C88)+(10/H81*C89)+(10/H81*C90)+(5/H81*C91)+(5/H81*C92)+(5/H81*C93))/100)</f>
        <v>0.70454545454545459</v>
      </c>
      <c r="F84" s="142"/>
      <c r="G84" s="141">
        <f ca="1">((((C84/H81)*20)+((C85/H81)*25)+(30/(H81+F81+D81)*C86)+(5/H81*C87)+(5/H81*C88)+(5/H81*C89)+(5/H81*C90)+(0/H81*C91)+(0/H81*C92)+(5/H81*C93))/100)</f>
        <v>0.87727272727272732</v>
      </c>
      <c r="H84" s="147"/>
      <c r="I84" s="13" t="s">
        <v>101</v>
      </c>
      <c r="J84" s="28">
        <f ca="1">H81*50%</f>
        <v>5.5</v>
      </c>
    </row>
    <row r="85" spans="1:10" x14ac:dyDescent="0.35">
      <c r="A85" s="140" t="s">
        <v>51</v>
      </c>
      <c r="B85" s="90"/>
      <c r="C85" s="53">
        <f ca="1">J93</f>
        <v>11</v>
      </c>
      <c r="D85" s="18">
        <f ca="1">((100/H81)*C85)/100</f>
        <v>1.0000000000000002</v>
      </c>
      <c r="E85" s="143"/>
      <c r="F85" s="144"/>
      <c r="G85" s="143"/>
      <c r="H85" s="148"/>
      <c r="I85" s="13" t="s">
        <v>102</v>
      </c>
      <c r="J85" s="28">
        <f ca="1">H81</f>
        <v>11</v>
      </c>
    </row>
    <row r="86" spans="1:10" ht="15.75" customHeight="1" x14ac:dyDescent="0.35">
      <c r="A86" s="140" t="s">
        <v>129</v>
      </c>
      <c r="B86" s="90"/>
      <c r="C86" s="42">
        <v>12</v>
      </c>
      <c r="D86" s="18">
        <f ca="1">((100/(D81+F81+H81))*C86)/100</f>
        <v>1</v>
      </c>
      <c r="E86" s="143"/>
      <c r="F86" s="144"/>
      <c r="G86" s="143"/>
      <c r="H86" s="148"/>
      <c r="I86" s="13" t="s">
        <v>103</v>
      </c>
      <c r="J86" s="29">
        <f ca="1">(IF(B81&gt;1,(H81/(B81+2)),H81/4))</f>
        <v>2.75</v>
      </c>
    </row>
    <row r="87" spans="1:10" ht="15.75" customHeight="1" x14ac:dyDescent="0.35">
      <c r="A87" s="140" t="s">
        <v>136</v>
      </c>
      <c r="B87" s="90" t="s">
        <v>130</v>
      </c>
      <c r="C87" s="42">
        <v>11</v>
      </c>
      <c r="D87" s="18">
        <f ca="1">((100/H81)*C87)/100</f>
        <v>1.0000000000000002</v>
      </c>
      <c r="E87" s="143"/>
      <c r="F87" s="144"/>
      <c r="G87" s="143"/>
      <c r="H87" s="148"/>
      <c r="I87" s="13" t="s">
        <v>104</v>
      </c>
      <c r="J87" s="29">
        <f ca="1">(IF(B81&gt;1,(H81/(B81+2)+J86),H81/4+J86))</f>
        <v>5.5</v>
      </c>
    </row>
    <row r="88" spans="1:10" ht="15.75" customHeight="1" x14ac:dyDescent="0.35">
      <c r="A88" s="140" t="s">
        <v>137</v>
      </c>
      <c r="B88" s="90" t="s">
        <v>130</v>
      </c>
      <c r="C88" s="42">
        <v>11</v>
      </c>
      <c r="D88" s="18">
        <f ca="1">((100/H81)*C88)/100</f>
        <v>1.0000000000000002</v>
      </c>
      <c r="E88" s="143"/>
      <c r="F88" s="144"/>
      <c r="G88" s="143"/>
      <c r="H88" s="148"/>
      <c r="I88" s="13" t="s">
        <v>146</v>
      </c>
      <c r="J88" s="29">
        <f>(IF(B81&gt;1,(H81/(B81+2)+J87),0))</f>
        <v>0</v>
      </c>
    </row>
    <row r="89" spans="1:10" ht="15" customHeight="1" x14ac:dyDescent="0.35">
      <c r="A89" s="140" t="s">
        <v>135</v>
      </c>
      <c r="B89" s="90" t="s">
        <v>132</v>
      </c>
      <c r="C89" s="42">
        <v>6</v>
      </c>
      <c r="D89" s="18">
        <f ca="1">((100/(H81))*C89)/100</f>
        <v>0.54545454545454541</v>
      </c>
      <c r="E89" s="143"/>
      <c r="F89" s="144"/>
      <c r="G89" s="143"/>
      <c r="H89" s="148"/>
      <c r="I89" s="13" t="s">
        <v>143</v>
      </c>
      <c r="J89" s="29">
        <f>(IF(B81&gt;2,(H81/(B81+2)+J88),0))</f>
        <v>0</v>
      </c>
    </row>
    <row r="90" spans="1:10" ht="15.75" customHeight="1" x14ac:dyDescent="0.35">
      <c r="A90" s="140" t="s">
        <v>131</v>
      </c>
      <c r="B90" s="90" t="s">
        <v>131</v>
      </c>
      <c r="C90" s="42">
        <v>0</v>
      </c>
      <c r="D90" s="18">
        <f ca="1">((100/H81)*C90)/100</f>
        <v>0</v>
      </c>
      <c r="E90" s="143"/>
      <c r="F90" s="144"/>
      <c r="G90" s="143"/>
      <c r="H90" s="148"/>
      <c r="I90" s="13" t="s">
        <v>144</v>
      </c>
      <c r="J90" s="30">
        <f>(IF(B81&gt;3,(H81/(B81+2)+J89),0))</f>
        <v>0</v>
      </c>
    </row>
    <row r="91" spans="1:10" ht="15.75" customHeight="1" x14ac:dyDescent="0.35">
      <c r="A91" s="140" t="s">
        <v>138</v>
      </c>
      <c r="B91" s="90"/>
      <c r="C91" s="42">
        <v>0</v>
      </c>
      <c r="D91" s="18">
        <f ca="1">((100/H81)*C91)/100</f>
        <v>0</v>
      </c>
      <c r="E91" s="143"/>
      <c r="F91" s="144"/>
      <c r="G91" s="143"/>
      <c r="H91" s="148"/>
      <c r="I91" s="13" t="s">
        <v>145</v>
      </c>
      <c r="J91" s="29">
        <f>(IF(B81&gt;4,(H81/(B81+2)+J90),0))</f>
        <v>0</v>
      </c>
    </row>
    <row r="92" spans="1:10" ht="15.75" customHeight="1" x14ac:dyDescent="0.35">
      <c r="A92" s="140" t="s">
        <v>133</v>
      </c>
      <c r="B92" s="90" t="s">
        <v>133</v>
      </c>
      <c r="C92" s="42">
        <v>0</v>
      </c>
      <c r="D92" s="18">
        <f ca="1">((100/(H81))*C92)/100</f>
        <v>0</v>
      </c>
      <c r="E92" s="143"/>
      <c r="F92" s="144"/>
      <c r="G92" s="143"/>
      <c r="H92" s="148"/>
      <c r="I92" s="13" t="s">
        <v>147</v>
      </c>
      <c r="J92" s="29">
        <f ca="1">(IF(B81=1,(H81/(B81+3)+J87),IF(B81=0,(H81/4+J87),IF(B81&gt;1,0))))</f>
        <v>8.25</v>
      </c>
    </row>
    <row r="93" spans="1:10" ht="16" thickBot="1" x14ac:dyDescent="0.4">
      <c r="A93" s="138" t="s">
        <v>134</v>
      </c>
      <c r="B93" s="139"/>
      <c r="C93" s="43">
        <v>0</v>
      </c>
      <c r="D93" s="19">
        <f ca="1">((100/(H81))*C93)/100</f>
        <v>0</v>
      </c>
      <c r="E93" s="145"/>
      <c r="F93" s="146"/>
      <c r="G93" s="145"/>
      <c r="H93" s="149"/>
      <c r="I93" s="14" t="s">
        <v>105</v>
      </c>
      <c r="J93" s="31">
        <f ca="1">(IF(B81&gt;1.5,(H81/(B81+2)+J87+MAX(0,J88-J87)+MAX(0,J89-J88)+MAX(0,J90-J89)+MAX(0,J91-J90)+MAX(0,J92-J91)),IF(B81=1,(H81/(B81+3)+J92),IF(B81=0,H81/4+J92))))</f>
        <v>11</v>
      </c>
    </row>
    <row r="94" spans="1:10" x14ac:dyDescent="0.35">
      <c r="A94" s="151" t="s">
        <v>155</v>
      </c>
      <c r="B94" s="151"/>
      <c r="C94" s="151"/>
      <c r="D94" s="151"/>
      <c r="E94" s="151"/>
      <c r="F94" s="133" t="s">
        <v>160</v>
      </c>
      <c r="G94" s="133"/>
      <c r="H94" s="133"/>
    </row>
    <row r="95" spans="1:10" x14ac:dyDescent="0.35">
      <c r="A95" s="75" t="s">
        <v>158</v>
      </c>
      <c r="B95" s="75"/>
      <c r="C95" s="75"/>
      <c r="D95" s="75"/>
      <c r="E95" s="75"/>
      <c r="F95" s="128">
        <v>3700</v>
      </c>
      <c r="G95" s="128"/>
      <c r="H95" s="128"/>
    </row>
    <row r="96" spans="1:10" hidden="1" x14ac:dyDescent="0.35">
      <c r="A96" s="75" t="s">
        <v>157</v>
      </c>
      <c r="B96" s="75"/>
      <c r="C96" s="75"/>
      <c r="D96" s="75"/>
      <c r="E96" s="75"/>
      <c r="F96" s="128"/>
      <c r="G96" s="128"/>
      <c r="H96" s="128"/>
    </row>
    <row r="97" spans="1:8" hidden="1" x14ac:dyDescent="0.35">
      <c r="A97" s="75" t="s">
        <v>159</v>
      </c>
      <c r="B97" s="75"/>
      <c r="C97" s="75"/>
      <c r="D97" s="75"/>
      <c r="E97" s="75"/>
      <c r="F97" s="128"/>
      <c r="G97" s="128"/>
      <c r="H97" s="128"/>
    </row>
    <row r="98" spans="1:8" s="32" customFormat="1" hidden="1" x14ac:dyDescent="0.3">
      <c r="A98" s="75" t="s">
        <v>156</v>
      </c>
      <c r="B98" s="75"/>
      <c r="C98" s="75"/>
      <c r="D98" s="75"/>
      <c r="E98" s="75"/>
      <c r="F98" s="128"/>
      <c r="G98" s="128"/>
      <c r="H98" s="128"/>
    </row>
    <row r="99" spans="1:8" s="32" customFormat="1" x14ac:dyDescent="0.3">
      <c r="A99" s="75" t="s">
        <v>97</v>
      </c>
      <c r="B99" s="75"/>
      <c r="C99" s="75"/>
      <c r="D99" s="75"/>
      <c r="E99" s="75"/>
      <c r="F99" s="128">
        <v>300000</v>
      </c>
      <c r="G99" s="128"/>
      <c r="H99" s="128"/>
    </row>
    <row r="100" spans="1:8" s="32" customFormat="1" x14ac:dyDescent="0.3">
      <c r="A100" s="75" t="s">
        <v>217</v>
      </c>
      <c r="B100" s="75"/>
      <c r="C100" s="75"/>
      <c r="D100" s="75"/>
      <c r="E100" s="75"/>
      <c r="F100" s="128">
        <v>80000</v>
      </c>
      <c r="G100" s="128"/>
      <c r="H100" s="128"/>
    </row>
    <row r="101" spans="1:8" s="32" customFormat="1" x14ac:dyDescent="0.3">
      <c r="A101" s="75" t="s">
        <v>218</v>
      </c>
      <c r="B101" s="75"/>
      <c r="C101" s="75"/>
      <c r="D101" s="75"/>
      <c r="E101" s="75"/>
      <c r="F101" s="128">
        <v>50000</v>
      </c>
      <c r="G101" s="128"/>
      <c r="H101" s="128"/>
    </row>
    <row r="102" spans="1:8" s="32" customFormat="1" hidden="1" x14ac:dyDescent="0.3">
      <c r="A102" s="75" t="s">
        <v>98</v>
      </c>
      <c r="B102" s="75"/>
      <c r="C102" s="75"/>
      <c r="D102" s="75"/>
      <c r="E102" s="75"/>
      <c r="F102" s="128"/>
      <c r="G102" s="128"/>
      <c r="H102" s="128"/>
    </row>
    <row r="103" spans="1:8" s="32" customFormat="1" hidden="1" x14ac:dyDescent="0.3">
      <c r="A103" s="75" t="s">
        <v>99</v>
      </c>
      <c r="B103" s="75"/>
      <c r="C103" s="75"/>
      <c r="D103" s="75"/>
      <c r="E103" s="75"/>
      <c r="F103" s="128"/>
      <c r="G103" s="128"/>
      <c r="H103" s="128"/>
    </row>
    <row r="104" spans="1:8" s="32" customFormat="1" x14ac:dyDescent="0.3">
      <c r="A104" s="75" t="s">
        <v>100</v>
      </c>
      <c r="B104" s="75"/>
      <c r="C104" s="75"/>
      <c r="D104" s="75"/>
      <c r="E104" s="75"/>
      <c r="F104" s="128">
        <v>40000</v>
      </c>
      <c r="G104" s="128"/>
      <c r="H104" s="128"/>
    </row>
    <row r="105" spans="1:8" x14ac:dyDescent="0.35">
      <c r="A105" s="75" t="s">
        <v>52</v>
      </c>
      <c r="B105" s="75"/>
      <c r="C105" s="75"/>
      <c r="D105" s="75"/>
      <c r="E105" s="75"/>
      <c r="F105" s="128">
        <v>200000</v>
      </c>
      <c r="G105" s="128"/>
      <c r="H105" s="128"/>
    </row>
    <row r="106" spans="1:8" s="33" customFormat="1" x14ac:dyDescent="0.35">
      <c r="A106" s="105" t="s">
        <v>53</v>
      </c>
      <c r="B106" s="105"/>
      <c r="C106" s="105"/>
      <c r="D106" s="105"/>
      <c r="E106" s="105"/>
      <c r="F106" s="128">
        <f>F95*0.8</f>
        <v>2960</v>
      </c>
      <c r="G106" s="128"/>
      <c r="H106" s="128"/>
    </row>
    <row r="107" spans="1:8" s="34" customFormat="1" x14ac:dyDescent="0.35">
      <c r="A107" s="81" t="s">
        <v>72</v>
      </c>
      <c r="B107" s="81"/>
      <c r="C107" s="81"/>
      <c r="D107" s="81"/>
      <c r="E107" s="81"/>
      <c r="F107" s="81"/>
      <c r="G107" s="81"/>
      <c r="H107" s="81"/>
    </row>
    <row r="108" spans="1:8" s="34" customFormat="1" ht="15.75" customHeight="1" x14ac:dyDescent="0.35">
      <c r="A108" s="82" t="s">
        <v>54</v>
      </c>
      <c r="B108" s="82"/>
      <c r="C108" s="77" t="s">
        <v>80</v>
      </c>
      <c r="D108" s="77"/>
      <c r="E108" s="85" t="s">
        <v>55</v>
      </c>
      <c r="F108" s="85"/>
      <c r="G108" s="82" t="s">
        <v>56</v>
      </c>
      <c r="H108" s="82"/>
    </row>
    <row r="109" spans="1:8" s="34" customFormat="1" x14ac:dyDescent="0.35">
      <c r="A109" s="78" t="s">
        <v>196</v>
      </c>
      <c r="B109" s="78"/>
      <c r="C109" s="79">
        <f>COUNT(D118:D128)*10+COUNT(D130:D133,D135:D140)</f>
        <v>120</v>
      </c>
      <c r="D109" s="79"/>
      <c r="E109" s="80">
        <f>SUM(D118:D128)*10+SUM(D130:D133,D135:D140)</f>
        <v>59110.290719999997</v>
      </c>
      <c r="F109" s="80"/>
      <c r="G109" s="80">
        <f>SUM(F118:F128)*10+SUM(F130:F133,F135:F140)</f>
        <v>88770</v>
      </c>
      <c r="H109" s="80"/>
    </row>
    <row r="110" spans="1:8" s="34" customFormat="1" x14ac:dyDescent="0.35">
      <c r="A110" s="78" t="s">
        <v>202</v>
      </c>
      <c r="B110" s="78"/>
      <c r="C110" s="79">
        <f>COUNT(D145:D150)+COUNT(D152:D158)+COUNT(D160:D166)*8+COUNT(D168:D171,D173:D174)</f>
        <v>75</v>
      </c>
      <c r="D110" s="79"/>
      <c r="E110" s="80">
        <f>SUM(D145:D150)+SUM(D152:D158)+SUM(D160:D166)*8+SUM(D168:D171,D173:D174)</f>
        <v>39562.974359999993</v>
      </c>
      <c r="F110" s="80"/>
      <c r="G110" s="80">
        <f>SUM(F145:F150)+SUM(F152:F158)+SUM(F160:F166)*8+SUM(F168:F171,F173:F174)</f>
        <v>59765</v>
      </c>
      <c r="H110" s="80"/>
    </row>
    <row r="111" spans="1:8" s="34" customFormat="1" x14ac:dyDescent="0.35">
      <c r="A111" s="81" t="s">
        <v>149</v>
      </c>
      <c r="B111" s="81"/>
      <c r="C111" s="76">
        <f>SUM(C109:C110)</f>
        <v>195</v>
      </c>
      <c r="D111" s="77"/>
      <c r="E111" s="76">
        <f t="shared" ref="E111" si="0">SUM(E109:E110)</f>
        <v>98673.265079999983</v>
      </c>
      <c r="F111" s="77"/>
      <c r="G111" s="76">
        <f t="shared" ref="G111" si="1">SUM(G109:G110)</f>
        <v>148535</v>
      </c>
      <c r="H111" s="77"/>
    </row>
    <row r="112" spans="1:8" s="33" customFormat="1" x14ac:dyDescent="0.35">
      <c r="A112" s="133" t="s">
        <v>57</v>
      </c>
      <c r="B112" s="133"/>
      <c r="C112" s="133"/>
      <c r="D112" s="133"/>
      <c r="E112" s="133"/>
      <c r="F112" s="133"/>
      <c r="G112" s="133"/>
      <c r="H112" s="133"/>
    </row>
    <row r="113" spans="1:14" x14ac:dyDescent="0.35">
      <c r="A113" s="123" t="s">
        <v>58</v>
      </c>
      <c r="B113" s="123"/>
      <c r="C113" s="123"/>
      <c r="D113" s="123"/>
      <c r="E113" s="123"/>
      <c r="F113" s="123"/>
      <c r="G113" s="123"/>
      <c r="H113" s="123"/>
    </row>
    <row r="114" spans="1:14" ht="47.25" customHeight="1" x14ac:dyDescent="0.35">
      <c r="A114" s="57" t="s">
        <v>120</v>
      </c>
      <c r="B114" s="57" t="s">
        <v>121</v>
      </c>
      <c r="C114" s="56" t="s">
        <v>59</v>
      </c>
      <c r="D114" s="56" t="s">
        <v>60</v>
      </c>
      <c r="E114" s="59" t="s">
        <v>61</v>
      </c>
      <c r="F114" s="41" t="s">
        <v>210</v>
      </c>
      <c r="G114" s="169" t="s">
        <v>62</v>
      </c>
      <c r="H114" s="170"/>
      <c r="I114" s="35"/>
    </row>
    <row r="115" spans="1:14" s="55" customFormat="1" x14ac:dyDescent="0.35">
      <c r="A115" s="129" t="s">
        <v>196</v>
      </c>
      <c r="B115" s="129"/>
      <c r="C115" s="129"/>
      <c r="D115" s="129"/>
      <c r="E115" s="129"/>
      <c r="F115" s="129"/>
      <c r="G115" s="129"/>
      <c r="H115" s="129"/>
      <c r="J115" s="35"/>
    </row>
    <row r="116" spans="1:14" s="36" customFormat="1" x14ac:dyDescent="0.35">
      <c r="A116" s="129" t="s">
        <v>214</v>
      </c>
      <c r="B116" s="129"/>
      <c r="C116" s="129"/>
      <c r="D116" s="129"/>
      <c r="E116" s="129"/>
      <c r="F116" s="129"/>
      <c r="G116" s="129"/>
      <c r="H116" s="129"/>
      <c r="J116" s="35"/>
    </row>
    <row r="117" spans="1:14" s="36" customFormat="1" x14ac:dyDescent="0.35">
      <c r="A117" s="129" t="s">
        <v>197</v>
      </c>
      <c r="B117" s="129"/>
      <c r="C117" s="129"/>
      <c r="D117" s="129"/>
      <c r="E117" s="129"/>
      <c r="F117" s="129"/>
      <c r="G117" s="129"/>
      <c r="H117" s="129"/>
      <c r="I117" s="35"/>
      <c r="L117" s="73"/>
      <c r="M117" s="73"/>
    </row>
    <row r="118" spans="1:14" s="36" customFormat="1" ht="15.75" customHeight="1" x14ac:dyDescent="0.35">
      <c r="A118" s="74">
        <v>1</v>
      </c>
      <c r="B118" s="74"/>
      <c r="C118" s="64" t="s">
        <v>198</v>
      </c>
      <c r="D118" s="62">
        <f>(46.02+4.12+5.66)*(10.764)</f>
        <v>600.63119999999992</v>
      </c>
      <c r="E118" s="64">
        <v>0</v>
      </c>
      <c r="F118" s="64">
        <v>905</v>
      </c>
      <c r="G118" s="74" t="str">
        <f>A117</f>
        <v>1st to 7th, 9th to 11th Floor For Residential</v>
      </c>
      <c r="H118" s="74"/>
      <c r="I118" s="35">
        <f>3.1*4+2.75*2.1+2.75*2.75+3.3*2.75+1.2*2.1+2*1.2+1*3.7+0.7*0.6</f>
        <v>43.852500000000006</v>
      </c>
      <c r="J118" s="36">
        <f>1.5*2.7+0.75*(2.1+2.75+2.75)</f>
        <v>9.75</v>
      </c>
      <c r="K118" s="61">
        <f>1.5*2.7</f>
        <v>4.0500000000000007</v>
      </c>
      <c r="L118" s="36">
        <f>0.75*(2.1+2.75+2.75)</f>
        <v>5.6999999999999993</v>
      </c>
      <c r="M118" s="36">
        <f>N118/D118</f>
        <v>1.5067482341909646</v>
      </c>
      <c r="N118" s="35">
        <v>905</v>
      </c>
    </row>
    <row r="119" spans="1:14" s="36" customFormat="1" ht="15.75" customHeight="1" x14ac:dyDescent="0.35">
      <c r="A119" s="74">
        <f>A118+1</f>
        <v>2</v>
      </c>
      <c r="B119" s="74"/>
      <c r="C119" s="64" t="s">
        <v>198</v>
      </c>
      <c r="D119" s="62">
        <f>(49.32+4.12+5.66)*(10.764)</f>
        <v>636.15239999999994</v>
      </c>
      <c r="E119" s="64">
        <v>0</v>
      </c>
      <c r="F119" s="64">
        <v>955</v>
      </c>
      <c r="G119" s="74"/>
      <c r="H119" s="74"/>
      <c r="I119" s="83" t="s">
        <v>216</v>
      </c>
      <c r="J119" s="84"/>
      <c r="K119" s="84"/>
      <c r="M119" s="58">
        <f t="shared" ref="M119:M128" si="2">N119/D119</f>
        <v>1.5012126025147434</v>
      </c>
      <c r="N119" s="35">
        <v>955</v>
      </c>
    </row>
    <row r="120" spans="1:14" s="36" customFormat="1" ht="15.75" customHeight="1" x14ac:dyDescent="0.35">
      <c r="A120" s="74">
        <f t="shared" ref="A120:A128" si="3">A119+1</f>
        <v>3</v>
      </c>
      <c r="B120" s="74"/>
      <c r="C120" s="64" t="s">
        <v>199</v>
      </c>
      <c r="D120" s="62">
        <f>(33.03+4.05+3.78)*(10.764)</f>
        <v>439.81703999999996</v>
      </c>
      <c r="E120" s="64">
        <v>0</v>
      </c>
      <c r="F120" s="64">
        <v>660</v>
      </c>
      <c r="G120" s="74"/>
      <c r="H120" s="74"/>
      <c r="I120" s="83"/>
      <c r="J120" s="84"/>
      <c r="K120" s="84"/>
      <c r="L120" s="36">
        <f>0.75*(2.3+2.75)</f>
        <v>3.7874999999999996</v>
      </c>
      <c r="M120" s="58">
        <f t="shared" si="2"/>
        <v>1.5006239867377582</v>
      </c>
      <c r="N120" s="35">
        <v>660</v>
      </c>
    </row>
    <row r="121" spans="1:14" s="36" customFormat="1" ht="15.75" customHeight="1" x14ac:dyDescent="0.35">
      <c r="A121" s="74">
        <f t="shared" si="3"/>
        <v>4</v>
      </c>
      <c r="B121" s="74"/>
      <c r="C121" s="64" t="s">
        <v>198</v>
      </c>
      <c r="D121" s="62">
        <f>(47.68+4.05+5.85)*(10.764)</f>
        <v>619.79111999999998</v>
      </c>
      <c r="E121" s="64">
        <v>0</v>
      </c>
      <c r="F121" s="64">
        <v>930</v>
      </c>
      <c r="G121" s="74"/>
      <c r="H121" s="74"/>
      <c r="I121" s="35"/>
      <c r="J121" s="36">
        <f>4.12+5.66</f>
        <v>9.7800000000000011</v>
      </c>
      <c r="M121" s="58">
        <f t="shared" si="2"/>
        <v>1.5005055251517641</v>
      </c>
      <c r="N121" s="35">
        <v>930</v>
      </c>
    </row>
    <row r="122" spans="1:14" s="36" customFormat="1" ht="15.75" customHeight="1" x14ac:dyDescent="0.35">
      <c r="A122" s="74">
        <f t="shared" si="3"/>
        <v>5</v>
      </c>
      <c r="B122" s="74"/>
      <c r="C122" s="64" t="s">
        <v>199</v>
      </c>
      <c r="D122" s="62">
        <f>(33.03+4.05+3.78)*(10.764)</f>
        <v>439.81703999999996</v>
      </c>
      <c r="E122" s="64">
        <v>0</v>
      </c>
      <c r="F122" s="64">
        <v>660</v>
      </c>
      <c r="G122" s="74"/>
      <c r="H122" s="74"/>
      <c r="I122" s="35"/>
      <c r="M122" s="58">
        <f t="shared" si="2"/>
        <v>1.5006239867377582</v>
      </c>
      <c r="N122" s="35">
        <v>660</v>
      </c>
    </row>
    <row r="123" spans="1:14" s="55" customFormat="1" x14ac:dyDescent="0.35">
      <c r="A123" s="74">
        <f t="shared" si="3"/>
        <v>6</v>
      </c>
      <c r="B123" s="74"/>
      <c r="C123" s="64" t="s">
        <v>199</v>
      </c>
      <c r="D123" s="62">
        <f>(33.03+4.05+3.78)*(10.764)</f>
        <v>439.81703999999996</v>
      </c>
      <c r="E123" s="64">
        <v>0</v>
      </c>
      <c r="F123" s="64">
        <v>660</v>
      </c>
      <c r="G123" s="74"/>
      <c r="H123" s="74"/>
      <c r="I123" s="35"/>
      <c r="M123" s="58">
        <f t="shared" si="2"/>
        <v>1.5006239867377582</v>
      </c>
      <c r="N123" s="35">
        <v>660</v>
      </c>
    </row>
    <row r="124" spans="1:14" s="55" customFormat="1" x14ac:dyDescent="0.35">
      <c r="A124" s="74">
        <f t="shared" si="3"/>
        <v>7</v>
      </c>
      <c r="B124" s="74"/>
      <c r="C124" s="64" t="s">
        <v>199</v>
      </c>
      <c r="D124" s="62">
        <f>(33.03+4.05+3.78)*(10.764)</f>
        <v>439.81703999999996</v>
      </c>
      <c r="E124" s="64">
        <v>0</v>
      </c>
      <c r="F124" s="64">
        <v>660</v>
      </c>
      <c r="G124" s="74"/>
      <c r="H124" s="74"/>
      <c r="I124" s="35"/>
      <c r="M124" s="58">
        <f t="shared" si="2"/>
        <v>1.5006239867377582</v>
      </c>
      <c r="N124" s="35">
        <v>660</v>
      </c>
    </row>
    <row r="125" spans="1:14" s="55" customFormat="1" x14ac:dyDescent="0.35">
      <c r="A125" s="74">
        <f t="shared" si="3"/>
        <v>8</v>
      </c>
      <c r="B125" s="74"/>
      <c r="C125" s="64" t="s">
        <v>199</v>
      </c>
      <c r="D125" s="62">
        <f>(34.82+4.05+3.78)*(10.764)</f>
        <v>459.08459999999997</v>
      </c>
      <c r="E125" s="64">
        <v>0</v>
      </c>
      <c r="F125" s="64">
        <v>690</v>
      </c>
      <c r="G125" s="74"/>
      <c r="H125" s="74"/>
      <c r="I125" s="35"/>
      <c r="M125" s="58">
        <f t="shared" si="2"/>
        <v>1.5029909519944691</v>
      </c>
      <c r="N125" s="35">
        <v>690</v>
      </c>
    </row>
    <row r="126" spans="1:14" s="55" customFormat="1" x14ac:dyDescent="0.35">
      <c r="A126" s="74">
        <f t="shared" si="3"/>
        <v>9</v>
      </c>
      <c r="B126" s="74"/>
      <c r="C126" s="64" t="s">
        <v>199</v>
      </c>
      <c r="D126" s="62">
        <f>(34.82+4.05+3.78)*(10.764)</f>
        <v>459.08459999999997</v>
      </c>
      <c r="E126" s="64">
        <v>0</v>
      </c>
      <c r="F126" s="64">
        <v>690</v>
      </c>
      <c r="G126" s="74"/>
      <c r="H126" s="74"/>
      <c r="I126" s="35"/>
      <c r="M126" s="58">
        <f t="shared" si="2"/>
        <v>1.5029909519944691</v>
      </c>
      <c r="N126" s="35">
        <v>690</v>
      </c>
    </row>
    <row r="127" spans="1:14" s="55" customFormat="1" x14ac:dyDescent="0.35">
      <c r="A127" s="74">
        <f t="shared" si="3"/>
        <v>10</v>
      </c>
      <c r="B127" s="74"/>
      <c r="C127" s="64" t="s">
        <v>199</v>
      </c>
      <c r="D127" s="62">
        <f>(33.03+4.05+3.78)*(10.764)</f>
        <v>439.81703999999996</v>
      </c>
      <c r="E127" s="64">
        <v>0</v>
      </c>
      <c r="F127" s="64">
        <v>660</v>
      </c>
      <c r="G127" s="74"/>
      <c r="H127" s="74"/>
      <c r="I127" s="35"/>
      <c r="M127" s="58">
        <f t="shared" si="2"/>
        <v>1.5006239867377582</v>
      </c>
      <c r="N127" s="35">
        <v>660</v>
      </c>
    </row>
    <row r="128" spans="1:14" s="55" customFormat="1" x14ac:dyDescent="0.35">
      <c r="A128" s="74">
        <f t="shared" si="3"/>
        <v>11</v>
      </c>
      <c r="B128" s="74"/>
      <c r="C128" s="64" t="s">
        <v>199</v>
      </c>
      <c r="D128" s="62">
        <f>(33.03+4.05+3.78)*(10.764)</f>
        <v>439.81703999999996</v>
      </c>
      <c r="E128" s="64">
        <v>0</v>
      </c>
      <c r="F128" s="64">
        <v>660</v>
      </c>
      <c r="G128" s="74"/>
      <c r="H128" s="74"/>
      <c r="I128" s="35"/>
      <c r="M128" s="58">
        <f t="shared" si="2"/>
        <v>1.5006239867377582</v>
      </c>
      <c r="N128" s="35">
        <v>660</v>
      </c>
    </row>
    <row r="129" spans="1:14" s="55" customFormat="1" x14ac:dyDescent="0.35">
      <c r="A129" s="129" t="s">
        <v>201</v>
      </c>
      <c r="B129" s="129"/>
      <c r="C129" s="129"/>
      <c r="D129" s="129"/>
      <c r="E129" s="129"/>
      <c r="F129" s="129"/>
      <c r="G129" s="129"/>
      <c r="H129" s="129"/>
      <c r="I129" s="35"/>
      <c r="L129" s="73"/>
      <c r="M129" s="73"/>
    </row>
    <row r="130" spans="1:14" s="55" customFormat="1" ht="15.75" customHeight="1" x14ac:dyDescent="0.35">
      <c r="A130" s="74">
        <v>1</v>
      </c>
      <c r="B130" s="74"/>
      <c r="C130" s="54" t="s">
        <v>198</v>
      </c>
      <c r="D130" s="62">
        <f>(46.02+4.12+5.66)*(10.764)</f>
        <v>600.63119999999992</v>
      </c>
      <c r="E130" s="54">
        <v>0</v>
      </c>
      <c r="F130" s="54">
        <v>905</v>
      </c>
      <c r="G130" s="176" t="str">
        <f>A129</f>
        <v>8th Floor (Part Refuge Area)</v>
      </c>
      <c r="H130" s="177"/>
      <c r="I130" s="35"/>
      <c r="N130" s="35"/>
    </row>
    <row r="131" spans="1:14" s="55" customFormat="1" ht="15.75" customHeight="1" x14ac:dyDescent="0.35">
      <c r="A131" s="74">
        <f>A130+1</f>
        <v>2</v>
      </c>
      <c r="B131" s="74"/>
      <c r="C131" s="54" t="s">
        <v>198</v>
      </c>
      <c r="D131" s="62">
        <f>(49.32+4.12+5.66)*(10.764)</f>
        <v>636.15239999999994</v>
      </c>
      <c r="E131" s="54">
        <v>0</v>
      </c>
      <c r="F131" s="54">
        <v>955</v>
      </c>
      <c r="G131" s="178"/>
      <c r="H131" s="179"/>
      <c r="I131" s="35"/>
      <c r="N131" s="35"/>
    </row>
    <row r="132" spans="1:14" s="55" customFormat="1" ht="15.75" customHeight="1" x14ac:dyDescent="0.35">
      <c r="A132" s="74">
        <f t="shared" ref="A132:A140" si="4">A131+1</f>
        <v>3</v>
      </c>
      <c r="B132" s="74"/>
      <c r="C132" s="54" t="s">
        <v>199</v>
      </c>
      <c r="D132" s="62">
        <f>(33.03+4.05+3.78)*(10.764)</f>
        <v>439.81703999999996</v>
      </c>
      <c r="E132" s="54">
        <v>0</v>
      </c>
      <c r="F132" s="54">
        <v>660</v>
      </c>
      <c r="G132" s="178"/>
      <c r="H132" s="179"/>
      <c r="I132" s="62">
        <f>10.764</f>
        <v>10.763999999999999</v>
      </c>
      <c r="N132" s="35"/>
    </row>
    <row r="133" spans="1:14" s="55" customFormat="1" ht="15.75" customHeight="1" x14ac:dyDescent="0.35">
      <c r="A133" s="74">
        <f t="shared" si="4"/>
        <v>4</v>
      </c>
      <c r="B133" s="74"/>
      <c r="C133" s="54" t="s">
        <v>198</v>
      </c>
      <c r="D133" s="62">
        <f>(47.68+4.05+5.85)*(10.764)</f>
        <v>619.79111999999998</v>
      </c>
      <c r="E133" s="54">
        <v>0</v>
      </c>
      <c r="F133" s="54">
        <v>930</v>
      </c>
      <c r="G133" s="178"/>
      <c r="H133" s="179"/>
      <c r="I133" s="35"/>
      <c r="N133" s="35"/>
    </row>
    <row r="134" spans="1:14" s="55" customFormat="1" ht="15.75" customHeight="1" x14ac:dyDescent="0.35">
      <c r="A134" s="74">
        <f t="shared" si="4"/>
        <v>5</v>
      </c>
      <c r="B134" s="74"/>
      <c r="C134" s="182" t="s">
        <v>205</v>
      </c>
      <c r="D134" s="183"/>
      <c r="E134" s="183"/>
      <c r="F134" s="184"/>
      <c r="G134" s="178"/>
      <c r="H134" s="179"/>
      <c r="I134" s="35"/>
      <c r="N134" s="35"/>
    </row>
    <row r="135" spans="1:14" s="55" customFormat="1" x14ac:dyDescent="0.35">
      <c r="A135" s="74">
        <f t="shared" si="4"/>
        <v>6</v>
      </c>
      <c r="B135" s="74"/>
      <c r="C135" s="54" t="s">
        <v>199</v>
      </c>
      <c r="D135" s="62">
        <f>(33.03+4.05+3.78)*(10.764)</f>
        <v>439.81703999999996</v>
      </c>
      <c r="E135" s="54">
        <v>0</v>
      </c>
      <c r="F135" s="54">
        <v>660</v>
      </c>
      <c r="G135" s="178"/>
      <c r="H135" s="179"/>
      <c r="I135" s="35"/>
      <c r="N135" s="35"/>
    </row>
    <row r="136" spans="1:14" s="55" customFormat="1" x14ac:dyDescent="0.35">
      <c r="A136" s="74">
        <f t="shared" si="4"/>
        <v>7</v>
      </c>
      <c r="B136" s="74"/>
      <c r="C136" s="54" t="s">
        <v>199</v>
      </c>
      <c r="D136" s="62">
        <f>(33.03+4.05+3.78)*(10.764)</f>
        <v>439.81703999999996</v>
      </c>
      <c r="E136" s="54">
        <v>0</v>
      </c>
      <c r="F136" s="54">
        <v>660</v>
      </c>
      <c r="G136" s="178"/>
      <c r="H136" s="179"/>
      <c r="I136" s="35"/>
      <c r="N136" s="35"/>
    </row>
    <row r="137" spans="1:14" s="55" customFormat="1" x14ac:dyDescent="0.35">
      <c r="A137" s="74">
        <f t="shared" si="4"/>
        <v>8</v>
      </c>
      <c r="B137" s="74"/>
      <c r="C137" s="54" t="s">
        <v>199</v>
      </c>
      <c r="D137" s="62">
        <f>(34.82+4.05+3.78)*(10.764)</f>
        <v>459.08459999999997</v>
      </c>
      <c r="E137" s="54">
        <v>0</v>
      </c>
      <c r="F137" s="54">
        <v>690</v>
      </c>
      <c r="G137" s="178"/>
      <c r="H137" s="179"/>
      <c r="I137" s="35"/>
      <c r="N137" s="35"/>
    </row>
    <row r="138" spans="1:14" s="55" customFormat="1" x14ac:dyDescent="0.35">
      <c r="A138" s="74">
        <f t="shared" si="4"/>
        <v>9</v>
      </c>
      <c r="B138" s="74"/>
      <c r="C138" s="54" t="s">
        <v>199</v>
      </c>
      <c r="D138" s="62">
        <f>(34.82+4.05+3.78)*(10.764)</f>
        <v>459.08459999999997</v>
      </c>
      <c r="E138" s="54">
        <v>0</v>
      </c>
      <c r="F138" s="54">
        <v>690</v>
      </c>
      <c r="G138" s="178"/>
      <c r="H138" s="179"/>
      <c r="I138" s="35"/>
      <c r="N138" s="35"/>
    </row>
    <row r="139" spans="1:14" s="55" customFormat="1" x14ac:dyDescent="0.35">
      <c r="A139" s="74">
        <f t="shared" si="4"/>
        <v>10</v>
      </c>
      <c r="B139" s="74"/>
      <c r="C139" s="54" t="s">
        <v>199</v>
      </c>
      <c r="D139" s="62">
        <f>(33.03+4.05+3.78)*(10.764)</f>
        <v>439.81703999999996</v>
      </c>
      <c r="E139" s="54">
        <v>0</v>
      </c>
      <c r="F139" s="54">
        <v>660</v>
      </c>
      <c r="G139" s="178"/>
      <c r="H139" s="179"/>
      <c r="I139" s="35"/>
      <c r="N139" s="35"/>
    </row>
    <row r="140" spans="1:14" s="55" customFormat="1" x14ac:dyDescent="0.35">
      <c r="A140" s="74">
        <f t="shared" si="4"/>
        <v>11</v>
      </c>
      <c r="B140" s="74"/>
      <c r="C140" s="54" t="s">
        <v>199</v>
      </c>
      <c r="D140" s="62">
        <f>(33.03+4.05+3.78)*(10.764)</f>
        <v>439.81703999999996</v>
      </c>
      <c r="E140" s="54">
        <v>0</v>
      </c>
      <c r="F140" s="54">
        <v>660</v>
      </c>
      <c r="G140" s="180"/>
      <c r="H140" s="181"/>
      <c r="I140" s="35"/>
      <c r="N140" s="35"/>
    </row>
    <row r="141" spans="1:14" s="55" customFormat="1" x14ac:dyDescent="0.35">
      <c r="A141" s="129" t="s">
        <v>202</v>
      </c>
      <c r="B141" s="129"/>
      <c r="C141" s="129"/>
      <c r="D141" s="129"/>
      <c r="E141" s="129"/>
      <c r="F141" s="129"/>
      <c r="G141" s="129"/>
      <c r="H141" s="129"/>
      <c r="I141" s="35"/>
      <c r="L141" s="73"/>
      <c r="M141" s="73"/>
    </row>
    <row r="142" spans="1:14" s="55" customFormat="1" x14ac:dyDescent="0.35">
      <c r="A142" s="129" t="s">
        <v>203</v>
      </c>
      <c r="B142" s="129"/>
      <c r="C142" s="129"/>
      <c r="D142" s="129"/>
      <c r="E142" s="129"/>
      <c r="F142" s="129"/>
      <c r="G142" s="129"/>
      <c r="H142" s="129"/>
      <c r="I142" s="35"/>
      <c r="L142" s="73"/>
      <c r="M142" s="73"/>
    </row>
    <row r="143" spans="1:14" s="55" customFormat="1" x14ac:dyDescent="0.35">
      <c r="A143" s="129" t="s">
        <v>204</v>
      </c>
      <c r="B143" s="129"/>
      <c r="C143" s="129"/>
      <c r="D143" s="129"/>
      <c r="E143" s="129"/>
      <c r="F143" s="129"/>
      <c r="G143" s="129"/>
      <c r="H143" s="129"/>
      <c r="I143" s="35"/>
      <c r="L143" s="73"/>
      <c r="M143" s="73"/>
    </row>
    <row r="144" spans="1:14" s="55" customFormat="1" ht="15.75" customHeight="1" x14ac:dyDescent="0.35">
      <c r="A144" s="74">
        <v>1</v>
      </c>
      <c r="B144" s="74"/>
      <c r="C144" s="182" t="s">
        <v>206</v>
      </c>
      <c r="D144" s="183"/>
      <c r="E144" s="183"/>
      <c r="F144" s="184"/>
      <c r="G144" s="176" t="str">
        <f>A143</f>
        <v xml:space="preserve">1st Floor For Fitness Center &amp; Residential </v>
      </c>
      <c r="H144" s="177"/>
      <c r="I144" s="35"/>
      <c r="N144" s="35"/>
    </row>
    <row r="145" spans="1:14" s="55" customFormat="1" ht="15.75" customHeight="1" x14ac:dyDescent="0.35">
      <c r="A145" s="74">
        <f>A144+1</f>
        <v>2</v>
      </c>
      <c r="B145" s="74"/>
      <c r="C145" s="54" t="s">
        <v>198</v>
      </c>
      <c r="D145" s="62">
        <f>(48.44+5.96)*(10.764)</f>
        <v>585.5616</v>
      </c>
      <c r="E145" s="62">
        <f>(10.56)*(10.764)</f>
        <v>113.66784</v>
      </c>
      <c r="F145" s="54">
        <v>1050</v>
      </c>
      <c r="G145" s="178"/>
      <c r="H145" s="179"/>
      <c r="I145" s="63">
        <f>J145/D145</f>
        <v>1.7931503705160994</v>
      </c>
      <c r="J145" s="58">
        <v>1050</v>
      </c>
      <c r="N145" s="35"/>
    </row>
    <row r="146" spans="1:14" s="55" customFormat="1" ht="15.75" customHeight="1" x14ac:dyDescent="0.35">
      <c r="A146" s="74">
        <f t="shared" ref="A146:A150" si="5">A145+1</f>
        <v>3</v>
      </c>
      <c r="B146" s="74"/>
      <c r="C146" s="54" t="s">
        <v>199</v>
      </c>
      <c r="D146" s="62">
        <f>(33.03+4.05+3.78)*(10.764)</f>
        <v>439.81703999999996</v>
      </c>
      <c r="E146" s="54">
        <v>0</v>
      </c>
      <c r="F146" s="54">
        <v>660</v>
      </c>
      <c r="G146" s="178"/>
      <c r="H146" s="179"/>
      <c r="I146" s="63">
        <f t="shared" ref="I146:I150" si="6">J146/D146</f>
        <v>1.5006239867377582</v>
      </c>
      <c r="J146" s="58">
        <v>660</v>
      </c>
      <c r="N146" s="35"/>
    </row>
    <row r="147" spans="1:14" s="55" customFormat="1" ht="15.75" customHeight="1" x14ac:dyDescent="0.35">
      <c r="A147" s="74">
        <f t="shared" si="5"/>
        <v>4</v>
      </c>
      <c r="B147" s="74"/>
      <c r="C147" s="54" t="s">
        <v>198</v>
      </c>
      <c r="D147" s="62">
        <f>(48.44+4.05+5.96)*(10.764)</f>
        <v>629.15579999999989</v>
      </c>
      <c r="E147" s="54">
        <v>0</v>
      </c>
      <c r="F147" s="54">
        <v>945</v>
      </c>
      <c r="G147" s="178"/>
      <c r="H147" s="179"/>
      <c r="I147" s="63">
        <f t="shared" si="6"/>
        <v>1.5020126970139991</v>
      </c>
      <c r="J147" s="58">
        <v>945</v>
      </c>
      <c r="N147" s="35"/>
    </row>
    <row r="148" spans="1:14" s="55" customFormat="1" ht="15.75" customHeight="1" x14ac:dyDescent="0.35">
      <c r="A148" s="74">
        <f t="shared" si="5"/>
        <v>5</v>
      </c>
      <c r="B148" s="74"/>
      <c r="C148" s="54" t="s">
        <v>199</v>
      </c>
      <c r="D148" s="62">
        <f>(33.03+4.05+3.78)*(10.764)</f>
        <v>439.81703999999996</v>
      </c>
      <c r="E148" s="54">
        <v>0</v>
      </c>
      <c r="F148" s="54">
        <v>660</v>
      </c>
      <c r="G148" s="178"/>
      <c r="H148" s="179"/>
      <c r="I148" s="63">
        <f t="shared" si="6"/>
        <v>1.5006239867377582</v>
      </c>
      <c r="J148" s="58">
        <v>660</v>
      </c>
      <c r="N148" s="35"/>
    </row>
    <row r="149" spans="1:14" s="55" customFormat="1" x14ac:dyDescent="0.35">
      <c r="A149" s="74">
        <f t="shared" si="5"/>
        <v>6</v>
      </c>
      <c r="B149" s="74"/>
      <c r="C149" s="54" t="s">
        <v>199</v>
      </c>
      <c r="D149" s="62">
        <f>(36.8+4.05+3.75)*(10.764)</f>
        <v>480.07439999999991</v>
      </c>
      <c r="E149" s="54">
        <v>0</v>
      </c>
      <c r="F149" s="54">
        <v>720</v>
      </c>
      <c r="G149" s="178"/>
      <c r="H149" s="179"/>
      <c r="I149" s="63">
        <f t="shared" si="6"/>
        <v>1.4997675360319154</v>
      </c>
      <c r="J149" s="58">
        <v>720</v>
      </c>
      <c r="N149" s="35"/>
    </row>
    <row r="150" spans="1:14" s="55" customFormat="1" x14ac:dyDescent="0.35">
      <c r="A150" s="74">
        <f t="shared" si="5"/>
        <v>7</v>
      </c>
      <c r="B150" s="74"/>
      <c r="C150" s="54" t="s">
        <v>199</v>
      </c>
      <c r="D150" s="62">
        <f>(35.93+2.7+3.6)*(10.764)</f>
        <v>454.56371999999999</v>
      </c>
      <c r="E150" s="54">
        <v>0</v>
      </c>
      <c r="F150" s="54">
        <v>685</v>
      </c>
      <c r="G150" s="178"/>
      <c r="H150" s="179"/>
      <c r="I150" s="63">
        <f t="shared" si="6"/>
        <v>1.5069394451453364</v>
      </c>
      <c r="J150" s="58">
        <v>685</v>
      </c>
      <c r="N150" s="35"/>
    </row>
    <row r="151" spans="1:14" s="55" customFormat="1" x14ac:dyDescent="0.35">
      <c r="A151" s="129" t="s">
        <v>215</v>
      </c>
      <c r="B151" s="129"/>
      <c r="C151" s="129"/>
      <c r="D151" s="129"/>
      <c r="E151" s="129"/>
      <c r="F151" s="129"/>
      <c r="G151" s="129"/>
      <c r="H151" s="129"/>
      <c r="I151" s="35"/>
      <c r="L151" s="73"/>
      <c r="M151" s="73"/>
    </row>
    <row r="152" spans="1:14" s="55" customFormat="1" ht="15.75" customHeight="1" x14ac:dyDescent="0.35">
      <c r="A152" s="74">
        <v>1</v>
      </c>
      <c r="B152" s="74"/>
      <c r="C152" s="54" t="s">
        <v>198</v>
      </c>
      <c r="D152" s="62">
        <f>(48.44+5.96)*(10.764)</f>
        <v>585.5616</v>
      </c>
      <c r="E152" s="62">
        <f>(10.56)*(10.764)</f>
        <v>113.66784</v>
      </c>
      <c r="F152" s="54">
        <v>1050</v>
      </c>
      <c r="G152" s="176" t="str">
        <f>A151</f>
        <v xml:space="preserve">2nd Floor For Residential </v>
      </c>
      <c r="H152" s="177"/>
      <c r="I152" s="35"/>
      <c r="N152" s="35"/>
    </row>
    <row r="153" spans="1:14" s="55" customFormat="1" ht="15.75" customHeight="1" x14ac:dyDescent="0.35">
      <c r="A153" s="74">
        <f>A152+1</f>
        <v>2</v>
      </c>
      <c r="B153" s="74"/>
      <c r="C153" s="54" t="s">
        <v>198</v>
      </c>
      <c r="D153" s="62">
        <f>(48.44+4.05+5.96)*(10.764)</f>
        <v>629.15579999999989</v>
      </c>
      <c r="E153" s="54">
        <v>0</v>
      </c>
      <c r="F153" s="54">
        <v>945</v>
      </c>
      <c r="G153" s="178"/>
      <c r="H153" s="179"/>
      <c r="I153" s="35"/>
      <c r="N153" s="35"/>
    </row>
    <row r="154" spans="1:14" s="55" customFormat="1" ht="15.75" customHeight="1" x14ac:dyDescent="0.35">
      <c r="A154" s="74">
        <f t="shared" ref="A154:A158" si="7">A153+1</f>
        <v>3</v>
      </c>
      <c r="B154" s="74"/>
      <c r="C154" s="54" t="s">
        <v>199</v>
      </c>
      <c r="D154" s="62">
        <f>(33.03+4.05+3.78)*(10.764)</f>
        <v>439.81703999999996</v>
      </c>
      <c r="E154" s="54">
        <v>0</v>
      </c>
      <c r="F154" s="54">
        <v>660</v>
      </c>
      <c r="G154" s="178"/>
      <c r="H154" s="179"/>
      <c r="I154" s="35"/>
      <c r="N154" s="35"/>
    </row>
    <row r="155" spans="1:14" s="55" customFormat="1" ht="15.75" customHeight="1" x14ac:dyDescent="0.35">
      <c r="A155" s="74">
        <f t="shared" si="7"/>
        <v>4</v>
      </c>
      <c r="B155" s="74"/>
      <c r="C155" s="54" t="s">
        <v>198</v>
      </c>
      <c r="D155" s="62">
        <f>(48.44+4.05+5.96)*(10.764)</f>
        <v>629.15579999999989</v>
      </c>
      <c r="E155" s="54">
        <v>0</v>
      </c>
      <c r="F155" s="54">
        <v>945</v>
      </c>
      <c r="G155" s="178"/>
      <c r="H155" s="179"/>
      <c r="I155" s="35"/>
      <c r="N155" s="35"/>
    </row>
    <row r="156" spans="1:14" s="55" customFormat="1" ht="15.75" customHeight="1" x14ac:dyDescent="0.35">
      <c r="A156" s="74">
        <f t="shared" si="7"/>
        <v>5</v>
      </c>
      <c r="B156" s="74"/>
      <c r="C156" s="54" t="s">
        <v>199</v>
      </c>
      <c r="D156" s="62">
        <f>(33.03+4.05+3.78)*(10.764)</f>
        <v>439.81703999999996</v>
      </c>
      <c r="E156" s="54">
        <v>0</v>
      </c>
      <c r="F156" s="54">
        <v>660</v>
      </c>
      <c r="G156" s="178"/>
      <c r="H156" s="179"/>
      <c r="I156" s="35"/>
      <c r="N156" s="35"/>
    </row>
    <row r="157" spans="1:14" s="55" customFormat="1" x14ac:dyDescent="0.35">
      <c r="A157" s="74">
        <f t="shared" si="7"/>
        <v>6</v>
      </c>
      <c r="B157" s="74"/>
      <c r="C157" s="54" t="s">
        <v>199</v>
      </c>
      <c r="D157" s="62">
        <f>(36.8+4.05+3.75)*(10.764)</f>
        <v>480.07439999999991</v>
      </c>
      <c r="E157" s="54">
        <v>0</v>
      </c>
      <c r="F157" s="54">
        <v>720</v>
      </c>
      <c r="G157" s="178"/>
      <c r="H157" s="179"/>
      <c r="I157" s="35"/>
      <c r="N157" s="35"/>
    </row>
    <row r="158" spans="1:14" s="55" customFormat="1" x14ac:dyDescent="0.35">
      <c r="A158" s="74">
        <f t="shared" si="7"/>
        <v>7</v>
      </c>
      <c r="B158" s="74"/>
      <c r="C158" s="54" t="s">
        <v>199</v>
      </c>
      <c r="D158" s="62">
        <f>(35.93+2.7+3.6)*(10.764)</f>
        <v>454.56371999999999</v>
      </c>
      <c r="E158" s="54">
        <v>0</v>
      </c>
      <c r="F158" s="54">
        <v>685</v>
      </c>
      <c r="G158" s="178"/>
      <c r="H158" s="179"/>
      <c r="I158" s="35"/>
      <c r="N158" s="35"/>
    </row>
    <row r="159" spans="1:14" s="55" customFormat="1" x14ac:dyDescent="0.35">
      <c r="A159" s="129" t="s">
        <v>207</v>
      </c>
      <c r="B159" s="129"/>
      <c r="C159" s="129"/>
      <c r="D159" s="129"/>
      <c r="E159" s="129"/>
      <c r="F159" s="129"/>
      <c r="G159" s="129"/>
      <c r="H159" s="129"/>
      <c r="I159" s="35"/>
      <c r="L159" s="73"/>
      <c r="M159" s="73"/>
    </row>
    <row r="160" spans="1:14" s="55" customFormat="1" ht="15.75" customHeight="1" x14ac:dyDescent="0.35">
      <c r="A160" s="74">
        <v>1</v>
      </c>
      <c r="B160" s="74"/>
      <c r="C160" s="64" t="s">
        <v>198</v>
      </c>
      <c r="D160" s="62">
        <f>(48.44+4.05+5.96)*(10.764)</f>
        <v>629.15579999999989</v>
      </c>
      <c r="E160" s="64">
        <v>0</v>
      </c>
      <c r="F160" s="64">
        <v>945</v>
      </c>
      <c r="G160" s="74" t="str">
        <f>A159</f>
        <v>3rd to 7th, 9th to 11th Floor</v>
      </c>
      <c r="H160" s="74"/>
      <c r="I160" s="63">
        <f>J160/D160</f>
        <v>1.5020126970139991</v>
      </c>
      <c r="J160" s="55">
        <v>945</v>
      </c>
      <c r="N160" s="35"/>
    </row>
    <row r="161" spans="1:14" s="55" customFormat="1" ht="15.75" customHeight="1" x14ac:dyDescent="0.35">
      <c r="A161" s="74">
        <f>A160+1</f>
        <v>2</v>
      </c>
      <c r="B161" s="74"/>
      <c r="C161" s="64" t="s">
        <v>198</v>
      </c>
      <c r="D161" s="62">
        <f>(48.44+4.05+5.96)*(10.764)</f>
        <v>629.15579999999989</v>
      </c>
      <c r="E161" s="64">
        <v>0</v>
      </c>
      <c r="F161" s="64">
        <v>945</v>
      </c>
      <c r="G161" s="74"/>
      <c r="H161" s="74"/>
      <c r="I161" s="63">
        <f t="shared" ref="I161:I166" si="8">J161/D161</f>
        <v>1.5020126970139991</v>
      </c>
      <c r="J161" s="55">
        <v>945</v>
      </c>
      <c r="N161" s="35"/>
    </row>
    <row r="162" spans="1:14" s="55" customFormat="1" ht="15.75" customHeight="1" x14ac:dyDescent="0.35">
      <c r="A162" s="74">
        <f t="shared" ref="A162:A166" si="9">A161+1</f>
        <v>3</v>
      </c>
      <c r="B162" s="74"/>
      <c r="C162" s="64" t="s">
        <v>199</v>
      </c>
      <c r="D162" s="62">
        <f>(33.03+4.05+3.78)*(10.764)</f>
        <v>439.81703999999996</v>
      </c>
      <c r="E162" s="64">
        <v>0</v>
      </c>
      <c r="F162" s="64">
        <v>660</v>
      </c>
      <c r="G162" s="74"/>
      <c r="H162" s="74"/>
      <c r="I162" s="63">
        <f t="shared" si="8"/>
        <v>1.5006239867377582</v>
      </c>
      <c r="J162" s="55">
        <v>660</v>
      </c>
      <c r="N162" s="35"/>
    </row>
    <row r="163" spans="1:14" s="55" customFormat="1" ht="15.75" customHeight="1" x14ac:dyDescent="0.35">
      <c r="A163" s="74">
        <f t="shared" si="9"/>
        <v>4</v>
      </c>
      <c r="B163" s="74"/>
      <c r="C163" s="64" t="s">
        <v>198</v>
      </c>
      <c r="D163" s="62">
        <f>(48.44+4.05+5.96)*(10.764)</f>
        <v>629.15579999999989</v>
      </c>
      <c r="E163" s="64">
        <v>0</v>
      </c>
      <c r="F163" s="64">
        <v>945</v>
      </c>
      <c r="G163" s="74"/>
      <c r="H163" s="74"/>
      <c r="I163" s="63">
        <f t="shared" si="8"/>
        <v>1.5020126970139991</v>
      </c>
      <c r="J163" s="55">
        <v>945</v>
      </c>
      <c r="N163" s="35"/>
    </row>
    <row r="164" spans="1:14" s="55" customFormat="1" ht="15.75" customHeight="1" x14ac:dyDescent="0.35">
      <c r="A164" s="74">
        <f t="shared" si="9"/>
        <v>5</v>
      </c>
      <c r="B164" s="74"/>
      <c r="C164" s="64" t="s">
        <v>199</v>
      </c>
      <c r="D164" s="62">
        <f>(33.03+4.05+3.78)*(10.764)</f>
        <v>439.81703999999996</v>
      </c>
      <c r="E164" s="64">
        <v>0</v>
      </c>
      <c r="F164" s="64">
        <v>660</v>
      </c>
      <c r="G164" s="74"/>
      <c r="H164" s="74"/>
      <c r="I164" s="63">
        <f t="shared" si="8"/>
        <v>1.5006239867377582</v>
      </c>
      <c r="J164" s="55">
        <v>660</v>
      </c>
      <c r="N164" s="35"/>
    </row>
    <row r="165" spans="1:14" s="55" customFormat="1" x14ac:dyDescent="0.35">
      <c r="A165" s="74">
        <f t="shared" si="9"/>
        <v>6</v>
      </c>
      <c r="B165" s="74"/>
      <c r="C165" s="64" t="s">
        <v>199</v>
      </c>
      <c r="D165" s="62">
        <f>(36.8+4.05+3.75)*(10.764)</f>
        <v>480.07439999999991</v>
      </c>
      <c r="E165" s="64">
        <v>0</v>
      </c>
      <c r="F165" s="64">
        <v>720</v>
      </c>
      <c r="G165" s="74"/>
      <c r="H165" s="74"/>
      <c r="I165" s="63">
        <f t="shared" si="8"/>
        <v>1.4997675360319154</v>
      </c>
      <c r="J165" s="55">
        <v>720</v>
      </c>
      <c r="N165" s="35"/>
    </row>
    <row r="166" spans="1:14" s="55" customFormat="1" x14ac:dyDescent="0.35">
      <c r="A166" s="74">
        <f t="shared" si="9"/>
        <v>7</v>
      </c>
      <c r="B166" s="74"/>
      <c r="C166" s="64" t="s">
        <v>199</v>
      </c>
      <c r="D166" s="62">
        <f>(35.93+2.7+3.6)*(10.764)</f>
        <v>454.56371999999999</v>
      </c>
      <c r="E166" s="64">
        <v>0</v>
      </c>
      <c r="F166" s="64">
        <v>685</v>
      </c>
      <c r="G166" s="74"/>
      <c r="H166" s="74"/>
      <c r="I166" s="63">
        <f t="shared" si="8"/>
        <v>1.5069394451453364</v>
      </c>
      <c r="J166" s="55">
        <v>685</v>
      </c>
      <c r="N166" s="35"/>
    </row>
    <row r="167" spans="1:14" s="55" customFormat="1" x14ac:dyDescent="0.35">
      <c r="A167" s="129" t="s">
        <v>201</v>
      </c>
      <c r="B167" s="129"/>
      <c r="C167" s="129"/>
      <c r="D167" s="129"/>
      <c r="E167" s="129"/>
      <c r="F167" s="129"/>
      <c r="G167" s="129"/>
      <c r="H167" s="129"/>
      <c r="I167" s="35"/>
      <c r="L167" s="73"/>
      <c r="M167" s="73"/>
    </row>
    <row r="168" spans="1:14" s="55" customFormat="1" ht="15.75" customHeight="1" x14ac:dyDescent="0.35">
      <c r="A168" s="74">
        <v>1</v>
      </c>
      <c r="B168" s="74"/>
      <c r="C168" s="54" t="s">
        <v>198</v>
      </c>
      <c r="D168" s="62">
        <f>(48.44+4.05+5.96)*(10.764)</f>
        <v>629.15579999999989</v>
      </c>
      <c r="E168" s="54">
        <v>0</v>
      </c>
      <c r="F168" s="54">
        <v>945</v>
      </c>
      <c r="G168" s="176" t="str">
        <f>A167</f>
        <v>8th Floor (Part Refuge Area)</v>
      </c>
      <c r="H168" s="177"/>
      <c r="I168" s="35"/>
      <c r="N168" s="35"/>
    </row>
    <row r="169" spans="1:14" s="55" customFormat="1" ht="15.75" customHeight="1" x14ac:dyDescent="0.35">
      <c r="A169" s="74">
        <f>A168+1</f>
        <v>2</v>
      </c>
      <c r="B169" s="74"/>
      <c r="C169" s="54" t="s">
        <v>198</v>
      </c>
      <c r="D169" s="62">
        <f>(48.44+4.05+5.96)*(10.764)</f>
        <v>629.15579999999989</v>
      </c>
      <c r="E169" s="54">
        <v>0</v>
      </c>
      <c r="F169" s="54">
        <v>945</v>
      </c>
      <c r="G169" s="178"/>
      <c r="H169" s="179"/>
      <c r="I169" s="35"/>
      <c r="N169" s="35"/>
    </row>
    <row r="170" spans="1:14" s="55" customFormat="1" ht="15.75" customHeight="1" x14ac:dyDescent="0.35">
      <c r="A170" s="74">
        <f t="shared" ref="A170:A174" si="10">A169+1</f>
        <v>3</v>
      </c>
      <c r="B170" s="74"/>
      <c r="C170" s="54" t="s">
        <v>199</v>
      </c>
      <c r="D170" s="62">
        <f>(33.03+4.05+3.78)*(10.764)</f>
        <v>439.81703999999996</v>
      </c>
      <c r="E170" s="54">
        <v>0</v>
      </c>
      <c r="F170" s="54">
        <v>660</v>
      </c>
      <c r="G170" s="178"/>
      <c r="H170" s="179"/>
      <c r="I170" s="35"/>
      <c r="N170" s="35"/>
    </row>
    <row r="171" spans="1:14" s="55" customFormat="1" ht="15.75" customHeight="1" x14ac:dyDescent="0.35">
      <c r="A171" s="74">
        <f t="shared" si="10"/>
        <v>4</v>
      </c>
      <c r="B171" s="74"/>
      <c r="C171" s="54" t="s">
        <v>198</v>
      </c>
      <c r="D171" s="62">
        <f>(48.44+4.05+5.96)*(10.764)</f>
        <v>629.15579999999989</v>
      </c>
      <c r="E171" s="54">
        <v>0</v>
      </c>
      <c r="F171" s="54">
        <v>945</v>
      </c>
      <c r="G171" s="178"/>
      <c r="H171" s="179"/>
      <c r="I171" s="35"/>
      <c r="N171" s="35"/>
    </row>
    <row r="172" spans="1:14" s="55" customFormat="1" ht="15.75" customHeight="1" x14ac:dyDescent="0.35">
      <c r="A172" s="74">
        <f t="shared" si="10"/>
        <v>5</v>
      </c>
      <c r="B172" s="74"/>
      <c r="C172" s="182" t="s">
        <v>205</v>
      </c>
      <c r="D172" s="183"/>
      <c r="E172" s="183"/>
      <c r="F172" s="184"/>
      <c r="G172" s="178"/>
      <c r="H172" s="179"/>
      <c r="I172" s="35"/>
      <c r="N172" s="35"/>
    </row>
    <row r="173" spans="1:14" s="55" customFormat="1" x14ac:dyDescent="0.35">
      <c r="A173" s="74">
        <f t="shared" si="10"/>
        <v>6</v>
      </c>
      <c r="B173" s="74"/>
      <c r="C173" s="54" t="s">
        <v>199</v>
      </c>
      <c r="D173" s="62">
        <f>(36.8+4.05+3.75)*(10.764)</f>
        <v>480.07439999999991</v>
      </c>
      <c r="E173" s="54">
        <v>0</v>
      </c>
      <c r="F173" s="54">
        <v>720</v>
      </c>
      <c r="G173" s="178"/>
      <c r="H173" s="179"/>
      <c r="I173" s="35"/>
      <c r="N173" s="35"/>
    </row>
    <row r="174" spans="1:14" s="55" customFormat="1" x14ac:dyDescent="0.35">
      <c r="A174" s="74">
        <f t="shared" si="10"/>
        <v>7</v>
      </c>
      <c r="B174" s="74"/>
      <c r="C174" s="54" t="s">
        <v>199</v>
      </c>
      <c r="D174" s="62">
        <f>(35.93+2.7+3.6)*(10.764)</f>
        <v>454.56371999999999</v>
      </c>
      <c r="E174" s="54">
        <v>0</v>
      </c>
      <c r="F174" s="54">
        <v>685</v>
      </c>
      <c r="G174" s="178"/>
      <c r="H174" s="179"/>
      <c r="I174" s="35"/>
      <c r="N174" s="35"/>
    </row>
    <row r="175" spans="1:14" s="34" customFormat="1" x14ac:dyDescent="0.35">
      <c r="A175" s="131" t="s">
        <v>70</v>
      </c>
      <c r="B175" s="131"/>
      <c r="C175" s="131"/>
      <c r="D175" s="131"/>
      <c r="E175" s="131"/>
      <c r="F175" s="131"/>
      <c r="G175" s="131"/>
      <c r="H175" s="131"/>
    </row>
    <row r="176" spans="1:14" s="34" customFormat="1" ht="31.5" customHeight="1" x14ac:dyDescent="0.35">
      <c r="A176" s="45" t="s">
        <v>152</v>
      </c>
      <c r="B176" s="134" t="s">
        <v>219</v>
      </c>
      <c r="C176" s="135"/>
      <c r="D176" s="135"/>
      <c r="E176" s="135"/>
      <c r="F176" s="135"/>
      <c r="G176" s="135"/>
      <c r="H176" s="136"/>
    </row>
    <row r="177" spans="1:8" s="34" customFormat="1" x14ac:dyDescent="0.35">
      <c r="A177" s="45" t="s">
        <v>152</v>
      </c>
      <c r="B177" s="134" t="str">
        <f>(IF(F114="Saleable area Loading :","We have considered Saleable area of Flats as per our Calculation.","We considered Saleable area of Flat as per Builder area Sheet."))</f>
        <v>We considered Saleable area of Flat as per Builder area Sheet.</v>
      </c>
      <c r="C177" s="135"/>
      <c r="D177" s="135"/>
      <c r="E177" s="135"/>
      <c r="F177" s="135"/>
      <c r="G177" s="135"/>
      <c r="H177" s="136"/>
    </row>
    <row r="178" spans="1:8" s="34" customFormat="1" x14ac:dyDescent="0.35">
      <c r="A178" s="45" t="s">
        <v>152</v>
      </c>
      <c r="B178" s="70" t="s">
        <v>123</v>
      </c>
      <c r="C178" s="71"/>
      <c r="D178" s="71"/>
      <c r="E178" s="71"/>
      <c r="F178" s="71"/>
      <c r="G178" s="71"/>
      <c r="H178" s="72"/>
    </row>
    <row r="179" spans="1:8" s="34" customFormat="1" x14ac:dyDescent="0.35">
      <c r="A179" s="45" t="s">
        <v>152</v>
      </c>
      <c r="B179" s="70" t="s">
        <v>200</v>
      </c>
      <c r="C179" s="71"/>
      <c r="D179" s="71"/>
      <c r="E179" s="71"/>
      <c r="F179" s="71"/>
      <c r="G179" s="71"/>
      <c r="H179" s="72"/>
    </row>
    <row r="180" spans="1:8" s="34" customFormat="1" x14ac:dyDescent="0.35">
      <c r="A180" s="45" t="s">
        <v>152</v>
      </c>
      <c r="B180" s="70" t="s">
        <v>151</v>
      </c>
      <c r="C180" s="71"/>
      <c r="D180" s="71"/>
      <c r="E180" s="71"/>
      <c r="F180" s="71"/>
      <c r="G180" s="71"/>
      <c r="H180" s="72"/>
    </row>
    <row r="181" spans="1:8" s="34" customFormat="1" x14ac:dyDescent="0.35">
      <c r="A181" s="45" t="s">
        <v>152</v>
      </c>
      <c r="B181" s="70" t="s">
        <v>124</v>
      </c>
      <c r="C181" s="71"/>
      <c r="D181" s="71"/>
      <c r="E181" s="71"/>
      <c r="F181" s="71"/>
      <c r="G181" s="71"/>
      <c r="H181" s="72"/>
    </row>
    <row r="182" spans="1:8" s="34" customFormat="1" ht="34.5" customHeight="1" x14ac:dyDescent="0.35">
      <c r="A182" s="45" t="s">
        <v>152</v>
      </c>
      <c r="B182" s="70" t="s">
        <v>153</v>
      </c>
      <c r="C182" s="71"/>
      <c r="D182" s="71"/>
      <c r="E182" s="71"/>
      <c r="F182" s="71"/>
      <c r="G182" s="71"/>
      <c r="H182" s="72"/>
    </row>
    <row r="183" spans="1:8" s="34" customFormat="1" x14ac:dyDescent="0.35">
      <c r="A183" s="45" t="s">
        <v>152</v>
      </c>
      <c r="B183" s="70" t="s">
        <v>125</v>
      </c>
      <c r="C183" s="71"/>
      <c r="D183" s="71"/>
      <c r="E183" s="71"/>
      <c r="F183" s="71"/>
      <c r="G183" s="71"/>
      <c r="H183" s="72"/>
    </row>
    <row r="184" spans="1:8" s="34" customFormat="1" x14ac:dyDescent="0.35">
      <c r="A184" s="65" t="s">
        <v>152</v>
      </c>
      <c r="B184" s="70" t="s">
        <v>220</v>
      </c>
      <c r="C184" s="71"/>
      <c r="D184" s="71"/>
      <c r="E184" s="71"/>
      <c r="F184" s="71"/>
      <c r="G184" s="71"/>
      <c r="H184" s="72"/>
    </row>
    <row r="185" spans="1:8" x14ac:dyDescent="0.35">
      <c r="A185" s="130" t="s">
        <v>63</v>
      </c>
      <c r="B185" s="130"/>
      <c r="C185" s="130"/>
      <c r="D185" s="130"/>
      <c r="E185" s="130"/>
      <c r="F185" s="130"/>
      <c r="G185" s="130"/>
      <c r="H185" s="130"/>
    </row>
    <row r="186" spans="1:8" x14ac:dyDescent="0.35">
      <c r="A186" s="75" t="s">
        <v>64</v>
      </c>
      <c r="B186" s="75"/>
      <c r="C186" s="75"/>
      <c r="D186" s="75"/>
      <c r="E186" s="75"/>
      <c r="F186" s="75"/>
      <c r="G186" s="75"/>
      <c r="H186" s="75"/>
    </row>
    <row r="187" spans="1:8" ht="15.75" customHeight="1" x14ac:dyDescent="0.35">
      <c r="A187" s="168" t="s">
        <v>65</v>
      </c>
      <c r="B187" s="168"/>
      <c r="C187" s="168"/>
      <c r="D187" s="168"/>
      <c r="E187" s="168"/>
      <c r="F187" s="168"/>
      <c r="G187" s="168"/>
      <c r="H187" s="168"/>
    </row>
    <row r="188" spans="1:8" x14ac:dyDescent="0.35">
      <c r="A188" s="75" t="s">
        <v>66</v>
      </c>
      <c r="B188" s="75"/>
      <c r="C188" s="75"/>
      <c r="D188" s="75"/>
      <c r="E188" s="75"/>
      <c r="F188" s="75"/>
      <c r="G188" s="75"/>
      <c r="H188" s="75"/>
    </row>
    <row r="189" spans="1:8" x14ac:dyDescent="0.35">
      <c r="A189" s="75" t="s">
        <v>67</v>
      </c>
      <c r="B189" s="75"/>
      <c r="C189" s="75"/>
      <c r="D189" s="75"/>
      <c r="E189" s="75"/>
      <c r="F189" s="75"/>
      <c r="G189" s="75"/>
      <c r="H189" s="75"/>
    </row>
    <row r="190" spans="1:8" x14ac:dyDescent="0.35">
      <c r="A190" s="75" t="s">
        <v>126</v>
      </c>
      <c r="B190" s="75"/>
      <c r="C190" s="75"/>
      <c r="D190" s="75"/>
      <c r="E190" s="75"/>
      <c r="F190" s="75"/>
      <c r="G190" s="75"/>
      <c r="H190" s="75"/>
    </row>
    <row r="191" spans="1:8" x14ac:dyDescent="0.35">
      <c r="A191" s="93" t="s">
        <v>127</v>
      </c>
      <c r="B191" s="93"/>
      <c r="C191" s="93"/>
      <c r="D191" s="93"/>
      <c r="E191" s="93"/>
      <c r="F191" s="93"/>
      <c r="G191" s="93"/>
      <c r="H191" s="93"/>
    </row>
    <row r="192" spans="1:8" x14ac:dyDescent="0.35">
      <c r="A192" s="127" t="s">
        <v>79</v>
      </c>
      <c r="B192" s="127"/>
      <c r="C192" s="127" t="s">
        <v>193</v>
      </c>
      <c r="D192" s="127"/>
      <c r="E192" s="127" t="s">
        <v>107</v>
      </c>
      <c r="F192" s="127"/>
      <c r="G192" s="127" t="s">
        <v>221</v>
      </c>
      <c r="H192" s="127"/>
    </row>
    <row r="193" spans="1:8" x14ac:dyDescent="0.35">
      <c r="A193" s="126" t="s">
        <v>81</v>
      </c>
      <c r="B193" s="126"/>
      <c r="C193" s="126"/>
      <c r="D193" s="126"/>
      <c r="E193" s="126"/>
      <c r="F193" s="126"/>
      <c r="G193" s="126"/>
      <c r="H193" s="126"/>
    </row>
    <row r="194" spans="1:8" x14ac:dyDescent="0.35">
      <c r="A194" s="126"/>
      <c r="B194" s="126"/>
      <c r="C194" s="126"/>
      <c r="D194" s="126"/>
      <c r="E194" s="126"/>
      <c r="F194" s="126"/>
      <c r="G194" s="126"/>
      <c r="H194" s="126"/>
    </row>
    <row r="195" spans="1:8" x14ac:dyDescent="0.35">
      <c r="A195" s="126"/>
      <c r="B195" s="126"/>
      <c r="C195" s="126"/>
      <c r="D195" s="126"/>
      <c r="E195" s="126"/>
      <c r="F195" s="126"/>
      <c r="G195" s="126"/>
      <c r="H195" s="126"/>
    </row>
    <row r="196" spans="1:8" x14ac:dyDescent="0.35">
      <c r="A196" s="126"/>
      <c r="B196" s="126"/>
      <c r="C196" s="126"/>
      <c r="D196" s="126"/>
      <c r="E196" s="126"/>
      <c r="F196" s="126"/>
      <c r="G196" s="126"/>
      <c r="H196" s="126"/>
    </row>
    <row r="197" spans="1:8" x14ac:dyDescent="0.35">
      <c r="A197" s="37" t="s">
        <v>68</v>
      </c>
      <c r="B197" s="38"/>
      <c r="C197" s="38"/>
      <c r="D197" s="37" t="str">
        <f>E8</f>
        <v>Hari Shrushti</v>
      </c>
      <c r="F197" s="38"/>
      <c r="G197" s="38"/>
      <c r="H197" s="38"/>
    </row>
    <row r="198" spans="1:8" x14ac:dyDescent="0.35">
      <c r="A198" s="38"/>
      <c r="B198" s="38"/>
      <c r="C198" s="38"/>
      <c r="D198" s="38"/>
      <c r="E198" s="38"/>
      <c r="F198" s="38"/>
      <c r="G198" s="38"/>
      <c r="H198" s="38"/>
    </row>
    <row r="199" spans="1:8" x14ac:dyDescent="0.35">
      <c r="A199" s="38"/>
      <c r="B199" s="38"/>
      <c r="C199" s="38"/>
      <c r="D199" s="38"/>
      <c r="E199" s="38"/>
      <c r="F199" s="38"/>
      <c r="G199" s="38"/>
      <c r="H199" s="38"/>
    </row>
    <row r="200" spans="1:8" ht="15" customHeight="1" x14ac:dyDescent="0.35"/>
    <row r="240" spans="1:1" x14ac:dyDescent="0.35">
      <c r="A240" s="40" t="s">
        <v>163</v>
      </c>
    </row>
    <row r="283" spans="1:1" x14ac:dyDescent="0.35">
      <c r="A283" s="40" t="s">
        <v>69</v>
      </c>
    </row>
  </sheetData>
  <mergeCells count="321">
    <mergeCell ref="L167:M167"/>
    <mergeCell ref="A168:B168"/>
    <mergeCell ref="G168:H174"/>
    <mergeCell ref="A169:B169"/>
    <mergeCell ref="A170:B170"/>
    <mergeCell ref="A171:B171"/>
    <mergeCell ref="A172:B172"/>
    <mergeCell ref="A173:B173"/>
    <mergeCell ref="A174:B174"/>
    <mergeCell ref="C172:F172"/>
    <mergeCell ref="L159:M159"/>
    <mergeCell ref="A160:B160"/>
    <mergeCell ref="G160:H166"/>
    <mergeCell ref="A161:B161"/>
    <mergeCell ref="A162:B162"/>
    <mergeCell ref="A163:B163"/>
    <mergeCell ref="A164:B164"/>
    <mergeCell ref="A165:B165"/>
    <mergeCell ref="A166:B166"/>
    <mergeCell ref="L142:M142"/>
    <mergeCell ref="A141:H141"/>
    <mergeCell ref="L141:M141"/>
    <mergeCell ref="A151:H151"/>
    <mergeCell ref="L151:M151"/>
    <mergeCell ref="A152:B152"/>
    <mergeCell ref="G152:H158"/>
    <mergeCell ref="A153:B153"/>
    <mergeCell ref="A154:B154"/>
    <mergeCell ref="A155:B155"/>
    <mergeCell ref="A156:B156"/>
    <mergeCell ref="A157:B157"/>
    <mergeCell ref="A158:B158"/>
    <mergeCell ref="C144:F144"/>
    <mergeCell ref="A143:H143"/>
    <mergeCell ref="L143:M143"/>
    <mergeCell ref="A144:B144"/>
    <mergeCell ref="G144:H150"/>
    <mergeCell ref="A145:B145"/>
    <mergeCell ref="A146:B146"/>
    <mergeCell ref="A147:B147"/>
    <mergeCell ref="A148:B148"/>
    <mergeCell ref="A149:B149"/>
    <mergeCell ref="L129:M129"/>
    <mergeCell ref="A130:B130"/>
    <mergeCell ref="G130:H14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C134:F134"/>
    <mergeCell ref="D63:H63"/>
    <mergeCell ref="A41:D41"/>
    <mergeCell ref="A190:H190"/>
    <mergeCell ref="A187:H187"/>
    <mergeCell ref="A118:B118"/>
    <mergeCell ref="A108:B108"/>
    <mergeCell ref="G114:H114"/>
    <mergeCell ref="A88:B88"/>
    <mergeCell ref="A89:B89"/>
    <mergeCell ref="A90:B90"/>
    <mergeCell ref="A80:B80"/>
    <mergeCell ref="C80:H80"/>
    <mergeCell ref="A75:B75"/>
    <mergeCell ref="F95:H95"/>
    <mergeCell ref="A48:B48"/>
    <mergeCell ref="C48:E48"/>
    <mergeCell ref="G48:H48"/>
    <mergeCell ref="A150:B150"/>
    <mergeCell ref="A128:B128"/>
    <mergeCell ref="A127:B127"/>
    <mergeCell ref="G118:H128"/>
    <mergeCell ref="A129:H129"/>
    <mergeCell ref="A142:H142"/>
    <mergeCell ref="A159:H159"/>
    <mergeCell ref="G50:H50"/>
    <mergeCell ref="D54:H54"/>
    <mergeCell ref="C50:E50"/>
    <mergeCell ref="A57:C58"/>
    <mergeCell ref="D57:H57"/>
    <mergeCell ref="D58:H58"/>
    <mergeCell ref="A52:B52"/>
    <mergeCell ref="C52:E52"/>
    <mergeCell ref="A53:H53"/>
    <mergeCell ref="A54:C54"/>
    <mergeCell ref="A55:C55"/>
    <mergeCell ref="D55:H55"/>
    <mergeCell ref="G52:H52"/>
    <mergeCell ref="C51:H51"/>
    <mergeCell ref="F99:H99"/>
    <mergeCell ref="A82:B82"/>
    <mergeCell ref="C82:H82"/>
    <mergeCell ref="A71:B71"/>
    <mergeCell ref="A73:B73"/>
    <mergeCell ref="E69:F69"/>
    <mergeCell ref="F101:H101"/>
    <mergeCell ref="F104:H104"/>
    <mergeCell ref="F102:H102"/>
    <mergeCell ref="A103:E103"/>
    <mergeCell ref="F103:H103"/>
    <mergeCell ref="F96:H96"/>
    <mergeCell ref="A96:E96"/>
    <mergeCell ref="A98:E98"/>
    <mergeCell ref="A100:E100"/>
    <mergeCell ref="F100:H100"/>
    <mergeCell ref="A102:E102"/>
    <mergeCell ref="F97:H97"/>
    <mergeCell ref="A101:E101"/>
    <mergeCell ref="A97:E97"/>
    <mergeCell ref="F98:H98"/>
    <mergeCell ref="A99:E99"/>
    <mergeCell ref="B180:H180"/>
    <mergeCell ref="A64:C64"/>
    <mergeCell ref="D64:H64"/>
    <mergeCell ref="A70:B70"/>
    <mergeCell ref="G69:H69"/>
    <mergeCell ref="A93:B93"/>
    <mergeCell ref="A95:E95"/>
    <mergeCell ref="A84:B84"/>
    <mergeCell ref="E84:F93"/>
    <mergeCell ref="A91:B91"/>
    <mergeCell ref="A92:B92"/>
    <mergeCell ref="F94:H94"/>
    <mergeCell ref="A65:C65"/>
    <mergeCell ref="D65:H65"/>
    <mergeCell ref="A78:B78"/>
    <mergeCell ref="A79:B79"/>
    <mergeCell ref="G84:H93"/>
    <mergeCell ref="A85:B85"/>
    <mergeCell ref="A86:B86"/>
    <mergeCell ref="A87:B87"/>
    <mergeCell ref="A83:B83"/>
    <mergeCell ref="E83:F83"/>
    <mergeCell ref="G83:H83"/>
    <mergeCell ref="A94:E94"/>
    <mergeCell ref="A112:H112"/>
    <mergeCell ref="B176:H176"/>
    <mergeCell ref="B177:H177"/>
    <mergeCell ref="A123:B123"/>
    <mergeCell ref="A124:B124"/>
    <mergeCell ref="A125:B125"/>
    <mergeCell ref="A126:B126"/>
    <mergeCell ref="A113:H113"/>
    <mergeCell ref="A116:H116"/>
    <mergeCell ref="A115:H115"/>
    <mergeCell ref="A167:H167"/>
    <mergeCell ref="A63:C63"/>
    <mergeCell ref="A193:H196"/>
    <mergeCell ref="A192:B192"/>
    <mergeCell ref="E192:F192"/>
    <mergeCell ref="C192:D192"/>
    <mergeCell ref="G192:H192"/>
    <mergeCell ref="A105:E105"/>
    <mergeCell ref="F105:H105"/>
    <mergeCell ref="A106:E106"/>
    <mergeCell ref="F106:H106"/>
    <mergeCell ref="A117:H117"/>
    <mergeCell ref="A109:B109"/>
    <mergeCell ref="A188:H188"/>
    <mergeCell ref="A107:H107"/>
    <mergeCell ref="A191:H191"/>
    <mergeCell ref="A189:H189"/>
    <mergeCell ref="A185:H185"/>
    <mergeCell ref="B182:H182"/>
    <mergeCell ref="B178:H178"/>
    <mergeCell ref="B179:H179"/>
    <mergeCell ref="A175:H175"/>
    <mergeCell ref="A186:H186"/>
    <mergeCell ref="E70:F79"/>
    <mergeCell ref="G70:H79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C49:E49"/>
    <mergeCell ref="A49:B49"/>
    <mergeCell ref="E41:H41"/>
    <mergeCell ref="D60:H60"/>
    <mergeCell ref="A42:D42"/>
    <mergeCell ref="E42:H42"/>
    <mergeCell ref="E43:H43"/>
    <mergeCell ref="E44:H44"/>
    <mergeCell ref="E45:H45"/>
    <mergeCell ref="A44:D44"/>
    <mergeCell ref="A77:B77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62:C62"/>
    <mergeCell ref="D62:H62"/>
    <mergeCell ref="A47:B47"/>
    <mergeCell ref="C47:H47"/>
    <mergeCell ref="A60:C60"/>
    <mergeCell ref="D59:H59"/>
    <mergeCell ref="B184:H184"/>
    <mergeCell ref="L117:M117"/>
    <mergeCell ref="A122:B122"/>
    <mergeCell ref="A119:B119"/>
    <mergeCell ref="A120:B120"/>
    <mergeCell ref="A104:E104"/>
    <mergeCell ref="G111:H111"/>
    <mergeCell ref="A110:B110"/>
    <mergeCell ref="C110:D110"/>
    <mergeCell ref="E110:F110"/>
    <mergeCell ref="G110:H110"/>
    <mergeCell ref="A121:B121"/>
    <mergeCell ref="A111:B111"/>
    <mergeCell ref="E111:F111"/>
    <mergeCell ref="C108:D108"/>
    <mergeCell ref="G108:H108"/>
    <mergeCell ref="C109:D109"/>
    <mergeCell ref="E109:F109"/>
    <mergeCell ref="G109:H109"/>
    <mergeCell ref="I119:K120"/>
    <mergeCell ref="E108:F108"/>
    <mergeCell ref="C111:D111"/>
    <mergeCell ref="B183:H183"/>
    <mergeCell ref="B181:H18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6" max="16383" man="1"/>
    <brk id="239" max="16383" man="1"/>
    <brk id="28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5" t="s">
        <v>108</v>
      </c>
      <c r="C3" s="185"/>
      <c r="D3" s="185"/>
      <c r="E3" s="185"/>
      <c r="F3" s="185"/>
      <c r="G3" s="185"/>
      <c r="H3" s="185"/>
    </row>
    <row r="4" spans="1:9" x14ac:dyDescent="0.35">
      <c r="A4" s="2"/>
      <c r="B4" s="3" t="s">
        <v>109</v>
      </c>
      <c r="C4" s="3" t="s">
        <v>110</v>
      </c>
      <c r="D4" s="3" t="s">
        <v>71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2025-07-14T14:41:12Z</cp:lastPrinted>
  <dcterms:created xsi:type="dcterms:W3CDTF">2019-07-16T09:29:46Z</dcterms:created>
  <dcterms:modified xsi:type="dcterms:W3CDTF">2025-07-14T14:41:58Z</dcterms:modified>
</cp:coreProperties>
</file>