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09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2" i="1" l="1"/>
  <c r="I133" i="1"/>
  <c r="I139" i="1"/>
  <c r="I141" i="1"/>
  <c r="I137" i="1"/>
  <c r="I128" i="1"/>
  <c r="F151" i="1"/>
  <c r="F150" i="1"/>
  <c r="F149" i="1"/>
  <c r="F148" i="1"/>
  <c r="F147" i="1"/>
  <c r="F146" i="1"/>
  <c r="F134" i="1"/>
  <c r="F132" i="1"/>
  <c r="I132" i="1" s="1"/>
  <c r="F131" i="1"/>
  <c r="F130" i="1"/>
  <c r="I130" i="1" s="1"/>
  <c r="F129" i="1"/>
  <c r="D158" i="1" l="1"/>
  <c r="J158" i="1" s="1"/>
  <c r="D157" i="1"/>
  <c r="J157" i="1" s="1"/>
  <c r="D156" i="1"/>
  <c r="J156" i="1" s="1"/>
  <c r="D155" i="1"/>
  <c r="J155" i="1" s="1"/>
  <c r="D154" i="1"/>
  <c r="J154" i="1" s="1"/>
  <c r="D153" i="1"/>
  <c r="J153" i="1" s="1"/>
  <c r="G153" i="1"/>
  <c r="G154" i="1" s="1"/>
  <c r="G155" i="1" s="1"/>
  <c r="G156" i="1" s="1"/>
  <c r="G157" i="1" s="1"/>
  <c r="G158" i="1" s="1"/>
  <c r="E151" i="1"/>
  <c r="D151" i="1"/>
  <c r="E150" i="1"/>
  <c r="D150" i="1"/>
  <c r="E149" i="1"/>
  <c r="D149" i="1"/>
  <c r="E148" i="1"/>
  <c r="D148" i="1"/>
  <c r="E147" i="1"/>
  <c r="D147" i="1"/>
  <c r="E146" i="1"/>
  <c r="D146" i="1"/>
  <c r="G146" i="1"/>
  <c r="G147" i="1" s="1"/>
  <c r="G148" i="1" s="1"/>
  <c r="G149" i="1" s="1"/>
  <c r="G150" i="1" s="1"/>
  <c r="G151" i="1" s="1"/>
  <c r="P153" i="1"/>
  <c r="P146" i="1"/>
  <c r="O146" i="1"/>
  <c r="O153" i="1"/>
  <c r="E104" i="1" l="1"/>
  <c r="C104" i="1"/>
  <c r="P154" i="1"/>
  <c r="P155" i="1" s="1"/>
  <c r="P156" i="1" s="1"/>
  <c r="P157" i="1" s="1"/>
  <c r="P158" i="1" s="1"/>
  <c r="O154" i="1"/>
  <c r="N153" i="1"/>
  <c r="A153" i="1" s="1"/>
  <c r="O147" i="1"/>
  <c r="N146" i="1"/>
  <c r="A146" i="1" s="1"/>
  <c r="P147" i="1"/>
  <c r="P148" i="1" s="1"/>
  <c r="P149" i="1" s="1"/>
  <c r="P150" i="1" s="1"/>
  <c r="P151" i="1" s="1"/>
  <c r="D143" i="1"/>
  <c r="J143" i="1" s="1"/>
  <c r="D142" i="1"/>
  <c r="J142" i="1" s="1"/>
  <c r="D141" i="1"/>
  <c r="J141" i="1" s="1"/>
  <c r="D140" i="1"/>
  <c r="J140" i="1" s="1"/>
  <c r="D139" i="1"/>
  <c r="J139" i="1" s="1"/>
  <c r="D138" i="1"/>
  <c r="J138" i="1" s="1"/>
  <c r="D137" i="1"/>
  <c r="J137" i="1" s="1"/>
  <c r="D136" i="1"/>
  <c r="J136" i="1" s="1"/>
  <c r="G136" i="1"/>
  <c r="G137" i="1" s="1"/>
  <c r="G138" i="1" s="1"/>
  <c r="G139" i="1" s="1"/>
  <c r="G140" i="1" s="1"/>
  <c r="G141" i="1" s="1"/>
  <c r="G142" i="1" s="1"/>
  <c r="G143" i="1" s="1"/>
  <c r="E134" i="1"/>
  <c r="D134" i="1"/>
  <c r="D133" i="1"/>
  <c r="E132" i="1"/>
  <c r="D132" i="1"/>
  <c r="E131" i="1"/>
  <c r="D131" i="1"/>
  <c r="E130" i="1"/>
  <c r="D130" i="1"/>
  <c r="E129" i="1"/>
  <c r="D129" i="1"/>
  <c r="D128" i="1"/>
  <c r="D127" i="1"/>
  <c r="D122" i="1"/>
  <c r="D121" i="1"/>
  <c r="J121" i="1" s="1"/>
  <c r="D120" i="1"/>
  <c r="J120" i="1" s="1"/>
  <c r="D119" i="1"/>
  <c r="J119" i="1" s="1"/>
  <c r="D118" i="1"/>
  <c r="J118" i="1" s="1"/>
  <c r="D117" i="1"/>
  <c r="J117" i="1" s="1"/>
  <c r="D116" i="1"/>
  <c r="J116" i="1" s="1"/>
  <c r="D115" i="1"/>
  <c r="J115" i="1" s="1"/>
  <c r="D114" i="1"/>
  <c r="J114" i="1" s="1"/>
  <c r="D113" i="1"/>
  <c r="J113" i="1" s="1"/>
  <c r="D112" i="1"/>
  <c r="J112" i="1" s="1"/>
  <c r="P136" i="1"/>
  <c r="O136" i="1"/>
  <c r="C103" i="1" l="1"/>
  <c r="C105" i="1" s="1"/>
  <c r="G104" i="1"/>
  <c r="E100" i="1"/>
  <c r="C100" i="1"/>
  <c r="E103" i="1"/>
  <c r="E105" i="1" s="1"/>
  <c r="O155" i="1"/>
  <c r="N154" i="1"/>
  <c r="A154" i="1" s="1"/>
  <c r="O148" i="1"/>
  <c r="N147" i="1"/>
  <c r="A147" i="1" s="1"/>
  <c r="O137" i="1"/>
  <c r="N136" i="1"/>
  <c r="A136" i="1" s="1"/>
  <c r="P137" i="1"/>
  <c r="P138" i="1" s="1"/>
  <c r="P139" i="1" s="1"/>
  <c r="P140" i="1" s="1"/>
  <c r="P141" i="1" s="1"/>
  <c r="P142" i="1" s="1"/>
  <c r="P143" i="1" s="1"/>
  <c r="E106" i="1" l="1"/>
  <c r="C106" i="1"/>
  <c r="G103" i="1"/>
  <c r="G105" i="1" s="1"/>
  <c r="O156" i="1"/>
  <c r="N155" i="1"/>
  <c r="A155" i="1" s="1"/>
  <c r="O149" i="1"/>
  <c r="N148" i="1"/>
  <c r="A148" i="1" s="1"/>
  <c r="O138" i="1"/>
  <c r="N137" i="1"/>
  <c r="A137" i="1" s="1"/>
  <c r="G100" i="1" l="1"/>
  <c r="G106" i="1" s="1"/>
  <c r="O157" i="1"/>
  <c r="N156" i="1"/>
  <c r="A156" i="1" s="1"/>
  <c r="O150" i="1"/>
  <c r="N149" i="1"/>
  <c r="A149" i="1" s="1"/>
  <c r="O139" i="1"/>
  <c r="N138" i="1"/>
  <c r="A138" i="1" s="1"/>
  <c r="B162" i="1"/>
  <c r="B161" i="1"/>
  <c r="N157" i="1" l="1"/>
  <c r="A157" i="1" s="1"/>
  <c r="O158" i="1"/>
  <c r="O151" i="1"/>
  <c r="N150" i="1"/>
  <c r="A150" i="1" s="1"/>
  <c r="O140" i="1"/>
  <c r="N139" i="1"/>
  <c r="A139" i="1" s="1"/>
  <c r="E27" i="1"/>
  <c r="N158" i="1" l="1"/>
  <c r="A158" i="1" s="1"/>
  <c r="N151" i="1"/>
  <c r="A151" i="1" s="1"/>
  <c r="O141" i="1"/>
  <c r="N140" i="1"/>
  <c r="A140" i="1" s="1"/>
  <c r="F11" i="5"/>
  <c r="G11" i="5" s="1"/>
  <c r="F10" i="5"/>
  <c r="G10" i="5" s="1"/>
  <c r="F9" i="5"/>
  <c r="G9" i="5" s="1"/>
  <c r="G8" i="5"/>
  <c r="F8" i="5"/>
  <c r="F7" i="5"/>
  <c r="G7" i="5" s="1"/>
  <c r="F6" i="5"/>
  <c r="G6" i="5" s="1"/>
  <c r="F5" i="5"/>
  <c r="G5" i="5" s="1"/>
  <c r="G12" i="5" s="1"/>
  <c r="D182" i="1"/>
  <c r="A161" i="1"/>
  <c r="G127" i="1"/>
  <c r="G128" i="1" s="1"/>
  <c r="G129" i="1" s="1"/>
  <c r="G130" i="1" s="1"/>
  <c r="G131" i="1" s="1"/>
  <c r="G132" i="1" s="1"/>
  <c r="G133" i="1" s="1"/>
  <c r="G134" i="1" s="1"/>
  <c r="A113" i="1"/>
  <c r="A114" i="1" s="1"/>
  <c r="A115" i="1" s="1"/>
  <c r="A116" i="1" s="1"/>
  <c r="A117" i="1" s="1"/>
  <c r="A118" i="1" s="1"/>
  <c r="A119" i="1" s="1"/>
  <c r="A120" i="1" s="1"/>
  <c r="A121" i="1" s="1"/>
  <c r="A122" i="1" s="1"/>
  <c r="G112" i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F97" i="1"/>
  <c r="J88" i="1"/>
  <c r="J87" i="1"/>
  <c r="J86" i="1"/>
  <c r="J85" i="1"/>
  <c r="C77" i="1"/>
  <c r="J74" i="1"/>
  <c r="J73" i="1"/>
  <c r="J72" i="1"/>
  <c r="J71" i="1"/>
  <c r="C63" i="1"/>
  <c r="D51" i="1"/>
  <c r="G46" i="1"/>
  <c r="G47" i="1" s="1"/>
  <c r="C46" i="1"/>
  <c r="C47" i="1" s="1"/>
  <c r="E40" i="1"/>
  <c r="E41" i="1" s="1"/>
  <c r="E24" i="1"/>
  <c r="E22" i="1"/>
  <c r="C13" i="1"/>
  <c r="E7" i="1"/>
  <c r="E3" i="1"/>
  <c r="O127" i="1"/>
  <c r="P127" i="1"/>
  <c r="H64" i="1"/>
  <c r="H78" i="1"/>
  <c r="I57" i="1" l="1"/>
  <c r="O142" i="1"/>
  <c r="N141" i="1"/>
  <c r="A141" i="1" s="1"/>
  <c r="A162" i="1"/>
  <c r="A163" i="1" s="1"/>
  <c r="A164" i="1" s="1"/>
  <c r="A165" i="1" s="1"/>
  <c r="D69" i="1"/>
  <c r="J67" i="1"/>
  <c r="D76" i="1"/>
  <c r="D74" i="1"/>
  <c r="D72" i="1"/>
  <c r="D70" i="1"/>
  <c r="J68" i="1"/>
  <c r="C67" i="1" s="1"/>
  <c r="D67" i="1" s="1"/>
  <c r="J66" i="1"/>
  <c r="J69" i="1"/>
  <c r="J70" i="1" s="1"/>
  <c r="J75" i="1" s="1"/>
  <c r="D75" i="1"/>
  <c r="D71" i="1"/>
  <c r="D73" i="1"/>
  <c r="J83" i="1"/>
  <c r="J84" i="1" s="1"/>
  <c r="D89" i="1"/>
  <c r="D87" i="1"/>
  <c r="D85" i="1"/>
  <c r="D83" i="1"/>
  <c r="J81" i="1"/>
  <c r="D90" i="1"/>
  <c r="J82" i="1"/>
  <c r="C81" i="1" s="1"/>
  <c r="D81" i="1" s="1"/>
  <c r="D84" i="1"/>
  <c r="D86" i="1"/>
  <c r="D88" i="1"/>
  <c r="J80" i="1"/>
  <c r="P128" i="1"/>
  <c r="P129" i="1" s="1"/>
  <c r="P130" i="1" s="1"/>
  <c r="P131" i="1" s="1"/>
  <c r="P132" i="1" s="1"/>
  <c r="P133" i="1" s="1"/>
  <c r="P134" i="1" s="1"/>
  <c r="N127" i="1"/>
  <c r="A127" i="1" s="1"/>
  <c r="O128" i="1"/>
  <c r="A166" i="1" l="1"/>
  <c r="A169" i="1" s="1"/>
  <c r="J89" i="1"/>
  <c r="J90" i="1" s="1"/>
  <c r="E81" i="1"/>
  <c r="J76" i="1"/>
  <c r="E67" i="1"/>
  <c r="O143" i="1"/>
  <c r="N143" i="1" s="1"/>
  <c r="A143" i="1" s="1"/>
  <c r="N142" i="1"/>
  <c r="A142" i="1" s="1"/>
  <c r="N128" i="1"/>
  <c r="A128" i="1" s="1"/>
  <c r="O129" i="1"/>
  <c r="I77" i="1" l="1"/>
  <c r="C79" i="1" s="1"/>
  <c r="I63" i="1"/>
  <c r="C65" i="1" s="1"/>
  <c r="G81" i="1"/>
  <c r="D82" i="1"/>
  <c r="G67" i="1"/>
  <c r="D61" i="1" s="1"/>
  <c r="F62" i="1" s="1"/>
  <c r="D68" i="1"/>
  <c r="N129" i="1"/>
  <c r="A129" i="1" s="1"/>
  <c r="O130" i="1"/>
  <c r="D62" i="1" l="1"/>
  <c r="N130" i="1"/>
  <c r="A130" i="1" s="1"/>
  <c r="O131" i="1"/>
  <c r="N131" i="1" l="1"/>
  <c r="A131" i="1" s="1"/>
  <c r="O132" i="1"/>
  <c r="N132" i="1" l="1"/>
  <c r="A132" i="1" s="1"/>
  <c r="O133" i="1"/>
  <c r="O134" i="1" l="1"/>
  <c r="N134" i="1" s="1"/>
  <c r="A134" i="1" s="1"/>
  <c r="N133" i="1"/>
  <c r="A133" i="1" s="1"/>
</calcChain>
</file>

<file path=xl/sharedStrings.xml><?xml version="1.0" encoding="utf-8"?>
<sst xmlns="http://schemas.openxmlformats.org/spreadsheetml/2006/main" count="322" uniqueCount="213">
  <si>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</si>
  <si>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</si>
  <si>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</si>
  <si>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</si>
  <si>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</si>
  <si>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</si>
  <si>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</si>
  <si>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</si>
  <si>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</si>
  <si>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</si>
  <si>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</si>
  <si>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</si>
  <si>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</si>
  <si>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</si>
  <si>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</si>
  <si>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</si>
  <si>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</si>
  <si>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</si>
  <si>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</si>
  <si>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</si>
  <si>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</si>
  <si>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</si>
  <si>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</si>
  <si>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</si>
  <si>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</si>
  <si>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</si>
  <si>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</si>
  <si>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</si>
  <si>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</si>
  <si>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</si>
  <si>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</si>
  <si>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</si>
  <si>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</si>
  <si>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</si>
  <si>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</si>
  <si>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</si>
  <si>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</si>
  <si>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</si>
  <si>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</si>
  <si>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</si>
  <si>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</si>
  <si>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</si>
  <si>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</si>
  <si>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</si>
  <si>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</si>
  <si>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</si>
  <si>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</si>
  <si>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</si>
  <si>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</si>
  <si>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</si>
  <si>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</si>
  <si>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</si>
  <si>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</si>
  <si>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</si>
  <si>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</si>
  <si>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</si>
  <si>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</si>
  <si>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</si>
  <si>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</si>
  <si>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</si>
  <si>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</si>
  <si>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</si>
  <si>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</si>
  <si>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</si>
  <si>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</si>
  <si>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</si>
  <si>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</si>
  <si>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</si>
  <si>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</si>
  <si>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</si>
  <si>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</si>
  <si>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</si>
  <si>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</si>
  <si>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</si>
  <si>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</si>
  <si>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</si>
  <si>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</si>
  <si>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</si>
  <si>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</si>
  <si>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</si>
  <si>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</si>
  <si>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</si>
  <si>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</si>
  <si>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</si>
  <si>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</si>
  <si>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</si>
  <si>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</si>
  <si>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</si>
  <si>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</si>
  <si>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</si>
  <si>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</si>
  <si>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</si>
  <si>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</si>
  <si>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</si>
  <si>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</si>
  <si>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</si>
  <si>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</si>
  <si>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</si>
  <si>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</si>
  <si>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</si>
  <si>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</si>
  <si>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</si>
  <si>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</si>
  <si>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</si>
  <si>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</si>
  <si>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</si>
  <si>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</si>
  <si>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</si>
  <si>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</si>
  <si>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</si>
  <si>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</si>
  <si>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</si>
  <si>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</si>
  <si>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</si>
  <si>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</si>
  <si>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</si>
  <si>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</si>
  <si>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</si>
  <si>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</si>
  <si>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</si>
  <si>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</si>
  <si>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</si>
  <si>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</si>
  <si>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</si>
  <si>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</si>
  <si>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</si>
  <si>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</si>
  <si>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</si>
  <si>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</si>
  <si>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</si>
  <si>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</si>
  <si>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</si>
  <si>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</si>
  <si>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</si>
  <si>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</si>
  <si>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</si>
  <si>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</si>
  <si>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</si>
  <si>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</si>
  <si>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</si>
  <si>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</si>
  <si>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</si>
  <si>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</si>
  <si>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</si>
  <si>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</si>
  <si>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</si>
  <si>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</si>
  <si>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</si>
  <si>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</si>
  <si>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</si>
  <si>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</si>
  <si>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</si>
  <si>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Total</t>
  </si>
  <si>
    <t>Ground Floor for Commercial &amp; Parking</t>
  </si>
  <si>
    <t>Shop</t>
  </si>
  <si>
    <t>1st &amp; 3rd Floor for Residential</t>
  </si>
  <si>
    <t>1BHK</t>
  </si>
  <si>
    <t>2BHK</t>
  </si>
  <si>
    <t>1RK</t>
  </si>
  <si>
    <t xml:space="preserve">2nd &amp; 4th Floor </t>
  </si>
  <si>
    <t>Axis Sanpada</t>
  </si>
  <si>
    <t>M/s.Kohari Infracon</t>
  </si>
  <si>
    <t>Doha Heights</t>
  </si>
  <si>
    <t>A &amp; B Wing</t>
  </si>
  <si>
    <t>Approved Plans, CC, Sale Plans.</t>
  </si>
  <si>
    <t>P51700029678</t>
  </si>
  <si>
    <t>Survey No</t>
  </si>
  <si>
    <t>122, Hiss No. 2/C</t>
  </si>
  <si>
    <t>Village</t>
  </si>
  <si>
    <t>Badlapur gaon</t>
  </si>
  <si>
    <t>Ambernath</t>
  </si>
  <si>
    <t>Thane</t>
  </si>
  <si>
    <t>3.8 Km from Badlapur Railway Station</t>
  </si>
  <si>
    <t>G D Homes</t>
  </si>
  <si>
    <t>Jambhala road</t>
  </si>
  <si>
    <t>Badlapur west</t>
  </si>
  <si>
    <t>Sarosh apartment</t>
  </si>
  <si>
    <t>Open land</t>
  </si>
  <si>
    <t>Open plot</t>
  </si>
  <si>
    <t>2 wings</t>
  </si>
  <si>
    <t>KBNP/NRV/BP/3718-28</t>
  </si>
  <si>
    <t>Flats - 56, Shops - 11</t>
  </si>
  <si>
    <t>Valid Up to:  A &amp; B Wing = G/St + 1st to 4th Floor.</t>
  </si>
  <si>
    <t>A &amp; B Wing = G/St + 1st to 4th Floor.</t>
  </si>
  <si>
    <t>We considered Gross carpet area = Net carpet + A.P Area.</t>
  </si>
  <si>
    <t>1,00,000/-</t>
  </si>
  <si>
    <t>Builder Saleable area</t>
  </si>
  <si>
    <t>On Site, we meet Mr.Sameer Shinde 8788215573</t>
  </si>
  <si>
    <t>Rushikesh</t>
  </si>
  <si>
    <t>cost Sheet</t>
  </si>
  <si>
    <t xml:space="preserve">3300 to 3600 </t>
  </si>
  <si>
    <t>6500 to 9000 &amp; OC</t>
  </si>
  <si>
    <t>Grill Charges</t>
  </si>
  <si>
    <t>Wing A</t>
  </si>
  <si>
    <t>Wing B</t>
  </si>
  <si>
    <t>Location Link</t>
  </si>
  <si>
    <t>https://goo.gl/maps/1LV5TA6StDD88acN7</t>
  </si>
  <si>
    <t>Grand Total</t>
  </si>
  <si>
    <t>A Wing = G/St + 1st to 4th Floor.</t>
  </si>
  <si>
    <t>B Wing = G/St + 1st to 4th Floor.</t>
  </si>
  <si>
    <t>Letter:</t>
  </si>
  <si>
    <t>Office No. 1031, Wing J, Akshar Business Park, Plot No. 03 Sector 25, Near APMC Market, 
Vashi, Navi Mumbai, Maharashtra 400703 TEL: 022-46090378/79/8
E mail : vsjcapf@gmail.com. Web site : www.vsjadon.com</t>
  </si>
  <si>
    <t>Latitude, Longitude</t>
  </si>
  <si>
    <t>We have updated approved Part OC of Wing A (Ground Floor) on 27/09/2023. Ground Floor shops can be considered as 100% Completed.</t>
  </si>
  <si>
    <t xml:space="preserve">Part O. Certificate No.: 
Approved upto : 
</t>
  </si>
  <si>
    <t>KBMC/TPD/POC/3718-28/2023-24/2245
Wing A (Ground Floor)</t>
  </si>
  <si>
    <t>19.151883,73.265404</t>
  </si>
  <si>
    <t>Mr. Sudhir</t>
  </si>
  <si>
    <t>As per builders letter we have changed proposed no. of floors from G + 7th Floor to G + 4 Floor. Letter attached below.</t>
  </si>
  <si>
    <t>As per RERA - 31/12/2026</t>
  </si>
  <si>
    <t>Pooja</t>
  </si>
  <si>
    <t>60 Years After Completion</t>
  </si>
  <si>
    <t>A Wing = 6th Slab work is in process (No labour found) (Slow Speed).
B Wing = Construction work was stopped. Work is same as last visit (06/10/2024).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</si>
</sst>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0" fontId="23" fillId="0" borderId="0" applyNumberFormat="0" applyFill="0" applyBorder="0" applyAlignment="0" applyProtection="0"/>
  </cellStyleXfs>
  <cellXfs count="168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7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0" fontId="17" fillId="0" borderId="12" xfId="0" applyNumberFormat="1" applyFont="1" applyBorder="1" applyProtection="1">
      <protection hidden="1"/>
    </xf>
    <xf numFmtId="0" fontId="7" fillId="0" borderId="10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3" xfId="0" applyFont="1" applyFill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22" fillId="0" borderId="0" xfId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center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Fill="1" applyBorder="1" applyAlignment="1" applyProtection="1">
      <alignment horizontal="center" wrapText="1"/>
      <protection locked="0"/>
    </xf>
    <xf numFmtId="0" fontId="12" fillId="0" borderId="6" xfId="1" applyFont="1" applyFill="1" applyBorder="1" applyAlignment="1" applyProtection="1">
      <alignment horizontal="center" wrapText="1"/>
      <protection locked="0"/>
    </xf>
    <xf numFmtId="9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0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23" fillId="0" borderId="8" xfId="8" applyFill="1" applyBorder="1" applyAlignment="1" applyProtection="1">
      <alignment horizontal="left"/>
      <protection locked="0"/>
    </xf>
    <xf numFmtId="0" fontId="23" fillId="0" borderId="20" xfId="8" applyFill="1" applyBorder="1" applyAlignment="1" applyProtection="1">
      <alignment horizontal="left"/>
      <protection locked="0"/>
    </xf>
    <xf numFmtId="0" fontId="23" fillId="0" borderId="9" xfId="8" applyFill="1" applyBorder="1" applyAlignment="1" applyProtection="1">
      <alignment horizontal="left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0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7" fillId="0" borderId="8" xfId="1" applyFont="1" applyFill="1" applyBorder="1" applyAlignment="1" applyProtection="1">
      <alignment horizontal="left"/>
      <protection locked="0"/>
    </xf>
    <xf numFmtId="0" fontId="7" fillId="0" borderId="20" xfId="1" applyFont="1" applyFill="1" applyBorder="1" applyAlignment="1" applyProtection="1">
      <alignment horizontal="left"/>
      <protection locked="0"/>
    </xf>
    <xf numFmtId="0" fontId="7" fillId="0" borderId="9" xfId="1" applyFont="1" applyFill="1" applyBorder="1" applyAlignment="1" applyProtection="1">
      <alignment horizontal="left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167" fontId="6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22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0" fontId="13" fillId="0" borderId="21" xfId="1" applyFont="1" applyFill="1" applyBorder="1" applyAlignment="1" applyProtection="1">
      <alignment horizontal="left" vertical="top" wrapText="1"/>
      <protection locked="0"/>
    </xf>
    <xf numFmtId="0" fontId="13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0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12" fillId="0" borderId="23" xfId="1" applyFont="1" applyFill="1" applyBorder="1" applyAlignment="1" applyProtection="1">
      <alignment horizontal="left" vertical="top"/>
      <protection locked="0"/>
    </xf>
    <xf numFmtId="0" fontId="12" fillId="0" borderId="19" xfId="1" applyFont="1" applyFill="1" applyBorder="1" applyAlignment="1" applyProtection="1">
      <alignment horizontal="left" vertical="top"/>
      <protection locked="0"/>
    </xf>
    <xf numFmtId="0" fontId="12" fillId="0" borderId="24" xfId="1" applyFont="1" applyFill="1" applyBorder="1" applyAlignment="1" applyProtection="1">
      <alignment horizontal="left" vertical="top"/>
      <protection locked="0"/>
    </xf>
    <xf numFmtId="0" fontId="12" fillId="0" borderId="0" xfId="1" applyFont="1" applyFill="1" applyBorder="1" applyAlignment="1" applyProtection="1">
      <alignment horizontal="left" vertical="top"/>
      <protection locked="0"/>
    </xf>
    <xf numFmtId="0" fontId="12" fillId="0" borderId="25" xfId="1" applyFont="1" applyFill="1" applyBorder="1" applyAlignment="1" applyProtection="1">
      <alignment horizontal="left"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0" fontId="7" fillId="0" borderId="0" xfId="1" applyFont="1" applyAlignment="1">
      <alignment horizontal="center" vertical="center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683557</xdr:colOff>
      <xdr:row>262</xdr:row>
      <xdr:rowOff>22412</xdr:rowOff>
    </xdr:from>
    <xdr:to>
      <xdr:col>7</xdr:col>
      <xdr:colOff>178362</xdr:colOff>
      <xdr:row>280</xdr:row>
      <xdr:rowOff>14803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3557" y="53037441"/>
          <a:ext cx="5624423" cy="36230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683557</xdr:colOff>
      <xdr:row>281</xdr:row>
      <xdr:rowOff>62877</xdr:rowOff>
    </xdr:from>
    <xdr:to>
      <xdr:col>7</xdr:col>
      <xdr:colOff>178362</xdr:colOff>
      <xdr:row>299</xdr:row>
      <xdr:rowOff>20759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83557" y="56910318"/>
          <a:ext cx="5624423" cy="358858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134472</xdr:colOff>
      <xdr:row>221</xdr:row>
      <xdr:rowOff>22412</xdr:rowOff>
    </xdr:from>
    <xdr:to>
      <xdr:col>6</xdr:col>
      <xdr:colOff>690313</xdr:colOff>
      <xdr:row>255</xdr:row>
      <xdr:rowOff>4412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1" y="48375794"/>
          <a:ext cx="5026988" cy="68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317500</xdr:colOff>
      <xdr:row>182</xdr:row>
      <xdr:rowOff>120650</xdr:rowOff>
    </xdr:from>
    <xdr:to>
      <xdr:col>7</xdr:col>
      <xdr:colOff>507118</xdr:colOff>
      <xdr:row>212</xdr:row>
      <xdr:rowOff>151326</xdr:rowOff>
    </xdr:to>
    <xdr:grpSp>
      <xdr:nvGrpSpPr>
        <xdr:cNvPr id="5" name="Group 4"/>
        <xdr:cNvGrpSpPr/>
      </xdr:nvGrpSpPr>
      <xdr:grpSpPr>
        <a:xfrm>
          <a:off x="317500" y="39160450"/>
          <a:ext cx="6164968" cy="5929826"/>
          <a:chOff x="317500" y="39160450"/>
          <a:chExt cx="6164968" cy="5929826"/>
        </a:xfrm>
      </xdr:grpSpPr>
      <xdr:pic>
        <xdr:nvPicPr>
          <xdr:cNvPr id="12" name="Picture 11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661951" y="42210276"/>
            <a:ext cx="3820516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7500" y="39160450"/>
            <a:ext cx="2166025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661952" y="39160450"/>
            <a:ext cx="3820516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7500" y="42210276"/>
            <a:ext cx="2157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582705</xdr:colOff>
      <xdr:row>13</xdr:row>
      <xdr:rowOff>190499</xdr:rowOff>
    </xdr:from>
    <xdr:to>
      <xdr:col>5</xdr:col>
      <xdr:colOff>92360</xdr:colOff>
      <xdr:row>30</xdr:row>
      <xdr:rowOff>78440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5" y="2678205"/>
          <a:ext cx="5560831" cy="312644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540204</xdr:colOff>
      <xdr:row>31</xdr:row>
      <xdr:rowOff>22411</xdr:rowOff>
    </xdr:from>
    <xdr:to>
      <xdr:col>5</xdr:col>
      <xdr:colOff>49858</xdr:colOff>
      <xdr:row>47</xdr:row>
      <xdr:rowOff>100851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0204" y="5939117"/>
          <a:ext cx="5560830" cy="31264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506586</xdr:colOff>
      <xdr:row>48</xdr:row>
      <xdr:rowOff>127186</xdr:rowOff>
    </xdr:from>
    <xdr:to>
      <xdr:col>5</xdr:col>
      <xdr:colOff>29199</xdr:colOff>
      <xdr:row>65</xdr:row>
      <xdr:rowOff>22412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6586" y="9282392"/>
          <a:ext cx="5573789" cy="313372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1LV5TA6StDD88acN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03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8" customWidth="1"/>
    <col min="2" max="2" width="12" style="8" customWidth="1"/>
    <col min="3" max="3" width="12.7265625" style="8" customWidth="1"/>
    <col min="4" max="4" width="14.1796875" style="8" customWidth="1"/>
    <col min="5" max="7" width="11.7265625" style="8" customWidth="1"/>
    <col min="8" max="8" width="12.453125" style="8" customWidth="1"/>
    <col min="9" max="9" width="17.453125" style="3" customWidth="1"/>
    <col min="10" max="10" width="11.453125" style="3" customWidth="1"/>
    <col min="11" max="11" width="11.81640625" style="3" bestFit="1" customWidth="1"/>
    <col min="12" max="12" width="10.54296875" style="3" customWidth="1"/>
    <col min="13" max="13" width="11.81640625" style="3" customWidth="1"/>
    <col min="14" max="14" width="12.54296875" style="3" hidden="1" customWidth="1"/>
    <col min="15" max="15" width="9.81640625" style="3" hidden="1" customWidth="1"/>
    <col min="16" max="16" width="11.7265625" style="3" hidden="1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33" t="s">
        <v>201</v>
      </c>
      <c r="B1" s="133"/>
      <c r="C1" s="133"/>
      <c r="D1" s="133"/>
      <c r="E1" s="133"/>
      <c r="F1" s="133"/>
      <c r="G1" s="133"/>
      <c r="H1" s="133"/>
    </row>
    <row r="2" spans="1:8" ht="16.5" customHeight="1" x14ac:dyDescent="0.35">
      <c r="A2" s="80" t="s">
        <v>0</v>
      </c>
      <c r="B2" s="80"/>
      <c r="C2" s="80"/>
      <c r="D2" s="80"/>
      <c r="E2" s="80"/>
      <c r="F2" s="80"/>
      <c r="G2" s="80"/>
      <c r="H2" s="80"/>
    </row>
    <row r="3" spans="1:8" x14ac:dyDescent="0.35">
      <c r="A3" s="115" t="s">
        <v>1</v>
      </c>
      <c r="B3" s="115"/>
      <c r="C3" s="115"/>
      <c r="D3" s="115"/>
      <c r="E3" s="132" t="str">
        <f ca="1">TEXT(TODAY(),"DD/MM/YYYY")</f>
        <v>09/07/2025</v>
      </c>
      <c r="F3" s="132"/>
      <c r="G3" s="132"/>
      <c r="H3" s="132"/>
    </row>
    <row r="4" spans="1:8" ht="15" customHeight="1" x14ac:dyDescent="0.35">
      <c r="A4" s="115" t="s">
        <v>2</v>
      </c>
      <c r="B4" s="115"/>
      <c r="C4" s="115"/>
      <c r="D4" s="115"/>
      <c r="E4" s="127" t="s">
        <v>160</v>
      </c>
      <c r="F4" s="127"/>
      <c r="G4" s="127"/>
      <c r="H4" s="127"/>
    </row>
    <row r="5" spans="1:8" x14ac:dyDescent="0.35">
      <c r="A5" s="115" t="s">
        <v>3</v>
      </c>
      <c r="B5" s="115"/>
      <c r="C5" s="115"/>
      <c r="D5" s="115"/>
      <c r="E5" s="132">
        <v>45846</v>
      </c>
      <c r="F5" s="132"/>
      <c r="G5" s="132"/>
      <c r="H5" s="132"/>
    </row>
    <row r="6" spans="1:8" ht="16.5" customHeight="1" x14ac:dyDescent="0.35">
      <c r="A6" s="115" t="s">
        <v>4</v>
      </c>
      <c r="B6" s="115"/>
      <c r="C6" s="115"/>
      <c r="D6" s="115"/>
      <c r="E6" s="125" t="s">
        <v>161</v>
      </c>
      <c r="F6" s="125"/>
      <c r="G6" s="125"/>
      <c r="H6" s="125"/>
    </row>
    <row r="7" spans="1:8" ht="15" customHeight="1" x14ac:dyDescent="0.35">
      <c r="A7" s="115" t="s">
        <v>5</v>
      </c>
      <c r="B7" s="115"/>
      <c r="C7" s="115"/>
      <c r="D7" s="115"/>
      <c r="E7" s="125" t="str">
        <f>E6</f>
        <v>M/s.Kohari Infracon</v>
      </c>
      <c r="F7" s="125"/>
      <c r="G7" s="125"/>
      <c r="H7" s="125"/>
    </row>
    <row r="8" spans="1:8" x14ac:dyDescent="0.35">
      <c r="A8" s="115" t="s">
        <v>6</v>
      </c>
      <c r="B8" s="115"/>
      <c r="C8" s="115"/>
      <c r="D8" s="115"/>
      <c r="E8" s="121" t="s">
        <v>162</v>
      </c>
      <c r="F8" s="121"/>
      <c r="G8" s="121"/>
      <c r="H8" s="121"/>
    </row>
    <row r="9" spans="1:8" x14ac:dyDescent="0.35">
      <c r="A9" s="115" t="s">
        <v>123</v>
      </c>
      <c r="B9" s="115"/>
      <c r="C9" s="115"/>
      <c r="D9" s="115"/>
      <c r="E9" s="115">
        <v>9860491777</v>
      </c>
      <c r="F9" s="115"/>
      <c r="G9" s="115"/>
      <c r="H9" s="115"/>
    </row>
    <row r="10" spans="1:8" x14ac:dyDescent="0.35">
      <c r="A10" s="92" t="s">
        <v>7</v>
      </c>
      <c r="B10" s="92"/>
      <c r="C10" s="92"/>
      <c r="D10" s="92"/>
      <c r="E10" s="92" t="s">
        <v>163</v>
      </c>
      <c r="F10" s="92"/>
      <c r="G10" s="92"/>
      <c r="H10" s="92"/>
    </row>
    <row r="11" spans="1:8" x14ac:dyDescent="0.35">
      <c r="A11" s="115" t="s">
        <v>8</v>
      </c>
      <c r="B11" s="115"/>
      <c r="C11" s="115"/>
      <c r="D11" s="115"/>
      <c r="E11" s="126" t="s">
        <v>164</v>
      </c>
      <c r="F11" s="126"/>
      <c r="G11" s="126"/>
      <c r="H11" s="126"/>
    </row>
    <row r="12" spans="1:8" x14ac:dyDescent="0.35">
      <c r="A12" s="115" t="s">
        <v>9</v>
      </c>
      <c r="B12" s="115"/>
      <c r="C12" s="115"/>
      <c r="D12" s="115"/>
      <c r="E12" s="126" t="s">
        <v>165</v>
      </c>
      <c r="F12" s="92"/>
      <c r="G12" s="92"/>
      <c r="H12" s="92"/>
    </row>
    <row r="13" spans="1:8" ht="35.25" customHeight="1" x14ac:dyDescent="0.35">
      <c r="A13" s="125" t="s">
        <v>10</v>
      </c>
      <c r="B13" s="125"/>
      <c r="C13" s="125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Doha Heights, Survey No.122, Hiss No. 2/C, near Sarosh apartment, Jambhala road, Badlapur gaon, Badlapur west, Ambernath, Thane.</v>
      </c>
      <c r="D13" s="125"/>
      <c r="E13" s="125"/>
      <c r="F13" s="125"/>
      <c r="G13" s="125"/>
      <c r="H13" s="125"/>
    </row>
    <row r="14" spans="1:8" x14ac:dyDescent="0.35">
      <c r="A14" s="125" t="s">
        <v>166</v>
      </c>
      <c r="B14" s="125"/>
      <c r="C14" s="126" t="s">
        <v>167</v>
      </c>
      <c r="D14" s="126"/>
      <c r="E14" s="126"/>
      <c r="F14" s="126"/>
      <c r="G14" s="126"/>
      <c r="H14" s="126"/>
    </row>
    <row r="15" spans="1:8" ht="15.75" customHeight="1" x14ac:dyDescent="0.35">
      <c r="A15" s="125" t="s">
        <v>11</v>
      </c>
      <c r="B15" s="125"/>
      <c r="C15" s="92" t="s">
        <v>174</v>
      </c>
      <c r="D15" s="92"/>
      <c r="E15" s="125" t="s">
        <v>168</v>
      </c>
      <c r="F15" s="125"/>
      <c r="G15" s="126" t="s">
        <v>169</v>
      </c>
      <c r="H15" s="126"/>
    </row>
    <row r="16" spans="1:8" x14ac:dyDescent="0.35">
      <c r="A16" s="115" t="s">
        <v>13</v>
      </c>
      <c r="B16" s="115"/>
      <c r="C16" s="126" t="s">
        <v>175</v>
      </c>
      <c r="D16" s="126"/>
      <c r="E16" s="125" t="s">
        <v>12</v>
      </c>
      <c r="F16" s="125"/>
      <c r="G16" s="131" t="s">
        <v>171</v>
      </c>
      <c r="H16" s="131"/>
    </row>
    <row r="17" spans="1:8" x14ac:dyDescent="0.35">
      <c r="A17" s="115" t="s">
        <v>77</v>
      </c>
      <c r="B17" s="115"/>
      <c r="C17" s="126" t="s">
        <v>170</v>
      </c>
      <c r="D17" s="126"/>
      <c r="E17" s="125" t="s">
        <v>14</v>
      </c>
      <c r="F17" s="125"/>
      <c r="G17" s="126">
        <v>421503</v>
      </c>
      <c r="H17" s="126"/>
    </row>
    <row r="18" spans="1:8" ht="32.25" customHeight="1" x14ac:dyDescent="0.35">
      <c r="A18" s="115" t="s">
        <v>124</v>
      </c>
      <c r="B18" s="115"/>
      <c r="C18" s="125" t="s">
        <v>176</v>
      </c>
      <c r="D18" s="125"/>
      <c r="E18" s="125" t="s">
        <v>15</v>
      </c>
      <c r="F18" s="125"/>
      <c r="G18" s="126" t="s">
        <v>172</v>
      </c>
      <c r="H18" s="126"/>
    </row>
    <row r="19" spans="1:8" ht="15" customHeight="1" x14ac:dyDescent="0.35">
      <c r="A19" s="125" t="s">
        <v>81</v>
      </c>
      <c r="B19" s="125"/>
      <c r="C19" s="125"/>
      <c r="D19" s="125"/>
      <c r="E19" s="92" t="s">
        <v>16</v>
      </c>
      <c r="F19" s="92"/>
      <c r="G19" s="92"/>
      <c r="H19" s="92"/>
    </row>
    <row r="20" spans="1:8" ht="18.75" customHeight="1" x14ac:dyDescent="0.35">
      <c r="A20" s="125"/>
      <c r="B20" s="125"/>
      <c r="C20" s="125"/>
      <c r="D20" s="125"/>
      <c r="E20" s="92"/>
      <c r="F20" s="92"/>
      <c r="G20" s="92"/>
      <c r="H20" s="92"/>
    </row>
    <row r="21" spans="1:8" ht="15" customHeight="1" x14ac:dyDescent="0.35">
      <c r="A21" s="125" t="s">
        <v>17</v>
      </c>
      <c r="B21" s="125"/>
      <c r="C21" s="125"/>
      <c r="D21" s="125"/>
      <c r="E21" s="126" t="s">
        <v>18</v>
      </c>
      <c r="F21" s="126"/>
      <c r="G21" s="126"/>
      <c r="H21" s="126"/>
    </row>
    <row r="22" spans="1:8" ht="15" customHeight="1" x14ac:dyDescent="0.35">
      <c r="A22" s="115" t="s">
        <v>19</v>
      </c>
      <c r="B22" s="115"/>
      <c r="C22" s="115"/>
      <c r="D22" s="115"/>
      <c r="E22" s="126" t="str">
        <f>IF(AND(G16="Mumbai"),"Upper Class","Middle Class")</f>
        <v>Middle Class</v>
      </c>
      <c r="F22" s="126"/>
      <c r="G22" s="126"/>
      <c r="H22" s="126"/>
    </row>
    <row r="23" spans="1:8" x14ac:dyDescent="0.35">
      <c r="A23" s="115" t="s">
        <v>20</v>
      </c>
      <c r="B23" s="115"/>
      <c r="C23" s="115"/>
      <c r="D23" s="115"/>
      <c r="E23" s="126" t="s">
        <v>21</v>
      </c>
      <c r="F23" s="126"/>
      <c r="G23" s="126"/>
      <c r="H23" s="126"/>
    </row>
    <row r="24" spans="1:8" ht="15.75" customHeight="1" x14ac:dyDescent="0.35">
      <c r="A24" s="115" t="s">
        <v>22</v>
      </c>
      <c r="B24" s="115"/>
      <c r="C24" s="115"/>
      <c r="D24" s="115"/>
      <c r="E24" s="126" t="str">
        <f>IF(AND(G16="Mumbai"),"Developed","Developing")</f>
        <v>Developing</v>
      </c>
      <c r="F24" s="126"/>
      <c r="G24" s="126"/>
      <c r="H24" s="126"/>
    </row>
    <row r="25" spans="1:8" x14ac:dyDescent="0.35">
      <c r="A25" s="115" t="s">
        <v>23</v>
      </c>
      <c r="B25" s="115"/>
      <c r="C25" s="115"/>
      <c r="D25" s="115"/>
      <c r="E25" s="126" t="s">
        <v>24</v>
      </c>
      <c r="F25" s="126"/>
      <c r="G25" s="126"/>
      <c r="H25" s="126"/>
    </row>
    <row r="26" spans="1:8" x14ac:dyDescent="0.35">
      <c r="A26" s="115" t="s">
        <v>87</v>
      </c>
      <c r="B26" s="115"/>
      <c r="C26" s="115"/>
      <c r="D26" s="115"/>
      <c r="E26" s="126" t="s">
        <v>88</v>
      </c>
      <c r="F26" s="126"/>
      <c r="G26" s="126"/>
      <c r="H26" s="126"/>
    </row>
    <row r="27" spans="1:8" ht="15" customHeight="1" x14ac:dyDescent="0.35">
      <c r="A27" s="125" t="s">
        <v>33</v>
      </c>
      <c r="B27" s="125"/>
      <c r="C27" s="125"/>
      <c r="D27" s="125"/>
      <c r="E27" s="127" t="str">
        <f>IF(ISNUMBER(SEARCH("Shops",D52)),"Residential + Commercial",IF(SEARCH("Offices",D52),"Residential + Commercial",IF(SEARCH("Flats",D52),"Residential","")))</f>
        <v>Residential + Commercial</v>
      </c>
      <c r="F27" s="127"/>
      <c r="G27" s="127"/>
      <c r="H27" s="127"/>
    </row>
    <row r="28" spans="1:8" x14ac:dyDescent="0.35">
      <c r="A28" s="125" t="s">
        <v>99</v>
      </c>
      <c r="B28" s="125"/>
      <c r="C28" s="125"/>
      <c r="D28" s="125"/>
      <c r="E28" s="125" t="s">
        <v>34</v>
      </c>
      <c r="F28" s="125"/>
      <c r="G28" s="125"/>
      <c r="H28" s="125"/>
    </row>
    <row r="29" spans="1:8" s="6" customFormat="1" x14ac:dyDescent="0.35">
      <c r="A29" s="120" t="s">
        <v>100</v>
      </c>
      <c r="B29" s="120"/>
      <c r="C29" s="118" t="s">
        <v>29</v>
      </c>
      <c r="D29" s="118"/>
      <c r="E29" s="118"/>
      <c r="F29" s="118" t="s">
        <v>31</v>
      </c>
      <c r="G29" s="118"/>
      <c r="H29" s="118"/>
    </row>
    <row r="30" spans="1:8" s="6" customFormat="1" x14ac:dyDescent="0.35">
      <c r="A30" s="119" t="s">
        <v>25</v>
      </c>
      <c r="B30" s="119" t="s">
        <v>30</v>
      </c>
      <c r="C30" s="117" t="s">
        <v>30</v>
      </c>
      <c r="D30" s="117"/>
      <c r="E30" s="117"/>
      <c r="F30" s="117" t="s">
        <v>173</v>
      </c>
      <c r="G30" s="117"/>
      <c r="H30" s="117"/>
    </row>
    <row r="31" spans="1:8" x14ac:dyDescent="0.35">
      <c r="A31" s="119" t="s">
        <v>26</v>
      </c>
      <c r="B31" s="119" t="s">
        <v>30</v>
      </c>
      <c r="C31" s="117" t="s">
        <v>30</v>
      </c>
      <c r="D31" s="117"/>
      <c r="E31" s="117"/>
      <c r="F31" s="117" t="s">
        <v>177</v>
      </c>
      <c r="G31" s="117"/>
      <c r="H31" s="117"/>
    </row>
    <row r="32" spans="1:8" s="6" customFormat="1" x14ac:dyDescent="0.35">
      <c r="A32" s="119" t="s">
        <v>28</v>
      </c>
      <c r="B32" s="119" t="s">
        <v>30</v>
      </c>
      <c r="C32" s="117" t="s">
        <v>30</v>
      </c>
      <c r="D32" s="117"/>
      <c r="E32" s="117"/>
      <c r="F32" s="117" t="s">
        <v>176</v>
      </c>
      <c r="G32" s="117"/>
      <c r="H32" s="117"/>
    </row>
    <row r="33" spans="1:8" x14ac:dyDescent="0.35">
      <c r="A33" s="119" t="s">
        <v>27</v>
      </c>
      <c r="B33" s="119" t="s">
        <v>30</v>
      </c>
      <c r="C33" s="117" t="s">
        <v>30</v>
      </c>
      <c r="D33" s="117"/>
      <c r="E33" s="117"/>
      <c r="F33" s="117" t="s">
        <v>178</v>
      </c>
      <c r="G33" s="117"/>
      <c r="H33" s="117"/>
    </row>
    <row r="34" spans="1:8" x14ac:dyDescent="0.35">
      <c r="A34" s="115" t="s">
        <v>32</v>
      </c>
      <c r="B34" s="115"/>
      <c r="C34" s="115"/>
      <c r="D34" s="115"/>
      <c r="E34" s="115"/>
      <c r="F34" s="115"/>
      <c r="G34" s="115"/>
      <c r="H34" s="115"/>
    </row>
    <row r="35" spans="1:8" ht="15.75" customHeight="1" x14ac:dyDescent="0.35">
      <c r="A35" s="80" t="s">
        <v>202</v>
      </c>
      <c r="B35" s="80"/>
      <c r="C35" s="122" t="s">
        <v>206</v>
      </c>
      <c r="D35" s="123"/>
      <c r="E35" s="123"/>
      <c r="F35" s="123"/>
      <c r="G35" s="123"/>
      <c r="H35" s="124"/>
    </row>
    <row r="36" spans="1:8" ht="15.75" customHeight="1" x14ac:dyDescent="0.35">
      <c r="A36" s="80" t="s">
        <v>195</v>
      </c>
      <c r="B36" s="80"/>
      <c r="C36" s="81" t="s">
        <v>196</v>
      </c>
      <c r="D36" s="82"/>
      <c r="E36" s="82"/>
      <c r="F36" s="82"/>
      <c r="G36" s="82"/>
      <c r="H36" s="83"/>
    </row>
    <row r="37" spans="1:8" x14ac:dyDescent="0.35">
      <c r="A37" s="121" t="s">
        <v>35</v>
      </c>
      <c r="B37" s="121"/>
      <c r="C37" s="121"/>
      <c r="D37" s="121"/>
      <c r="E37" s="121"/>
      <c r="F37" s="121"/>
      <c r="G37" s="121"/>
      <c r="H37" s="121"/>
    </row>
    <row r="38" spans="1:8" x14ac:dyDescent="0.35">
      <c r="A38" s="115" t="s">
        <v>36</v>
      </c>
      <c r="B38" s="115"/>
      <c r="C38" s="115"/>
      <c r="D38" s="115"/>
      <c r="E38" s="116">
        <v>1508.33</v>
      </c>
      <c r="F38" s="116"/>
      <c r="G38" s="116"/>
      <c r="H38" s="116"/>
    </row>
    <row r="39" spans="1:8" x14ac:dyDescent="0.35">
      <c r="A39" s="115" t="s">
        <v>37</v>
      </c>
      <c r="B39" s="115"/>
      <c r="C39" s="115"/>
      <c r="D39" s="115"/>
      <c r="E39" s="129">
        <v>1.1000000000000001</v>
      </c>
      <c r="F39" s="129"/>
      <c r="G39" s="129"/>
      <c r="H39" s="129"/>
    </row>
    <row r="40" spans="1:8" x14ac:dyDescent="0.35">
      <c r="A40" s="115" t="s">
        <v>38</v>
      </c>
      <c r="B40" s="115"/>
      <c r="C40" s="115"/>
      <c r="D40" s="115"/>
      <c r="E40" s="129">
        <f>E42/E38-E39</f>
        <v>-1.9889546716278517E-6</v>
      </c>
      <c r="F40" s="129"/>
      <c r="G40" s="129"/>
      <c r="H40" s="129"/>
    </row>
    <row r="41" spans="1:8" x14ac:dyDescent="0.35">
      <c r="A41" s="115" t="s">
        <v>39</v>
      </c>
      <c r="B41" s="115"/>
      <c r="C41" s="115"/>
      <c r="D41" s="115"/>
      <c r="E41" s="129">
        <f>E39+E40</f>
        <v>1.0999980110453285</v>
      </c>
      <c r="F41" s="129"/>
      <c r="G41" s="129"/>
      <c r="H41" s="129"/>
    </row>
    <row r="42" spans="1:8" x14ac:dyDescent="0.35">
      <c r="A42" s="115" t="s">
        <v>98</v>
      </c>
      <c r="B42" s="115"/>
      <c r="C42" s="115"/>
      <c r="D42" s="115"/>
      <c r="E42" s="130">
        <v>1659.16</v>
      </c>
      <c r="F42" s="130"/>
      <c r="G42" s="130"/>
      <c r="H42" s="130"/>
    </row>
    <row r="43" spans="1:8" x14ac:dyDescent="0.35">
      <c r="A43" s="92" t="s">
        <v>40</v>
      </c>
      <c r="B43" s="92"/>
      <c r="C43" s="92"/>
      <c r="D43" s="92"/>
      <c r="E43" s="92" t="s">
        <v>179</v>
      </c>
      <c r="F43" s="92"/>
      <c r="G43" s="92"/>
      <c r="H43" s="92"/>
    </row>
    <row r="44" spans="1:8" x14ac:dyDescent="0.35">
      <c r="A44" s="77" t="s">
        <v>41</v>
      </c>
      <c r="B44" s="77"/>
      <c r="C44" s="77"/>
      <c r="D44" s="77"/>
      <c r="E44" s="77"/>
      <c r="F44" s="77"/>
      <c r="G44" s="77"/>
      <c r="H44" s="77"/>
    </row>
    <row r="45" spans="1:8" x14ac:dyDescent="0.35">
      <c r="A45" s="126" t="s">
        <v>42</v>
      </c>
      <c r="B45" s="126"/>
      <c r="C45" s="126" t="s">
        <v>180</v>
      </c>
      <c r="D45" s="126"/>
      <c r="E45" s="126"/>
      <c r="F45" s="55" t="s">
        <v>43</v>
      </c>
      <c r="G45" s="138">
        <v>44321</v>
      </c>
      <c r="H45" s="138"/>
    </row>
    <row r="46" spans="1:8" x14ac:dyDescent="0.35">
      <c r="A46" s="92" t="s">
        <v>44</v>
      </c>
      <c r="B46" s="92"/>
      <c r="C46" s="126" t="str">
        <f>C45</f>
        <v>KBNP/NRV/BP/3718-28</v>
      </c>
      <c r="D46" s="126"/>
      <c r="E46" s="126"/>
      <c r="F46" s="55" t="s">
        <v>43</v>
      </c>
      <c r="G46" s="138">
        <f>G45</f>
        <v>44321</v>
      </c>
      <c r="H46" s="138"/>
    </row>
    <row r="47" spans="1:8" s="5" customFormat="1" x14ac:dyDescent="0.35">
      <c r="A47" s="126" t="s">
        <v>45</v>
      </c>
      <c r="B47" s="126"/>
      <c r="C47" s="126" t="str">
        <f>C46</f>
        <v>KBNP/NRV/BP/3718-28</v>
      </c>
      <c r="D47" s="92"/>
      <c r="E47" s="92"/>
      <c r="F47" s="59" t="s">
        <v>43</v>
      </c>
      <c r="G47" s="138">
        <f>G46</f>
        <v>44321</v>
      </c>
      <c r="H47" s="138"/>
    </row>
    <row r="48" spans="1:8" s="5" customFormat="1" x14ac:dyDescent="0.35">
      <c r="A48" s="126"/>
      <c r="B48" s="126"/>
      <c r="C48" s="139" t="s">
        <v>182</v>
      </c>
      <c r="D48" s="140"/>
      <c r="E48" s="140"/>
      <c r="F48" s="140"/>
      <c r="G48" s="140"/>
      <c r="H48" s="141"/>
    </row>
    <row r="49" spans="1:14" ht="50.25" customHeight="1" x14ac:dyDescent="0.35">
      <c r="A49" s="71" t="s">
        <v>204</v>
      </c>
      <c r="B49" s="71"/>
      <c r="C49" s="71" t="s">
        <v>205</v>
      </c>
      <c r="D49" s="77"/>
      <c r="E49" s="77" t="s">
        <v>46</v>
      </c>
      <c r="F49" s="56" t="s">
        <v>43</v>
      </c>
      <c r="G49" s="163">
        <v>45183</v>
      </c>
      <c r="H49" s="163"/>
    </row>
    <row r="50" spans="1:14" x14ac:dyDescent="0.35">
      <c r="A50" s="152" t="s">
        <v>48</v>
      </c>
      <c r="B50" s="152"/>
      <c r="C50" s="152"/>
      <c r="D50" s="152"/>
      <c r="E50" s="152"/>
      <c r="F50" s="152"/>
      <c r="G50" s="152"/>
      <c r="H50" s="152"/>
    </row>
    <row r="51" spans="1:14" x14ac:dyDescent="0.35">
      <c r="A51" s="125" t="s">
        <v>97</v>
      </c>
      <c r="B51" s="125"/>
      <c r="C51" s="125"/>
      <c r="D51" s="92">
        <f>E42</f>
        <v>1659.16</v>
      </c>
      <c r="E51" s="92"/>
      <c r="F51" s="92"/>
      <c r="G51" s="92"/>
      <c r="H51" s="92"/>
    </row>
    <row r="52" spans="1:14" x14ac:dyDescent="0.35">
      <c r="A52" s="126" t="s">
        <v>49</v>
      </c>
      <c r="B52" s="92"/>
      <c r="C52" s="92"/>
      <c r="D52" s="92" t="s">
        <v>181</v>
      </c>
      <c r="E52" s="92"/>
      <c r="F52" s="92"/>
      <c r="G52" s="92"/>
      <c r="H52" s="92"/>
      <c r="I52" s="33"/>
    </row>
    <row r="53" spans="1:14" ht="15.75" customHeight="1" x14ac:dyDescent="0.35">
      <c r="A53" s="135" t="s">
        <v>50</v>
      </c>
      <c r="B53" s="136"/>
      <c r="C53" s="137"/>
      <c r="D53" s="134" t="s">
        <v>183</v>
      </c>
      <c r="E53" s="134"/>
      <c r="F53" s="134"/>
      <c r="G53" s="134"/>
      <c r="H53" s="134"/>
      <c r="I53" s="34"/>
    </row>
    <row r="54" spans="1:14" ht="15.75" customHeight="1" x14ac:dyDescent="0.35">
      <c r="A54" s="135" t="s">
        <v>95</v>
      </c>
      <c r="B54" s="136"/>
      <c r="C54" s="136"/>
      <c r="D54" s="157" t="s">
        <v>198</v>
      </c>
      <c r="E54" s="158"/>
      <c r="F54" s="158"/>
      <c r="G54" s="158"/>
      <c r="H54" s="159"/>
      <c r="I54" s="34"/>
    </row>
    <row r="55" spans="1:14" ht="15.75" customHeight="1" x14ac:dyDescent="0.35">
      <c r="A55" s="155"/>
      <c r="B55" s="156"/>
      <c r="C55" s="156"/>
      <c r="D55" s="160" t="s">
        <v>199</v>
      </c>
      <c r="E55" s="161"/>
      <c r="F55" s="161"/>
      <c r="G55" s="161"/>
      <c r="H55" s="162"/>
      <c r="I55" s="34"/>
    </row>
    <row r="56" spans="1:14" ht="15.75" customHeight="1" x14ac:dyDescent="0.35">
      <c r="A56" s="115" t="s">
        <v>47</v>
      </c>
      <c r="B56" s="115"/>
      <c r="C56" s="115"/>
      <c r="D56" s="125" t="s">
        <v>209</v>
      </c>
      <c r="E56" s="125"/>
      <c r="F56" s="125"/>
      <c r="G56" s="125"/>
      <c r="H56" s="125"/>
      <c r="J56" s="32"/>
      <c r="K56" s="33"/>
      <c r="N56" s="33"/>
    </row>
    <row r="57" spans="1:14" ht="15.75" customHeight="1" x14ac:dyDescent="0.35">
      <c r="A57" s="115" t="s">
        <v>93</v>
      </c>
      <c r="B57" s="115"/>
      <c r="C57" s="115"/>
      <c r="D57" s="128" t="s">
        <v>211</v>
      </c>
      <c r="E57" s="128"/>
      <c r="F57" s="128"/>
      <c r="G57" s="128"/>
      <c r="H57" s="128"/>
      <c r="I57" s="3" t="str">
        <f ca="1">(IF(G49="NA","60 Years After Completion",IF(G49&lt;&gt;"NA",""&amp;60-ROUNDDOWN((E3-G49)/360,0)&amp;" Years"," ")))</f>
        <v>59 Years</v>
      </c>
      <c r="N57" s="33"/>
    </row>
    <row r="58" spans="1:14" ht="15.75" customHeight="1" x14ac:dyDescent="0.35">
      <c r="A58" s="115" t="s">
        <v>94</v>
      </c>
      <c r="B58" s="115"/>
      <c r="C58" s="115"/>
      <c r="D58" s="125" t="s">
        <v>24</v>
      </c>
      <c r="E58" s="125"/>
      <c r="F58" s="125"/>
      <c r="G58" s="125"/>
      <c r="H58" s="125"/>
      <c r="J58" s="9"/>
      <c r="K58" s="9"/>
    </row>
    <row r="59" spans="1:14" ht="15" hidden="1" customHeight="1" x14ac:dyDescent="0.35">
      <c r="A59" s="115" t="s">
        <v>78</v>
      </c>
      <c r="B59" s="115"/>
      <c r="C59" s="115"/>
      <c r="D59" s="126" t="s">
        <v>150</v>
      </c>
      <c r="E59" s="125"/>
      <c r="F59" s="125"/>
      <c r="G59" s="125"/>
      <c r="H59" s="125"/>
    </row>
    <row r="60" spans="1:14" x14ac:dyDescent="0.35">
      <c r="A60" s="125" t="s">
        <v>151</v>
      </c>
      <c r="B60" s="125"/>
      <c r="C60" s="125"/>
      <c r="D60" s="125" t="s">
        <v>30</v>
      </c>
      <c r="E60" s="125"/>
      <c r="F60" s="125"/>
      <c r="G60" s="125"/>
      <c r="H60" s="125"/>
      <c r="I60" s="46"/>
      <c r="J60" s="46"/>
      <c r="K60" s="46"/>
      <c r="L60" s="46"/>
      <c r="M60" s="46"/>
      <c r="N60" s="46"/>
    </row>
    <row r="61" spans="1:14" ht="15.75" customHeight="1" x14ac:dyDescent="0.35">
      <c r="A61" s="147" t="s">
        <v>92</v>
      </c>
      <c r="B61" s="147"/>
      <c r="C61" s="147"/>
      <c r="D61" s="143" t="str">
        <f ca="1">(IF(G67&gt;95%,"Nothing",IF(G67&gt;0%,"Cement, Aggregate, Steel, etc",IF(G67=0%,"Work not yet Started"))))</f>
        <v>Cement, Aggregate, Steel, etc</v>
      </c>
      <c r="E61" s="143"/>
      <c r="F61" s="143"/>
      <c r="G61" s="143"/>
      <c r="H61" s="143"/>
      <c r="J61" s="9"/>
    </row>
    <row r="62" spans="1:14" ht="33.75" customHeight="1" thickBot="1" x14ac:dyDescent="0.4">
      <c r="A62" s="142" t="s">
        <v>120</v>
      </c>
      <c r="B62" s="142"/>
      <c r="C62" s="142"/>
      <c r="D62" s="143" t="str">
        <f ca="1">(IF(D61="Nothing","Yes",IF(D61="Cement, Aggregate, Steel, etc","Under Construction",IF(D61="Work not yet Started","Work not yet Started"))))</f>
        <v>Under Construction</v>
      </c>
      <c r="E62" s="143"/>
      <c r="F62" s="143" t="str">
        <f ca="1">(IF(D61="Nothing","Yes",IF(D61="Cement, Aggregate, Steel, etc","Under Construction",IF(D61="Work not yet Started","Work not yet Started"))))</f>
        <v>Under Construction</v>
      </c>
      <c r="G62" s="143"/>
      <c r="H62" s="143"/>
    </row>
    <row r="63" spans="1:14" ht="15.75" customHeight="1" x14ac:dyDescent="0.35">
      <c r="A63" s="153" t="s">
        <v>142</v>
      </c>
      <c r="B63" s="154"/>
      <c r="C63" s="144" t="str">
        <f>D54</f>
        <v>A Wing = G/St + 1st to 4th Floor.</v>
      </c>
      <c r="D63" s="145"/>
      <c r="E63" s="145"/>
      <c r="F63" s="145"/>
      <c r="G63" s="145"/>
      <c r="H63" s="146"/>
      <c r="I63" s="37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Slab",IF(C69&gt;0,", RCC upto "&amp;C69&amp;" Slab",""))&amp;(IF(C70=H64,", Brickwork",IF(C70&gt;0,", Brickwork upto "&amp;C70&amp;" Floor",""))&amp;(IF(C71=H64,", Internal Plaster",IF(C71&gt;0,", Internal Plaster upto "&amp;C71&amp;" Floor",""))&amp;(IF(C72=H64,", External Plaster",IF(C72&gt;0,", External Plaster upto "&amp;C72&amp;" Floor",""))&amp;(IF(C73=H64,", Flooring",IF(C73&gt;0,", Flooring upto "&amp;C73&amp;" Floor",""))&amp;(IF(C74=H64,", Painting",IF(C74&gt;0,", Painting upto "&amp;C74&amp;" Floor",""))&amp;(IF(C75&gt;0,", Finishing upto "&amp;C75&amp;" Floor","")&amp;(IF(C69&gt;0.5," Completed",""))))))))))))))</f>
        <v>Excavation work Completed. Plinth work completed, RCC Slab, Brickwork upto 3.5 Floor Completed</v>
      </c>
      <c r="J63" s="10"/>
    </row>
    <row r="64" spans="1:14" x14ac:dyDescent="0.35">
      <c r="A64" s="43" t="s">
        <v>144</v>
      </c>
      <c r="B64" s="57">
        <v>0</v>
      </c>
      <c r="C64" s="57" t="s">
        <v>76</v>
      </c>
      <c r="D64" s="57">
        <v>1</v>
      </c>
      <c r="E64" s="57" t="s">
        <v>75</v>
      </c>
      <c r="F64" s="57">
        <v>0</v>
      </c>
      <c r="G64" s="57" t="s">
        <v>86</v>
      </c>
      <c r="H64" s="45">
        <f ca="1">--TRIM(RIGHT(SUBSTITUTE(LEFT(C63,_xlfn.AGGREGATE(16,6,FIND({0,1,2,3,4,5,6,7,8,9},C63,ROW(INDIRECT("1:"&amp;LEN(C63)))),1))," ",REPT(" ",LEN(C63))),LEN(C63)))</f>
        <v>4</v>
      </c>
      <c r="I64" s="38"/>
      <c r="J64" s="11"/>
    </row>
    <row r="65" spans="1:10" ht="32.25" customHeight="1" x14ac:dyDescent="0.35">
      <c r="A65" s="76" t="s">
        <v>96</v>
      </c>
      <c r="B65" s="77"/>
      <c r="C65" s="71" t="str">
        <f ca="1">I63</f>
        <v>Excavation work Completed. Plinth work completed, RCC Slab, Brickwork upto 3.5 Floor Completed</v>
      </c>
      <c r="D65" s="71"/>
      <c r="E65" s="71"/>
      <c r="F65" s="71"/>
      <c r="G65" s="71"/>
      <c r="H65" s="72"/>
      <c r="I65" s="38" t="s">
        <v>107</v>
      </c>
      <c r="J65" s="11"/>
    </row>
    <row r="66" spans="1:10" ht="15.75" customHeight="1" x14ac:dyDescent="0.35">
      <c r="A66" s="90" t="s">
        <v>51</v>
      </c>
      <c r="B66" s="91"/>
      <c r="C66" s="54" t="s">
        <v>141</v>
      </c>
      <c r="D66" s="54" t="s">
        <v>89</v>
      </c>
      <c r="E66" s="91" t="s">
        <v>91</v>
      </c>
      <c r="F66" s="91"/>
      <c r="G66" s="91" t="s">
        <v>90</v>
      </c>
      <c r="H66" s="107"/>
      <c r="I66" s="31" t="s">
        <v>143</v>
      </c>
      <c r="J66" s="12">
        <f ca="1">H64*25%</f>
        <v>1</v>
      </c>
    </row>
    <row r="67" spans="1:10" x14ac:dyDescent="0.35">
      <c r="A67" s="90" t="s">
        <v>130</v>
      </c>
      <c r="B67" s="91"/>
      <c r="C67" s="60">
        <f ca="1">J68</f>
        <v>4</v>
      </c>
      <c r="D67" s="61">
        <f ca="1">((100/H64)*C67)/100</f>
        <v>1</v>
      </c>
      <c r="E67" s="98">
        <f ca="1">(((C68/H64*10)+(40/(D64+F64+H64)*C69)+(7.5/(H64)*C70)+(7.5/(H64)*C71)+(10/H64*C72)+(10/H64*C73)+(5/H64*C74)+(5/H64*C75)+(5/H64*C76))/100)</f>
        <v>0.56562500000000004</v>
      </c>
      <c r="F67" s="98"/>
      <c r="G67" s="98">
        <f ca="1">((((C67/H64)*20)+((C68/H64)*25)+(30/(H64+F64+D64)*C69)+(5/H64*C70)+(5/H64*C71)+(5/H64*C72)+(5/H64*C73)+(0/H64*C74)+(0/H64*C75)+(5/H64*C76))/100)</f>
        <v>0.79374999999999996</v>
      </c>
      <c r="H67" s="99"/>
      <c r="I67" s="31" t="s">
        <v>102</v>
      </c>
      <c r="J67" s="36">
        <f ca="1">H64*50%</f>
        <v>2</v>
      </c>
    </row>
    <row r="68" spans="1:10" x14ac:dyDescent="0.35">
      <c r="A68" s="90" t="s">
        <v>52</v>
      </c>
      <c r="B68" s="91"/>
      <c r="C68" s="62">
        <v>4</v>
      </c>
      <c r="D68" s="61">
        <f ca="1">((100/H64)*C68)/100</f>
        <v>1</v>
      </c>
      <c r="E68" s="98"/>
      <c r="F68" s="98"/>
      <c r="G68" s="98"/>
      <c r="H68" s="99"/>
      <c r="I68" s="31" t="s">
        <v>103</v>
      </c>
      <c r="J68" s="36">
        <f ca="1">H64</f>
        <v>4</v>
      </c>
    </row>
    <row r="69" spans="1:10" ht="15.75" customHeight="1" x14ac:dyDescent="0.35">
      <c r="A69" s="90" t="s">
        <v>131</v>
      </c>
      <c r="B69" s="91"/>
      <c r="C69" s="62">
        <v>5</v>
      </c>
      <c r="D69" s="61">
        <f ca="1">((100/(D64+F64+H64))*C69)/100</f>
        <v>1</v>
      </c>
      <c r="E69" s="98"/>
      <c r="F69" s="98"/>
      <c r="G69" s="98"/>
      <c r="H69" s="99"/>
      <c r="I69" s="31" t="s">
        <v>104</v>
      </c>
      <c r="J69" s="40">
        <f ca="1">(IF(B64&gt;1,(H64/(B64+2)),H64/4))</f>
        <v>1</v>
      </c>
    </row>
    <row r="70" spans="1:10" ht="15.75" customHeight="1" x14ac:dyDescent="0.35">
      <c r="A70" s="90" t="s">
        <v>138</v>
      </c>
      <c r="B70" s="91" t="s">
        <v>132</v>
      </c>
      <c r="C70" s="60">
        <v>3.5</v>
      </c>
      <c r="D70" s="61">
        <f ca="1">((100/H64)*C70)/100</f>
        <v>0.875</v>
      </c>
      <c r="E70" s="98"/>
      <c r="F70" s="98"/>
      <c r="G70" s="98"/>
      <c r="H70" s="99"/>
      <c r="I70" s="31" t="s">
        <v>105</v>
      </c>
      <c r="J70" s="40">
        <f ca="1">(IF(B64&gt;1,(H64/(B64+2)+J69),H64/4+J69))</f>
        <v>2</v>
      </c>
    </row>
    <row r="71" spans="1:10" ht="15.75" customHeight="1" x14ac:dyDescent="0.35">
      <c r="A71" s="90" t="s">
        <v>139</v>
      </c>
      <c r="B71" s="91" t="s">
        <v>132</v>
      </c>
      <c r="C71" s="60">
        <v>0</v>
      </c>
      <c r="D71" s="61">
        <f ca="1">((100/H64)*C71)/100</f>
        <v>0</v>
      </c>
      <c r="E71" s="98"/>
      <c r="F71" s="98"/>
      <c r="G71" s="98"/>
      <c r="H71" s="99"/>
      <c r="I71" s="31" t="s">
        <v>148</v>
      </c>
      <c r="J71" s="40">
        <f>(IF(B64&gt;1,(H64/(B64+2)+J70),0))</f>
        <v>0</v>
      </c>
    </row>
    <row r="72" spans="1:10" ht="15" customHeight="1" x14ac:dyDescent="0.35">
      <c r="A72" s="90" t="s">
        <v>137</v>
      </c>
      <c r="B72" s="91" t="s">
        <v>134</v>
      </c>
      <c r="C72" s="60">
        <v>0</v>
      </c>
      <c r="D72" s="61">
        <f ca="1">((100/(H64))*C72)/100</f>
        <v>0</v>
      </c>
      <c r="E72" s="98"/>
      <c r="F72" s="98"/>
      <c r="G72" s="98"/>
      <c r="H72" s="99"/>
      <c r="I72" s="31" t="s">
        <v>145</v>
      </c>
      <c r="J72" s="40">
        <f>(IF(B64&gt;2,(H64/(B64+2)+J71),0))</f>
        <v>0</v>
      </c>
    </row>
    <row r="73" spans="1:10" ht="15.75" customHeight="1" x14ac:dyDescent="0.35">
      <c r="A73" s="90" t="s">
        <v>133</v>
      </c>
      <c r="B73" s="91" t="s">
        <v>133</v>
      </c>
      <c r="C73" s="60">
        <v>0</v>
      </c>
      <c r="D73" s="61">
        <f ca="1">((100/H64)*C73)/100</f>
        <v>0</v>
      </c>
      <c r="E73" s="98"/>
      <c r="F73" s="98"/>
      <c r="G73" s="98"/>
      <c r="H73" s="99"/>
      <c r="I73" s="31" t="s">
        <v>146</v>
      </c>
      <c r="J73" s="41">
        <f>(IF(B64&gt;3,(H64/(B64+2)+J72),0))</f>
        <v>0</v>
      </c>
    </row>
    <row r="74" spans="1:10" ht="15.75" customHeight="1" x14ac:dyDescent="0.35">
      <c r="A74" s="90" t="s">
        <v>140</v>
      </c>
      <c r="B74" s="91"/>
      <c r="C74" s="60">
        <v>0</v>
      </c>
      <c r="D74" s="61">
        <f ca="1">((100/H64)*C74)/100</f>
        <v>0</v>
      </c>
      <c r="E74" s="98"/>
      <c r="F74" s="98"/>
      <c r="G74" s="98"/>
      <c r="H74" s="99"/>
      <c r="I74" s="31" t="s">
        <v>147</v>
      </c>
      <c r="J74" s="40">
        <f>(IF(B64&gt;4,(H64/(B64+2)+J73),0))</f>
        <v>0</v>
      </c>
    </row>
    <row r="75" spans="1:10" ht="15.75" customHeight="1" x14ac:dyDescent="0.35">
      <c r="A75" s="90" t="s">
        <v>135</v>
      </c>
      <c r="B75" s="91" t="s">
        <v>135</v>
      </c>
      <c r="C75" s="60">
        <v>0</v>
      </c>
      <c r="D75" s="61">
        <f ca="1">((100/(H64))*C75)/100</f>
        <v>0</v>
      </c>
      <c r="E75" s="98"/>
      <c r="F75" s="98"/>
      <c r="G75" s="98"/>
      <c r="H75" s="99"/>
      <c r="I75" s="31" t="s">
        <v>149</v>
      </c>
      <c r="J75" s="40">
        <f ca="1">(IF(B64=1,(H64/(B64+3)+J70),IF(B64=0,(H64/4+J70),IF(B64&gt;1,0))))</f>
        <v>3</v>
      </c>
    </row>
    <row r="76" spans="1:10" ht="16" thickBot="1" x14ac:dyDescent="0.4">
      <c r="A76" s="105" t="s">
        <v>136</v>
      </c>
      <c r="B76" s="106"/>
      <c r="C76" s="63">
        <v>0</v>
      </c>
      <c r="D76" s="64">
        <f ca="1">((100/(H64))*C76)/100</f>
        <v>0</v>
      </c>
      <c r="E76" s="100"/>
      <c r="F76" s="100"/>
      <c r="G76" s="100"/>
      <c r="H76" s="101"/>
      <c r="I76" s="39" t="s">
        <v>106</v>
      </c>
      <c r="J76" s="42">
        <f ca="1">(IF(B64&gt;1.5,(H64/(B64+2)+J70+MAX(0,J71-J70)+MAX(0,J72-J71)+MAX(0,J73-J72)+MAX(0,J74-J73)+MAX(0,J75-J74)),IF(B64=1,(H64/(B64+3)+J75),IF(B64=0,H64/4+J75))))</f>
        <v>4</v>
      </c>
    </row>
    <row r="77" spans="1:10" ht="15.75" customHeight="1" x14ac:dyDescent="0.35">
      <c r="A77" s="153" t="s">
        <v>142</v>
      </c>
      <c r="B77" s="154"/>
      <c r="C77" s="144" t="str">
        <f>D55</f>
        <v>B Wing = G/St + 1st to 4th Floor.</v>
      </c>
      <c r="D77" s="145"/>
      <c r="E77" s="145"/>
      <c r="F77" s="145"/>
      <c r="G77" s="145"/>
      <c r="H77" s="146"/>
      <c r="I77" s="37" t="str">
        <f ca="1">(IF(E81&gt;99%,"All work completed. Please provide OC.",IF(E81&gt;89.8%,"Plinth, RCC, Brick, Plaster, Flooring, Painting work Completed. Finishing work is in process.",IF(E81&lt;94%,(IF(C81=0,"Work not yet Started.",IF(D81=25%,"Piling work in process",IF(D81=50%,"Excavation work in process",IF(D81=100%,"Excavation work Completed. ","0")))&amp;(IF(C82=0%,"",IF(C82=J83,"Footing work is process",IF(C82=J84,"Footing work Completed",IF(C82=J85,"1st Basement Completed",IF(C82=J86,"1st &amp; 2nd Basement Completed",IF(C82=J87,"1st to 3rd Basement Completed",IF(C82=J88,"1st to 4th Basement Completed",IF(C82=J89,"Plinth work is process",IF(C82=J90,"Plinth work completed","0")))))))))))&amp;(IF(C83=(D78+F78+H78),", RCC Slab",IF(C83&gt;0,", RCC upto "&amp;C83&amp;" Slab",""))&amp;(IF(C84=H78,", Brickwork",IF(C84&gt;0,", Brickwork upto "&amp;C84&amp;" Floor",""))&amp;(IF(C85=H78,", Internal Plaster",IF(C85&gt;0,", Internal Plaster upto "&amp;C85&amp;" Floor",""))&amp;(IF(C86=H78,", External Plaster",IF(C86&gt;0,", External Plaster upto "&amp;C86&amp;" Floor",""))&amp;(IF(C87=H78,", Flooring",IF(C87&gt;0,", Flooring upto "&amp;C87&amp;" Floor",""))&amp;(IF(C88=H78,", Painting",IF(C88&gt;0,", Painting upto "&amp;C88&amp;" Floor",""))&amp;(IF(C89&gt;0,", Finishing upto "&amp;C89&amp;" Floor","")&amp;(IF(C83&gt;0.5," Completed",""))))))))))))))</f>
        <v>Excavation work Completed. Plinth work completed, RCC Slab, Brickwork, Internal Plaster upto 1 Floor Completed</v>
      </c>
      <c r="J77" s="10"/>
    </row>
    <row r="78" spans="1:10" x14ac:dyDescent="0.35">
      <c r="A78" s="43" t="s">
        <v>144</v>
      </c>
      <c r="B78" s="57">
        <v>0</v>
      </c>
      <c r="C78" s="57" t="s">
        <v>76</v>
      </c>
      <c r="D78" s="57">
        <v>1</v>
      </c>
      <c r="E78" s="57" t="s">
        <v>75</v>
      </c>
      <c r="F78" s="57">
        <v>0</v>
      </c>
      <c r="G78" s="57" t="s">
        <v>86</v>
      </c>
      <c r="H78" s="45">
        <f ca="1">--TRIM(RIGHT(SUBSTITUTE(LEFT(C77,_xlfn.AGGREGATE(16,6,FIND({0,1,2,3,4,5,6,7,8,9},C77,ROW(INDIRECT("1:"&amp;LEN(C77)))),1))," ",REPT(" ",LEN(C77))),LEN(C77)))</f>
        <v>4</v>
      </c>
      <c r="I78" s="38"/>
      <c r="J78" s="11"/>
    </row>
    <row r="79" spans="1:10" ht="30.75" customHeight="1" x14ac:dyDescent="0.35">
      <c r="A79" s="76" t="s">
        <v>96</v>
      </c>
      <c r="B79" s="77"/>
      <c r="C79" s="71" t="str">
        <f ca="1">I77</f>
        <v>Excavation work Completed. Plinth work completed, RCC Slab, Brickwork, Internal Plaster upto 1 Floor Completed</v>
      </c>
      <c r="D79" s="71"/>
      <c r="E79" s="71"/>
      <c r="F79" s="71"/>
      <c r="G79" s="71"/>
      <c r="H79" s="72"/>
      <c r="I79" s="38" t="s">
        <v>107</v>
      </c>
      <c r="J79" s="11"/>
    </row>
    <row r="80" spans="1:10" ht="15.75" customHeight="1" x14ac:dyDescent="0.35">
      <c r="A80" s="90" t="s">
        <v>51</v>
      </c>
      <c r="B80" s="91"/>
      <c r="C80" s="54" t="s">
        <v>141</v>
      </c>
      <c r="D80" s="54" t="s">
        <v>89</v>
      </c>
      <c r="E80" s="91" t="s">
        <v>91</v>
      </c>
      <c r="F80" s="91"/>
      <c r="G80" s="91" t="s">
        <v>90</v>
      </c>
      <c r="H80" s="107"/>
      <c r="I80" s="31" t="s">
        <v>143</v>
      </c>
      <c r="J80" s="12">
        <f ca="1">H78*25%</f>
        <v>1</v>
      </c>
    </row>
    <row r="81" spans="1:13" x14ac:dyDescent="0.35">
      <c r="A81" s="90" t="s">
        <v>130</v>
      </c>
      <c r="B81" s="91"/>
      <c r="C81" s="60">
        <f ca="1">J82</f>
        <v>4</v>
      </c>
      <c r="D81" s="61">
        <f ca="1">((100/H78)*C81)/100</f>
        <v>1</v>
      </c>
      <c r="E81" s="98">
        <f ca="1">(((C82/H78*10)+(40/(D78+F78+H78)*C83)+(7.5/(H78)*C84)+(7.5/(H78)*C85)+(10/H78*C86)+(10/H78*C87)+(5/H78*C88)+(5/H78*C89)+(5/H78*C90))/100)</f>
        <v>0.59375</v>
      </c>
      <c r="F81" s="98"/>
      <c r="G81" s="98">
        <f ca="1">((((C81/H78)*20)+((C82/H78)*25)+(30/(H78+F78+D78)*C83)+(5/H78*C84)+(5/H78*C85)+(5/H78*C86)+(5/H78*C87)+(0/H78*C88)+(0/H78*C89)+(5/H78*C90))/100)</f>
        <v>0.8125</v>
      </c>
      <c r="H81" s="99"/>
      <c r="I81" s="31" t="s">
        <v>102</v>
      </c>
      <c r="J81" s="36">
        <f ca="1">H78*50%</f>
        <v>2</v>
      </c>
    </row>
    <row r="82" spans="1:13" x14ac:dyDescent="0.35">
      <c r="A82" s="90" t="s">
        <v>52</v>
      </c>
      <c r="B82" s="91"/>
      <c r="C82" s="62">
        <v>4</v>
      </c>
      <c r="D82" s="61">
        <f ca="1">((100/H78)*C82)/100</f>
        <v>1</v>
      </c>
      <c r="E82" s="98"/>
      <c r="F82" s="98"/>
      <c r="G82" s="98"/>
      <c r="H82" s="99"/>
      <c r="I82" s="31" t="s">
        <v>103</v>
      </c>
      <c r="J82" s="36">
        <f ca="1">H78</f>
        <v>4</v>
      </c>
    </row>
    <row r="83" spans="1:13" ht="15.75" customHeight="1" x14ac:dyDescent="0.35">
      <c r="A83" s="90" t="s">
        <v>131</v>
      </c>
      <c r="B83" s="91"/>
      <c r="C83" s="62">
        <v>5</v>
      </c>
      <c r="D83" s="61">
        <f ca="1">((100/(D78+F78+H78))*C83)/100</f>
        <v>1</v>
      </c>
      <c r="E83" s="98"/>
      <c r="F83" s="98"/>
      <c r="G83" s="98"/>
      <c r="H83" s="99"/>
      <c r="I83" s="31" t="s">
        <v>104</v>
      </c>
      <c r="J83" s="40">
        <f ca="1">(IF(B78&gt;1,(H78/(B78+2)),H78/4))</f>
        <v>1</v>
      </c>
    </row>
    <row r="84" spans="1:13" ht="15.75" customHeight="1" x14ac:dyDescent="0.35">
      <c r="A84" s="90" t="s">
        <v>138</v>
      </c>
      <c r="B84" s="91" t="s">
        <v>132</v>
      </c>
      <c r="C84" s="60">
        <v>4</v>
      </c>
      <c r="D84" s="61">
        <f ca="1">((100/H78)*C84)/100</f>
        <v>1</v>
      </c>
      <c r="E84" s="98"/>
      <c r="F84" s="98"/>
      <c r="G84" s="98"/>
      <c r="H84" s="99"/>
      <c r="I84" s="31" t="s">
        <v>105</v>
      </c>
      <c r="J84" s="40">
        <f ca="1">(IF(B78&gt;1,(H78/(B78+2)+J83),H78/4+J83))</f>
        <v>2</v>
      </c>
    </row>
    <row r="85" spans="1:13" ht="15.75" customHeight="1" x14ac:dyDescent="0.35">
      <c r="A85" s="90" t="s">
        <v>139</v>
      </c>
      <c r="B85" s="91" t="s">
        <v>132</v>
      </c>
      <c r="C85" s="60">
        <v>1</v>
      </c>
      <c r="D85" s="61">
        <f ca="1">((100/H78)*C85)/100</f>
        <v>0.25</v>
      </c>
      <c r="E85" s="98"/>
      <c r="F85" s="98"/>
      <c r="G85" s="98"/>
      <c r="H85" s="99"/>
      <c r="I85" s="31" t="s">
        <v>148</v>
      </c>
      <c r="J85" s="40">
        <f>(IF(B78&gt;1,(H78/(B78+2)+J84),0))</f>
        <v>0</v>
      </c>
    </row>
    <row r="86" spans="1:13" ht="15" customHeight="1" x14ac:dyDescent="0.35">
      <c r="A86" s="90" t="s">
        <v>137</v>
      </c>
      <c r="B86" s="91" t="s">
        <v>134</v>
      </c>
      <c r="C86" s="60">
        <v>0</v>
      </c>
      <c r="D86" s="61">
        <f ca="1">((100/(H78))*C86)/100</f>
        <v>0</v>
      </c>
      <c r="E86" s="98"/>
      <c r="F86" s="98"/>
      <c r="G86" s="98"/>
      <c r="H86" s="99"/>
      <c r="I86" s="31" t="s">
        <v>145</v>
      </c>
      <c r="J86" s="40">
        <f>(IF(B78&gt;2,(H78/(B78+2)+J85),0))</f>
        <v>0</v>
      </c>
    </row>
    <row r="87" spans="1:13" ht="15.75" customHeight="1" x14ac:dyDescent="0.35">
      <c r="A87" s="90" t="s">
        <v>133</v>
      </c>
      <c r="B87" s="91" t="s">
        <v>133</v>
      </c>
      <c r="C87" s="60">
        <v>0</v>
      </c>
      <c r="D87" s="61">
        <f ca="1">((100/H78)*C87)/100</f>
        <v>0</v>
      </c>
      <c r="E87" s="98"/>
      <c r="F87" s="98"/>
      <c r="G87" s="98"/>
      <c r="H87" s="99"/>
      <c r="I87" s="31" t="s">
        <v>146</v>
      </c>
      <c r="J87" s="41">
        <f>(IF(B78&gt;3,(H78/(B78+2)+J86),0))</f>
        <v>0</v>
      </c>
    </row>
    <row r="88" spans="1:13" ht="15.75" customHeight="1" x14ac:dyDescent="0.35">
      <c r="A88" s="90" t="s">
        <v>140</v>
      </c>
      <c r="B88" s="91"/>
      <c r="C88" s="60">
        <v>0</v>
      </c>
      <c r="D88" s="61">
        <f ca="1">((100/H78)*C88)/100</f>
        <v>0</v>
      </c>
      <c r="E88" s="98"/>
      <c r="F88" s="98"/>
      <c r="G88" s="98"/>
      <c r="H88" s="99"/>
      <c r="I88" s="31" t="s">
        <v>147</v>
      </c>
      <c r="J88" s="40">
        <f>(IF(B78&gt;4,(H78/(B78+2)+J87),0))</f>
        <v>0</v>
      </c>
    </row>
    <row r="89" spans="1:13" ht="15.75" customHeight="1" x14ac:dyDescent="0.35">
      <c r="A89" s="90" t="s">
        <v>135</v>
      </c>
      <c r="B89" s="91" t="s">
        <v>135</v>
      </c>
      <c r="C89" s="60">
        <v>0</v>
      </c>
      <c r="D89" s="61">
        <f ca="1">((100/(H78))*C89)/100</f>
        <v>0</v>
      </c>
      <c r="E89" s="98"/>
      <c r="F89" s="98"/>
      <c r="G89" s="98"/>
      <c r="H89" s="99"/>
      <c r="I89" s="31" t="s">
        <v>149</v>
      </c>
      <c r="J89" s="40">
        <f ca="1">(IF(B78=1,(H78/(B78+3)+J84),IF(B78=0,(H78/4+J84),IF(B78&gt;1,0))))</f>
        <v>3</v>
      </c>
    </row>
    <row r="90" spans="1:13" ht="16" thickBot="1" x14ac:dyDescent="0.4">
      <c r="A90" s="105" t="s">
        <v>136</v>
      </c>
      <c r="B90" s="106"/>
      <c r="C90" s="63">
        <v>0</v>
      </c>
      <c r="D90" s="64">
        <f ca="1">((100/(H78))*C90)/100</f>
        <v>0</v>
      </c>
      <c r="E90" s="100"/>
      <c r="F90" s="100"/>
      <c r="G90" s="100"/>
      <c r="H90" s="101"/>
      <c r="I90" s="39" t="s">
        <v>106</v>
      </c>
      <c r="J90" s="42">
        <f ca="1">(IF(B78&gt;1.5,(H78/(B78+2)+J84+MAX(0,J85-J84)+MAX(0,J86-J85)+MAX(0,J87-J86)+MAX(0,J88-J87)+MAX(0,J89-J88)),IF(B78=1,(H78/(B78+3)+J89),IF(B78=0,H78/4+J89))))</f>
        <v>4</v>
      </c>
    </row>
    <row r="91" spans="1:13" x14ac:dyDescent="0.35">
      <c r="A91" s="121" t="s">
        <v>53</v>
      </c>
      <c r="B91" s="121"/>
      <c r="C91" s="121"/>
      <c r="D91" s="121"/>
      <c r="E91" s="121"/>
      <c r="F91" s="121"/>
      <c r="G91" s="121"/>
      <c r="H91" s="121"/>
    </row>
    <row r="92" spans="1:13" x14ac:dyDescent="0.35">
      <c r="A92" s="92" t="s">
        <v>79</v>
      </c>
      <c r="B92" s="92"/>
      <c r="C92" s="92"/>
      <c r="D92" s="92"/>
      <c r="E92" s="92"/>
      <c r="F92" s="77">
        <v>3600</v>
      </c>
      <c r="G92" s="77"/>
      <c r="H92" s="77"/>
      <c r="J92" s="69" t="s">
        <v>190</v>
      </c>
      <c r="K92" s="70">
        <v>44989</v>
      </c>
      <c r="L92" s="69" t="s">
        <v>188</v>
      </c>
      <c r="M92" s="69" t="s">
        <v>189</v>
      </c>
    </row>
    <row r="93" spans="1:13" x14ac:dyDescent="0.35">
      <c r="A93" s="92" t="s">
        <v>85</v>
      </c>
      <c r="B93" s="92"/>
      <c r="C93" s="92"/>
      <c r="D93" s="92"/>
      <c r="E93" s="92"/>
      <c r="F93" s="92">
        <v>9000</v>
      </c>
      <c r="G93" s="92"/>
      <c r="H93" s="92"/>
      <c r="J93" s="69" t="s">
        <v>191</v>
      </c>
      <c r="K93" s="69"/>
    </row>
    <row r="94" spans="1:13" s="7" customFormat="1" x14ac:dyDescent="0.3">
      <c r="A94" s="92" t="s">
        <v>192</v>
      </c>
      <c r="B94" s="92"/>
      <c r="C94" s="92"/>
      <c r="D94" s="92"/>
      <c r="E94" s="92"/>
      <c r="F94" s="92">
        <v>40000</v>
      </c>
      <c r="G94" s="92"/>
      <c r="H94" s="92"/>
    </row>
    <row r="95" spans="1:13" s="7" customFormat="1" x14ac:dyDescent="0.3">
      <c r="A95" s="92" t="s">
        <v>101</v>
      </c>
      <c r="B95" s="92"/>
      <c r="C95" s="92"/>
      <c r="D95" s="92"/>
      <c r="E95" s="92"/>
      <c r="F95" s="92">
        <v>150000</v>
      </c>
      <c r="G95" s="92"/>
      <c r="H95" s="92"/>
    </row>
    <row r="96" spans="1:13" x14ac:dyDescent="0.35">
      <c r="A96" s="92" t="s">
        <v>54</v>
      </c>
      <c r="B96" s="92"/>
      <c r="C96" s="92"/>
      <c r="D96" s="92"/>
      <c r="E96" s="92"/>
      <c r="F96" s="126" t="s">
        <v>185</v>
      </c>
      <c r="G96" s="126"/>
      <c r="H96" s="126"/>
    </row>
    <row r="97" spans="1:14" s="4" customFormat="1" x14ac:dyDescent="0.35">
      <c r="A97" s="121" t="s">
        <v>55</v>
      </c>
      <c r="B97" s="121"/>
      <c r="C97" s="121"/>
      <c r="D97" s="121"/>
      <c r="E97" s="121"/>
      <c r="F97" s="92">
        <f>F92*0.8</f>
        <v>2880</v>
      </c>
      <c r="G97" s="92"/>
      <c r="H97" s="92"/>
    </row>
    <row r="98" spans="1:14" s="1" customFormat="1" ht="15.75" customHeight="1" x14ac:dyDescent="0.35">
      <c r="A98" s="84" t="s">
        <v>80</v>
      </c>
      <c r="B98" s="84"/>
      <c r="C98" s="84"/>
      <c r="D98" s="84"/>
      <c r="E98" s="84"/>
      <c r="F98" s="84"/>
      <c r="G98" s="84"/>
      <c r="H98" s="84"/>
    </row>
    <row r="99" spans="1:14" s="1" customFormat="1" ht="15.75" customHeight="1" x14ac:dyDescent="0.35">
      <c r="A99" s="89" t="s">
        <v>56</v>
      </c>
      <c r="B99" s="89"/>
      <c r="C99" s="86" t="s">
        <v>83</v>
      </c>
      <c r="D99" s="86"/>
      <c r="E99" s="88" t="s">
        <v>57</v>
      </c>
      <c r="F99" s="88"/>
      <c r="G99" s="89" t="s">
        <v>58</v>
      </c>
      <c r="H99" s="89"/>
    </row>
    <row r="100" spans="1:14" s="1" customFormat="1" x14ac:dyDescent="0.35">
      <c r="A100" s="150" t="s">
        <v>193</v>
      </c>
      <c r="B100" s="150"/>
      <c r="C100" s="108">
        <f>COUNT(D112:D122)</f>
        <v>11</v>
      </c>
      <c r="D100" s="109"/>
      <c r="E100" s="102">
        <f>SUM(D112:D122)</f>
        <v>1375.1655840000001</v>
      </c>
      <c r="F100" s="110"/>
      <c r="G100" s="102">
        <f>SUM(F112:F122)</f>
        <v>2635</v>
      </c>
      <c r="H100" s="110"/>
    </row>
    <row r="101" spans="1:14" s="1" customFormat="1" x14ac:dyDescent="0.35">
      <c r="A101" s="84" t="s">
        <v>74</v>
      </c>
      <c r="B101" s="84"/>
      <c r="C101" s="84"/>
      <c r="D101" s="84"/>
      <c r="E101" s="84"/>
      <c r="F101" s="84"/>
      <c r="G101" s="84"/>
      <c r="H101" s="84"/>
    </row>
    <row r="102" spans="1:14" s="1" customFormat="1" ht="15.75" customHeight="1" x14ac:dyDescent="0.35">
      <c r="A102" s="89" t="s">
        <v>56</v>
      </c>
      <c r="B102" s="89"/>
      <c r="C102" s="86" t="s">
        <v>83</v>
      </c>
      <c r="D102" s="86"/>
      <c r="E102" s="88" t="s">
        <v>57</v>
      </c>
      <c r="F102" s="88"/>
      <c r="G102" s="89" t="s">
        <v>58</v>
      </c>
      <c r="H102" s="89"/>
    </row>
    <row r="103" spans="1:14" s="1" customFormat="1" x14ac:dyDescent="0.35">
      <c r="A103" s="150" t="s">
        <v>193</v>
      </c>
      <c r="B103" s="150"/>
      <c r="C103" s="109">
        <f>COUNT(D127:D134)*2+COUNT(D136:D143)*2</f>
        <v>32</v>
      </c>
      <c r="D103" s="109"/>
      <c r="E103" s="102">
        <f>SUM(D127:D134)*2+SUM(D136:D143)*2</f>
        <v>13187.708352</v>
      </c>
      <c r="F103" s="102"/>
      <c r="G103" s="102">
        <f>SUM(F127:F134)*2+SUM(F136:F143)*2</f>
        <v>21310</v>
      </c>
      <c r="H103" s="102"/>
    </row>
    <row r="104" spans="1:14" s="1" customFormat="1" x14ac:dyDescent="0.35">
      <c r="A104" s="150" t="s">
        <v>194</v>
      </c>
      <c r="B104" s="150"/>
      <c r="C104" s="109">
        <f>COUNT(D146:D151)*2+COUNT(D153:D158)*2</f>
        <v>24</v>
      </c>
      <c r="D104" s="109"/>
      <c r="E104" s="102">
        <f>SUM(D146:D151)*2+SUM(D153:D158)*2</f>
        <v>9775.8755639999999</v>
      </c>
      <c r="F104" s="102"/>
      <c r="G104" s="102">
        <f>SUM(F146:F151)*2+SUM(F153:F158)*2</f>
        <v>16050</v>
      </c>
      <c r="H104" s="102"/>
    </row>
    <row r="105" spans="1:14" s="1" customFormat="1" x14ac:dyDescent="0.35">
      <c r="A105" s="84" t="s">
        <v>152</v>
      </c>
      <c r="B105" s="84"/>
      <c r="C105" s="86">
        <f>SUM(C103:D104)</f>
        <v>56</v>
      </c>
      <c r="D105" s="86"/>
      <c r="E105" s="87">
        <f>SUM(E103:F104)</f>
        <v>22963.583916</v>
      </c>
      <c r="F105" s="88"/>
      <c r="G105" s="89">
        <f>SUM(G103:H104)</f>
        <v>37360</v>
      </c>
      <c r="H105" s="89"/>
    </row>
    <row r="106" spans="1:14" s="1" customFormat="1" x14ac:dyDescent="0.35">
      <c r="A106" s="84" t="s">
        <v>197</v>
      </c>
      <c r="B106" s="84"/>
      <c r="C106" s="85">
        <f>C100+C105</f>
        <v>67</v>
      </c>
      <c r="D106" s="86"/>
      <c r="E106" s="87">
        <f>E100+E105</f>
        <v>24338.749499999998</v>
      </c>
      <c r="F106" s="88"/>
      <c r="G106" s="89">
        <f>G100+G105</f>
        <v>39995</v>
      </c>
      <c r="H106" s="89"/>
    </row>
    <row r="107" spans="1:14" s="4" customFormat="1" x14ac:dyDescent="0.35">
      <c r="A107" s="80" t="s">
        <v>59</v>
      </c>
      <c r="B107" s="80"/>
      <c r="C107" s="80"/>
      <c r="D107" s="80"/>
      <c r="E107" s="80"/>
      <c r="F107" s="80"/>
      <c r="G107" s="80"/>
      <c r="H107" s="80"/>
    </row>
    <row r="108" spans="1:14" x14ac:dyDescent="0.35">
      <c r="A108" s="80" t="s">
        <v>60</v>
      </c>
      <c r="B108" s="80"/>
      <c r="C108" s="80"/>
      <c r="D108" s="80"/>
      <c r="E108" s="80"/>
      <c r="F108" s="80"/>
      <c r="G108" s="80"/>
      <c r="H108" s="80"/>
    </row>
    <row r="109" spans="1:14" ht="47.25" customHeight="1" x14ac:dyDescent="0.35">
      <c r="A109" s="103" t="s">
        <v>121</v>
      </c>
      <c r="B109" s="104"/>
      <c r="C109" s="51" t="s">
        <v>61</v>
      </c>
      <c r="D109" s="51" t="s">
        <v>62</v>
      </c>
      <c r="E109" s="52" t="s">
        <v>63</v>
      </c>
      <c r="F109" s="51" t="s">
        <v>186</v>
      </c>
      <c r="G109" s="103" t="s">
        <v>64</v>
      </c>
      <c r="H109" s="104"/>
    </row>
    <row r="110" spans="1:14" x14ac:dyDescent="0.35">
      <c r="A110" s="80" t="s">
        <v>193</v>
      </c>
      <c r="B110" s="80"/>
      <c r="C110" s="80"/>
      <c r="D110" s="80"/>
      <c r="E110" s="80"/>
      <c r="F110" s="80"/>
      <c r="G110" s="80"/>
      <c r="H110" s="80"/>
    </row>
    <row r="111" spans="1:14" s="2" customFormat="1" x14ac:dyDescent="0.35">
      <c r="A111" s="94" t="s">
        <v>153</v>
      </c>
      <c r="B111" s="94"/>
      <c r="C111" s="94"/>
      <c r="D111" s="94"/>
      <c r="E111" s="94"/>
      <c r="F111" s="94"/>
      <c r="G111" s="94"/>
      <c r="H111" s="94"/>
      <c r="J111" s="27"/>
    </row>
    <row r="112" spans="1:14" s="2" customFormat="1" x14ac:dyDescent="0.35">
      <c r="A112" s="93">
        <v>1</v>
      </c>
      <c r="B112" s="93"/>
      <c r="C112" s="48" t="s">
        <v>154</v>
      </c>
      <c r="D112" s="48">
        <f>(4.25*2.75)*10.764</f>
        <v>125.80425</v>
      </c>
      <c r="E112" s="48">
        <v>0</v>
      </c>
      <c r="F112" s="48">
        <v>240</v>
      </c>
      <c r="G112" s="93" t="str">
        <f>A111</f>
        <v>Ground Floor for Commercial &amp; Parking</v>
      </c>
      <c r="H112" s="93"/>
      <c r="I112" s="27"/>
      <c r="J112" s="53">
        <f t="shared" ref="J112:J121" si="0">F112/D112</f>
        <v>1.9077256928919333</v>
      </c>
      <c r="L112" s="165"/>
      <c r="M112" s="165"/>
      <c r="N112" s="27"/>
    </row>
    <row r="113" spans="1:16" s="2" customFormat="1" x14ac:dyDescent="0.35">
      <c r="A113" s="93">
        <f t="shared" ref="A113:A114" si="1">A112+1</f>
        <v>2</v>
      </c>
      <c r="B113" s="93"/>
      <c r="C113" s="48" t="s">
        <v>154</v>
      </c>
      <c r="D113" s="48">
        <f>(3.65*2.7)*10.764</f>
        <v>106.07921999999999</v>
      </c>
      <c r="E113" s="48">
        <v>0</v>
      </c>
      <c r="F113" s="48">
        <v>215</v>
      </c>
      <c r="G113" s="93" t="str">
        <f t="shared" ref="G113:G114" si="2">G112</f>
        <v>Ground Floor for Commercial &amp; Parking</v>
      </c>
      <c r="H113" s="93"/>
      <c r="I113" s="27"/>
      <c r="J113" s="53">
        <f t="shared" si="0"/>
        <v>2.0267871502071757</v>
      </c>
      <c r="L113" s="165"/>
      <c r="M113" s="165"/>
      <c r="N113" s="27"/>
    </row>
    <row r="114" spans="1:16" s="2" customFormat="1" x14ac:dyDescent="0.35">
      <c r="A114" s="93">
        <f t="shared" si="1"/>
        <v>3</v>
      </c>
      <c r="B114" s="93"/>
      <c r="C114" s="48" t="s">
        <v>154</v>
      </c>
      <c r="D114" s="48">
        <f>(5.4*2.2)*10.764</f>
        <v>127.87632000000002</v>
      </c>
      <c r="E114" s="48">
        <v>0</v>
      </c>
      <c r="F114" s="48">
        <v>245</v>
      </c>
      <c r="G114" s="93" t="str">
        <f t="shared" si="2"/>
        <v>Ground Floor for Commercial &amp; Parking</v>
      </c>
      <c r="H114" s="93"/>
      <c r="I114" s="27"/>
      <c r="J114" s="53">
        <f t="shared" si="0"/>
        <v>1.9159137516625435</v>
      </c>
      <c r="L114" s="165"/>
      <c r="M114" s="165"/>
      <c r="N114" s="27"/>
    </row>
    <row r="115" spans="1:16" s="2" customFormat="1" x14ac:dyDescent="0.35">
      <c r="A115" s="93">
        <f t="shared" ref="A115:A122" si="3">A114+1</f>
        <v>4</v>
      </c>
      <c r="B115" s="93"/>
      <c r="C115" s="48" t="s">
        <v>154</v>
      </c>
      <c r="D115" s="48">
        <f>(3.15*2.4)*10.764</f>
        <v>81.375839999999997</v>
      </c>
      <c r="E115" s="48">
        <v>0</v>
      </c>
      <c r="F115" s="48">
        <v>175</v>
      </c>
      <c r="G115" s="93" t="str">
        <f t="shared" ref="G115:G122" si="4">G114</f>
        <v>Ground Floor for Commercial &amp; Parking</v>
      </c>
      <c r="H115" s="93"/>
      <c r="I115" s="27"/>
      <c r="J115" s="53">
        <f t="shared" si="0"/>
        <v>2.1505154355395901</v>
      </c>
      <c r="L115" s="165"/>
      <c r="M115" s="165"/>
      <c r="N115" s="27"/>
    </row>
    <row r="116" spans="1:16" s="2" customFormat="1" x14ac:dyDescent="0.35">
      <c r="A116" s="93">
        <f t="shared" si="3"/>
        <v>5</v>
      </c>
      <c r="B116" s="93"/>
      <c r="C116" s="48" t="s">
        <v>154</v>
      </c>
      <c r="D116" s="48">
        <f>(3.35*2.6)*10.764</f>
        <v>93.754440000000002</v>
      </c>
      <c r="E116" s="48">
        <v>0</v>
      </c>
      <c r="F116" s="48">
        <v>190</v>
      </c>
      <c r="G116" s="93" t="str">
        <f t="shared" si="4"/>
        <v>Ground Floor for Commercial &amp; Parking</v>
      </c>
      <c r="H116" s="93"/>
      <c r="I116" s="27"/>
      <c r="J116" s="53">
        <f t="shared" si="0"/>
        <v>2.0265706882788699</v>
      </c>
      <c r="L116" s="165"/>
      <c r="M116" s="165"/>
      <c r="N116" s="27"/>
    </row>
    <row r="117" spans="1:16" s="2" customFormat="1" x14ac:dyDescent="0.35">
      <c r="A117" s="93">
        <f t="shared" si="3"/>
        <v>6</v>
      </c>
      <c r="B117" s="93"/>
      <c r="C117" s="48" t="s">
        <v>154</v>
      </c>
      <c r="D117" s="48">
        <f>(4.95*2.25)*10.764</f>
        <v>119.88405</v>
      </c>
      <c r="E117" s="48">
        <v>0</v>
      </c>
      <c r="F117" s="48">
        <v>230</v>
      </c>
      <c r="G117" s="93" t="str">
        <f t="shared" si="4"/>
        <v>Ground Floor for Commercial &amp; Parking</v>
      </c>
      <c r="H117" s="93"/>
      <c r="I117" s="27"/>
      <c r="J117" s="53">
        <f t="shared" si="0"/>
        <v>1.9185204370389555</v>
      </c>
      <c r="L117" s="165"/>
      <c r="M117" s="165"/>
      <c r="N117" s="27"/>
    </row>
    <row r="118" spans="1:16" s="2" customFormat="1" x14ac:dyDescent="0.35">
      <c r="A118" s="93">
        <f t="shared" si="3"/>
        <v>7</v>
      </c>
      <c r="B118" s="93"/>
      <c r="C118" s="48" t="s">
        <v>154</v>
      </c>
      <c r="D118" s="48">
        <f>(5.9*2.74)*10.764</f>
        <v>174.01082400000004</v>
      </c>
      <c r="E118" s="48">
        <v>0</v>
      </c>
      <c r="F118" s="48">
        <v>315</v>
      </c>
      <c r="G118" s="93" t="str">
        <f t="shared" si="4"/>
        <v>Ground Floor for Commercial &amp; Parking</v>
      </c>
      <c r="H118" s="93"/>
      <c r="I118" s="27"/>
      <c r="J118" s="53">
        <f t="shared" si="0"/>
        <v>1.8102322186578459</v>
      </c>
      <c r="L118" s="165"/>
      <c r="M118" s="165"/>
      <c r="N118" s="27"/>
    </row>
    <row r="119" spans="1:16" s="47" customFormat="1" x14ac:dyDescent="0.35">
      <c r="A119" s="93">
        <f t="shared" si="3"/>
        <v>8</v>
      </c>
      <c r="B119" s="93"/>
      <c r="C119" s="48" t="s">
        <v>154</v>
      </c>
      <c r="D119" s="48">
        <f>(6.8*2.1)*10.764</f>
        <v>153.70991999999998</v>
      </c>
      <c r="E119" s="48">
        <v>0</v>
      </c>
      <c r="F119" s="48">
        <v>275</v>
      </c>
      <c r="G119" s="93" t="str">
        <f t="shared" si="4"/>
        <v>Ground Floor for Commercial &amp; Parking</v>
      </c>
      <c r="H119" s="93"/>
      <c r="I119" s="27"/>
      <c r="J119" s="53">
        <f t="shared" si="0"/>
        <v>1.7890842699026843</v>
      </c>
      <c r="L119" s="165"/>
      <c r="M119" s="165"/>
      <c r="N119" s="27"/>
    </row>
    <row r="120" spans="1:16" s="47" customFormat="1" x14ac:dyDescent="0.35">
      <c r="A120" s="93">
        <f t="shared" si="3"/>
        <v>9</v>
      </c>
      <c r="B120" s="93"/>
      <c r="C120" s="48" t="s">
        <v>154</v>
      </c>
      <c r="D120" s="48">
        <f>(6.45*3.2)*10.764</f>
        <v>222.16896</v>
      </c>
      <c r="E120" s="48">
        <v>0</v>
      </c>
      <c r="F120" s="48">
        <v>390</v>
      </c>
      <c r="G120" s="93" t="str">
        <f t="shared" si="4"/>
        <v>Ground Floor for Commercial &amp; Parking</v>
      </c>
      <c r="H120" s="93"/>
      <c r="I120" s="27"/>
      <c r="J120" s="53">
        <f t="shared" si="0"/>
        <v>1.7554207392427816</v>
      </c>
      <c r="L120" s="165"/>
      <c r="M120" s="165"/>
      <c r="N120" s="27"/>
    </row>
    <row r="121" spans="1:16" s="47" customFormat="1" x14ac:dyDescent="0.35">
      <c r="A121" s="78">
        <f t="shared" si="3"/>
        <v>10</v>
      </c>
      <c r="B121" s="79"/>
      <c r="C121" s="48" t="s">
        <v>154</v>
      </c>
      <c r="D121" s="48">
        <f>(2.4*3.2)*10.764</f>
        <v>82.667519999999996</v>
      </c>
      <c r="E121" s="48">
        <v>0</v>
      </c>
      <c r="F121" s="48">
        <v>175</v>
      </c>
      <c r="G121" s="78" t="str">
        <f t="shared" si="4"/>
        <v>Ground Floor for Commercial &amp; Parking</v>
      </c>
      <c r="H121" s="79"/>
      <c r="I121" s="27"/>
      <c r="J121" s="53">
        <f t="shared" si="0"/>
        <v>2.1169136318592843</v>
      </c>
      <c r="L121" s="165"/>
      <c r="M121" s="165"/>
      <c r="N121" s="27"/>
    </row>
    <row r="122" spans="1:16" s="47" customFormat="1" x14ac:dyDescent="0.35">
      <c r="A122" s="78">
        <f t="shared" si="3"/>
        <v>11</v>
      </c>
      <c r="B122" s="79"/>
      <c r="C122" s="48" t="s">
        <v>154</v>
      </c>
      <c r="D122" s="48">
        <f>(2.55*3.2)*10.764</f>
        <v>87.834239999999994</v>
      </c>
      <c r="E122" s="48">
        <v>0</v>
      </c>
      <c r="F122" s="48">
        <v>185</v>
      </c>
      <c r="G122" s="78" t="str">
        <f t="shared" si="4"/>
        <v>Ground Floor for Commercial &amp; Parking</v>
      </c>
      <c r="H122" s="79"/>
      <c r="I122" s="27"/>
      <c r="L122" s="165"/>
      <c r="M122" s="165"/>
      <c r="N122" s="27"/>
    </row>
    <row r="123" spans="1:16" s="29" customFormat="1" x14ac:dyDescent="0.35">
      <c r="A123" s="78"/>
      <c r="B123" s="166"/>
      <c r="C123" s="166"/>
      <c r="D123" s="166"/>
      <c r="E123" s="166"/>
      <c r="F123" s="166"/>
      <c r="G123" s="166"/>
      <c r="H123" s="79"/>
      <c r="I123" s="27"/>
      <c r="N123" s="27"/>
    </row>
    <row r="124" spans="1:16" ht="47.25" customHeight="1" x14ac:dyDescent="0.35">
      <c r="A124" s="103" t="s">
        <v>122</v>
      </c>
      <c r="B124" s="104"/>
      <c r="C124" s="51" t="s">
        <v>61</v>
      </c>
      <c r="D124" s="51" t="s">
        <v>62</v>
      </c>
      <c r="E124" s="52" t="s">
        <v>63</v>
      </c>
      <c r="F124" s="51" t="s">
        <v>186</v>
      </c>
      <c r="G124" s="103" t="s">
        <v>64</v>
      </c>
      <c r="H124" s="104"/>
      <c r="I124" s="27"/>
    </row>
    <row r="125" spans="1:16" x14ac:dyDescent="0.35">
      <c r="A125" s="80" t="s">
        <v>193</v>
      </c>
      <c r="B125" s="80"/>
      <c r="C125" s="80"/>
      <c r="D125" s="80"/>
      <c r="E125" s="80"/>
      <c r="F125" s="80"/>
      <c r="G125" s="80"/>
      <c r="H125" s="80"/>
    </row>
    <row r="126" spans="1:16" s="30" customFormat="1" x14ac:dyDescent="0.35">
      <c r="A126" s="95" t="s">
        <v>155</v>
      </c>
      <c r="B126" s="96"/>
      <c r="C126" s="96"/>
      <c r="D126" s="96"/>
      <c r="E126" s="96"/>
      <c r="F126" s="96"/>
      <c r="G126" s="96"/>
      <c r="H126" s="97"/>
      <c r="I126" s="27"/>
      <c r="M126" s="35"/>
      <c r="N126" s="35"/>
      <c r="P126" s="28"/>
    </row>
    <row r="127" spans="1:16" s="30" customFormat="1" x14ac:dyDescent="0.35">
      <c r="A127" s="78" t="str">
        <f t="shared" ref="A127:A132" ca="1" si="5">N127</f>
        <v>101 &amp; 301</v>
      </c>
      <c r="B127" s="79"/>
      <c r="C127" s="48" t="s">
        <v>156</v>
      </c>
      <c r="D127" s="48">
        <f>(4.5*2.74+2.1*2.25+3.35*2.6+1.65*1.25+1.2*0.9+1.25*0.9+0.9*1.5+0.75*(2.6+2.25+2.74))*10.764</f>
        <v>399.07530000000008</v>
      </c>
      <c r="E127" s="48">
        <v>0</v>
      </c>
      <c r="F127" s="48">
        <v>615</v>
      </c>
      <c r="G127" s="78" t="str">
        <f>A126</f>
        <v>1st &amp; 3rd Floor for Residential</v>
      </c>
      <c r="H127" s="79"/>
      <c r="I127" s="27"/>
      <c r="M127" s="35"/>
      <c r="N127" s="35" t="str">
        <f t="shared" ref="N127:N132" ca="1" si="6">O127&amp;""&amp;" &amp; "&amp;""&amp;P127</f>
        <v>101 &amp; 301</v>
      </c>
      <c r="O127" s="44">
        <f ca="1">(SUMPRODUCT(MID(0&amp;(LEFT(A126,SUM(LEN(A126)-LEN(SUBSTITUTE(A126,{"0","1","2"},""))))), LARGE(INDEX(ISNUMBER(--MID((LEFT(A126,SUM(LEN(A126)-LEN(SUBSTITUTE(A126,{"0","1","2"},""))))), ROW(INDIRECT("1:"&amp;LEN((LEFT(A126,SUM(LEN(A126)-LEN(SUBSTITUTE(A126,{"0","1","2"},"")))))))), 1)) * ROW(INDIRECT("1:"&amp;LEN((LEFT(A126,SUM(LEN(A126)-LEN(SUBSTITUTE(A126,{"0","1","2"},"")))))))), 0), ROW(INDIRECT("1:"&amp;LEN((LEFT(A126,SUM(LEN(A126)-LEN(SUBSTITUTE(A126,{"0","1","2"},"")))))))))+1, 1) * 10^ROW(INDIRECT("1:"&amp;LEN((LEFT(A126,SUM(LEN(A126)-LEN(SUBSTITUTE(A126,{"0","1","2"},""))))))))/10))*100+1</f>
        <v>101</v>
      </c>
      <c r="P127" s="44">
        <f ca="1">(SUMPRODUCT(MID(0&amp;(--TRIM(RIGHT(SUBSTITUTE(LEFT(A126,_xlfn.AGGREGATE(16,6,FIND({0,1,2,3,4,5,6,7,8,9},A126,ROW(INDIRECT("1:"&amp;LEN(A126)))),1))," ",REPT(" ",LEN(A126))),LEN(A126)))), LARGE(INDEX(ISNUMBER(--MID((--TRIM(RIGHT(SUBSTITUTE(LEFT(A126,_xlfn.AGGREGATE(16,6,FIND({0,1,2,3,4,5,6,7,8,9},A126,ROW(INDIRECT("1:"&amp;LEN(A126)))),1))," ",REPT(" ",LEN(A126))),LEN(A126)))), ROW(INDIRECT("1:"&amp;LEN((--TRIM(RIGHT(SUBSTITUTE(LEFT(A126,_xlfn.AGGREGATE(16,6,FIND({0,1,2,3,4,5,6,7,8,9},A126,ROW(INDIRECT("1:"&amp;LEN(A126)))),1))," ",REPT(" ",LEN(A126))),LEN(A126))))))), 1)) * ROW(INDIRECT("1:"&amp;LEN((--TRIM(RIGHT(SUBSTITUTE(LEFT(A126,_xlfn.AGGREGATE(16,6,FIND({0,1,2,3,4,5,6,7,8,9},A126,ROW(INDIRECT("1:"&amp;LEN(A126)))),1))," ",REPT(" ",LEN(A126))),LEN(A126))))))), 0), ROW(INDIRECT("1:"&amp;LEN((--TRIM(RIGHT(SUBSTITUTE(LEFT(A126,_xlfn.AGGREGATE(16,6,FIND({0,1,2,3,4,5,6,7,8,9},A126,ROW(INDIRECT("1:"&amp;LEN(A126)))),1))," ",REPT(" ",LEN(A126))),LEN(A126))))))))+1, 1) * 10^ROW(INDIRECT("1:"&amp;LEN((--TRIM(RIGHT(SUBSTITUTE(LEFT(A126,_xlfn.AGGREGATE(16,6,FIND({0,1,2,3,4,5,6,7,8,9},A126,ROW(INDIRECT("1:"&amp;LEN(A126)))),1))," ",REPT(" ",LEN(A126))),LEN(A126)))))))/10))*100+1</f>
        <v>301</v>
      </c>
    </row>
    <row r="128" spans="1:16" s="30" customFormat="1" x14ac:dyDescent="0.35">
      <c r="A128" s="78" t="str">
        <f t="shared" ca="1" si="5"/>
        <v>102 &amp; 302</v>
      </c>
      <c r="B128" s="79"/>
      <c r="C128" s="48" t="s">
        <v>157</v>
      </c>
      <c r="D128" s="48">
        <f>(1.35*2.1+2.74*4.5+2.55*2.1+2.4*3.2+1.2*2.15+1.2*0.9+2.4*3.2+1.8*1.2+0.75*(2.1+2.4+2.4+2.74))*10.764</f>
        <v>526.68252000000007</v>
      </c>
      <c r="E128" s="48">
        <v>0</v>
      </c>
      <c r="F128" s="48">
        <v>825</v>
      </c>
      <c r="G128" s="78" t="str">
        <f t="shared" ref="G128:G134" si="7">G127</f>
        <v>1st &amp; 3rd Floor for Residential</v>
      </c>
      <c r="H128" s="79"/>
      <c r="I128" s="27">
        <f>2600000/F128</f>
        <v>3151.5151515151515</v>
      </c>
      <c r="M128" s="35"/>
      <c r="N128" s="44" t="str">
        <f t="shared" ca="1" si="6"/>
        <v>102 &amp; 302</v>
      </c>
      <c r="O128" s="30">
        <f t="shared" ref="O128:P132" ca="1" si="8">O127+1</f>
        <v>102</v>
      </c>
      <c r="P128" s="30">
        <f t="shared" ca="1" si="8"/>
        <v>302</v>
      </c>
    </row>
    <row r="129" spans="1:16" s="30" customFormat="1" x14ac:dyDescent="0.35">
      <c r="A129" s="78" t="str">
        <f t="shared" ca="1" si="5"/>
        <v>103 &amp; 303</v>
      </c>
      <c r="B129" s="79"/>
      <c r="C129" s="48" t="s">
        <v>156</v>
      </c>
      <c r="D129" s="48">
        <f>(2.74*4.4+2.1*2.1+2.55*3.2+1.8*1.2+1.2*2+1.2*2.4+0.75*(2.1+2.55))*10.764</f>
        <v>382.69787399999996</v>
      </c>
      <c r="E129" s="48">
        <f>(2.1*1.8)*10.764</f>
        <v>40.687919999999998</v>
      </c>
      <c r="F129" s="48">
        <f>610+30</f>
        <v>640</v>
      </c>
      <c r="G129" s="78" t="str">
        <f t="shared" si="7"/>
        <v>1st &amp; 3rd Floor for Residential</v>
      </c>
      <c r="H129" s="79"/>
      <c r="I129" s="27"/>
      <c r="M129" s="35"/>
      <c r="N129" s="44" t="str">
        <f t="shared" ca="1" si="6"/>
        <v>103 &amp; 303</v>
      </c>
      <c r="O129" s="30">
        <f t="shared" ca="1" si="8"/>
        <v>103</v>
      </c>
      <c r="P129" s="30">
        <f t="shared" ca="1" si="8"/>
        <v>303</v>
      </c>
    </row>
    <row r="130" spans="1:16" s="30" customFormat="1" x14ac:dyDescent="0.35">
      <c r="A130" s="78" t="str">
        <f t="shared" ca="1" si="5"/>
        <v>104 &amp; 304</v>
      </c>
      <c r="B130" s="79"/>
      <c r="C130" s="48" t="s">
        <v>157</v>
      </c>
      <c r="D130" s="48">
        <f>(2.74*4.4+2.1*2.1+2.55*3.1+2*1.2+1.8*1.2+2.4*3.35+1.5*0.9+0.75*(2.55+2.1))*10.764</f>
        <v>450.02669400000002</v>
      </c>
      <c r="E130" s="48">
        <f>(2.1*4.5)*10.764</f>
        <v>101.71980000000001</v>
      </c>
      <c r="F130" s="48">
        <f>750+70</f>
        <v>820</v>
      </c>
      <c r="G130" s="78" t="str">
        <f t="shared" si="7"/>
        <v>1st &amp; 3rd Floor for Residential</v>
      </c>
      <c r="H130" s="79"/>
      <c r="I130" s="27">
        <f>2600000/F130</f>
        <v>3170.731707317073</v>
      </c>
      <c r="M130" s="35"/>
      <c r="N130" s="44" t="str">
        <f t="shared" ca="1" si="6"/>
        <v>104 &amp; 304</v>
      </c>
      <c r="O130" s="30">
        <f t="shared" ca="1" si="8"/>
        <v>104</v>
      </c>
      <c r="P130" s="30">
        <f t="shared" ca="1" si="8"/>
        <v>304</v>
      </c>
    </row>
    <row r="131" spans="1:16" s="30" customFormat="1" x14ac:dyDescent="0.35">
      <c r="A131" s="78" t="str">
        <f t="shared" ca="1" si="5"/>
        <v>105 &amp; 305</v>
      </c>
      <c r="B131" s="79"/>
      <c r="C131" s="48" t="s">
        <v>156</v>
      </c>
      <c r="D131" s="48">
        <f>(4.5*2.75+2.3*2.1+3.3*2.55+1.2*0.9+2*1.2+0.9*2.1+0.75*(2.1+2.55))*10.764</f>
        <v>371.1158099999999</v>
      </c>
      <c r="E131" s="48">
        <f>(2.75*1.8)*10.764</f>
        <v>53.281799999999997</v>
      </c>
      <c r="F131" s="48">
        <f>610+30</f>
        <v>640</v>
      </c>
      <c r="G131" s="78" t="str">
        <f t="shared" si="7"/>
        <v>1st &amp; 3rd Floor for Residential</v>
      </c>
      <c r="H131" s="79"/>
      <c r="I131" s="27"/>
      <c r="M131" s="35"/>
      <c r="N131" s="44" t="str">
        <f t="shared" ca="1" si="6"/>
        <v>105 &amp; 305</v>
      </c>
      <c r="O131" s="30">
        <f t="shared" ca="1" si="8"/>
        <v>105</v>
      </c>
      <c r="P131" s="30">
        <f t="shared" ca="1" si="8"/>
        <v>305</v>
      </c>
    </row>
    <row r="132" spans="1:16" s="30" customFormat="1" x14ac:dyDescent="0.35">
      <c r="A132" s="78" t="str">
        <f t="shared" ca="1" si="5"/>
        <v>106 &amp; 306</v>
      </c>
      <c r="B132" s="79"/>
      <c r="C132" s="48" t="s">
        <v>157</v>
      </c>
      <c r="D132" s="48">
        <f>(4.5*2.7+2.4*2.4+3.5*2.55+1.8*1.15+1.8*1.15+3.35*2.4+0.9*2.4+0.75*(2.4+2.7+3.5))*10.764</f>
        <v>512.63549999999998</v>
      </c>
      <c r="E132" s="48">
        <f>(2.55*1.5)*10.764</f>
        <v>41.172299999999993</v>
      </c>
      <c r="F132" s="48">
        <f>840+35</f>
        <v>875</v>
      </c>
      <c r="G132" s="78" t="str">
        <f t="shared" si="7"/>
        <v>1st &amp; 3rd Floor for Residential</v>
      </c>
      <c r="H132" s="79"/>
      <c r="I132" s="27">
        <f>2600000/F132</f>
        <v>2971.4285714285716</v>
      </c>
      <c r="M132" s="35"/>
      <c r="N132" s="44" t="str">
        <f t="shared" ca="1" si="6"/>
        <v>106 &amp; 306</v>
      </c>
      <c r="O132" s="30">
        <f t="shared" ca="1" si="8"/>
        <v>106</v>
      </c>
      <c r="P132" s="30">
        <f t="shared" ca="1" si="8"/>
        <v>306</v>
      </c>
    </row>
    <row r="133" spans="1:16" s="47" customFormat="1" x14ac:dyDescent="0.35">
      <c r="A133" s="78" t="str">
        <f t="shared" ref="A133:A134" ca="1" si="9">N133</f>
        <v>107 &amp; 307</v>
      </c>
      <c r="B133" s="79"/>
      <c r="C133" s="48" t="s">
        <v>158</v>
      </c>
      <c r="D133" s="48">
        <f>(4.25*2.75+2.1*1.2+2.1*2.1+1.2*0.9+0.75*(2.1+2.75))*10.764</f>
        <v>251.17793999999995</v>
      </c>
      <c r="E133" s="48">
        <v>0</v>
      </c>
      <c r="F133" s="48">
        <v>385</v>
      </c>
      <c r="G133" s="78" t="str">
        <f t="shared" si="7"/>
        <v>1st &amp; 3rd Floor for Residential</v>
      </c>
      <c r="H133" s="79"/>
      <c r="I133" s="27">
        <f>1233000/F133</f>
        <v>3202.5974025974024</v>
      </c>
      <c r="N133" s="47" t="str">
        <f t="shared" ref="N133:N134" ca="1" si="10">O133&amp;""&amp;" &amp; "&amp;""&amp;P133</f>
        <v>107 &amp; 307</v>
      </c>
      <c r="O133" s="47">
        <f t="shared" ref="O133:P133" ca="1" si="11">O132+1</f>
        <v>107</v>
      </c>
      <c r="P133" s="47">
        <f t="shared" ca="1" si="11"/>
        <v>307</v>
      </c>
    </row>
    <row r="134" spans="1:16" s="47" customFormat="1" x14ac:dyDescent="0.35">
      <c r="A134" s="78" t="str">
        <f t="shared" ca="1" si="9"/>
        <v>108 &amp; 308</v>
      </c>
      <c r="B134" s="79"/>
      <c r="C134" s="48" t="s">
        <v>156</v>
      </c>
      <c r="D134" s="48">
        <f>(4.5*2.7+2.15*2.2+3.15*2.4+1.2*0.9+2.1*1.2+2.15*0.9+0.75*(2.7+2.2))*10.764</f>
        <v>362.20859999999999</v>
      </c>
      <c r="E134" s="48">
        <f>(2.4*1.5)*10.764</f>
        <v>38.750399999999992</v>
      </c>
      <c r="F134" s="48">
        <f>600+20</f>
        <v>620</v>
      </c>
      <c r="G134" s="78" t="str">
        <f t="shared" si="7"/>
        <v>1st &amp; 3rd Floor for Residential</v>
      </c>
      <c r="H134" s="79"/>
      <c r="I134" s="27"/>
      <c r="N134" s="47" t="str">
        <f t="shared" ca="1" si="10"/>
        <v>108 &amp; 308</v>
      </c>
      <c r="O134" s="47">
        <f t="shared" ref="O134:P134" ca="1" si="12">O133+1</f>
        <v>108</v>
      </c>
      <c r="P134" s="47">
        <f t="shared" ca="1" si="12"/>
        <v>308</v>
      </c>
    </row>
    <row r="135" spans="1:16" s="47" customFormat="1" x14ac:dyDescent="0.35">
      <c r="A135" s="95" t="s">
        <v>159</v>
      </c>
      <c r="B135" s="96"/>
      <c r="C135" s="96"/>
      <c r="D135" s="96"/>
      <c r="E135" s="96"/>
      <c r="F135" s="96"/>
      <c r="G135" s="96"/>
      <c r="H135" s="97"/>
      <c r="I135" s="27"/>
      <c r="P135" s="28"/>
    </row>
    <row r="136" spans="1:16" s="47" customFormat="1" x14ac:dyDescent="0.35">
      <c r="A136" s="78" t="str">
        <f t="shared" ref="A136:A143" ca="1" si="13">N136</f>
        <v>201 &amp; 401</v>
      </c>
      <c r="B136" s="79"/>
      <c r="C136" s="48" t="s">
        <v>156</v>
      </c>
      <c r="D136" s="48">
        <f>(4.5*2.74+2.1*2.25+3.35*2.5+1.65*1.25+1.2*0.9+0.9*1.25+0.9*1.5+0.75*(2.5+2.25+2.74))*10.764</f>
        <v>394.66206000000005</v>
      </c>
      <c r="E136" s="48">
        <v>0</v>
      </c>
      <c r="F136" s="48">
        <v>615</v>
      </c>
      <c r="G136" s="78" t="str">
        <f>A135</f>
        <v xml:space="preserve">2nd &amp; 4th Floor </v>
      </c>
      <c r="H136" s="79"/>
      <c r="I136" s="27"/>
      <c r="J136" s="53">
        <f>F136/D136</f>
        <v>1.558295215912064</v>
      </c>
      <c r="N136" s="47" t="str">
        <f t="shared" ref="N136:N143" ca="1" si="14">O136&amp;""&amp;" &amp; "&amp;""&amp;P136</f>
        <v>201 &amp; 401</v>
      </c>
      <c r="O136" s="47">
        <f ca="1">(SUMPRODUCT(MID(0&amp;(LEFT(A135,SUM(LEN(A135)-LEN(SUBSTITUTE(A135,{"0","1","2"},""))))), LARGE(INDEX(ISNUMBER(--MID((LEFT(A135,SUM(LEN(A135)-LEN(SUBSTITUTE(A135,{"0","1","2"},""))))), ROW(INDIRECT("1:"&amp;LEN((LEFT(A135,SUM(LEN(A135)-LEN(SUBSTITUTE(A135,{"0","1","2"},"")))))))), 1)) * ROW(INDIRECT("1:"&amp;LEN((LEFT(A135,SUM(LEN(A135)-LEN(SUBSTITUTE(A135,{"0","1","2"},"")))))))), 0), ROW(INDIRECT("1:"&amp;LEN((LEFT(A135,SUM(LEN(A135)-LEN(SUBSTITUTE(A135,{"0","1","2"},"")))))))))+1, 1) * 10^ROW(INDIRECT("1:"&amp;LEN((LEFT(A135,SUM(LEN(A135)-LEN(SUBSTITUTE(A135,{"0","1","2"},""))))))))/10))*100+1</f>
        <v>201</v>
      </c>
      <c r="P136" s="47">
        <f ca="1">(SUMPRODUCT(MID(0&amp;(--TRIM(RIGHT(SUBSTITUTE(LEFT(A135,_xlfn.AGGREGATE(16,6,FIND({0,1,2,3,4,5,6,7,8,9},A135,ROW(INDIRECT("1:"&amp;LEN(A135)))),1))," ",REPT(" ",LEN(A135))),LEN(A135)))), LARGE(INDEX(ISNUMBER(--MID((--TRIM(RIGHT(SUBSTITUTE(LEFT(A135,_xlfn.AGGREGATE(16,6,FIND({0,1,2,3,4,5,6,7,8,9},A135,ROW(INDIRECT("1:"&amp;LEN(A135)))),1))," ",REPT(" ",LEN(A135))),LEN(A135)))), ROW(INDIRECT("1:"&amp;LEN((--TRIM(RIGHT(SUBSTITUTE(LEFT(A135,_xlfn.AGGREGATE(16,6,FIND({0,1,2,3,4,5,6,7,8,9},A135,ROW(INDIRECT("1:"&amp;LEN(A135)))),1))," ",REPT(" ",LEN(A135))),LEN(A135))))))), 1)) * ROW(INDIRECT("1:"&amp;LEN((--TRIM(RIGHT(SUBSTITUTE(LEFT(A135,_xlfn.AGGREGATE(16,6,FIND({0,1,2,3,4,5,6,7,8,9},A135,ROW(INDIRECT("1:"&amp;LEN(A135)))),1))," ",REPT(" ",LEN(A135))),LEN(A135))))))), 0), ROW(INDIRECT("1:"&amp;LEN((--TRIM(RIGHT(SUBSTITUTE(LEFT(A135,_xlfn.AGGREGATE(16,6,FIND({0,1,2,3,4,5,6,7,8,9},A135,ROW(INDIRECT("1:"&amp;LEN(A135)))),1))," ",REPT(" ",LEN(A135))),LEN(A135))))))))+1, 1) * 10^ROW(INDIRECT("1:"&amp;LEN((--TRIM(RIGHT(SUBSTITUTE(LEFT(A135,_xlfn.AGGREGATE(16,6,FIND({0,1,2,3,4,5,6,7,8,9},A135,ROW(INDIRECT("1:"&amp;LEN(A135)))),1))," ",REPT(" ",LEN(A135))),LEN(A135)))))))/10))*100+1</f>
        <v>401</v>
      </c>
    </row>
    <row r="137" spans="1:16" s="47" customFormat="1" x14ac:dyDescent="0.35">
      <c r="A137" s="78" t="str">
        <f t="shared" ca="1" si="13"/>
        <v>202 &amp; 402</v>
      </c>
      <c r="B137" s="79"/>
      <c r="C137" s="48" t="s">
        <v>157</v>
      </c>
      <c r="D137" s="48">
        <f>(1.35*2.1+2.74*4.5+2.55*2.1+2.4*3.2+1.2*2.15+2.4*3.2+1.2*0.9+1.8*1.2+0.75*(2.1+2.4+2.4))*10.764</f>
        <v>504.56249999999994</v>
      </c>
      <c r="E137" s="48">
        <v>0</v>
      </c>
      <c r="F137" s="48">
        <v>825</v>
      </c>
      <c r="G137" s="78" t="str">
        <f t="shared" ref="G137:G143" si="15">G136</f>
        <v xml:space="preserve">2nd &amp; 4th Floor </v>
      </c>
      <c r="H137" s="79"/>
      <c r="I137" s="27">
        <f>2600000/F137</f>
        <v>3151.5151515151515</v>
      </c>
      <c r="J137" s="53">
        <f t="shared" ref="J137:J143" si="16">F137/D137</f>
        <v>1.6350798959494615</v>
      </c>
      <c r="N137" s="47" t="str">
        <f t="shared" ca="1" si="14"/>
        <v>202 &amp; 402</v>
      </c>
      <c r="O137" s="47">
        <f t="shared" ref="O137:P137" ca="1" si="17">O136+1</f>
        <v>202</v>
      </c>
      <c r="P137" s="47">
        <f t="shared" ca="1" si="17"/>
        <v>402</v>
      </c>
    </row>
    <row r="138" spans="1:16" s="47" customFormat="1" x14ac:dyDescent="0.35">
      <c r="A138" s="78" t="str">
        <f t="shared" ca="1" si="13"/>
        <v>203 &amp; 403</v>
      </c>
      <c r="B138" s="79"/>
      <c r="C138" s="48" t="s">
        <v>156</v>
      </c>
      <c r="D138" s="48">
        <f>(2.74*4.4+2.1*2.1+2.55*3.2+1.8*1.2+1.2*2+1.2*2.5+0.75*(1.8+2.1+2.55))*10.764</f>
        <v>398.52095399999996</v>
      </c>
      <c r="E138" s="48">
        <v>0</v>
      </c>
      <c r="F138" s="48">
        <v>610</v>
      </c>
      <c r="G138" s="78" t="str">
        <f t="shared" si="15"/>
        <v xml:space="preserve">2nd &amp; 4th Floor </v>
      </c>
      <c r="H138" s="79"/>
      <c r="I138" s="27"/>
      <c r="J138" s="53">
        <f t="shared" si="16"/>
        <v>1.5306597906016255</v>
      </c>
      <c r="N138" s="47" t="str">
        <f t="shared" ca="1" si="14"/>
        <v>203 &amp; 403</v>
      </c>
      <c r="O138" s="47">
        <f t="shared" ref="O138:P138" ca="1" si="18">O137+1</f>
        <v>203</v>
      </c>
      <c r="P138" s="47">
        <f t="shared" ca="1" si="18"/>
        <v>403</v>
      </c>
    </row>
    <row r="139" spans="1:16" s="47" customFormat="1" x14ac:dyDescent="0.35">
      <c r="A139" s="78" t="str">
        <f t="shared" ca="1" si="13"/>
        <v>204 &amp; 404</v>
      </c>
      <c r="B139" s="79"/>
      <c r="C139" s="48" t="s">
        <v>157</v>
      </c>
      <c r="D139" s="48">
        <f>(2.74*4.4+2.4*3.35+2.1*2.1+2.55*3.1+2*1.2+1.8*1.2+1*1.4+0.75*(2.4+1.8+2.1+2.55))*10.764</f>
        <v>484.47149400000001</v>
      </c>
      <c r="E139" s="48">
        <v>0</v>
      </c>
      <c r="F139" s="48">
        <v>750</v>
      </c>
      <c r="G139" s="78" t="str">
        <f t="shared" si="15"/>
        <v xml:space="preserve">2nd &amp; 4th Floor </v>
      </c>
      <c r="H139" s="79"/>
      <c r="I139" s="27">
        <f>2600000/F139</f>
        <v>3466.6666666666665</v>
      </c>
      <c r="J139" s="53">
        <f t="shared" si="16"/>
        <v>1.5480786987231905</v>
      </c>
      <c r="N139" s="47" t="str">
        <f t="shared" ca="1" si="14"/>
        <v>204 &amp; 404</v>
      </c>
      <c r="O139" s="47">
        <f t="shared" ref="O139:P139" ca="1" si="19">O138+1</f>
        <v>204</v>
      </c>
      <c r="P139" s="47">
        <f t="shared" ca="1" si="19"/>
        <v>404</v>
      </c>
    </row>
    <row r="140" spans="1:16" s="47" customFormat="1" x14ac:dyDescent="0.35">
      <c r="A140" s="78" t="str">
        <f t="shared" ca="1" si="13"/>
        <v>205 &amp; 405</v>
      </c>
      <c r="B140" s="79"/>
      <c r="C140" s="48" t="s">
        <v>156</v>
      </c>
      <c r="D140" s="48">
        <f>(4.5*2.75+2.3*2.1+3.3*2.55+1.2*0.9+2*1.2+1*2.1+0.75*(2.75+2.1+2.55))*10.764</f>
        <v>395.57699999999988</v>
      </c>
      <c r="E140" s="48">
        <v>0</v>
      </c>
      <c r="F140" s="48">
        <v>610</v>
      </c>
      <c r="G140" s="78" t="str">
        <f t="shared" si="15"/>
        <v xml:space="preserve">2nd &amp; 4th Floor </v>
      </c>
      <c r="H140" s="79"/>
      <c r="I140" s="27"/>
      <c r="J140" s="53">
        <f t="shared" si="16"/>
        <v>1.5420512314922257</v>
      </c>
      <c r="N140" s="47" t="str">
        <f t="shared" ca="1" si="14"/>
        <v>205 &amp; 405</v>
      </c>
      <c r="O140" s="47">
        <f t="shared" ref="O140:P140" ca="1" si="20">O139+1</f>
        <v>205</v>
      </c>
      <c r="P140" s="47">
        <f t="shared" ca="1" si="20"/>
        <v>405</v>
      </c>
    </row>
    <row r="141" spans="1:16" s="47" customFormat="1" x14ac:dyDescent="0.35">
      <c r="A141" s="78" t="str">
        <f t="shared" ca="1" si="13"/>
        <v>206 &amp; 406</v>
      </c>
      <c r="B141" s="79"/>
      <c r="C141" s="48" t="s">
        <v>157</v>
      </c>
      <c r="D141" s="48">
        <f>(4.5*2.7+2.4*2.4+3.5*2.55+1.8*1.15+1.8*1.15+2.4*1+3.35*2.4+0.75*(2.4+2.7+3.5+1.75))*10.764</f>
        <v>529.34660999999994</v>
      </c>
      <c r="E141" s="48">
        <v>0</v>
      </c>
      <c r="F141" s="48">
        <v>840</v>
      </c>
      <c r="G141" s="78" t="str">
        <f t="shared" si="15"/>
        <v xml:space="preserve">2nd &amp; 4th Floor </v>
      </c>
      <c r="H141" s="79"/>
      <c r="I141" s="27">
        <f>2600000/F141</f>
        <v>3095.2380952380954</v>
      </c>
      <c r="J141" s="53">
        <f t="shared" si="16"/>
        <v>1.5868619617683017</v>
      </c>
      <c r="N141" s="47" t="str">
        <f t="shared" ca="1" si="14"/>
        <v>206 &amp; 406</v>
      </c>
      <c r="O141" s="47">
        <f t="shared" ref="O141:P141" ca="1" si="21">O140+1</f>
        <v>206</v>
      </c>
      <c r="P141" s="47">
        <f t="shared" ca="1" si="21"/>
        <v>406</v>
      </c>
    </row>
    <row r="142" spans="1:16" s="47" customFormat="1" x14ac:dyDescent="0.35">
      <c r="A142" s="78" t="str">
        <f t="shared" ca="1" si="13"/>
        <v>207 &amp; 407</v>
      </c>
      <c r="B142" s="79"/>
      <c r="C142" s="48" t="s">
        <v>158</v>
      </c>
      <c r="D142" s="48">
        <f>(4.25*2.75+2.1*1.2+2.1*2.1+1.2*0.9+0.75*(2.1+2.75))*10.764</f>
        <v>251.17793999999995</v>
      </c>
      <c r="E142" s="48">
        <v>0</v>
      </c>
      <c r="F142" s="48">
        <v>385</v>
      </c>
      <c r="G142" s="78" t="str">
        <f t="shared" si="15"/>
        <v xml:space="preserve">2nd &amp; 4th Floor </v>
      </c>
      <c r="H142" s="79"/>
      <c r="I142" s="27">
        <f>1233000/F142</f>
        <v>3202.5974025974024</v>
      </c>
      <c r="J142" s="53">
        <f t="shared" si="16"/>
        <v>1.5327779183155976</v>
      </c>
      <c r="N142" s="47" t="str">
        <f t="shared" ca="1" si="14"/>
        <v>207 &amp; 407</v>
      </c>
      <c r="O142" s="47">
        <f t="shared" ref="O142:P142" ca="1" si="22">O141+1</f>
        <v>207</v>
      </c>
      <c r="P142" s="47">
        <f t="shared" ca="1" si="22"/>
        <v>407</v>
      </c>
    </row>
    <row r="143" spans="1:16" s="47" customFormat="1" x14ac:dyDescent="0.35">
      <c r="A143" s="78" t="str">
        <f t="shared" ca="1" si="13"/>
        <v>208 &amp; 408</v>
      </c>
      <c r="B143" s="79"/>
      <c r="C143" s="48" t="s">
        <v>156</v>
      </c>
      <c r="D143" s="48">
        <f>(4.5*2.7+2.1*2.2+3.15*2.4+1.2*0.9+2.1*1.2+2.1*0.9+0.75*(2.7+2.2+2.4))*10.764</f>
        <v>379.91537999999997</v>
      </c>
      <c r="E143" s="48">
        <v>0</v>
      </c>
      <c r="F143" s="48">
        <v>600</v>
      </c>
      <c r="G143" s="78" t="str">
        <f t="shared" si="15"/>
        <v xml:space="preserve">2nd &amp; 4th Floor </v>
      </c>
      <c r="H143" s="79"/>
      <c r="I143" s="27"/>
      <c r="J143" s="53">
        <f t="shared" si="16"/>
        <v>1.5792990533839406</v>
      </c>
      <c r="N143" s="47" t="str">
        <f t="shared" ca="1" si="14"/>
        <v>208 &amp; 408</v>
      </c>
      <c r="O143" s="47">
        <f t="shared" ref="O143:P143" ca="1" si="23">O142+1</f>
        <v>208</v>
      </c>
      <c r="P143" s="47">
        <f t="shared" ca="1" si="23"/>
        <v>408</v>
      </c>
    </row>
    <row r="144" spans="1:16" x14ac:dyDescent="0.35">
      <c r="A144" s="80" t="s">
        <v>194</v>
      </c>
      <c r="B144" s="80"/>
      <c r="C144" s="80"/>
      <c r="D144" s="80"/>
      <c r="E144" s="80"/>
      <c r="F144" s="80"/>
      <c r="G144" s="80"/>
      <c r="H144" s="80"/>
    </row>
    <row r="145" spans="1:16" s="49" customFormat="1" x14ac:dyDescent="0.35">
      <c r="A145" s="95" t="s">
        <v>155</v>
      </c>
      <c r="B145" s="96"/>
      <c r="C145" s="96"/>
      <c r="D145" s="96"/>
      <c r="E145" s="96"/>
      <c r="F145" s="96"/>
      <c r="G145" s="96"/>
      <c r="H145" s="97"/>
      <c r="I145" s="27"/>
      <c r="P145" s="28"/>
    </row>
    <row r="146" spans="1:16" s="49" customFormat="1" x14ac:dyDescent="0.35">
      <c r="A146" s="78" t="str">
        <f t="shared" ref="A146:A151" ca="1" si="24">N146</f>
        <v>101 &amp; 301</v>
      </c>
      <c r="B146" s="79"/>
      <c r="C146" s="48" t="s">
        <v>156</v>
      </c>
      <c r="D146" s="48">
        <f>(2.74*4.4+2.1*2.1+2.55*3.1+1.8*1.2+2*1.2+0.9*1.5+0.75*(2.1+2.55))*10.764</f>
        <v>363.48413399999998</v>
      </c>
      <c r="E146" s="48">
        <f>(1.8*2.1)*10.764</f>
        <v>40.687919999999998</v>
      </c>
      <c r="F146" s="48">
        <f>585+30</f>
        <v>615</v>
      </c>
      <c r="G146" s="78" t="str">
        <f>A145</f>
        <v>1st &amp; 3rd Floor for Residential</v>
      </c>
      <c r="H146" s="79"/>
      <c r="I146" s="27"/>
      <c r="N146" s="49" t="str">
        <f t="shared" ref="N146:N151" ca="1" si="25">O146&amp;""&amp;" &amp; "&amp;""&amp;P146</f>
        <v>101 &amp; 301</v>
      </c>
      <c r="O146" s="49">
        <f ca="1">(SUMPRODUCT(MID(0&amp;(LEFT(A145,SUM(LEN(A145)-LEN(SUBSTITUTE(A145,{"0","1","2"},""))))), LARGE(INDEX(ISNUMBER(--MID((LEFT(A145,SUM(LEN(A145)-LEN(SUBSTITUTE(A145,{"0","1","2"},""))))), ROW(INDIRECT("1:"&amp;LEN((LEFT(A145,SUM(LEN(A145)-LEN(SUBSTITUTE(A145,{"0","1","2"},"")))))))), 1)) * ROW(INDIRECT("1:"&amp;LEN((LEFT(A145,SUM(LEN(A145)-LEN(SUBSTITUTE(A145,{"0","1","2"},"")))))))), 0), ROW(INDIRECT("1:"&amp;LEN((LEFT(A145,SUM(LEN(A145)-LEN(SUBSTITUTE(A145,{"0","1","2"},"")))))))))+1, 1) * 10^ROW(INDIRECT("1:"&amp;LEN((LEFT(A145,SUM(LEN(A145)-LEN(SUBSTITUTE(A145,{"0","1","2"},""))))))))/10))*100+1</f>
        <v>101</v>
      </c>
      <c r="P146" s="49">
        <f ca="1">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",LEN(A145))),LEN(A145)))))))/10))*100+1</f>
        <v>301</v>
      </c>
    </row>
    <row r="147" spans="1:16" s="49" customFormat="1" x14ac:dyDescent="0.35">
      <c r="A147" s="78" t="str">
        <f t="shared" ca="1" si="24"/>
        <v>102 &amp; 302</v>
      </c>
      <c r="B147" s="79"/>
      <c r="C147" s="48" t="s">
        <v>156</v>
      </c>
      <c r="D147" s="48">
        <f>(2.74*4.4+2.25*2.1+1.2*0.9+1.2*1.5+3.5*2.55+2.7*0.9+0.75*(2.55+2.25))*10.764</f>
        <v>372.60662400000007</v>
      </c>
      <c r="E147" s="48">
        <f>(2.74*2.1)*10.764</f>
        <v>61.936056000000001</v>
      </c>
      <c r="F147" s="48">
        <f>630+45</f>
        <v>675</v>
      </c>
      <c r="G147" s="78" t="str">
        <f t="shared" ref="G147:G151" si="26">G146</f>
        <v>1st &amp; 3rd Floor for Residential</v>
      </c>
      <c r="H147" s="79"/>
      <c r="I147" s="27"/>
      <c r="N147" s="49" t="str">
        <f t="shared" ca="1" si="25"/>
        <v>102 &amp; 302</v>
      </c>
      <c r="O147" s="49">
        <f t="shared" ref="O147:P147" ca="1" si="27">O146+1</f>
        <v>102</v>
      </c>
      <c r="P147" s="49">
        <f t="shared" ca="1" si="27"/>
        <v>302</v>
      </c>
    </row>
    <row r="148" spans="1:16" s="49" customFormat="1" x14ac:dyDescent="0.35">
      <c r="A148" s="78" t="str">
        <f t="shared" ca="1" si="24"/>
        <v>103 &amp; 303</v>
      </c>
      <c r="B148" s="79"/>
      <c r="C148" s="48" t="s">
        <v>156</v>
      </c>
      <c r="D148" s="48">
        <f>(4.25*2.74+2.15*2.25+3.2*2.4+1.25*1.8+1.25*2+1.5*0.9+0.75*(2.4+2.25))*10.764</f>
        <v>363.28499999999997</v>
      </c>
      <c r="E148" s="48">
        <f>(1.5*1.75)*10.764</f>
        <v>28.255499999999998</v>
      </c>
      <c r="F148" s="48">
        <f>575+15</f>
        <v>590</v>
      </c>
      <c r="G148" s="78" t="str">
        <f t="shared" si="26"/>
        <v>1st &amp; 3rd Floor for Residential</v>
      </c>
      <c r="H148" s="79"/>
      <c r="I148" s="27"/>
      <c r="N148" s="49" t="str">
        <f t="shared" ca="1" si="25"/>
        <v>103 &amp; 303</v>
      </c>
      <c r="O148" s="49">
        <f t="shared" ref="O148:P148" ca="1" si="28">O147+1</f>
        <v>103</v>
      </c>
      <c r="P148" s="49">
        <f t="shared" ca="1" si="28"/>
        <v>303</v>
      </c>
    </row>
    <row r="149" spans="1:16" s="49" customFormat="1" x14ac:dyDescent="0.35">
      <c r="A149" s="78" t="str">
        <f t="shared" ca="1" si="24"/>
        <v>104 &amp; 304</v>
      </c>
      <c r="B149" s="79"/>
      <c r="C149" s="48" t="s">
        <v>156</v>
      </c>
      <c r="D149" s="48">
        <f>(2.7*4.5+2.1*2.1+3.2*2.55+1.2*1.65+0.9*1.2+1.2*0.9+0.9*1.5+0.75*(2.55+2.1+2.1))*10.764</f>
        <v>379.67318999999998</v>
      </c>
      <c r="E149" s="48">
        <f>(2.7*1.5)*10.764</f>
        <v>43.594200000000008</v>
      </c>
      <c r="F149" s="48">
        <f>645+25</f>
        <v>670</v>
      </c>
      <c r="G149" s="78" t="str">
        <f t="shared" si="26"/>
        <v>1st &amp; 3rd Floor for Residential</v>
      </c>
      <c r="H149" s="79"/>
      <c r="I149" s="27"/>
      <c r="N149" s="49" t="str">
        <f t="shared" ca="1" si="25"/>
        <v>104 &amp; 304</v>
      </c>
      <c r="O149" s="49">
        <f t="shared" ref="O149:P149" ca="1" si="29">O148+1</f>
        <v>104</v>
      </c>
      <c r="P149" s="49">
        <f t="shared" ca="1" si="29"/>
        <v>304</v>
      </c>
    </row>
    <row r="150" spans="1:16" s="49" customFormat="1" x14ac:dyDescent="0.35">
      <c r="A150" s="78" t="str">
        <f t="shared" ca="1" si="24"/>
        <v>105 &amp; 305</v>
      </c>
      <c r="B150" s="79"/>
      <c r="C150" s="48" t="s">
        <v>157</v>
      </c>
      <c r="D150" s="48">
        <f>(2.7*4.5+2.25*2.3+2.7*3.3+3.5*2.75+1.2*2.1+1.2*2.1+0.09*1.1+1.2*1.5+0.75*(2.7+2.25+2.7))*10.764</f>
        <v>522.44688600000006</v>
      </c>
      <c r="E150" s="48">
        <f>(2.75*2.1+1.2*2)*10.764</f>
        <v>87.995699999999999</v>
      </c>
      <c r="F150" s="48">
        <f>860+65</f>
        <v>925</v>
      </c>
      <c r="G150" s="78" t="str">
        <f t="shared" si="26"/>
        <v>1st &amp; 3rd Floor for Residential</v>
      </c>
      <c r="H150" s="79"/>
      <c r="I150" s="27"/>
      <c r="N150" s="49" t="str">
        <f t="shared" ca="1" si="25"/>
        <v>105 &amp; 305</v>
      </c>
      <c r="O150" s="49">
        <f t="shared" ref="O150:P150" ca="1" si="30">O149+1</f>
        <v>105</v>
      </c>
      <c r="P150" s="49">
        <f t="shared" ca="1" si="30"/>
        <v>305</v>
      </c>
    </row>
    <row r="151" spans="1:16" s="49" customFormat="1" x14ac:dyDescent="0.35">
      <c r="A151" s="78" t="str">
        <f t="shared" ca="1" si="24"/>
        <v>106 &amp; 306</v>
      </c>
      <c r="B151" s="79"/>
      <c r="C151" s="48" t="s">
        <v>156</v>
      </c>
      <c r="D151" s="48">
        <f>(4.4*2.7+2.3*2.1+3.35*2.75+1.2*1.95+1.2*1.95+0.9*1.2+0.75*(2.1+2.75))*10.764</f>
        <v>380.18448000000001</v>
      </c>
      <c r="E151" s="48">
        <f>(2.5*1.75)*10.764</f>
        <v>47.092499999999994</v>
      </c>
      <c r="F151" s="48">
        <f>610+35</f>
        <v>645</v>
      </c>
      <c r="G151" s="78" t="str">
        <f t="shared" si="26"/>
        <v>1st &amp; 3rd Floor for Residential</v>
      </c>
      <c r="H151" s="79"/>
      <c r="I151" s="27"/>
      <c r="N151" s="49" t="str">
        <f t="shared" ca="1" si="25"/>
        <v>106 &amp; 306</v>
      </c>
      <c r="O151" s="49">
        <f t="shared" ref="O151:P151" ca="1" si="31">O150+1</f>
        <v>106</v>
      </c>
      <c r="P151" s="49">
        <f t="shared" ca="1" si="31"/>
        <v>306</v>
      </c>
    </row>
    <row r="152" spans="1:16" s="49" customFormat="1" x14ac:dyDescent="0.35">
      <c r="A152" s="94" t="s">
        <v>159</v>
      </c>
      <c r="B152" s="94"/>
      <c r="C152" s="94"/>
      <c r="D152" s="94"/>
      <c r="E152" s="94"/>
      <c r="F152" s="94"/>
      <c r="G152" s="94"/>
      <c r="H152" s="94"/>
      <c r="I152" s="27"/>
      <c r="P152" s="28"/>
    </row>
    <row r="153" spans="1:16" s="49" customFormat="1" x14ac:dyDescent="0.35">
      <c r="A153" s="93" t="str">
        <f t="shared" ref="A153:A158" ca="1" si="32">N153</f>
        <v>201 &amp; 401</v>
      </c>
      <c r="B153" s="93"/>
      <c r="C153" s="48" t="s">
        <v>156</v>
      </c>
      <c r="D153" s="48">
        <f>(2.74*4.4+2.1*2.1+2.55*3.1+1.8*1.2+2*1.2+0.9*1.5+0.75*(2+2.1+2.55))*10.764</f>
        <v>379.630134</v>
      </c>
      <c r="E153" s="48">
        <v>0</v>
      </c>
      <c r="F153" s="48">
        <v>585</v>
      </c>
      <c r="G153" s="93" t="str">
        <f>A152</f>
        <v xml:space="preserve">2nd &amp; 4th Floor </v>
      </c>
      <c r="H153" s="93"/>
      <c r="I153" s="27"/>
      <c r="J153" s="53">
        <f t="shared" ref="J153:J158" si="33">F153/D153</f>
        <v>1.5409735624411733</v>
      </c>
      <c r="N153" s="49" t="str">
        <f t="shared" ref="N153:N158" ca="1" si="34">O153&amp;""&amp;" &amp; "&amp;""&amp;P153</f>
        <v>201 &amp; 401</v>
      </c>
      <c r="O153" s="49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10^ROW(INDIRECT("1:"&amp;LEN((LEFT(A152,SUM(LEN(A152)-LEN(SUBSTITUTE(A152,{"0","1","2"},""))))))))/10))*100+1</f>
        <v>201</v>
      </c>
      <c r="P153" s="49">
        <f ca="1">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",LEN(A152))),LEN(A152)))))))/10))*100+1</f>
        <v>401</v>
      </c>
    </row>
    <row r="154" spans="1:16" s="49" customFormat="1" x14ac:dyDescent="0.35">
      <c r="A154" s="93" t="str">
        <f t="shared" ca="1" si="32"/>
        <v>202 &amp; 402</v>
      </c>
      <c r="B154" s="93"/>
      <c r="C154" s="48" t="s">
        <v>156</v>
      </c>
      <c r="D154" s="48">
        <f>(2.74*4.4+2.25*2.1+1.2*0.9+1.2*1.5+3.5*2.6+2.7*0.9+0.75*(2.74+2.25+2.6))*10.764</f>
        <v>397.01399400000003</v>
      </c>
      <c r="E154" s="48">
        <v>0</v>
      </c>
      <c r="F154" s="48">
        <v>630</v>
      </c>
      <c r="G154" s="93" t="str">
        <f t="shared" ref="G154:G158" si="35">G153</f>
        <v xml:space="preserve">2nd &amp; 4th Floor </v>
      </c>
      <c r="H154" s="93"/>
      <c r="I154" s="27"/>
      <c r="J154" s="53">
        <f t="shared" si="33"/>
        <v>1.5868458279080206</v>
      </c>
      <c r="N154" s="49" t="str">
        <f t="shared" ca="1" si="34"/>
        <v>202 &amp; 402</v>
      </c>
      <c r="O154" s="49">
        <f t="shared" ref="O154:P154" ca="1" si="36">O153+1</f>
        <v>202</v>
      </c>
      <c r="P154" s="49">
        <f t="shared" ca="1" si="36"/>
        <v>402</v>
      </c>
    </row>
    <row r="155" spans="1:16" s="49" customFormat="1" x14ac:dyDescent="0.35">
      <c r="A155" s="93" t="str">
        <f t="shared" ca="1" si="32"/>
        <v>203 &amp; 403</v>
      </c>
      <c r="B155" s="93"/>
      <c r="C155" s="48" t="s">
        <v>156</v>
      </c>
      <c r="D155" s="48">
        <f>(4.25*2.74+2.15*2.25+3.2*2.4+1.25*1.8+1.25*2+0.9*1.5+0.75*(1.75+2.25+2.4))*10.764</f>
        <v>377.41274999999996</v>
      </c>
      <c r="E155" s="48">
        <v>0</v>
      </c>
      <c r="F155" s="48">
        <v>575</v>
      </c>
      <c r="G155" s="93" t="str">
        <f t="shared" si="35"/>
        <v xml:space="preserve">2nd &amp; 4th Floor </v>
      </c>
      <c r="H155" s="93"/>
      <c r="I155" s="27"/>
      <c r="J155" s="53">
        <f t="shared" si="33"/>
        <v>1.5235309352956414</v>
      </c>
      <c r="N155" s="49" t="str">
        <f t="shared" ca="1" si="34"/>
        <v>203 &amp; 403</v>
      </c>
      <c r="O155" s="49">
        <f t="shared" ref="O155:P155" ca="1" si="37">O154+1</f>
        <v>203</v>
      </c>
      <c r="P155" s="49">
        <f t="shared" ca="1" si="37"/>
        <v>403</v>
      </c>
    </row>
    <row r="156" spans="1:16" s="49" customFormat="1" x14ac:dyDescent="0.35">
      <c r="A156" s="93" t="str">
        <f t="shared" ca="1" si="32"/>
        <v>204 &amp; 404</v>
      </c>
      <c r="B156" s="93"/>
      <c r="C156" s="48" t="s">
        <v>156</v>
      </c>
      <c r="D156" s="48">
        <f>(2.7*4.5+2.1*2.1+3.2*2.55+1.2*1.65+0.9*1.2+1.2*0.9+0.9*1.5+0.75*(2.7+2.1+2.1+2.55))*10.764</f>
        <v>401.47028999999998</v>
      </c>
      <c r="E156" s="48">
        <v>0</v>
      </c>
      <c r="F156" s="48">
        <v>645</v>
      </c>
      <c r="G156" s="93" t="str">
        <f t="shared" si="35"/>
        <v xml:space="preserve">2nd &amp; 4th Floor </v>
      </c>
      <c r="H156" s="93"/>
      <c r="I156" s="27"/>
      <c r="J156" s="53">
        <f t="shared" si="33"/>
        <v>1.606594600063681</v>
      </c>
      <c r="N156" s="49" t="str">
        <f t="shared" ca="1" si="34"/>
        <v>204 &amp; 404</v>
      </c>
      <c r="O156" s="49">
        <f t="shared" ref="O156:P156" ca="1" si="38">O155+1</f>
        <v>204</v>
      </c>
      <c r="P156" s="49">
        <f t="shared" ca="1" si="38"/>
        <v>404</v>
      </c>
    </row>
    <row r="157" spans="1:16" s="49" customFormat="1" x14ac:dyDescent="0.35">
      <c r="A157" s="93" t="str">
        <f t="shared" ca="1" si="32"/>
        <v>205 &amp; 405</v>
      </c>
      <c r="B157" s="93"/>
      <c r="C157" s="48" t="s">
        <v>157</v>
      </c>
      <c r="D157" s="48">
        <f>(2.7*4.5+2.25*2.3+2.7*3.3+3.5*2.75+1.2*2.1+1.2*2.1+1.2*1.75+0.9*1.2+0.75*(2.7+2.25+2.7+2.75))*10.764</f>
        <v>558.43632000000002</v>
      </c>
      <c r="E157" s="48">
        <v>0</v>
      </c>
      <c r="F157" s="48">
        <v>860</v>
      </c>
      <c r="G157" s="93" t="str">
        <f t="shared" si="35"/>
        <v xml:space="preserve">2nd &amp; 4th Floor </v>
      </c>
      <c r="H157" s="93"/>
      <c r="I157" s="27"/>
      <c r="J157" s="53">
        <f t="shared" si="33"/>
        <v>1.5400144460517897</v>
      </c>
      <c r="N157" s="49" t="str">
        <f t="shared" ca="1" si="34"/>
        <v>205 &amp; 405</v>
      </c>
      <c r="O157" s="49">
        <f t="shared" ref="O157:P157" ca="1" si="39">O156+1</f>
        <v>205</v>
      </c>
      <c r="P157" s="49">
        <f t="shared" ca="1" si="39"/>
        <v>405</v>
      </c>
    </row>
    <row r="158" spans="1:16" s="49" customFormat="1" x14ac:dyDescent="0.35">
      <c r="A158" s="93" t="str">
        <f t="shared" ca="1" si="32"/>
        <v>206 &amp; 406</v>
      </c>
      <c r="B158" s="93"/>
      <c r="C158" s="48" t="s">
        <v>156</v>
      </c>
      <c r="D158" s="48">
        <f>(4.4*2.7+2.3*2.1+3.35*2.75+1.2*1.95+1.2*1.95+0.9*1.2+0.75*(1.5+2.1+2.75))*10.764</f>
        <v>392.29397999999992</v>
      </c>
      <c r="E158" s="48">
        <v>0</v>
      </c>
      <c r="F158" s="48">
        <v>610</v>
      </c>
      <c r="G158" s="93" t="str">
        <f t="shared" si="35"/>
        <v xml:space="preserve">2nd &amp; 4th Floor </v>
      </c>
      <c r="H158" s="93"/>
      <c r="I158" s="27"/>
      <c r="J158" s="53">
        <f t="shared" si="33"/>
        <v>1.5549563110807871</v>
      </c>
      <c r="N158" s="49" t="str">
        <f t="shared" ca="1" si="34"/>
        <v>206 &amp; 406</v>
      </c>
      <c r="O158" s="49">
        <f t="shared" ref="O158:P158" ca="1" si="40">O157+1</f>
        <v>206</v>
      </c>
      <c r="P158" s="49">
        <f t="shared" ca="1" si="40"/>
        <v>406</v>
      </c>
    </row>
    <row r="159" spans="1:16" s="1" customFormat="1" x14ac:dyDescent="0.35">
      <c r="A159" s="151" t="s">
        <v>72</v>
      </c>
      <c r="B159" s="151"/>
      <c r="C159" s="151"/>
      <c r="D159" s="151"/>
      <c r="E159" s="151"/>
      <c r="F159" s="151"/>
      <c r="G159" s="151"/>
      <c r="H159" s="151"/>
    </row>
    <row r="160" spans="1:16" s="1" customFormat="1" ht="30" customHeight="1" x14ac:dyDescent="0.35">
      <c r="A160" s="50">
        <v>1</v>
      </c>
      <c r="B160" s="114" t="s">
        <v>212</v>
      </c>
      <c r="C160" s="114"/>
      <c r="D160" s="114"/>
      <c r="E160" s="114"/>
      <c r="F160" s="114"/>
      <c r="G160" s="114"/>
      <c r="H160" s="114"/>
    </row>
    <row r="161" spans="1:8" s="1" customFormat="1" x14ac:dyDescent="0.35">
      <c r="A161" s="58">
        <f t="shared" ref="A161:A166" si="41">A160+1</f>
        <v>2</v>
      </c>
      <c r="B161" s="73" t="str">
        <f>(IF(F124="Saleable area Loading :","We have considered Saleable area of Flats as per our Calculation.","We considered Saleable area of Flat as per Builder area Sheet."))</f>
        <v>We considered Saleable area of Flat as per Builder area Sheet.</v>
      </c>
      <c r="C161" s="74"/>
      <c r="D161" s="74"/>
      <c r="E161" s="74"/>
      <c r="F161" s="74"/>
      <c r="G161" s="74"/>
      <c r="H161" s="75"/>
    </row>
    <row r="162" spans="1:8" s="1" customFormat="1" x14ac:dyDescent="0.35">
      <c r="A162" s="58">
        <f t="shared" si="41"/>
        <v>3</v>
      </c>
      <c r="B162" s="73" t="str">
        <f>(IF(F109="Saleable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62" s="74"/>
      <c r="D162" s="74"/>
      <c r="E162" s="74"/>
      <c r="F162" s="74"/>
      <c r="G162" s="74"/>
      <c r="H162" s="75"/>
    </row>
    <row r="163" spans="1:8" s="1" customFormat="1" x14ac:dyDescent="0.35">
      <c r="A163" s="58">
        <f>A162+1</f>
        <v>4</v>
      </c>
      <c r="B163" s="111" t="s">
        <v>125</v>
      </c>
      <c r="C163" s="112"/>
      <c r="D163" s="112"/>
      <c r="E163" s="112"/>
      <c r="F163" s="112"/>
      <c r="G163" s="112"/>
      <c r="H163" s="113"/>
    </row>
    <row r="164" spans="1:8" s="1" customFormat="1" x14ac:dyDescent="0.35">
      <c r="A164" s="58">
        <f t="shared" si="41"/>
        <v>5</v>
      </c>
      <c r="B164" s="111" t="s">
        <v>184</v>
      </c>
      <c r="C164" s="112"/>
      <c r="D164" s="112"/>
      <c r="E164" s="112"/>
      <c r="F164" s="112"/>
      <c r="G164" s="112"/>
      <c r="H164" s="113"/>
    </row>
    <row r="165" spans="1:8" s="1" customFormat="1" x14ac:dyDescent="0.35">
      <c r="A165" s="58">
        <f t="shared" si="41"/>
        <v>6</v>
      </c>
      <c r="B165" s="111" t="s">
        <v>126</v>
      </c>
      <c r="C165" s="112"/>
      <c r="D165" s="112"/>
      <c r="E165" s="112"/>
      <c r="F165" s="112"/>
      <c r="G165" s="112"/>
      <c r="H165" s="113"/>
    </row>
    <row r="166" spans="1:8" s="1" customFormat="1" x14ac:dyDescent="0.35">
      <c r="A166" s="50">
        <f t="shared" si="41"/>
        <v>7</v>
      </c>
      <c r="B166" s="73" t="s">
        <v>127</v>
      </c>
      <c r="C166" s="74"/>
      <c r="D166" s="74"/>
      <c r="E166" s="74"/>
      <c r="F166" s="74"/>
      <c r="G166" s="74"/>
      <c r="H166" s="75"/>
    </row>
    <row r="167" spans="1:8" s="1" customFormat="1" ht="35.25" customHeight="1" x14ac:dyDescent="0.35">
      <c r="A167" s="50">
        <v>8</v>
      </c>
      <c r="B167" s="73" t="s">
        <v>208</v>
      </c>
      <c r="C167" s="74"/>
      <c r="D167" s="74"/>
      <c r="E167" s="74"/>
      <c r="F167" s="74"/>
      <c r="G167" s="74"/>
      <c r="H167" s="75"/>
    </row>
    <row r="168" spans="1:8" s="1" customFormat="1" ht="30" customHeight="1" x14ac:dyDescent="0.35">
      <c r="A168" s="50">
        <v>9</v>
      </c>
      <c r="B168" s="73" t="s">
        <v>203</v>
      </c>
      <c r="C168" s="74"/>
      <c r="D168" s="74"/>
      <c r="E168" s="74"/>
      <c r="F168" s="74"/>
      <c r="G168" s="74"/>
      <c r="H168" s="75"/>
    </row>
    <row r="169" spans="1:8" s="1" customFormat="1" hidden="1" x14ac:dyDescent="0.35">
      <c r="A169" s="50">
        <f>A166+1</f>
        <v>8</v>
      </c>
      <c r="B169" s="73" t="s">
        <v>187</v>
      </c>
      <c r="C169" s="74"/>
      <c r="D169" s="74"/>
      <c r="E169" s="74"/>
      <c r="F169" s="74"/>
      <c r="G169" s="74"/>
      <c r="H169" s="75"/>
    </row>
    <row r="170" spans="1:8" x14ac:dyDescent="0.35">
      <c r="A170" s="152" t="s">
        <v>65</v>
      </c>
      <c r="B170" s="152"/>
      <c r="C170" s="152"/>
      <c r="D170" s="152"/>
      <c r="E170" s="152"/>
      <c r="F170" s="152"/>
      <c r="G170" s="152"/>
      <c r="H170" s="152"/>
    </row>
    <row r="171" spans="1:8" x14ac:dyDescent="0.35">
      <c r="A171" s="92" t="s">
        <v>66</v>
      </c>
      <c r="B171" s="92"/>
      <c r="C171" s="92"/>
      <c r="D171" s="92"/>
      <c r="E171" s="92"/>
      <c r="F171" s="92"/>
      <c r="G171" s="92"/>
      <c r="H171" s="92"/>
    </row>
    <row r="172" spans="1:8" ht="15.75" customHeight="1" x14ac:dyDescent="0.35">
      <c r="A172" s="164" t="s">
        <v>67</v>
      </c>
      <c r="B172" s="164"/>
      <c r="C172" s="164"/>
      <c r="D172" s="164"/>
      <c r="E172" s="164"/>
      <c r="F172" s="164"/>
      <c r="G172" s="164"/>
      <c r="H172" s="164"/>
    </row>
    <row r="173" spans="1:8" x14ac:dyDescent="0.35">
      <c r="A173" s="115" t="s">
        <v>68</v>
      </c>
      <c r="B173" s="115"/>
      <c r="C173" s="115"/>
      <c r="D173" s="115"/>
      <c r="E173" s="115"/>
      <c r="F173" s="115"/>
      <c r="G173" s="115"/>
      <c r="H173" s="115"/>
    </row>
    <row r="174" spans="1:8" x14ac:dyDescent="0.35">
      <c r="A174" s="115" t="s">
        <v>69</v>
      </c>
      <c r="B174" s="115"/>
      <c r="C174" s="115"/>
      <c r="D174" s="115"/>
      <c r="E174" s="115"/>
      <c r="F174" s="115"/>
      <c r="G174" s="115"/>
      <c r="H174" s="115"/>
    </row>
    <row r="175" spans="1:8" x14ac:dyDescent="0.35">
      <c r="A175" s="115" t="s">
        <v>128</v>
      </c>
      <c r="B175" s="115"/>
      <c r="C175" s="115"/>
      <c r="D175" s="115"/>
      <c r="E175" s="115"/>
      <c r="F175" s="115"/>
      <c r="G175" s="115"/>
      <c r="H175" s="115"/>
    </row>
    <row r="176" spans="1:8" ht="35.25" customHeight="1" x14ac:dyDescent="0.35">
      <c r="A176" s="125" t="s">
        <v>129</v>
      </c>
      <c r="B176" s="125"/>
      <c r="C176" s="125"/>
      <c r="D176" s="125"/>
      <c r="E176" s="125"/>
      <c r="F176" s="125"/>
      <c r="G176" s="125"/>
      <c r="H176" s="125"/>
    </row>
    <row r="177" spans="1:8" x14ac:dyDescent="0.35">
      <c r="A177" s="149" t="s">
        <v>82</v>
      </c>
      <c r="B177" s="149"/>
      <c r="C177" s="149" t="s">
        <v>207</v>
      </c>
      <c r="D177" s="149"/>
      <c r="E177" s="149" t="s">
        <v>108</v>
      </c>
      <c r="F177" s="149"/>
      <c r="G177" s="149" t="s">
        <v>210</v>
      </c>
      <c r="H177" s="149"/>
    </row>
    <row r="178" spans="1:8" x14ac:dyDescent="0.35">
      <c r="A178" s="148" t="s">
        <v>84</v>
      </c>
      <c r="B178" s="148"/>
      <c r="C178" s="148"/>
      <c r="D178" s="148"/>
      <c r="E178" s="148"/>
      <c r="F178" s="148"/>
      <c r="G178" s="148"/>
      <c r="H178" s="148"/>
    </row>
    <row r="179" spans="1:8" x14ac:dyDescent="0.35">
      <c r="A179" s="148"/>
      <c r="B179" s="148"/>
      <c r="C179" s="148"/>
      <c r="D179" s="148"/>
      <c r="E179" s="148"/>
      <c r="F179" s="148"/>
      <c r="G179" s="148"/>
      <c r="H179" s="148"/>
    </row>
    <row r="180" spans="1:8" x14ac:dyDescent="0.35">
      <c r="A180" s="148"/>
      <c r="B180" s="148"/>
      <c r="C180" s="148"/>
      <c r="D180" s="148"/>
      <c r="E180" s="148"/>
      <c r="F180" s="148"/>
      <c r="G180" s="148"/>
      <c r="H180" s="148"/>
    </row>
    <row r="181" spans="1:8" x14ac:dyDescent="0.35">
      <c r="A181" s="148"/>
      <c r="B181" s="148"/>
      <c r="C181" s="148"/>
      <c r="D181" s="148"/>
      <c r="E181" s="148"/>
      <c r="F181" s="148"/>
      <c r="G181" s="148"/>
      <c r="H181" s="148"/>
    </row>
    <row r="182" spans="1:8" x14ac:dyDescent="0.35">
      <c r="A182" s="65" t="s">
        <v>70</v>
      </c>
      <c r="B182" s="66"/>
      <c r="C182" s="66"/>
      <c r="D182" s="65" t="str">
        <f>E8</f>
        <v>Doha Heights</v>
      </c>
      <c r="E182" s="67"/>
      <c r="F182" s="66"/>
      <c r="G182" s="66"/>
      <c r="H182" s="66"/>
    </row>
    <row r="183" spans="1:8" x14ac:dyDescent="0.35">
      <c r="A183" s="66"/>
      <c r="B183" s="66"/>
      <c r="C183" s="66"/>
      <c r="D183" s="66"/>
      <c r="E183" s="66"/>
      <c r="F183" s="66"/>
      <c r="G183" s="66"/>
      <c r="H183" s="66"/>
    </row>
    <row r="184" spans="1:8" x14ac:dyDescent="0.35">
      <c r="A184" s="66"/>
      <c r="B184" s="66"/>
      <c r="C184" s="66"/>
      <c r="D184" s="66"/>
      <c r="E184" s="66"/>
      <c r="F184" s="66"/>
      <c r="G184" s="66"/>
      <c r="H184" s="66"/>
    </row>
    <row r="185" spans="1:8" ht="15" customHeight="1" x14ac:dyDescent="0.35">
      <c r="A185" s="67"/>
      <c r="B185" s="67"/>
      <c r="C185" s="67"/>
      <c r="D185" s="67"/>
      <c r="E185" s="67"/>
      <c r="F185" s="67"/>
      <c r="G185" s="67"/>
      <c r="H185" s="67"/>
    </row>
    <row r="186" spans="1:8" x14ac:dyDescent="0.35">
      <c r="A186" s="67"/>
      <c r="B186" s="67"/>
      <c r="C186" s="67"/>
      <c r="D186" s="67"/>
      <c r="E186" s="67"/>
      <c r="F186" s="67"/>
      <c r="G186" s="67"/>
      <c r="H186" s="67"/>
    </row>
    <row r="187" spans="1:8" x14ac:dyDescent="0.35">
      <c r="A187" s="67"/>
      <c r="B187" s="67"/>
      <c r="C187" s="67"/>
      <c r="D187" s="67"/>
      <c r="E187" s="67"/>
      <c r="F187" s="67"/>
      <c r="G187" s="67"/>
      <c r="H187" s="67"/>
    </row>
    <row r="188" spans="1:8" x14ac:dyDescent="0.35">
      <c r="A188" s="67"/>
      <c r="B188" s="67"/>
      <c r="C188" s="67"/>
      <c r="D188" s="67"/>
      <c r="E188" s="67"/>
      <c r="F188" s="67"/>
      <c r="G188" s="67"/>
      <c r="H188" s="67"/>
    </row>
    <row r="189" spans="1:8" x14ac:dyDescent="0.35">
      <c r="A189" s="67"/>
      <c r="B189" s="67"/>
      <c r="C189" s="67"/>
      <c r="D189" s="67"/>
      <c r="E189" s="67"/>
      <c r="F189" s="67"/>
      <c r="G189" s="67"/>
      <c r="H189" s="67"/>
    </row>
    <row r="190" spans="1:8" x14ac:dyDescent="0.35">
      <c r="A190" s="67"/>
      <c r="B190" s="67"/>
      <c r="C190" s="67"/>
      <c r="D190" s="67"/>
      <c r="E190" s="67"/>
      <c r="F190" s="67"/>
      <c r="G190" s="67"/>
      <c r="H190" s="67"/>
    </row>
    <row r="191" spans="1:8" x14ac:dyDescent="0.35">
      <c r="A191" s="67"/>
      <c r="B191" s="67"/>
      <c r="C191" s="67"/>
      <c r="D191" s="67"/>
      <c r="E191" s="67"/>
      <c r="F191" s="67"/>
      <c r="G191" s="67"/>
      <c r="H191" s="67"/>
    </row>
    <row r="192" spans="1:8" x14ac:dyDescent="0.35">
      <c r="A192" s="67"/>
      <c r="B192" s="67"/>
      <c r="C192" s="67"/>
      <c r="D192" s="67"/>
      <c r="E192" s="67"/>
      <c r="F192" s="67"/>
      <c r="G192" s="67"/>
      <c r="H192" s="67"/>
    </row>
    <row r="193" spans="1:8" x14ac:dyDescent="0.35">
      <c r="A193" s="67"/>
      <c r="B193" s="67"/>
      <c r="C193" s="67"/>
      <c r="D193" s="67"/>
      <c r="E193" s="67"/>
      <c r="F193" s="67"/>
      <c r="G193" s="67"/>
      <c r="H193" s="67"/>
    </row>
    <row r="194" spans="1:8" x14ac:dyDescent="0.35">
      <c r="A194" s="67"/>
      <c r="B194" s="67"/>
      <c r="C194" s="67"/>
      <c r="D194" s="67"/>
      <c r="E194" s="67"/>
      <c r="F194" s="67"/>
      <c r="G194" s="67"/>
      <c r="H194" s="67"/>
    </row>
    <row r="195" spans="1:8" x14ac:dyDescent="0.35">
      <c r="A195" s="67"/>
      <c r="B195" s="67"/>
      <c r="C195" s="67"/>
      <c r="D195" s="67"/>
      <c r="E195" s="67"/>
      <c r="F195" s="67"/>
      <c r="G195" s="67"/>
      <c r="H195" s="67"/>
    </row>
    <row r="196" spans="1:8" x14ac:dyDescent="0.35">
      <c r="A196" s="67"/>
      <c r="B196" s="67"/>
      <c r="C196" s="67"/>
      <c r="D196" s="67"/>
      <c r="E196" s="67"/>
      <c r="F196" s="67"/>
      <c r="G196" s="67"/>
      <c r="H196" s="67"/>
    </row>
    <row r="197" spans="1:8" x14ac:dyDescent="0.35">
      <c r="A197" s="67"/>
      <c r="B197" s="67"/>
      <c r="C197" s="67"/>
      <c r="D197" s="67"/>
      <c r="E197" s="67"/>
      <c r="F197" s="67"/>
      <c r="G197" s="67"/>
      <c r="H197" s="67"/>
    </row>
    <row r="198" spans="1:8" x14ac:dyDescent="0.35">
      <c r="A198" s="67"/>
      <c r="B198" s="67"/>
      <c r="C198" s="67"/>
      <c r="D198" s="67"/>
      <c r="E198" s="67"/>
      <c r="F198" s="67"/>
      <c r="G198" s="67"/>
      <c r="H198" s="67"/>
    </row>
    <row r="199" spans="1:8" x14ac:dyDescent="0.35">
      <c r="A199" s="67"/>
      <c r="B199" s="67"/>
      <c r="C199" s="67"/>
      <c r="D199" s="67"/>
      <c r="E199" s="67"/>
      <c r="F199" s="67"/>
      <c r="G199" s="67"/>
      <c r="H199" s="67"/>
    </row>
    <row r="200" spans="1:8" x14ac:dyDescent="0.35">
      <c r="A200" s="67"/>
      <c r="B200" s="67"/>
      <c r="C200" s="67"/>
      <c r="D200" s="67"/>
      <c r="E200" s="67"/>
      <c r="F200" s="67"/>
      <c r="G200" s="67"/>
      <c r="H200" s="67"/>
    </row>
    <row r="201" spans="1:8" x14ac:dyDescent="0.35">
      <c r="A201" s="67"/>
      <c r="B201" s="67"/>
      <c r="C201" s="67"/>
      <c r="D201" s="67"/>
      <c r="E201" s="67"/>
      <c r="F201" s="67"/>
      <c r="G201" s="67"/>
      <c r="H201" s="67"/>
    </row>
    <row r="202" spans="1:8" x14ac:dyDescent="0.35">
      <c r="A202" s="67"/>
      <c r="B202" s="67"/>
      <c r="C202" s="67"/>
      <c r="D202" s="67"/>
      <c r="E202" s="67"/>
      <c r="F202" s="67"/>
      <c r="G202" s="67"/>
      <c r="H202" s="67"/>
    </row>
    <row r="203" spans="1:8" x14ac:dyDescent="0.35">
      <c r="A203" s="67"/>
      <c r="B203" s="67"/>
      <c r="C203" s="67"/>
      <c r="D203" s="67"/>
      <c r="E203" s="67"/>
      <c r="F203" s="67"/>
      <c r="G203" s="67"/>
      <c r="H203" s="67"/>
    </row>
    <row r="204" spans="1:8" x14ac:dyDescent="0.35">
      <c r="A204" s="67"/>
      <c r="B204" s="67"/>
      <c r="C204" s="67"/>
      <c r="D204" s="67"/>
      <c r="E204" s="67"/>
      <c r="F204" s="67"/>
      <c r="G204" s="67"/>
      <c r="H204" s="67"/>
    </row>
    <row r="205" spans="1:8" x14ac:dyDescent="0.35">
      <c r="A205" s="67"/>
      <c r="B205" s="67"/>
      <c r="C205" s="67"/>
      <c r="D205" s="67"/>
      <c r="E205" s="67"/>
      <c r="F205" s="67"/>
      <c r="G205" s="67"/>
      <c r="H205" s="67"/>
    </row>
    <row r="206" spans="1:8" x14ac:dyDescent="0.35">
      <c r="A206" s="67"/>
      <c r="B206" s="67"/>
      <c r="C206" s="67"/>
      <c r="D206" s="67"/>
      <c r="E206" s="67"/>
      <c r="F206" s="67"/>
      <c r="G206" s="67"/>
      <c r="H206" s="67"/>
    </row>
    <row r="207" spans="1:8" x14ac:dyDescent="0.35">
      <c r="A207" s="67"/>
      <c r="B207" s="67"/>
      <c r="C207" s="67"/>
      <c r="D207" s="67"/>
      <c r="E207" s="67"/>
      <c r="F207" s="67"/>
      <c r="G207" s="67"/>
      <c r="H207" s="67"/>
    </row>
    <row r="208" spans="1:8" x14ac:dyDescent="0.35">
      <c r="A208" s="67"/>
      <c r="B208" s="67"/>
      <c r="C208" s="67"/>
      <c r="D208" s="67"/>
      <c r="E208" s="67"/>
      <c r="F208" s="67"/>
      <c r="G208" s="67"/>
      <c r="H208" s="67"/>
    </row>
    <row r="209" spans="1:8" x14ac:dyDescent="0.35">
      <c r="A209" s="67"/>
      <c r="B209" s="67"/>
      <c r="C209" s="67"/>
      <c r="D209" s="67"/>
      <c r="E209" s="67"/>
      <c r="F209" s="67"/>
      <c r="G209" s="67"/>
      <c r="H209" s="67"/>
    </row>
    <row r="210" spans="1:8" x14ac:dyDescent="0.35">
      <c r="A210" s="67"/>
      <c r="B210" s="67"/>
      <c r="C210" s="67"/>
      <c r="D210" s="67"/>
      <c r="E210" s="67"/>
      <c r="F210" s="67"/>
      <c r="G210" s="67"/>
      <c r="H210" s="67"/>
    </row>
    <row r="211" spans="1:8" x14ac:dyDescent="0.35">
      <c r="A211" s="67"/>
      <c r="B211" s="67"/>
      <c r="C211" s="67"/>
      <c r="D211" s="67"/>
      <c r="E211" s="67"/>
      <c r="F211" s="67"/>
      <c r="G211" s="67"/>
      <c r="H211" s="67"/>
    </row>
    <row r="212" spans="1:8" x14ac:dyDescent="0.35">
      <c r="A212" s="67"/>
      <c r="B212" s="67"/>
      <c r="C212" s="67"/>
      <c r="D212" s="67"/>
      <c r="E212" s="67"/>
      <c r="F212" s="67"/>
      <c r="G212" s="67"/>
      <c r="H212" s="67"/>
    </row>
    <row r="213" spans="1:8" x14ac:dyDescent="0.35">
      <c r="A213" s="67"/>
      <c r="B213" s="67"/>
      <c r="C213" s="67"/>
      <c r="D213" s="67"/>
      <c r="E213" s="67"/>
      <c r="F213" s="67"/>
      <c r="G213" s="67"/>
      <c r="H213" s="67"/>
    </row>
    <row r="214" spans="1:8" x14ac:dyDescent="0.35">
      <c r="A214" s="67"/>
      <c r="B214" s="67"/>
      <c r="C214" s="67"/>
      <c r="D214" s="67"/>
      <c r="E214" s="67"/>
      <c r="F214" s="67"/>
      <c r="G214" s="67"/>
      <c r="H214" s="67"/>
    </row>
    <row r="215" spans="1:8" x14ac:dyDescent="0.35">
      <c r="A215" s="67"/>
      <c r="B215" s="67"/>
      <c r="C215" s="67"/>
      <c r="D215" s="67"/>
      <c r="E215" s="67"/>
      <c r="F215" s="67"/>
      <c r="G215" s="67"/>
      <c r="H215" s="67"/>
    </row>
    <row r="216" spans="1:8" x14ac:dyDescent="0.35">
      <c r="A216" s="67"/>
      <c r="B216" s="67"/>
      <c r="C216" s="67"/>
      <c r="D216" s="67"/>
      <c r="E216" s="67"/>
      <c r="F216" s="67"/>
      <c r="G216" s="67"/>
      <c r="H216" s="67"/>
    </row>
    <row r="217" spans="1:8" x14ac:dyDescent="0.35">
      <c r="A217" s="67"/>
      <c r="B217" s="67"/>
      <c r="C217" s="67"/>
      <c r="D217" s="67"/>
      <c r="E217" s="67"/>
      <c r="F217" s="67"/>
      <c r="G217" s="67"/>
      <c r="H217" s="67"/>
    </row>
    <row r="218" spans="1:8" x14ac:dyDescent="0.35">
      <c r="A218" s="67"/>
      <c r="B218" s="67"/>
      <c r="C218" s="67"/>
      <c r="D218" s="67"/>
      <c r="E218" s="67"/>
      <c r="F218" s="67"/>
      <c r="G218" s="67"/>
      <c r="H218" s="67"/>
    </row>
    <row r="219" spans="1:8" x14ac:dyDescent="0.35">
      <c r="A219" s="67"/>
      <c r="B219" s="67"/>
      <c r="C219" s="67"/>
      <c r="D219" s="67"/>
      <c r="E219" s="67"/>
      <c r="F219" s="67"/>
      <c r="G219" s="67"/>
      <c r="H219" s="67"/>
    </row>
    <row r="220" spans="1:8" x14ac:dyDescent="0.35">
      <c r="A220" s="67"/>
      <c r="B220" s="67"/>
      <c r="C220" s="67"/>
      <c r="D220" s="67"/>
      <c r="E220" s="67"/>
      <c r="F220" s="67"/>
      <c r="G220" s="67"/>
      <c r="H220" s="67"/>
    </row>
    <row r="221" spans="1:8" x14ac:dyDescent="0.35">
      <c r="A221" s="68" t="s">
        <v>200</v>
      </c>
      <c r="B221" s="67"/>
      <c r="C221" s="67"/>
      <c r="D221" s="67"/>
      <c r="E221" s="67"/>
      <c r="F221" s="67"/>
      <c r="G221" s="67"/>
      <c r="H221" s="67"/>
    </row>
    <row r="222" spans="1:8" x14ac:dyDescent="0.35">
      <c r="A222" s="67"/>
      <c r="B222" s="67"/>
      <c r="C222" s="67"/>
      <c r="D222" s="67"/>
      <c r="E222" s="67"/>
      <c r="F222" s="67"/>
      <c r="G222" s="67"/>
      <c r="H222" s="67"/>
    </row>
    <row r="223" spans="1:8" x14ac:dyDescent="0.35">
      <c r="A223" s="67"/>
      <c r="B223" s="67"/>
      <c r="C223" s="67"/>
      <c r="D223" s="67"/>
      <c r="E223" s="67"/>
      <c r="F223" s="67"/>
      <c r="G223" s="67"/>
      <c r="H223" s="67"/>
    </row>
    <row r="224" spans="1:8" x14ac:dyDescent="0.35">
      <c r="A224" s="67"/>
      <c r="B224" s="67"/>
      <c r="C224" s="67"/>
      <c r="D224" s="67"/>
      <c r="E224" s="67"/>
      <c r="F224" s="67"/>
      <c r="G224" s="67"/>
      <c r="H224" s="67"/>
    </row>
    <row r="225" spans="1:8" x14ac:dyDescent="0.35">
      <c r="A225" s="67"/>
      <c r="B225" s="67"/>
      <c r="C225" s="67"/>
      <c r="D225" s="67"/>
      <c r="E225" s="67"/>
      <c r="F225" s="67"/>
      <c r="G225" s="67"/>
      <c r="H225" s="67"/>
    </row>
    <row r="226" spans="1:8" x14ac:dyDescent="0.35">
      <c r="A226" s="67"/>
      <c r="B226" s="67"/>
      <c r="C226" s="67"/>
      <c r="D226" s="67"/>
      <c r="E226" s="67"/>
      <c r="F226" s="67"/>
      <c r="G226" s="67"/>
      <c r="H226" s="67"/>
    </row>
    <row r="227" spans="1:8" x14ac:dyDescent="0.35">
      <c r="A227" s="67"/>
      <c r="B227" s="67"/>
      <c r="C227" s="67"/>
      <c r="D227" s="67"/>
      <c r="E227" s="67"/>
      <c r="F227" s="67"/>
      <c r="G227" s="67"/>
      <c r="H227" s="67"/>
    </row>
    <row r="228" spans="1:8" x14ac:dyDescent="0.35">
      <c r="A228" s="67"/>
      <c r="B228" s="67"/>
      <c r="C228" s="67"/>
      <c r="D228" s="67"/>
      <c r="E228" s="67"/>
      <c r="F228" s="67"/>
      <c r="G228" s="67"/>
      <c r="H228" s="67"/>
    </row>
    <row r="229" spans="1:8" x14ac:dyDescent="0.35">
      <c r="A229" s="67"/>
      <c r="B229" s="67"/>
      <c r="C229" s="67"/>
      <c r="D229" s="67"/>
      <c r="E229" s="67"/>
      <c r="F229" s="67"/>
      <c r="G229" s="67"/>
      <c r="H229" s="67"/>
    </row>
    <row r="230" spans="1:8" x14ac:dyDescent="0.35">
      <c r="A230" s="67"/>
      <c r="B230" s="67"/>
      <c r="C230" s="67"/>
      <c r="D230" s="67"/>
      <c r="E230" s="67"/>
      <c r="F230" s="67"/>
      <c r="G230" s="67"/>
      <c r="H230" s="67"/>
    </row>
    <row r="231" spans="1:8" x14ac:dyDescent="0.35">
      <c r="A231" s="67"/>
      <c r="B231" s="67"/>
      <c r="C231" s="67"/>
      <c r="D231" s="67"/>
      <c r="E231" s="67"/>
      <c r="F231" s="67"/>
      <c r="G231" s="67"/>
      <c r="H231" s="67"/>
    </row>
    <row r="232" spans="1:8" x14ac:dyDescent="0.35">
      <c r="A232" s="67"/>
      <c r="B232" s="67"/>
      <c r="C232" s="67"/>
      <c r="D232" s="67"/>
      <c r="E232" s="67"/>
      <c r="F232" s="67"/>
      <c r="G232" s="67"/>
      <c r="H232" s="67"/>
    </row>
    <row r="233" spans="1:8" x14ac:dyDescent="0.35">
      <c r="A233" s="67"/>
      <c r="B233" s="67"/>
      <c r="C233" s="67"/>
      <c r="D233" s="67"/>
      <c r="E233" s="67"/>
      <c r="F233" s="67"/>
      <c r="G233" s="67"/>
      <c r="H233" s="67"/>
    </row>
    <row r="234" spans="1:8" x14ac:dyDescent="0.35">
      <c r="A234" s="67"/>
      <c r="B234" s="67"/>
      <c r="C234" s="67"/>
      <c r="D234" s="67"/>
      <c r="E234" s="67"/>
      <c r="F234" s="67"/>
      <c r="G234" s="67"/>
      <c r="H234" s="67"/>
    </row>
    <row r="235" spans="1:8" x14ac:dyDescent="0.35">
      <c r="A235" s="67"/>
      <c r="B235" s="67"/>
      <c r="C235" s="67"/>
      <c r="D235" s="67"/>
      <c r="E235" s="67"/>
      <c r="F235" s="67"/>
      <c r="G235" s="67"/>
      <c r="H235" s="67"/>
    </row>
    <row r="236" spans="1:8" x14ac:dyDescent="0.35">
      <c r="A236" s="67"/>
      <c r="B236" s="67"/>
      <c r="C236" s="67"/>
      <c r="D236" s="67"/>
      <c r="E236" s="67"/>
      <c r="F236" s="67"/>
      <c r="G236" s="67"/>
      <c r="H236" s="67"/>
    </row>
    <row r="237" spans="1:8" x14ac:dyDescent="0.35">
      <c r="A237" s="67"/>
      <c r="B237" s="67"/>
      <c r="C237" s="67"/>
      <c r="D237" s="67"/>
      <c r="E237" s="67"/>
      <c r="F237" s="67"/>
      <c r="G237" s="67"/>
      <c r="H237" s="67"/>
    </row>
    <row r="238" spans="1:8" x14ac:dyDescent="0.35">
      <c r="A238" s="67"/>
      <c r="B238" s="67"/>
      <c r="C238" s="67"/>
      <c r="D238" s="67"/>
      <c r="E238" s="67"/>
      <c r="F238" s="67"/>
      <c r="G238" s="67"/>
      <c r="H238" s="67"/>
    </row>
    <row r="239" spans="1:8" x14ac:dyDescent="0.35">
      <c r="A239" s="67"/>
      <c r="B239" s="67"/>
      <c r="C239" s="67"/>
      <c r="D239" s="67"/>
      <c r="E239" s="67"/>
      <c r="F239" s="67"/>
      <c r="G239" s="67"/>
      <c r="H239" s="67"/>
    </row>
    <row r="240" spans="1:8" x14ac:dyDescent="0.35">
      <c r="A240" s="67"/>
      <c r="B240" s="67"/>
      <c r="C240" s="67"/>
      <c r="D240" s="67"/>
      <c r="E240" s="67"/>
      <c r="F240" s="67"/>
      <c r="G240" s="67"/>
      <c r="H240" s="67"/>
    </row>
    <row r="241" spans="1:8" x14ac:dyDescent="0.35">
      <c r="A241" s="67"/>
      <c r="B241" s="67"/>
      <c r="C241" s="67"/>
      <c r="D241" s="67"/>
      <c r="E241" s="67"/>
      <c r="F241" s="67"/>
      <c r="G241" s="67"/>
      <c r="H241" s="67"/>
    </row>
    <row r="242" spans="1:8" x14ac:dyDescent="0.35">
      <c r="A242" s="67"/>
      <c r="B242" s="67"/>
      <c r="C242" s="67"/>
      <c r="D242" s="67"/>
      <c r="E242" s="67"/>
      <c r="F242" s="67"/>
      <c r="G242" s="67"/>
      <c r="H242" s="67"/>
    </row>
    <row r="243" spans="1:8" x14ac:dyDescent="0.35">
      <c r="A243" s="67"/>
      <c r="B243" s="67"/>
      <c r="C243" s="67"/>
      <c r="D243" s="67"/>
      <c r="E243" s="67"/>
      <c r="F243" s="67"/>
      <c r="G243" s="67"/>
      <c r="H243" s="67"/>
    </row>
    <row r="244" spans="1:8" x14ac:dyDescent="0.35">
      <c r="A244" s="67"/>
      <c r="B244" s="67"/>
      <c r="C244" s="67"/>
      <c r="D244" s="67"/>
      <c r="E244" s="67"/>
      <c r="F244" s="67"/>
      <c r="G244" s="67"/>
      <c r="H244" s="67"/>
    </row>
    <row r="245" spans="1:8" x14ac:dyDescent="0.35">
      <c r="A245" s="67"/>
      <c r="B245" s="67"/>
      <c r="C245" s="67"/>
      <c r="D245" s="67"/>
      <c r="E245" s="67"/>
      <c r="F245" s="67"/>
      <c r="G245" s="67"/>
      <c r="H245" s="67"/>
    </row>
    <row r="246" spans="1:8" x14ac:dyDescent="0.35">
      <c r="A246" s="67"/>
      <c r="B246" s="67"/>
      <c r="C246" s="67"/>
      <c r="D246" s="67"/>
      <c r="E246" s="67"/>
      <c r="F246" s="67"/>
      <c r="G246" s="67"/>
      <c r="H246" s="67"/>
    </row>
    <row r="247" spans="1:8" x14ac:dyDescent="0.35">
      <c r="A247" s="67"/>
      <c r="B247" s="67"/>
      <c r="C247" s="67"/>
      <c r="D247" s="67"/>
      <c r="E247" s="67"/>
      <c r="F247" s="67"/>
      <c r="G247" s="67"/>
      <c r="H247" s="67"/>
    </row>
    <row r="248" spans="1:8" x14ac:dyDescent="0.35">
      <c r="A248" s="67"/>
      <c r="B248" s="67"/>
      <c r="C248" s="67"/>
      <c r="D248" s="67"/>
      <c r="E248" s="67"/>
      <c r="F248" s="67"/>
      <c r="G248" s="67"/>
      <c r="H248" s="67"/>
    </row>
    <row r="249" spans="1:8" x14ac:dyDescent="0.35">
      <c r="A249" s="67"/>
      <c r="B249" s="67"/>
      <c r="C249" s="67"/>
      <c r="D249" s="67"/>
      <c r="E249" s="67"/>
      <c r="F249" s="67"/>
      <c r="G249" s="67"/>
      <c r="H249" s="67"/>
    </row>
    <row r="250" spans="1:8" x14ac:dyDescent="0.35">
      <c r="A250" s="67"/>
      <c r="B250" s="67"/>
      <c r="C250" s="67"/>
      <c r="D250" s="67"/>
      <c r="E250" s="67"/>
      <c r="F250" s="67"/>
      <c r="G250" s="67"/>
      <c r="H250" s="67"/>
    </row>
    <row r="251" spans="1:8" x14ac:dyDescent="0.35">
      <c r="A251" s="67"/>
      <c r="B251" s="67"/>
      <c r="C251" s="67"/>
      <c r="D251" s="67"/>
      <c r="E251" s="67"/>
      <c r="F251" s="67"/>
      <c r="G251" s="67"/>
      <c r="H251" s="67"/>
    </row>
    <row r="252" spans="1:8" x14ac:dyDescent="0.35">
      <c r="A252" s="67"/>
      <c r="B252" s="67"/>
      <c r="C252" s="67"/>
      <c r="D252" s="67"/>
      <c r="E252" s="67"/>
      <c r="F252" s="67"/>
      <c r="G252" s="67"/>
      <c r="H252" s="67"/>
    </row>
    <row r="253" spans="1:8" x14ac:dyDescent="0.35">
      <c r="A253" s="67"/>
      <c r="B253" s="67"/>
      <c r="C253" s="67"/>
      <c r="D253" s="67"/>
      <c r="E253" s="67"/>
      <c r="F253" s="67"/>
      <c r="G253" s="67"/>
      <c r="H253" s="67"/>
    </row>
    <row r="254" spans="1:8" x14ac:dyDescent="0.35">
      <c r="A254" s="67"/>
      <c r="B254" s="67"/>
      <c r="C254" s="67"/>
      <c r="D254" s="67"/>
      <c r="E254" s="67"/>
      <c r="F254" s="67"/>
      <c r="G254" s="67"/>
      <c r="H254" s="67"/>
    </row>
    <row r="255" spans="1:8" x14ac:dyDescent="0.35">
      <c r="A255" s="67"/>
      <c r="B255" s="67"/>
      <c r="C255" s="67"/>
      <c r="D255" s="67"/>
      <c r="E255" s="67"/>
      <c r="F255" s="67"/>
      <c r="G255" s="67"/>
      <c r="H255" s="67"/>
    </row>
    <row r="256" spans="1:8" x14ac:dyDescent="0.35">
      <c r="A256" s="67"/>
      <c r="B256" s="67"/>
      <c r="C256" s="67"/>
      <c r="D256" s="67"/>
      <c r="E256" s="67"/>
      <c r="F256" s="67"/>
      <c r="G256" s="67"/>
      <c r="H256" s="67"/>
    </row>
    <row r="257" spans="1:8" x14ac:dyDescent="0.35">
      <c r="A257" s="67"/>
      <c r="B257" s="67"/>
      <c r="C257" s="67"/>
      <c r="D257" s="67"/>
      <c r="E257" s="67"/>
      <c r="F257" s="67"/>
      <c r="G257" s="67"/>
      <c r="H257" s="67"/>
    </row>
    <row r="258" spans="1:8" x14ac:dyDescent="0.35">
      <c r="A258" s="67"/>
      <c r="B258" s="67"/>
      <c r="C258" s="67"/>
      <c r="D258" s="67"/>
      <c r="E258" s="67"/>
      <c r="F258" s="67"/>
      <c r="G258" s="67"/>
      <c r="H258" s="67"/>
    </row>
    <row r="259" spans="1:8" x14ac:dyDescent="0.35">
      <c r="A259" s="67"/>
      <c r="B259" s="67"/>
      <c r="C259" s="67"/>
      <c r="D259" s="67"/>
      <c r="E259" s="67"/>
      <c r="F259" s="67"/>
      <c r="G259" s="67"/>
      <c r="H259" s="67"/>
    </row>
    <row r="260" spans="1:8" x14ac:dyDescent="0.35">
      <c r="A260" s="67"/>
      <c r="B260" s="67"/>
      <c r="C260" s="67"/>
      <c r="D260" s="67"/>
      <c r="E260" s="67"/>
      <c r="F260" s="67"/>
      <c r="G260" s="67"/>
      <c r="H260" s="67"/>
    </row>
    <row r="261" spans="1:8" x14ac:dyDescent="0.35">
      <c r="A261" s="68" t="s">
        <v>71</v>
      </c>
      <c r="B261" s="67"/>
      <c r="C261" s="67"/>
      <c r="D261" s="67"/>
      <c r="E261" s="67"/>
      <c r="F261" s="67"/>
      <c r="G261" s="67"/>
      <c r="H261" s="67"/>
    </row>
    <row r="262" spans="1:8" x14ac:dyDescent="0.35">
      <c r="A262" s="67"/>
      <c r="B262" s="67"/>
      <c r="C262" s="67"/>
      <c r="D262" s="67"/>
      <c r="E262" s="67"/>
      <c r="F262" s="67"/>
      <c r="G262" s="67"/>
      <c r="H262" s="67"/>
    </row>
    <row r="263" spans="1:8" x14ac:dyDescent="0.35">
      <c r="A263" s="67"/>
      <c r="B263" s="67"/>
      <c r="C263" s="67"/>
      <c r="D263" s="67"/>
      <c r="E263" s="67"/>
      <c r="F263" s="67"/>
      <c r="G263" s="67"/>
      <c r="H263" s="67"/>
    </row>
    <row r="264" spans="1:8" x14ac:dyDescent="0.35">
      <c r="A264" s="67"/>
      <c r="B264" s="67"/>
      <c r="C264" s="67"/>
      <c r="D264" s="67"/>
      <c r="E264" s="67"/>
      <c r="F264" s="67"/>
      <c r="G264" s="67"/>
      <c r="H264" s="67"/>
    </row>
    <row r="265" spans="1:8" x14ac:dyDescent="0.35">
      <c r="A265" s="67"/>
      <c r="B265" s="67"/>
      <c r="C265" s="67"/>
      <c r="D265" s="67"/>
      <c r="E265" s="67"/>
      <c r="F265" s="67"/>
      <c r="G265" s="67"/>
      <c r="H265" s="67"/>
    </row>
    <row r="266" spans="1:8" x14ac:dyDescent="0.35">
      <c r="A266" s="67"/>
      <c r="B266" s="67"/>
      <c r="C266" s="67"/>
      <c r="D266" s="67"/>
      <c r="E266" s="67"/>
      <c r="F266" s="67"/>
      <c r="G266" s="67"/>
      <c r="H266" s="67"/>
    </row>
    <row r="267" spans="1:8" x14ac:dyDescent="0.35">
      <c r="A267" s="67"/>
      <c r="B267" s="67"/>
      <c r="C267" s="67"/>
      <c r="D267" s="67"/>
      <c r="E267" s="67"/>
      <c r="F267" s="67"/>
      <c r="G267" s="67"/>
      <c r="H267" s="67"/>
    </row>
    <row r="268" spans="1:8" x14ac:dyDescent="0.35">
      <c r="A268" s="67"/>
      <c r="B268" s="67"/>
      <c r="C268" s="67"/>
      <c r="D268" s="67"/>
      <c r="E268" s="67"/>
      <c r="F268" s="67"/>
      <c r="G268" s="67"/>
      <c r="H268" s="67"/>
    </row>
    <row r="269" spans="1:8" x14ac:dyDescent="0.35">
      <c r="A269" s="67"/>
      <c r="B269" s="67"/>
      <c r="C269" s="67"/>
      <c r="D269" s="67"/>
      <c r="E269" s="67"/>
      <c r="F269" s="67"/>
      <c r="G269" s="67"/>
      <c r="H269" s="67"/>
    </row>
    <row r="270" spans="1:8" x14ac:dyDescent="0.35">
      <c r="A270" s="67"/>
      <c r="B270" s="67"/>
      <c r="C270" s="67"/>
      <c r="D270" s="67"/>
      <c r="E270" s="67"/>
      <c r="F270" s="67"/>
      <c r="G270" s="67"/>
      <c r="H270" s="67"/>
    </row>
    <row r="271" spans="1:8" x14ac:dyDescent="0.35">
      <c r="A271" s="67"/>
      <c r="B271" s="67"/>
      <c r="C271" s="67"/>
      <c r="D271" s="67"/>
      <c r="E271" s="67"/>
      <c r="F271" s="67"/>
      <c r="G271" s="67"/>
      <c r="H271" s="67"/>
    </row>
    <row r="272" spans="1:8" x14ac:dyDescent="0.35">
      <c r="A272" s="67"/>
      <c r="B272" s="67"/>
      <c r="C272" s="67"/>
      <c r="D272" s="67"/>
      <c r="E272" s="67"/>
      <c r="F272" s="67"/>
      <c r="G272" s="67"/>
      <c r="H272" s="67"/>
    </row>
    <row r="273" spans="1:8" x14ac:dyDescent="0.35">
      <c r="A273" s="67"/>
      <c r="B273" s="67"/>
      <c r="C273" s="67"/>
      <c r="D273" s="67"/>
      <c r="E273" s="67"/>
      <c r="F273" s="67"/>
      <c r="G273" s="67"/>
      <c r="H273" s="67"/>
    </row>
    <row r="274" spans="1:8" x14ac:dyDescent="0.35">
      <c r="A274" s="67"/>
      <c r="B274" s="67"/>
      <c r="C274" s="67"/>
      <c r="D274" s="67"/>
      <c r="E274" s="67"/>
      <c r="F274" s="67"/>
      <c r="G274" s="67"/>
      <c r="H274" s="67"/>
    </row>
    <row r="275" spans="1:8" x14ac:dyDescent="0.35">
      <c r="A275" s="67"/>
      <c r="B275" s="67"/>
      <c r="C275" s="67"/>
      <c r="D275" s="67"/>
      <c r="E275" s="67"/>
      <c r="F275" s="67"/>
      <c r="G275" s="67"/>
      <c r="H275" s="67"/>
    </row>
    <row r="276" spans="1:8" x14ac:dyDescent="0.35">
      <c r="A276" s="67"/>
      <c r="B276" s="67"/>
      <c r="C276" s="67"/>
      <c r="D276" s="67"/>
      <c r="E276" s="67"/>
      <c r="F276" s="67"/>
      <c r="G276" s="67"/>
      <c r="H276" s="67"/>
    </row>
    <row r="277" spans="1:8" x14ac:dyDescent="0.35">
      <c r="A277" s="67"/>
      <c r="B277" s="67"/>
      <c r="C277" s="67"/>
      <c r="D277" s="67"/>
      <c r="E277" s="67"/>
      <c r="F277" s="67"/>
      <c r="G277" s="67"/>
      <c r="H277" s="67"/>
    </row>
    <row r="278" spans="1:8" x14ac:dyDescent="0.35">
      <c r="A278" s="67"/>
      <c r="B278" s="67"/>
      <c r="C278" s="67"/>
      <c r="D278" s="67"/>
      <c r="E278" s="67"/>
      <c r="F278" s="67"/>
      <c r="G278" s="67"/>
      <c r="H278" s="67"/>
    </row>
    <row r="279" spans="1:8" x14ac:dyDescent="0.35">
      <c r="A279" s="67"/>
      <c r="B279" s="67"/>
      <c r="C279" s="67"/>
      <c r="D279" s="67"/>
      <c r="E279" s="67"/>
      <c r="F279" s="67"/>
      <c r="G279" s="67"/>
      <c r="H279" s="67"/>
    </row>
    <row r="280" spans="1:8" x14ac:dyDescent="0.35">
      <c r="A280" s="67"/>
      <c r="B280" s="67"/>
      <c r="C280" s="67"/>
      <c r="D280" s="67"/>
      <c r="E280" s="67"/>
      <c r="F280" s="67"/>
      <c r="G280" s="67"/>
      <c r="H280" s="67"/>
    </row>
    <row r="281" spans="1:8" x14ac:dyDescent="0.35">
      <c r="A281" s="67"/>
      <c r="B281" s="67"/>
      <c r="C281" s="67"/>
      <c r="D281" s="67"/>
      <c r="E281" s="67"/>
      <c r="F281" s="67"/>
      <c r="G281" s="67"/>
      <c r="H281" s="67"/>
    </row>
    <row r="282" spans="1:8" x14ac:dyDescent="0.35">
      <c r="A282" s="67"/>
      <c r="B282" s="67"/>
      <c r="C282" s="67"/>
      <c r="D282" s="67"/>
      <c r="E282" s="67"/>
      <c r="F282" s="67"/>
      <c r="G282" s="67"/>
      <c r="H282" s="67"/>
    </row>
    <row r="283" spans="1:8" x14ac:dyDescent="0.35">
      <c r="A283" s="67"/>
      <c r="B283" s="67"/>
      <c r="C283" s="67"/>
      <c r="D283" s="67"/>
      <c r="E283" s="67"/>
      <c r="F283" s="67"/>
      <c r="G283" s="67"/>
      <c r="H283" s="67"/>
    </row>
    <row r="284" spans="1:8" x14ac:dyDescent="0.35">
      <c r="A284" s="67"/>
      <c r="B284" s="67"/>
      <c r="C284" s="67"/>
      <c r="D284" s="67"/>
      <c r="E284" s="67"/>
      <c r="F284" s="67"/>
      <c r="G284" s="67"/>
      <c r="H284" s="67"/>
    </row>
    <row r="285" spans="1:8" x14ac:dyDescent="0.35">
      <c r="A285" s="67"/>
      <c r="B285" s="67"/>
      <c r="C285" s="67"/>
      <c r="D285" s="67"/>
      <c r="E285" s="67"/>
      <c r="F285" s="67"/>
      <c r="G285" s="67"/>
      <c r="H285" s="67"/>
    </row>
    <row r="286" spans="1:8" x14ac:dyDescent="0.35">
      <c r="A286" s="67"/>
      <c r="B286" s="67"/>
      <c r="C286" s="67"/>
      <c r="D286" s="67"/>
      <c r="E286" s="67"/>
      <c r="F286" s="67"/>
      <c r="G286" s="67"/>
      <c r="H286" s="67"/>
    </row>
    <row r="287" spans="1:8" x14ac:dyDescent="0.35">
      <c r="A287" s="67"/>
      <c r="B287" s="67"/>
      <c r="C287" s="67"/>
      <c r="D287" s="67"/>
      <c r="E287" s="67"/>
      <c r="F287" s="67"/>
      <c r="G287" s="67"/>
      <c r="H287" s="67"/>
    </row>
    <row r="288" spans="1:8" x14ac:dyDescent="0.35">
      <c r="A288" s="67"/>
      <c r="B288" s="67"/>
      <c r="C288" s="67"/>
      <c r="D288" s="67"/>
      <c r="E288" s="67"/>
      <c r="F288" s="67"/>
      <c r="G288" s="67"/>
      <c r="H288" s="67"/>
    </row>
    <row r="289" spans="1:8" x14ac:dyDescent="0.35">
      <c r="A289" s="67"/>
      <c r="B289" s="67"/>
      <c r="C289" s="67"/>
      <c r="D289" s="67"/>
      <c r="E289" s="67"/>
      <c r="F289" s="67"/>
      <c r="G289" s="67"/>
      <c r="H289" s="67"/>
    </row>
    <row r="290" spans="1:8" x14ac:dyDescent="0.35">
      <c r="A290" s="67"/>
      <c r="B290" s="67"/>
      <c r="C290" s="67"/>
      <c r="D290" s="67"/>
      <c r="E290" s="67"/>
      <c r="F290" s="67"/>
      <c r="G290" s="67"/>
      <c r="H290" s="67"/>
    </row>
    <row r="291" spans="1:8" x14ac:dyDescent="0.35">
      <c r="A291" s="67"/>
      <c r="B291" s="67"/>
      <c r="C291" s="67"/>
      <c r="D291" s="67"/>
      <c r="E291" s="67"/>
      <c r="F291" s="67"/>
      <c r="G291" s="67"/>
      <c r="H291" s="67"/>
    </row>
    <row r="292" spans="1:8" x14ac:dyDescent="0.35">
      <c r="A292" s="67"/>
      <c r="B292" s="67"/>
      <c r="C292" s="67"/>
      <c r="D292" s="67"/>
      <c r="E292" s="67"/>
      <c r="F292" s="67"/>
      <c r="G292" s="67"/>
      <c r="H292" s="67"/>
    </row>
    <row r="293" spans="1:8" x14ac:dyDescent="0.35">
      <c r="A293" s="67"/>
      <c r="B293" s="67"/>
      <c r="C293" s="67"/>
      <c r="D293" s="67"/>
      <c r="E293" s="67"/>
      <c r="F293" s="67"/>
      <c r="G293" s="67"/>
      <c r="H293" s="67"/>
    </row>
    <row r="294" spans="1:8" x14ac:dyDescent="0.35">
      <c r="A294" s="67"/>
      <c r="B294" s="67"/>
      <c r="C294" s="67"/>
      <c r="D294" s="67"/>
      <c r="E294" s="67"/>
      <c r="F294" s="67"/>
      <c r="G294" s="67"/>
      <c r="H294" s="67"/>
    </row>
    <row r="295" spans="1:8" x14ac:dyDescent="0.35">
      <c r="A295" s="67"/>
      <c r="B295" s="67"/>
      <c r="C295" s="67"/>
      <c r="D295" s="67"/>
      <c r="E295" s="67"/>
      <c r="F295" s="67"/>
      <c r="G295" s="67"/>
      <c r="H295" s="67"/>
    </row>
    <row r="296" spans="1:8" x14ac:dyDescent="0.35">
      <c r="A296" s="67"/>
      <c r="B296" s="67"/>
      <c r="C296" s="67"/>
      <c r="D296" s="67"/>
      <c r="E296" s="67"/>
      <c r="F296" s="67"/>
      <c r="G296" s="67"/>
      <c r="H296" s="67"/>
    </row>
    <row r="297" spans="1:8" x14ac:dyDescent="0.35">
      <c r="A297" s="67"/>
      <c r="B297" s="67"/>
      <c r="C297" s="67"/>
      <c r="D297" s="67"/>
      <c r="E297" s="67"/>
      <c r="F297" s="67"/>
      <c r="G297" s="67"/>
      <c r="H297" s="67"/>
    </row>
    <row r="298" spans="1:8" x14ac:dyDescent="0.35">
      <c r="A298" s="67"/>
      <c r="B298" s="67"/>
      <c r="C298" s="67"/>
      <c r="D298" s="67"/>
      <c r="E298" s="67"/>
      <c r="F298" s="67"/>
      <c r="G298" s="67"/>
      <c r="H298" s="67"/>
    </row>
    <row r="299" spans="1:8" x14ac:dyDescent="0.35">
      <c r="A299" s="67"/>
      <c r="B299" s="67"/>
      <c r="C299" s="67"/>
      <c r="D299" s="67"/>
      <c r="E299" s="67"/>
      <c r="F299" s="67"/>
      <c r="G299" s="67"/>
      <c r="H299" s="67"/>
    </row>
    <row r="300" spans="1:8" x14ac:dyDescent="0.35">
      <c r="A300" s="67"/>
      <c r="B300" s="67"/>
      <c r="C300" s="67"/>
      <c r="D300" s="67"/>
      <c r="E300" s="67"/>
      <c r="F300" s="67"/>
      <c r="G300" s="67"/>
      <c r="H300" s="67"/>
    </row>
    <row r="301" spans="1:8" x14ac:dyDescent="0.35">
      <c r="A301" s="67"/>
      <c r="B301" s="67"/>
      <c r="C301" s="67"/>
      <c r="D301" s="67"/>
      <c r="E301" s="67"/>
      <c r="F301" s="67"/>
      <c r="G301" s="67"/>
      <c r="H301" s="67"/>
    </row>
    <row r="302" spans="1:8" x14ac:dyDescent="0.35">
      <c r="A302" s="67"/>
      <c r="B302" s="67"/>
      <c r="C302" s="67"/>
      <c r="D302" s="67"/>
      <c r="E302" s="67"/>
      <c r="F302" s="67"/>
      <c r="G302" s="67"/>
      <c r="H302" s="67"/>
    </row>
    <row r="303" spans="1:8" x14ac:dyDescent="0.35">
      <c r="A303" s="67"/>
      <c r="B303" s="67"/>
      <c r="C303" s="67"/>
      <c r="D303" s="67"/>
      <c r="E303" s="67"/>
      <c r="F303" s="67"/>
      <c r="G303" s="67"/>
      <c r="H303" s="67"/>
    </row>
  </sheetData>
  <mergeCells count="339">
    <mergeCell ref="G127:H127"/>
    <mergeCell ref="A136:B136"/>
    <mergeCell ref="A149:B149"/>
    <mergeCell ref="G149:H149"/>
    <mergeCell ref="A148:B148"/>
    <mergeCell ref="G148:H148"/>
    <mergeCell ref="G141:H141"/>
    <mergeCell ref="A142:B142"/>
    <mergeCell ref="G142:H142"/>
    <mergeCell ref="A143:B143"/>
    <mergeCell ref="G143:H143"/>
    <mergeCell ref="G138:H138"/>
    <mergeCell ref="A139:B139"/>
    <mergeCell ref="G139:H139"/>
    <mergeCell ref="A140:B140"/>
    <mergeCell ref="G136:H136"/>
    <mergeCell ref="B163:H163"/>
    <mergeCell ref="B164:H164"/>
    <mergeCell ref="A158:B158"/>
    <mergeCell ref="G158:H158"/>
    <mergeCell ref="A153:B153"/>
    <mergeCell ref="G153:H153"/>
    <mergeCell ref="A154:B154"/>
    <mergeCell ref="G154:H154"/>
    <mergeCell ref="A155:B155"/>
    <mergeCell ref="G155:H155"/>
    <mergeCell ref="A156:B156"/>
    <mergeCell ref="G156:H156"/>
    <mergeCell ref="A157:B157"/>
    <mergeCell ref="G157:H157"/>
    <mergeCell ref="A150:B150"/>
    <mergeCell ref="L112:M112"/>
    <mergeCell ref="A122:B122"/>
    <mergeCell ref="G122:H122"/>
    <mergeCell ref="L122:M122"/>
    <mergeCell ref="A125:H125"/>
    <mergeCell ref="L119:M119"/>
    <mergeCell ref="A120:B120"/>
    <mergeCell ref="G120:H120"/>
    <mergeCell ref="L120:M120"/>
    <mergeCell ref="A121:B121"/>
    <mergeCell ref="G121:H121"/>
    <mergeCell ref="L121:M121"/>
    <mergeCell ref="L118:M118"/>
    <mergeCell ref="L117:M117"/>
    <mergeCell ref="G118:H118"/>
    <mergeCell ref="G117:H117"/>
    <mergeCell ref="A117:B117"/>
    <mergeCell ref="A124:B124"/>
    <mergeCell ref="A123:H123"/>
    <mergeCell ref="L116:M116"/>
    <mergeCell ref="L115:M115"/>
    <mergeCell ref="L114:M114"/>
    <mergeCell ref="L113:M113"/>
    <mergeCell ref="E39:H39"/>
    <mergeCell ref="A39:D39"/>
    <mergeCell ref="A175:H175"/>
    <mergeCell ref="A172:H172"/>
    <mergeCell ref="A102:B102"/>
    <mergeCell ref="G124:H124"/>
    <mergeCell ref="A85:B85"/>
    <mergeCell ref="A86:B86"/>
    <mergeCell ref="A87:B87"/>
    <mergeCell ref="A77:B77"/>
    <mergeCell ref="C77:H77"/>
    <mergeCell ref="A72:B72"/>
    <mergeCell ref="F92:H92"/>
    <mergeCell ref="A91:H91"/>
    <mergeCell ref="G100:H100"/>
    <mergeCell ref="A45:B45"/>
    <mergeCell ref="C45:E45"/>
    <mergeCell ref="A105:B105"/>
    <mergeCell ref="C105:D105"/>
    <mergeCell ref="E105:F105"/>
    <mergeCell ref="G105:H105"/>
    <mergeCell ref="A104:B104"/>
    <mergeCell ref="A109:B109"/>
    <mergeCell ref="A135:H135"/>
    <mergeCell ref="A54:C55"/>
    <mergeCell ref="D54:H54"/>
    <mergeCell ref="D55:H55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A67:B67"/>
    <mergeCell ref="G66:H66"/>
    <mergeCell ref="A65:B65"/>
    <mergeCell ref="A63:B63"/>
    <mergeCell ref="B166:H166"/>
    <mergeCell ref="B169:H169"/>
    <mergeCell ref="C104:D104"/>
    <mergeCell ref="E104:F104"/>
    <mergeCell ref="G104:H104"/>
    <mergeCell ref="A110:H110"/>
    <mergeCell ref="A119:B119"/>
    <mergeCell ref="G119:H119"/>
    <mergeCell ref="G114:H114"/>
    <mergeCell ref="G112:H112"/>
    <mergeCell ref="G113:H113"/>
    <mergeCell ref="G116:H116"/>
    <mergeCell ref="G115:H115"/>
    <mergeCell ref="A133:B133"/>
    <mergeCell ref="G133:H133"/>
    <mergeCell ref="A134:B134"/>
    <mergeCell ref="G134:H134"/>
    <mergeCell ref="A138:B138"/>
    <mergeCell ref="B168:H168"/>
    <mergeCell ref="A141:B141"/>
    <mergeCell ref="A178:H181"/>
    <mergeCell ref="A177:B177"/>
    <mergeCell ref="E177:F177"/>
    <mergeCell ref="C177:D177"/>
    <mergeCell ref="G177:H177"/>
    <mergeCell ref="A98:H98"/>
    <mergeCell ref="A96:E96"/>
    <mergeCell ref="F96:H96"/>
    <mergeCell ref="A97:E97"/>
    <mergeCell ref="F97:H97"/>
    <mergeCell ref="A103:B103"/>
    <mergeCell ref="A100:B100"/>
    <mergeCell ref="A173:H173"/>
    <mergeCell ref="A101:H101"/>
    <mergeCell ref="A176:H176"/>
    <mergeCell ref="A174:H174"/>
    <mergeCell ref="A159:H159"/>
    <mergeCell ref="A170:H170"/>
    <mergeCell ref="A171:H171"/>
    <mergeCell ref="E102:F102"/>
    <mergeCell ref="E99:F99"/>
    <mergeCell ref="A107:H107"/>
    <mergeCell ref="G137:H137"/>
    <mergeCell ref="G99:H99"/>
    <mergeCell ref="D58:H58"/>
    <mergeCell ref="C65:H65"/>
    <mergeCell ref="A68:B68"/>
    <mergeCell ref="A70:B70"/>
    <mergeCell ref="E66:F66"/>
    <mergeCell ref="A59:C59"/>
    <mergeCell ref="D59:H59"/>
    <mergeCell ref="A62:C62"/>
    <mergeCell ref="D62:H62"/>
    <mergeCell ref="A60:C60"/>
    <mergeCell ref="D60:H60"/>
    <mergeCell ref="E67:F76"/>
    <mergeCell ref="G67:H76"/>
    <mergeCell ref="A75:B75"/>
    <mergeCell ref="A76:B76"/>
    <mergeCell ref="A73:B73"/>
    <mergeCell ref="A66:B66"/>
    <mergeCell ref="A69:B69"/>
    <mergeCell ref="C63:H63"/>
    <mergeCell ref="A71:B71"/>
    <mergeCell ref="A58:C58"/>
    <mergeCell ref="A74:B74"/>
    <mergeCell ref="A61:C61"/>
    <mergeCell ref="D61:H61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G45:H45"/>
    <mergeCell ref="G47:H47"/>
    <mergeCell ref="D51:H51"/>
    <mergeCell ref="C47:E47"/>
    <mergeCell ref="C48:H4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D57:H57"/>
    <mergeCell ref="A40:D40"/>
    <mergeCell ref="E40:H40"/>
    <mergeCell ref="E41:H41"/>
    <mergeCell ref="E42:H4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94:E94"/>
    <mergeCell ref="F94:H94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C35:H35"/>
    <mergeCell ref="A56:C56"/>
    <mergeCell ref="A57:C57"/>
    <mergeCell ref="D56:H56"/>
    <mergeCell ref="A80:B80"/>
    <mergeCell ref="A95:E95"/>
    <mergeCell ref="E80:F80"/>
    <mergeCell ref="G80:H80"/>
    <mergeCell ref="C100:D100"/>
    <mergeCell ref="E100:F100"/>
    <mergeCell ref="B165:H165"/>
    <mergeCell ref="G132:H132"/>
    <mergeCell ref="B162:H162"/>
    <mergeCell ref="A129:B129"/>
    <mergeCell ref="G129:H129"/>
    <mergeCell ref="G128:H128"/>
    <mergeCell ref="A126:H126"/>
    <mergeCell ref="A127:B127"/>
    <mergeCell ref="A128:B128"/>
    <mergeCell ref="A131:B131"/>
    <mergeCell ref="G131:H131"/>
    <mergeCell ref="A132:B132"/>
    <mergeCell ref="A130:B130"/>
    <mergeCell ref="G130:H130"/>
    <mergeCell ref="B160:H160"/>
    <mergeCell ref="B161:H161"/>
    <mergeCell ref="C103:D103"/>
    <mergeCell ref="E103:F103"/>
    <mergeCell ref="C102:D102"/>
    <mergeCell ref="G140:H140"/>
    <mergeCell ref="G150:H150"/>
    <mergeCell ref="A151:B151"/>
    <mergeCell ref="G151:H151"/>
    <mergeCell ref="A152:H152"/>
    <mergeCell ref="A144:H144"/>
    <mergeCell ref="A145:H145"/>
    <mergeCell ref="G81:H90"/>
    <mergeCell ref="A146:B146"/>
    <mergeCell ref="G146:H146"/>
    <mergeCell ref="G103:H103"/>
    <mergeCell ref="A92:E92"/>
    <mergeCell ref="A111:H111"/>
    <mergeCell ref="G109:H109"/>
    <mergeCell ref="A81:B81"/>
    <mergeCell ref="E81:F90"/>
    <mergeCell ref="A88:B88"/>
    <mergeCell ref="A89:B89"/>
    <mergeCell ref="A90:B90"/>
    <mergeCell ref="A99:B99"/>
    <mergeCell ref="C99:D99"/>
    <mergeCell ref="A108:H108"/>
    <mergeCell ref="G102:H102"/>
    <mergeCell ref="C79:H79"/>
    <mergeCell ref="B167:H167"/>
    <mergeCell ref="A79:B79"/>
    <mergeCell ref="A147:B147"/>
    <mergeCell ref="G147:H147"/>
    <mergeCell ref="A36:B36"/>
    <mergeCell ref="C36:H36"/>
    <mergeCell ref="A106:B106"/>
    <mergeCell ref="C106:D106"/>
    <mergeCell ref="E106:F106"/>
    <mergeCell ref="G106:H106"/>
    <mergeCell ref="A137:B137"/>
    <mergeCell ref="A82:B82"/>
    <mergeCell ref="A83:B83"/>
    <mergeCell ref="A84:B84"/>
    <mergeCell ref="F93:H93"/>
    <mergeCell ref="A93:E93"/>
    <mergeCell ref="A118:B118"/>
    <mergeCell ref="A112:B112"/>
    <mergeCell ref="A113:B113"/>
    <mergeCell ref="A114:B114"/>
    <mergeCell ref="A115:B115"/>
    <mergeCell ref="A116:B116"/>
    <mergeCell ref="F95:H95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6" max="7" man="1"/>
    <brk id="181" max="16383" man="1"/>
    <brk id="220" max="16383" man="1"/>
    <brk id="26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G57" sqref="G57"/>
    </sheetView>
  </sheetViews>
  <sheetFormatPr defaultColWidth="8.7265625" defaultRowHeight="14.5" x14ac:dyDescent="0.35"/>
  <cols>
    <col min="1" max="1" width="8.7265625" style="14"/>
    <col min="2" max="2" width="22.1796875" style="14" customWidth="1"/>
    <col min="3" max="3" width="37" style="14" customWidth="1"/>
    <col min="4" max="5" width="11.453125" style="14" customWidth="1"/>
    <col min="6" max="6" width="14" style="14" customWidth="1"/>
    <col min="7" max="7" width="20" style="14" customWidth="1"/>
    <col min="8" max="8" width="16.453125" style="14" customWidth="1"/>
    <col min="9" max="16384" width="8.7265625" style="14"/>
  </cols>
  <sheetData>
    <row r="1" spans="1:9" ht="15" customHeight="1" x14ac:dyDescent="0.35">
      <c r="A1" s="13"/>
      <c r="B1" s="13"/>
      <c r="C1" s="13"/>
      <c r="D1" s="13"/>
      <c r="E1" s="13"/>
      <c r="F1" s="13"/>
      <c r="G1" s="13"/>
      <c r="H1" s="13"/>
    </row>
    <row r="2" spans="1:9" ht="15" customHeight="1" x14ac:dyDescent="0.35">
      <c r="A2" s="15"/>
      <c r="B2" s="15"/>
      <c r="C2" s="15"/>
      <c r="D2" s="15"/>
      <c r="E2" s="15"/>
      <c r="F2" s="15"/>
      <c r="G2" s="15"/>
      <c r="H2" s="15"/>
    </row>
    <row r="3" spans="1:9" ht="15.75" customHeight="1" x14ac:dyDescent="0.35">
      <c r="A3" s="15"/>
      <c r="B3" s="167" t="s">
        <v>109</v>
      </c>
      <c r="C3" s="167"/>
      <c r="D3" s="167"/>
      <c r="E3" s="167"/>
      <c r="F3" s="167"/>
      <c r="G3" s="167"/>
      <c r="H3" s="167"/>
    </row>
    <row r="4" spans="1:9" x14ac:dyDescent="0.35">
      <c r="A4" s="15"/>
      <c r="B4" s="16" t="s">
        <v>110</v>
      </c>
      <c r="C4" s="16" t="s">
        <v>111</v>
      </c>
      <c r="D4" s="16" t="s">
        <v>73</v>
      </c>
      <c r="E4" s="16" t="s">
        <v>112</v>
      </c>
      <c r="F4" s="16" t="s">
        <v>118</v>
      </c>
      <c r="G4" s="16" t="s">
        <v>119</v>
      </c>
      <c r="H4" s="16" t="s">
        <v>113</v>
      </c>
    </row>
    <row r="5" spans="1:9" ht="15" customHeight="1" x14ac:dyDescent="0.35">
      <c r="A5" s="15"/>
      <c r="B5" s="18" t="s">
        <v>114</v>
      </c>
      <c r="C5" s="19"/>
      <c r="D5" s="18"/>
      <c r="E5" s="18"/>
      <c r="F5" s="20">
        <f>E5*1.6</f>
        <v>0</v>
      </c>
      <c r="G5" s="20" t="e">
        <f>H5/F5</f>
        <v>#DIV/0!</v>
      </c>
      <c r="H5" s="21"/>
    </row>
    <row r="6" spans="1:9" x14ac:dyDescent="0.35">
      <c r="A6" s="15"/>
      <c r="B6" s="18" t="s">
        <v>114</v>
      </c>
      <c r="C6" s="22"/>
      <c r="D6" s="18"/>
      <c r="E6" s="18"/>
      <c r="F6" s="20">
        <f t="shared" ref="F6:F11" si="0">E6*1.6</f>
        <v>0</v>
      </c>
      <c r="G6" s="20" t="e">
        <f t="shared" ref="G6:G11" si="1">H6/F6</f>
        <v>#DIV/0!</v>
      </c>
      <c r="H6" s="21"/>
    </row>
    <row r="7" spans="1:9" ht="15" customHeight="1" x14ac:dyDescent="0.35">
      <c r="A7" s="15"/>
      <c r="B7" s="18" t="s">
        <v>114</v>
      </c>
      <c r="C7" s="19"/>
      <c r="D7" s="18"/>
      <c r="E7" s="18"/>
      <c r="F7" s="20">
        <f t="shared" si="0"/>
        <v>0</v>
      </c>
      <c r="G7" s="20" t="e">
        <f t="shared" si="1"/>
        <v>#DIV/0!</v>
      </c>
      <c r="H7" s="21"/>
    </row>
    <row r="8" spans="1:9" x14ac:dyDescent="0.35">
      <c r="A8" s="15"/>
      <c r="B8" s="18" t="s">
        <v>114</v>
      </c>
      <c r="C8" s="22"/>
      <c r="D8" s="18"/>
      <c r="E8" s="18"/>
      <c r="F8" s="20">
        <f t="shared" si="0"/>
        <v>0</v>
      </c>
      <c r="G8" s="20" t="e">
        <f t="shared" si="1"/>
        <v>#DIV/0!</v>
      </c>
      <c r="H8" s="21"/>
    </row>
    <row r="9" spans="1:9" ht="15" customHeight="1" x14ac:dyDescent="0.35">
      <c r="A9" s="15"/>
      <c r="B9" s="18" t="s">
        <v>114</v>
      </c>
      <c r="C9" s="22"/>
      <c r="D9" s="18"/>
      <c r="E9" s="18"/>
      <c r="F9" s="20">
        <f t="shared" si="0"/>
        <v>0</v>
      </c>
      <c r="G9" s="20" t="e">
        <f t="shared" si="1"/>
        <v>#DIV/0!</v>
      </c>
      <c r="H9" s="21"/>
    </row>
    <row r="10" spans="1:9" ht="15" customHeight="1" x14ac:dyDescent="0.35">
      <c r="A10" s="15"/>
      <c r="B10" s="18" t="s">
        <v>115</v>
      </c>
      <c r="C10" s="19"/>
      <c r="D10" s="18"/>
      <c r="E10" s="18"/>
      <c r="F10" s="20">
        <f t="shared" si="0"/>
        <v>0</v>
      </c>
      <c r="G10" s="20" t="e">
        <f t="shared" si="1"/>
        <v>#DIV/0!</v>
      </c>
      <c r="H10" s="21"/>
    </row>
    <row r="11" spans="1:9" ht="15" customHeight="1" x14ac:dyDescent="0.35">
      <c r="A11" s="15"/>
      <c r="B11" s="18" t="s">
        <v>115</v>
      </c>
      <c r="C11" s="19"/>
      <c r="D11" s="18"/>
      <c r="E11" s="18"/>
      <c r="F11" s="20">
        <f t="shared" si="0"/>
        <v>0</v>
      </c>
      <c r="G11" s="20" t="e">
        <f t="shared" si="1"/>
        <v>#DIV/0!</v>
      </c>
      <c r="H11" s="21"/>
    </row>
    <row r="12" spans="1:9" ht="15" customHeight="1" x14ac:dyDescent="0.35">
      <c r="A12" s="15"/>
      <c r="B12" s="23" t="s">
        <v>116</v>
      </c>
      <c r="C12" s="18"/>
      <c r="D12" s="18"/>
      <c r="E12" s="18"/>
      <c r="F12" s="18"/>
      <c r="G12" s="24" t="e">
        <f>AVERAGE(G5:G11)</f>
        <v>#DIV/0!</v>
      </c>
      <c r="H12" s="18"/>
    </row>
    <row r="13" spans="1:9" ht="15" customHeight="1" x14ac:dyDescent="0.35">
      <c r="A13" s="13"/>
      <c r="B13" s="23" t="s">
        <v>117</v>
      </c>
      <c r="C13" s="25"/>
      <c r="D13" s="25"/>
      <c r="E13" s="25"/>
      <c r="F13" s="26"/>
      <c r="G13" s="23"/>
      <c r="H13" s="23"/>
      <c r="I13" s="17"/>
    </row>
    <row r="14" spans="1:9" ht="15" customHeight="1" x14ac:dyDescent="0.35">
      <c r="B14" s="13"/>
      <c r="C14" s="13"/>
      <c r="D14" s="13"/>
      <c r="E14" s="13"/>
    </row>
    <row r="15" spans="1:9" ht="15" customHeight="1" x14ac:dyDescent="0.35">
      <c r="B15" s="13"/>
      <c r="C15" s="13"/>
      <c r="D15" s="13"/>
      <c r="E15" s="13"/>
    </row>
    <row r="16" spans="1:9" ht="15" customHeight="1" x14ac:dyDescent="0.35">
      <c r="B16" s="13"/>
      <c r="C16" s="13"/>
      <c r="D16" s="13"/>
      <c r="E16" s="13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2025-04-08T13:21:53Z</cp:lastPrinted>
  <dcterms:created xsi:type="dcterms:W3CDTF">2019-07-16T09:29:46Z</dcterms:created>
  <dcterms:modified xsi:type="dcterms:W3CDTF">2025-07-09T07:27:11Z</dcterms:modified>
</cp:coreProperties>
</file>