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4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Report!$A$1:$H$524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N187" i="1"/>
  <c r="L213" i="1"/>
  <c r="M213" i="1" s="1"/>
  <c r="E336" i="1"/>
  <c r="D336" i="1"/>
  <c r="E335" i="1"/>
  <c r="D335" i="1"/>
  <c r="E334" i="1"/>
  <c r="D334" i="1"/>
  <c r="E333" i="1"/>
  <c r="D333" i="1"/>
  <c r="E332" i="1"/>
  <c r="D332" i="1"/>
  <c r="E331" i="1"/>
  <c r="D331" i="1"/>
  <c r="D330" i="1"/>
  <c r="E329" i="1"/>
  <c r="D329" i="1"/>
  <c r="E305" i="1"/>
  <c r="D305" i="1"/>
  <c r="E304" i="1"/>
  <c r="D304" i="1"/>
  <c r="E303" i="1"/>
  <c r="D303" i="1"/>
  <c r="D302" i="1"/>
  <c r="E326" i="1"/>
  <c r="E269" i="1"/>
  <c r="D269" i="1"/>
  <c r="D268" i="1"/>
  <c r="E267" i="1"/>
  <c r="D267" i="1"/>
  <c r="E266" i="1"/>
  <c r="D266" i="1"/>
  <c r="E265" i="1"/>
  <c r="D265" i="1"/>
  <c r="E264" i="1"/>
  <c r="D264" i="1"/>
  <c r="D263" i="1"/>
  <c r="E262" i="1"/>
  <c r="D262" i="1"/>
  <c r="E261" i="1"/>
  <c r="D261" i="1"/>
  <c r="E281" i="1"/>
  <c r="E280" i="1"/>
  <c r="D243" i="1"/>
  <c r="D253" i="1"/>
  <c r="E235" i="1"/>
  <c r="D231" i="1"/>
  <c r="D230" i="1"/>
  <c r="D229" i="1"/>
  <c r="D228" i="1"/>
  <c r="I184" i="1"/>
  <c r="K183" i="1"/>
  <c r="I160" i="1" l="1"/>
  <c r="M243" i="1"/>
  <c r="O184" i="1"/>
  <c r="L183" i="1"/>
  <c r="K184" i="1"/>
  <c r="L184" i="1"/>
  <c r="F336" i="1"/>
  <c r="F333" i="1"/>
  <c r="F332" i="1"/>
  <c r="F330" i="1"/>
  <c r="F329" i="1"/>
  <c r="D327" i="1"/>
  <c r="F327" i="1" s="1"/>
  <c r="D326" i="1"/>
  <c r="F326" i="1" s="1"/>
  <c r="E325" i="1"/>
  <c r="D325" i="1"/>
  <c r="D324" i="1"/>
  <c r="F324" i="1" s="1"/>
  <c r="D323" i="1"/>
  <c r="F323" i="1" s="1"/>
  <c r="D322" i="1"/>
  <c r="F322" i="1" s="1"/>
  <c r="E321" i="1"/>
  <c r="D321" i="1"/>
  <c r="D320" i="1"/>
  <c r="E318" i="1"/>
  <c r="D318" i="1"/>
  <c r="E317" i="1"/>
  <c r="D317" i="1"/>
  <c r="E316" i="1"/>
  <c r="D316" i="1"/>
  <c r="F316" i="1" s="1"/>
  <c r="E315" i="1"/>
  <c r="D315" i="1"/>
  <c r="E314" i="1"/>
  <c r="D314" i="1"/>
  <c r="E313" i="1"/>
  <c r="D313" i="1"/>
  <c r="D312" i="1"/>
  <c r="F312" i="1" s="1"/>
  <c r="E311" i="1"/>
  <c r="D311" i="1"/>
  <c r="D309" i="1"/>
  <c r="F309" i="1" s="1"/>
  <c r="D308" i="1"/>
  <c r="F302" i="1"/>
  <c r="E300" i="1"/>
  <c r="D300" i="1"/>
  <c r="E299" i="1"/>
  <c r="D299" i="1"/>
  <c r="D298" i="1"/>
  <c r="F298" i="1" s="1"/>
  <c r="E297" i="1"/>
  <c r="D297" i="1"/>
  <c r="E295" i="1"/>
  <c r="D295" i="1"/>
  <c r="E294" i="1"/>
  <c r="D294" i="1"/>
  <c r="E293" i="1"/>
  <c r="D293" i="1"/>
  <c r="D292" i="1"/>
  <c r="F292" i="1" s="1"/>
  <c r="E290" i="1"/>
  <c r="D290" i="1"/>
  <c r="E286" i="1"/>
  <c r="D286" i="1"/>
  <c r="E285" i="1"/>
  <c r="D285" i="1"/>
  <c r="E284" i="1"/>
  <c r="D284" i="1"/>
  <c r="D283" i="1"/>
  <c r="D281" i="1"/>
  <c r="D280" i="1"/>
  <c r="D279" i="1"/>
  <c r="E278" i="1"/>
  <c r="D278" i="1"/>
  <c r="E276" i="1"/>
  <c r="D276" i="1"/>
  <c r="E275" i="1"/>
  <c r="D275" i="1"/>
  <c r="E274" i="1"/>
  <c r="D274" i="1"/>
  <c r="D273" i="1"/>
  <c r="E259" i="1"/>
  <c r="D259" i="1"/>
  <c r="E258" i="1"/>
  <c r="D258" i="1"/>
  <c r="D257" i="1"/>
  <c r="D256" i="1"/>
  <c r="E255" i="1"/>
  <c r="D255" i="1"/>
  <c r="E254" i="1"/>
  <c r="D254" i="1"/>
  <c r="D252" i="1"/>
  <c r="D251" i="1"/>
  <c r="E249" i="1"/>
  <c r="D249" i="1"/>
  <c r="D248" i="1"/>
  <c r="E247" i="1"/>
  <c r="D247" i="1"/>
  <c r="E246" i="1"/>
  <c r="D246" i="1"/>
  <c r="E245" i="1"/>
  <c r="D245" i="1"/>
  <c r="M245" i="1" s="1"/>
  <c r="E244" i="1"/>
  <c r="D244" i="1"/>
  <c r="M244" i="1" s="1"/>
  <c r="E242" i="1"/>
  <c r="D242" i="1"/>
  <c r="M242" i="1" s="1"/>
  <c r="E241" i="1"/>
  <c r="D241" i="1"/>
  <c r="D236" i="1"/>
  <c r="D235" i="1"/>
  <c r="E234" i="1"/>
  <c r="D234" i="1"/>
  <c r="E233" i="1"/>
  <c r="D233" i="1"/>
  <c r="E231" i="1"/>
  <c r="E229" i="1"/>
  <c r="E228" i="1"/>
  <c r="D226" i="1"/>
  <c r="E225" i="1"/>
  <c r="D225" i="1"/>
  <c r="E224" i="1"/>
  <c r="D224" i="1"/>
  <c r="E223" i="1"/>
  <c r="D223" i="1"/>
  <c r="D219" i="1"/>
  <c r="E218" i="1"/>
  <c r="D218" i="1"/>
  <c r="E217" i="1"/>
  <c r="D217" i="1"/>
  <c r="D216" i="1"/>
  <c r="D215" i="1"/>
  <c r="D214" i="1"/>
  <c r="E212" i="1"/>
  <c r="D212" i="1"/>
  <c r="D211" i="1"/>
  <c r="D210" i="1"/>
  <c r="E209" i="1"/>
  <c r="D209" i="1"/>
  <c r="D208" i="1"/>
  <c r="E207" i="1"/>
  <c r="D207" i="1"/>
  <c r="D205" i="1"/>
  <c r="E204" i="1"/>
  <c r="D204" i="1"/>
  <c r="E203" i="1"/>
  <c r="D203" i="1"/>
  <c r="D202" i="1"/>
  <c r="D201" i="1"/>
  <c r="D200" i="1"/>
  <c r="E196" i="1"/>
  <c r="D196" i="1"/>
  <c r="E195" i="1"/>
  <c r="D195" i="1"/>
  <c r="E194" i="1"/>
  <c r="D194" i="1"/>
  <c r="D193" i="1"/>
  <c r="E191" i="1"/>
  <c r="D191" i="1"/>
  <c r="E190" i="1"/>
  <c r="D190" i="1"/>
  <c r="D189" i="1"/>
  <c r="N189" i="1" s="1"/>
  <c r="E188" i="1"/>
  <c r="D188" i="1"/>
  <c r="E186" i="1"/>
  <c r="D186" i="1"/>
  <c r="E185" i="1"/>
  <c r="D185" i="1"/>
  <c r="E184" i="1"/>
  <c r="D184" i="1"/>
  <c r="D183" i="1"/>
  <c r="D175" i="1"/>
  <c r="F175" i="1" s="1"/>
  <c r="D174" i="1"/>
  <c r="F174" i="1" s="1"/>
  <c r="I313" i="1"/>
  <c r="F335" i="1"/>
  <c r="F334" i="1"/>
  <c r="A331" i="1"/>
  <c r="A332" i="1" s="1"/>
  <c r="I317" i="1"/>
  <c r="G329" i="1"/>
  <c r="A322" i="1"/>
  <c r="A323" i="1" s="1"/>
  <c r="G320" i="1"/>
  <c r="F305" i="1"/>
  <c r="F303" i="1"/>
  <c r="G302" i="1"/>
  <c r="G297" i="1"/>
  <c r="A313" i="1"/>
  <c r="A314" i="1" s="1"/>
  <c r="G311" i="1"/>
  <c r="I174" i="1"/>
  <c r="G174" i="1"/>
  <c r="G308" i="1"/>
  <c r="A294" i="1"/>
  <c r="A295" i="1" s="1"/>
  <c r="G292" i="1"/>
  <c r="I290" i="1"/>
  <c r="G290" i="1"/>
  <c r="F315" i="1" l="1"/>
  <c r="N190" i="1"/>
  <c r="C164" i="1"/>
  <c r="C159" i="1"/>
  <c r="F299" i="1"/>
  <c r="F293" i="1"/>
  <c r="N185" i="1"/>
  <c r="E159" i="1"/>
  <c r="C163" i="1"/>
  <c r="F295" i="1"/>
  <c r="N186" i="1"/>
  <c r="C161" i="1"/>
  <c r="F311" i="1"/>
  <c r="E160" i="1"/>
  <c r="F308" i="1"/>
  <c r="C158" i="1"/>
  <c r="J175" i="1"/>
  <c r="C162" i="1"/>
  <c r="N184" i="1"/>
  <c r="N191" i="1"/>
  <c r="E164" i="1"/>
  <c r="E163" i="1"/>
  <c r="F314" i="1"/>
  <c r="F318" i="1"/>
  <c r="E154" i="1"/>
  <c r="E155" i="1" s="1"/>
  <c r="M241" i="1"/>
  <c r="C154" i="1"/>
  <c r="C155" i="1" s="1"/>
  <c r="C160" i="1"/>
  <c r="N183" i="1"/>
  <c r="P183" i="1"/>
  <c r="N188" i="1"/>
  <c r="E161" i="1"/>
  <c r="E162" i="1"/>
  <c r="F300" i="1"/>
  <c r="E158" i="1"/>
  <c r="F313" i="1"/>
  <c r="J174" i="1"/>
  <c r="G154" i="1"/>
  <c r="G155" i="1" s="1"/>
  <c r="F320" i="1"/>
  <c r="F294" i="1"/>
  <c r="F297" i="1"/>
  <c r="F304" i="1"/>
  <c r="F321" i="1"/>
  <c r="F325" i="1"/>
  <c r="F331" i="1"/>
  <c r="F317" i="1"/>
  <c r="F290" i="1"/>
  <c r="G283" i="1"/>
  <c r="A285" i="1"/>
  <c r="A286" i="1" s="1"/>
  <c r="A275" i="1"/>
  <c r="A276" i="1" s="1"/>
  <c r="F281" i="1"/>
  <c r="F280" i="1"/>
  <c r="G278" i="1"/>
  <c r="A280" i="1"/>
  <c r="A281" i="1" s="1"/>
  <c r="F263" i="1"/>
  <c r="F256" i="1"/>
  <c r="F253" i="1"/>
  <c r="F252" i="1"/>
  <c r="J246" i="1"/>
  <c r="F276" i="1"/>
  <c r="F275" i="1"/>
  <c r="F274" i="1"/>
  <c r="K273" i="1"/>
  <c r="J273" i="1"/>
  <c r="I273" i="1"/>
  <c r="G273" i="1"/>
  <c r="A268" i="1"/>
  <c r="A269" i="1" s="1"/>
  <c r="A263" i="1"/>
  <c r="A264" i="1" s="1"/>
  <c r="K261" i="1"/>
  <c r="J261" i="1"/>
  <c r="I261" i="1"/>
  <c r="G261" i="1"/>
  <c r="A258" i="1"/>
  <c r="A259" i="1" s="1"/>
  <c r="A253" i="1"/>
  <c r="A254" i="1" s="1"/>
  <c r="K251" i="1"/>
  <c r="J251" i="1"/>
  <c r="I251" i="1"/>
  <c r="G251" i="1"/>
  <c r="F251" i="1"/>
  <c r="F248" i="1"/>
  <c r="F247" i="1"/>
  <c r="F246" i="1"/>
  <c r="F245" i="1"/>
  <c r="F244" i="1"/>
  <c r="K241" i="1"/>
  <c r="J241" i="1"/>
  <c r="I241" i="1"/>
  <c r="F249" i="1"/>
  <c r="A248" i="1"/>
  <c r="A249" i="1" s="1"/>
  <c r="F243" i="1"/>
  <c r="A243" i="1"/>
  <c r="A244" i="1" s="1"/>
  <c r="G241" i="1"/>
  <c r="A235" i="1"/>
  <c r="A236" i="1" s="1"/>
  <c r="G233" i="1"/>
  <c r="F231" i="1"/>
  <c r="F228" i="1"/>
  <c r="A216" i="1"/>
  <c r="A217" i="1" s="1"/>
  <c r="A218" i="1" s="1"/>
  <c r="A219" i="1" s="1"/>
  <c r="F215" i="1"/>
  <c r="L215" i="1" s="1"/>
  <c r="M215" i="1" s="1"/>
  <c r="G214" i="1"/>
  <c r="F214" i="1"/>
  <c r="L214" i="1" s="1"/>
  <c r="M214" i="1" s="1"/>
  <c r="F208" i="1"/>
  <c r="L208" i="1" s="1"/>
  <c r="M208" i="1" s="1"/>
  <c r="J201" i="1"/>
  <c r="K205" i="1"/>
  <c r="K204" i="1"/>
  <c r="K203" i="1"/>
  <c r="K202" i="1"/>
  <c r="J200" i="1"/>
  <c r="I200" i="1"/>
  <c r="I195" i="1"/>
  <c r="I196" i="1"/>
  <c r="G193" i="1"/>
  <c r="A194" i="1"/>
  <c r="A195" i="1" s="1"/>
  <c r="A196" i="1" s="1"/>
  <c r="K189" i="1"/>
  <c r="K188" i="1"/>
  <c r="I188" i="1"/>
  <c r="I186" i="1"/>
  <c r="J184" i="1"/>
  <c r="J183" i="1"/>
  <c r="A230" i="1"/>
  <c r="A231" i="1" s="1"/>
  <c r="G228" i="1"/>
  <c r="A209" i="1"/>
  <c r="A210" i="1" s="1"/>
  <c r="A211" i="1" s="1"/>
  <c r="A212" i="1" s="1"/>
  <c r="G207" i="1"/>
  <c r="A189" i="1"/>
  <c r="A190" i="1" s="1"/>
  <c r="A191" i="1" s="1"/>
  <c r="E165" i="1" l="1"/>
  <c r="E166" i="1"/>
  <c r="C165" i="1"/>
  <c r="C166" i="1" s="1"/>
  <c r="G164" i="1"/>
  <c r="G163" i="1"/>
  <c r="F193" i="1"/>
  <c r="F218" i="1"/>
  <c r="L218" i="1" s="1"/>
  <c r="M218" i="1" s="1"/>
  <c r="F236" i="1"/>
  <c r="F278" i="1"/>
  <c r="F266" i="1"/>
  <c r="F268" i="1"/>
  <c r="F196" i="1"/>
  <c r="F217" i="1"/>
  <c r="L217" i="1" s="1"/>
  <c r="M217" i="1" s="1"/>
  <c r="F219" i="1"/>
  <c r="L219" i="1" s="1"/>
  <c r="M219" i="1" s="1"/>
  <c r="F265" i="1"/>
  <c r="F267" i="1"/>
  <c r="F269" i="1"/>
  <c r="F283" i="1"/>
  <c r="F285" i="1"/>
  <c r="F195" i="1"/>
  <c r="F209" i="1"/>
  <c r="L209" i="1" s="1"/>
  <c r="M209" i="1" s="1"/>
  <c r="F234" i="1"/>
  <c r="F258" i="1"/>
  <c r="F259" i="1"/>
  <c r="F262" i="1"/>
  <c r="F286" i="1"/>
  <c r="F273" i="1"/>
  <c r="F264" i="1"/>
  <c r="F212" i="1"/>
  <c r="L212" i="1" s="1"/>
  <c r="M212" i="1" s="1"/>
  <c r="F216" i="1"/>
  <c r="L216" i="1" s="1"/>
  <c r="M216" i="1" s="1"/>
  <c r="F233" i="1"/>
  <c r="F241" i="1"/>
  <c r="F284" i="1"/>
  <c r="F235" i="1"/>
  <c r="F242" i="1"/>
  <c r="F257" i="1"/>
  <c r="F261" i="1"/>
  <c r="F279" i="1"/>
  <c r="F255" i="1"/>
  <c r="F254" i="1"/>
  <c r="F229" i="1"/>
  <c r="F210" i="1"/>
  <c r="L210" i="1" s="1"/>
  <c r="M210" i="1" s="1"/>
  <c r="F194" i="1"/>
  <c r="F230" i="1"/>
  <c r="F211" i="1"/>
  <c r="L211" i="1" s="1"/>
  <c r="M211" i="1" s="1"/>
  <c r="F207" i="1"/>
  <c r="L207" i="1" s="1"/>
  <c r="M207" i="1" s="1"/>
  <c r="G162" i="1" l="1"/>
  <c r="G161" i="1"/>
  <c r="F223" i="1"/>
  <c r="I223" i="1" l="1"/>
  <c r="F226" i="1"/>
  <c r="F225" i="1"/>
  <c r="A225" i="1"/>
  <c r="A226" i="1" s="1"/>
  <c r="F224" i="1"/>
  <c r="G223" i="1"/>
  <c r="F205" i="1"/>
  <c r="F204" i="1"/>
  <c r="F202" i="1"/>
  <c r="A202" i="1"/>
  <c r="A203" i="1" s="1"/>
  <c r="A204" i="1" s="1"/>
  <c r="A205" i="1" s="1"/>
  <c r="F201" i="1"/>
  <c r="G200" i="1"/>
  <c r="F200" i="1"/>
  <c r="G160" i="1" l="1"/>
  <c r="F203" i="1"/>
  <c r="G159" i="1" s="1"/>
  <c r="J185" i="1"/>
  <c r="J186" i="1"/>
  <c r="I183" i="1"/>
  <c r="G50" i="1"/>
  <c r="G51" i="1" s="1"/>
  <c r="J45" i="1"/>
  <c r="I45" i="1"/>
  <c r="Z12" i="1" l="1"/>
  <c r="I14" i="1"/>
  <c r="F183" i="1" l="1"/>
  <c r="E43" i="1" l="1"/>
  <c r="E44" i="1" s="1"/>
  <c r="C15" i="1" l="1"/>
  <c r="E30" i="1" l="1"/>
  <c r="F184" i="1" l="1"/>
  <c r="F185" i="1"/>
  <c r="F186" i="1"/>
  <c r="A184" i="1"/>
  <c r="A185" i="1" s="1"/>
  <c r="A186" i="1" s="1"/>
  <c r="G183" i="1"/>
  <c r="F151" i="1" l="1"/>
  <c r="B339" i="1" l="1"/>
  <c r="F191" i="1" l="1"/>
  <c r="F189" i="1"/>
  <c r="F188" i="1"/>
  <c r="F190" i="1"/>
  <c r="G158" i="1" l="1"/>
  <c r="G165" i="1" s="1"/>
  <c r="G166" i="1" s="1"/>
  <c r="B340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62" i="1"/>
  <c r="G188" i="1"/>
  <c r="B111" i="1"/>
  <c r="B83" i="1"/>
  <c r="C68" i="1"/>
  <c r="B69" i="1" s="1"/>
  <c r="C50" i="1"/>
  <c r="C51" i="1" s="1"/>
  <c r="E27" i="1"/>
  <c r="E25" i="1"/>
  <c r="E3" i="1"/>
  <c r="H111" i="1"/>
  <c r="D62" i="1" l="1"/>
  <c r="J110" i="1"/>
  <c r="J112" i="1" s="1"/>
  <c r="J114" i="1"/>
  <c r="D123" i="1"/>
  <c r="D121" i="1"/>
  <c r="D119" i="1"/>
  <c r="D117" i="1"/>
  <c r="J115" i="1"/>
  <c r="C114" i="1" s="1"/>
  <c r="J113" i="1"/>
  <c r="J116" i="1"/>
  <c r="J117" i="1" s="1"/>
  <c r="J122" i="1" s="1"/>
  <c r="D122" i="1"/>
  <c r="D120" i="1"/>
  <c r="D118" i="1"/>
  <c r="H69" i="1"/>
  <c r="H83" i="1"/>
  <c r="J87" i="1" l="1"/>
  <c r="C86" i="1" s="1"/>
  <c r="D86" i="1" s="1"/>
  <c r="J85" i="1"/>
  <c r="J88" i="1"/>
  <c r="J89" i="1" s="1"/>
  <c r="J94" i="1" s="1"/>
  <c r="J82" i="1"/>
  <c r="J84" i="1" s="1"/>
  <c r="D90" i="1"/>
  <c r="D92" i="1"/>
  <c r="D95" i="1"/>
  <c r="D89" i="1"/>
  <c r="D93" i="1"/>
  <c r="D94" i="1"/>
  <c r="D91" i="1"/>
  <c r="J86" i="1"/>
  <c r="D81" i="1"/>
  <c r="D79" i="1"/>
  <c r="D78" i="1"/>
  <c r="D75" i="1"/>
  <c r="D77" i="1"/>
  <c r="J74" i="1"/>
  <c r="D80" i="1"/>
  <c r="J68" i="1"/>
  <c r="J70" i="1" s="1"/>
  <c r="D76" i="1"/>
  <c r="J72" i="1"/>
  <c r="J73" i="1"/>
  <c r="C72" i="1" s="1"/>
  <c r="J71" i="1"/>
  <c r="J118" i="1"/>
  <c r="J119" i="1" s="1"/>
  <c r="J120" i="1" s="1"/>
  <c r="J121" i="1" s="1"/>
  <c r="J123" i="1" s="1"/>
  <c r="C115" i="1" s="1"/>
  <c r="J90" i="1"/>
  <c r="J91" i="1" s="1"/>
  <c r="J92" i="1" s="1"/>
  <c r="J93" i="1" s="1"/>
  <c r="J76" i="1"/>
  <c r="J77" i="1" s="1"/>
  <c r="J78" i="1" s="1"/>
  <c r="J79" i="1" s="1"/>
  <c r="D116" i="1"/>
  <c r="D114" i="1"/>
  <c r="D88" i="1"/>
  <c r="D74" i="1"/>
  <c r="J75" i="1" l="1"/>
  <c r="J80" i="1" s="1"/>
  <c r="J81" i="1" s="1"/>
  <c r="C73" i="1" s="1"/>
  <c r="B125" i="1"/>
  <c r="D72" i="1"/>
  <c r="E114" i="1"/>
  <c r="G114" i="1"/>
  <c r="D115" i="1"/>
  <c r="I111" i="1" s="1"/>
  <c r="J95" i="1"/>
  <c r="J111" i="1"/>
  <c r="H125" i="1"/>
  <c r="D137" i="1" l="1"/>
  <c r="D133" i="1"/>
  <c r="D136" i="1"/>
  <c r="J128" i="1"/>
  <c r="D135" i="1"/>
  <c r="D131" i="1"/>
  <c r="D134" i="1"/>
  <c r="D130" i="1"/>
  <c r="J129" i="1"/>
  <c r="C128" i="1" s="1"/>
  <c r="D128" i="1" s="1"/>
  <c r="J127" i="1"/>
  <c r="D132" i="1"/>
  <c r="J124" i="1"/>
  <c r="J126" i="1" s="1"/>
  <c r="J132" i="1"/>
  <c r="J135" i="1"/>
  <c r="J134" i="1"/>
  <c r="J130" i="1"/>
  <c r="J131" i="1" s="1"/>
  <c r="J136" i="1" s="1"/>
  <c r="J137" i="1" s="1"/>
  <c r="C129" i="1" s="1"/>
  <c r="J133" i="1"/>
  <c r="G72" i="1"/>
  <c r="C87" i="1"/>
  <c r="J83" i="1" s="1"/>
  <c r="J69" i="1"/>
  <c r="D73" i="1"/>
  <c r="E72" i="1"/>
  <c r="I112" i="1"/>
  <c r="I110" i="1" s="1"/>
  <c r="C112" i="1" s="1"/>
  <c r="E128" i="1" l="1"/>
  <c r="D129" i="1"/>
  <c r="I125" i="1" s="1"/>
  <c r="I126" i="1" s="1"/>
  <c r="G128" i="1"/>
  <c r="J125" i="1"/>
  <c r="I69" i="1"/>
  <c r="I70" i="1" s="1"/>
  <c r="D87" i="1"/>
  <c r="I83" i="1" s="1"/>
  <c r="I84" i="1" s="1"/>
  <c r="G86" i="1"/>
  <c r="D66" i="1" s="1"/>
  <c r="E86" i="1"/>
  <c r="I124" i="1" l="1"/>
  <c r="C126" i="1" s="1"/>
  <c r="I68" i="1"/>
  <c r="C70" i="1" s="1"/>
  <c r="B97" i="1"/>
  <c r="F67" i="1"/>
  <c r="D67" i="1"/>
  <c r="I82" i="1"/>
  <c r="C84" i="1" s="1"/>
  <c r="H97" i="1"/>
  <c r="D108" i="1" l="1"/>
  <c r="D104" i="1"/>
  <c r="J100" i="1"/>
  <c r="D107" i="1"/>
  <c r="D106" i="1"/>
  <c r="D102" i="1"/>
  <c r="J101" i="1"/>
  <c r="C100" i="1" s="1"/>
  <c r="J99" i="1"/>
  <c r="J96" i="1"/>
  <c r="J98" i="1" s="1"/>
  <c r="D109" i="1"/>
  <c r="D105" i="1"/>
  <c r="D103" i="1"/>
  <c r="J104" i="1"/>
  <c r="J106" i="1"/>
  <c r="J102" i="1"/>
  <c r="J103" i="1" s="1"/>
  <c r="J108" i="1" s="1"/>
  <c r="J109" i="1" s="1"/>
  <c r="C101" i="1" s="1"/>
  <c r="J105" i="1"/>
  <c r="J107" i="1"/>
  <c r="E100" i="1" l="1"/>
  <c r="D101" i="1"/>
  <c r="G100" i="1"/>
  <c r="D100" i="1"/>
  <c r="I97" i="1" l="1"/>
  <c r="I98" i="1" s="1"/>
  <c r="J97" i="1"/>
  <c r="I96" i="1" l="1"/>
  <c r="C98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<sst xmlns="http://schemas.openxmlformats.org/spreadsheetml/2006/main" count="695" uniqueCount="303">
  <si>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</si>
  <si>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</si>
  <si>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</si>
  <si>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</si>
  <si>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</si>
  <si>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</si>
  <si>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</si>
  <si>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</si>
  <si>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</si>
  <si>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</si>
  <si>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</si>
  <si>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</si>
  <si>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</si>
  <si>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</si>
  <si>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</si>
  <si>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</si>
  <si>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</si>
  <si>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</si>
  <si>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</si>
  <si>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</si>
  <si>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</si>
  <si>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</si>
  <si>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</si>
  <si>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</si>
  <si>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</si>
  <si>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</si>
  <si>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</si>
  <si>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</si>
  <si>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</si>
  <si>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</si>
  <si>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</si>
  <si>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</si>
  <si>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</si>
  <si>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</si>
  <si>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</si>
  <si>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</si>
  <si>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</si>
  <si>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</si>
  <si>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</si>
  <si>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</si>
  <si>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</si>
  <si>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</si>
  <si>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</si>
  <si>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</si>
  <si>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</si>
  <si>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</si>
  <si>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</si>
  <si>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</si>
  <si>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</si>
  <si>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</si>
  <si>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</si>
  <si>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</si>
  <si>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</si>
  <si>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</si>
  <si>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</si>
  <si>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</si>
  <si>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</si>
  <si>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</si>
  <si>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</si>
  <si>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</si>
  <si>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</si>
  <si>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</si>
  <si>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</si>
  <si>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</si>
  <si>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</si>
  <si>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</si>
  <si>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</si>
  <si>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</si>
  <si>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</si>
  <si>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</si>
  <si>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</si>
  <si>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</si>
  <si>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</si>
  <si>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</si>
  <si>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</si>
  <si>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</si>
  <si>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</si>
  <si>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</si>
  <si>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</si>
  <si>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</si>
  <si>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</si>
  <si>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</si>
  <si>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</si>
  <si>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</si>
  <si>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</si>
  <si>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</si>
  <si>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</si>
  <si>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</si>
  <si>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</si>
  <si>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Restrictive Covenants in regard to Land Use</t>
  </si>
  <si>
    <t>Boundries</t>
  </si>
  <si>
    <t>Development Charges</t>
  </si>
  <si>
    <t>Club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</si>
  <si>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</si>
  <si>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</si>
  <si>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</si>
  <si>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</si>
  <si>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</si>
  <si>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</si>
  <si>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</si>
  <si>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</si>
  <si>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</si>
  <si>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</si>
  <si>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</si>
  <si>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</si>
  <si>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</si>
  <si>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</si>
  <si>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</si>
  <si>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</si>
  <si>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</si>
  <si>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</si>
  <si>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</si>
  <si>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</si>
  <si>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</si>
  <si>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</si>
  <si>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</si>
  <si>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</si>
  <si>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</si>
  <si>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</si>
  <si>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</si>
  <si>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</si>
  <si>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</si>
  <si>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</si>
  <si>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</si>
  <si>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</si>
  <si>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</si>
  <si>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</si>
  <si>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</si>
  <si>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</si>
  <si>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</si>
  <si>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</si>
  <si>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</si>
  <si>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</si>
  <si>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</si>
  <si>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</si>
  <si>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</si>
  <si>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</si>
  <si>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</si>
  <si>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</si>
  <si>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</si>
  <si>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</si>
  <si>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</si>
  <si>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</si>
  <si>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</si>
  <si>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</si>
  <si>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</si>
  <si>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</si>
  <si>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</si>
  <si>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</si>
  <si>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</si>
  <si>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</si>
  <si>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</si>
  <si>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</si>
  <si>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</si>
  <si>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</si>
  <si>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</si>
  <si>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</si>
  <si>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</si>
  <si>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</si>
  <si>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</si>
  <si>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</si>
  <si>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</si>
  <si>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</si>
  <si>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</si>
  <si>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</si>
  <si>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</si>
  <si>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</si>
  <si>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</si>
  <si>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</si>
  <si>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</si>
  <si>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</si>
  <si>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</si>
  <si>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</si>
  <si>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</si>
  <si>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</si>
  <si>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</si>
  <si>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</si>
  <si>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</si>
  <si>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</si>
  <si>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</si>
  <si>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</si>
  <si>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</si>
  <si>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</si>
  <si>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</si>
  <si>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</si>
  <si>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</si>
  <si>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</si>
  <si>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</si>
  <si>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</si>
  <si>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</si>
  <si>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</si>
  <si>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</si>
  <si>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</si>
  <si>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</si>
  <si>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</si>
  <si>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</si>
  <si>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</si>
  <si>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</si>
  <si>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</si>
  <si>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</si>
  <si>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</si>
  <si>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</si>
  <si>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</si>
  <si>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</si>
  <si>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</si>
  <si>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</si>
  <si>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</si>
  <si>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</si>
  <si>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</si>
  <si>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</si>
  <si>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</si>
  <si>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</si>
  <si>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</si>
  <si>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</si>
  <si>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</si>
  <si>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</si>
  <si>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</si>
  <si>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</si>
  <si>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</si>
  <si>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</si>
  <si>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</si>
  <si>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</si>
  <si>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</si>
  <si>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</si>
  <si>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</si>
  <si>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</si>
  <si>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</si>
  <si>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Sanpada</t>
  </si>
  <si>
    <t>Mr.Sunil Chamanlal Gupta</t>
  </si>
  <si>
    <t>Name of the builder</t>
  </si>
  <si>
    <t>Kartikya Vatika</t>
  </si>
  <si>
    <t>Building No.1,2 &amp; 3</t>
  </si>
  <si>
    <t>P52000049066</t>
  </si>
  <si>
    <t>Survey No</t>
  </si>
  <si>
    <t>3/1/A</t>
  </si>
  <si>
    <t>Cheravali</t>
  </si>
  <si>
    <t>Vajepur Road</t>
  </si>
  <si>
    <t xml:space="preserve">19.009611,73.201944
</t>
  </si>
  <si>
    <t>https://maps.app.goo.gl/fyRbzM6zEP5ZeD6o7</t>
  </si>
  <si>
    <t>10.6 KM from Panvel Railway Station</t>
  </si>
  <si>
    <t>Panvel East</t>
  </si>
  <si>
    <t>Shri Ram Mandir</t>
  </si>
  <si>
    <t>Open Plot</t>
  </si>
  <si>
    <t>House</t>
  </si>
  <si>
    <t>Open Plot/Vajepur Road</t>
  </si>
  <si>
    <t>Other Plot</t>
  </si>
  <si>
    <t>Residential Existing Structure/Vajepur Road</t>
  </si>
  <si>
    <t>03 Buildings</t>
  </si>
  <si>
    <t xml:space="preserve">Navi Mumbai Airport Influence Notified Area (NAINA)
</t>
  </si>
  <si>
    <t>CIDCO/NAINA/Panvel/Cheravali/BP-00552/CC/2022/0220</t>
  </si>
  <si>
    <t>Approved Sale Builtup area of building (Sq.Mt)</t>
  </si>
  <si>
    <t>Building No.1 (Wing A, B &amp; C) = Gr + 1st to 4th Floor
Building No.2 (Wing A &amp; B) = Gr + 1st to 4th Floor
Building No.3 (Wing A &amp; B) = Gr + 1st to 4th Floor</t>
  </si>
  <si>
    <t>Building No.1 (Wing A, B &amp; C) = Gr + 1st to 4th Floor</t>
  </si>
  <si>
    <t>Building No.2 (Wing A &amp; B) = Gr + 1st to 4th Floor</t>
  </si>
  <si>
    <t>Building No.3 (Wing A &amp; B) = Gr + 1st to 4th Floor</t>
  </si>
  <si>
    <t>As per RERA - 30/06/2027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</si>
  <si>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</si>
  <si>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Building No.1</t>
  </si>
  <si>
    <t>Wing A</t>
  </si>
  <si>
    <t>Ground Floor For Driver Room, Entrance Lobby, Society Office &amp; Parking</t>
  </si>
  <si>
    <t>1st Floor For Residential</t>
  </si>
  <si>
    <t>Gym, Club House, Indoor Game, Multipurpose Hall, CCTV, Cover Car Parking, 24/7 Hour Security, Inverter Backup, Lift, Kids Play Area, Sit-Out Area, Meditation etc.</t>
  </si>
  <si>
    <t>1BHK</t>
  </si>
  <si>
    <t>Wing B</t>
  </si>
  <si>
    <t>Ground Floor For Entrance Lobby &amp; Parking</t>
  </si>
  <si>
    <t>https://housing.com/in/buy/projects/page/293240-kartikya-vatika-by-kartikya-builders-in-panvel/brochure</t>
  </si>
  <si>
    <t>Wing C</t>
  </si>
  <si>
    <t>2nd &amp; 4th Floor</t>
  </si>
  <si>
    <t>3rd Floor</t>
  </si>
  <si>
    <t>Building No.2</t>
  </si>
  <si>
    <t xml:space="preserve">A Wing </t>
  </si>
  <si>
    <t xml:space="preserve">B Wing </t>
  </si>
  <si>
    <t xml:space="preserve"> C Wing </t>
  </si>
  <si>
    <t>Ground Floor For Entrance Lobby, Organic Waste Converter, Meter Room &amp; Parking</t>
  </si>
  <si>
    <t>Building No.3</t>
  </si>
  <si>
    <t>Ground Floor For Residential, Entrance Lobby, Meter Room &amp; Parking</t>
  </si>
  <si>
    <t>Ground Floor For Commercial, Entrance Lobby, Parking &amp; Part Residential Area</t>
  </si>
  <si>
    <t>Shop</t>
  </si>
  <si>
    <t>Ground Floor For Residential, Entrance Lobby, Parking &amp; Part Commercial Area</t>
  </si>
  <si>
    <t>3th Floor</t>
  </si>
  <si>
    <t>https://kartikyavatika.com/</t>
  </si>
  <si>
    <t>Loading</t>
  </si>
  <si>
    <t>Flats - 159, Shops - 2</t>
  </si>
  <si>
    <t>We considered Gross carpet area = Net carpet + Cantilever Enclosed Balcony + Proj. Balcony.</t>
  </si>
  <si>
    <t>Grill Charges</t>
  </si>
  <si>
    <t>Water, MSEB, Grill Charges</t>
  </si>
  <si>
    <t>3600 to 3900</t>
  </si>
  <si>
    <t>Approved Plans, CC, Cost Sheet</t>
  </si>
  <si>
    <t xml:space="preserve">Permissible Sale FSI </t>
  </si>
  <si>
    <t>Total Approved Sale Builtup area of the project (Sq.Mt)</t>
  </si>
  <si>
    <t>Total Net Builtup Area = 6629.58 Sq.M
Residential - Sale Component-159 Nos, EWS Component - 20Nos
Convenient Shop - 02Nos</t>
  </si>
  <si>
    <t>We have not considered the terrace area, which is near the W.C. and Bath, near Duct (in the internal Chowk).</t>
  </si>
  <si>
    <t>Remark No. 10</t>
  </si>
  <si>
    <t>The water body is on the north side of the project.</t>
  </si>
  <si>
    <t>Kartikya Builders</t>
  </si>
  <si>
    <t>Mr.Prafull : 9769911869</t>
  </si>
  <si>
    <t>Building No.2 (Wing A) = Gr + 1st to 4th Floor</t>
  </si>
  <si>
    <t>Building No.2 (Wing B) = Gr + 1st to 4th Floor</t>
  </si>
  <si>
    <t>Building No.3 (Wing A) = Gr + 1st to 4th Floor</t>
  </si>
  <si>
    <t>Building No.3 (Wing B) = Gr + 1st to 4th Floor</t>
  </si>
  <si>
    <t>Ravindra Vishwakarma</t>
  </si>
  <si>
    <t>Construction work is in process at the time of Visit (Labour found).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</si>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</sst>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  <numFmt numFmtId="169" formatCode="0.00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6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10" xfId="1" applyFont="1" applyBorder="1"/>
    <xf numFmtId="0" fontId="18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2" borderId="30" xfId="0" applyFont="1" applyFill="1" applyBorder="1"/>
    <xf numFmtId="0" fontId="26" fillId="0" borderId="31" xfId="0" applyFont="1" applyBorder="1"/>
    <xf numFmtId="0" fontId="26" fillId="0" borderId="1" xfId="0" applyFont="1" applyBorder="1"/>
    <xf numFmtId="0" fontId="26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68" fontId="7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7" fillId="0" borderId="0" xfId="1" applyFont="1" applyAlignment="1"/>
    <xf numFmtId="164" fontId="7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1" fontId="15" fillId="0" borderId="0" xfId="1" applyNumberFormat="1" applyFont="1" applyAlignment="1">
      <alignment horizontal="center" vertical="center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 wrapText="1"/>
    </xf>
    <xf numFmtId="169" fontId="7" fillId="0" borderId="0" xfId="1" applyNumberFormat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64" fontId="6" fillId="0" borderId="0" xfId="1" applyNumberFormat="1" applyFont="1" applyBorder="1" applyAlignment="1" applyProtection="1">
      <alignment horizontal="center" vertical="center" wrapText="1"/>
      <protection locked="0"/>
    </xf>
    <xf numFmtId="2" fontId="15" fillId="0" borderId="0" xfId="1" applyNumberFormat="1" applyFont="1" applyAlignment="1">
      <alignment horizontal="center" vertical="center"/>
    </xf>
    <xf numFmtId="1" fontId="6" fillId="0" borderId="3" xfId="1" applyNumberFormat="1" applyFont="1" applyBorder="1" applyAlignment="1" applyProtection="1">
      <alignment horizontal="center" vertical="center" wrapText="1"/>
      <protection locked="0"/>
    </xf>
    <xf numFmtId="0" fontId="27" fillId="0" borderId="0" xfId="10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27" fillId="0" borderId="0" xfId="10" applyBorder="1" applyAlignment="1"/>
    <xf numFmtId="0" fontId="25" fillId="2" borderId="15" xfId="0" applyFont="1" applyFill="1" applyBorder="1"/>
    <xf numFmtId="0" fontId="26" fillId="0" borderId="9" xfId="0" applyFont="1" applyBorder="1"/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1" fontId="6" fillId="0" borderId="16" xfId="0" applyNumberFormat="1" applyFont="1" applyBorder="1" applyAlignment="1" applyProtection="1">
      <alignment horizontal="center" vertical="center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9" xfId="1" applyNumberFormat="1" applyFont="1" applyBorder="1" applyAlignment="1" applyProtection="1">
      <alignment horizontal="center" vertical="top" wrapText="1"/>
      <protection locked="0"/>
    </xf>
    <xf numFmtId="1" fontId="6" fillId="0" borderId="3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 applyProtection="1">
      <alignment horizontal="left" vertical="top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6" fillId="0" borderId="34" xfId="0" applyNumberFormat="1" applyFont="1" applyBorder="1" applyAlignment="1" applyProtection="1">
      <alignment horizontal="center" vertical="center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 wrapText="1"/>
      <protection locked="0"/>
    </xf>
    <xf numFmtId="0" fontId="10" fillId="0" borderId="21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0" fillId="0" borderId="21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17" fillId="0" borderId="21" xfId="0" applyNumberFormat="1" applyFont="1" applyBorder="1" applyAlignment="1" applyProtection="1">
      <alignment vertical="top" wrapText="1"/>
      <protection locked="0"/>
    </xf>
    <xf numFmtId="1" fontId="17" fillId="0" borderId="9" xfId="0" applyNumberFormat="1" applyFont="1" applyBorder="1" applyAlignment="1" applyProtection="1">
      <alignment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10" fillId="0" borderId="13" xfId="1" applyFont="1" applyBorder="1" applyAlignment="1" applyProtection="1">
      <alignment horizontal="left" vertical="top" wrapText="1"/>
      <protection locked="0"/>
    </xf>
    <xf numFmtId="0" fontId="10" fillId="0" borderId="14" xfId="1" applyFont="1" applyBorder="1" applyAlignment="1" applyProtection="1">
      <alignment horizontal="left" vertical="top" wrapText="1"/>
      <protection locked="0"/>
    </xf>
    <xf numFmtId="0" fontId="10" fillId="0" borderId="23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7" fillId="0" borderId="19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20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/>
      <protection locked="0"/>
    </xf>
    <xf numFmtId="0" fontId="7" fillId="0" borderId="24" xfId="1" applyFont="1" applyBorder="1" applyAlignment="1" applyProtection="1">
      <alignment horizontal="left" vertical="top"/>
      <protection locked="0"/>
    </xf>
    <xf numFmtId="0" fontId="7" fillId="0" borderId="18" xfId="1" applyFont="1" applyBorder="1" applyAlignment="1" applyProtection="1">
      <alignment horizontal="left" vertical="top"/>
      <protection locked="0"/>
    </xf>
    <xf numFmtId="0" fontId="7" fillId="0" borderId="25" xfId="1" applyFont="1" applyBorder="1" applyAlignment="1" applyProtection="1">
      <alignment horizontal="left" vertical="top"/>
      <protection locked="0"/>
    </xf>
    <xf numFmtId="0" fontId="7" fillId="0" borderId="0" xfId="1" applyFont="1" applyAlignment="1" applyProtection="1">
      <alignment horizontal="left" vertical="top"/>
      <protection locked="0"/>
    </xf>
    <xf numFmtId="0" fontId="7" fillId="0" borderId="26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colors>
    <mruColors>
      <color rgb="FF0B51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717176</xdr:colOff>
      <xdr:row>499</xdr:row>
      <xdr:rowOff>114342</xdr:rowOff>
    </xdr:from>
    <xdr:to>
      <xdr:col>6</xdr:col>
      <xdr:colOff>715941</xdr:colOff>
      <xdr:row>519</xdr:row>
      <xdr:rowOff>165201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7176" y="66453166"/>
          <a:ext cx="5400000" cy="4084975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169499</xdr:colOff>
      <xdr:row>484</xdr:row>
      <xdr:rowOff>112059</xdr:rowOff>
    </xdr:from>
    <xdr:to>
      <xdr:col>6</xdr:col>
      <xdr:colOff>378352</xdr:colOff>
      <xdr:row>498</xdr:row>
      <xdr:rowOff>114018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9587" y="91294324"/>
          <a:ext cx="4680000" cy="2825841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3</xdr:col>
      <xdr:colOff>381413</xdr:colOff>
      <xdr:row>511</xdr:row>
      <xdr:rowOff>184150</xdr:rowOff>
    </xdr:from>
    <xdr:to>
      <xdr:col>4</xdr:col>
      <xdr:colOff>528584</xdr:colOff>
      <xdr:row>516</xdr:row>
      <xdr:rowOff>128120</xdr:rowOff>
    </xdr:to>
    <xdr:sp macro="" textlink="">
      <xdr:nvSpPr>
        <xdr:cNvPr id="4" name="Freefor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21360180">
          <a:off x="3093237" y="96812474"/>
          <a:ext cx="1155700" cy="952499"/>
        </a:xfrm>
        <a:custGeom>
          <a:avLst/>
          <a:gdLst>
            <a:gd name="connsiteX0" fmla="*/ 0 w 4940300"/>
            <a:gd name="connsiteY0" fmla="*/ 3429000 h 3746500"/>
            <a:gd name="connsiteX1" fmla="*/ 1790700 w 4940300"/>
            <a:gd name="connsiteY1" fmla="*/ 0 h 3746500"/>
            <a:gd name="connsiteX2" fmla="*/ 4940300 w 4940300"/>
            <a:gd name="connsiteY2" fmla="*/ 76200 h 3746500"/>
            <a:gd name="connsiteX3" fmla="*/ 4940300 w 4940300"/>
            <a:gd name="connsiteY3" fmla="*/ 3505200 h 3746500"/>
            <a:gd name="connsiteX4" fmla="*/ 4305300 w 4940300"/>
            <a:gd name="connsiteY4" fmla="*/ 3632200 h 3746500"/>
            <a:gd name="connsiteX5" fmla="*/ 685800 w 4940300"/>
            <a:gd name="connsiteY5" fmla="*/ 3746500 h 3746500"/>
            <a:gd name="connsiteX6" fmla="*/ 0 w 4940300"/>
            <a:gd name="connsiteY6" fmla="*/ 3429000 h 3746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4940300" h="3746500">
              <a:moveTo>
                <a:pt x="0" y="3429000"/>
              </a:moveTo>
              <a:lnTo>
                <a:pt x="1790700" y="0"/>
              </a:lnTo>
              <a:lnTo>
                <a:pt x="4940300" y="76200"/>
              </a:lnTo>
              <a:lnTo>
                <a:pt x="4940300" y="3505200"/>
              </a:lnTo>
              <a:lnTo>
                <a:pt x="4305300" y="3632200"/>
              </a:lnTo>
              <a:lnTo>
                <a:pt x="685800" y="3746500"/>
              </a:lnTo>
              <a:lnTo>
                <a:pt x="0" y="3429000"/>
              </a:lnTo>
              <a:close/>
            </a:path>
          </a:pathLst>
        </a:cu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 editAs="oneCell">
    <xdr:from>
      <xdr:col>2</xdr:col>
      <xdr:colOff>282262</xdr:colOff>
      <xdr:row>441</xdr:row>
      <xdr:rowOff>179295</xdr:rowOff>
    </xdr:from>
    <xdr:to>
      <xdr:col>5</xdr:col>
      <xdr:colOff>587389</xdr:colOff>
      <xdr:row>457</xdr:row>
      <xdr:rowOff>12001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63144" y="54617471"/>
          <a:ext cx="3072980" cy="306000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179293</xdr:colOff>
      <xdr:row>457</xdr:row>
      <xdr:rowOff>136920</xdr:rowOff>
    </xdr:from>
    <xdr:to>
      <xdr:col>6</xdr:col>
      <xdr:colOff>748146</xdr:colOff>
      <xdr:row>480</xdr:row>
      <xdr:rowOff>135224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7322" y="57802391"/>
          <a:ext cx="5040000" cy="4637539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44824</xdr:colOff>
      <xdr:row>52</xdr:row>
      <xdr:rowOff>168089</xdr:rowOff>
    </xdr:from>
    <xdr:to>
      <xdr:col>12</xdr:col>
      <xdr:colOff>605207</xdr:colOff>
      <xdr:row>65</xdr:row>
      <xdr:rowOff>173325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46677" y="13312589"/>
          <a:ext cx="2880000" cy="3512677"/>
        </a:xfrm>
        <a:prstGeom prst="rect">
          <a:avLst/>
        </a:prstGeom>
      </xdr:spPr>
    </xdr:pic>
    <xdr:clientData/>
  </xdr:twoCellAnchor>
  <xdr:twoCellAnchor>
    <xdr:from>
      <xdr:col>10</xdr:col>
      <xdr:colOff>671101</xdr:colOff>
      <xdr:row>365</xdr:row>
      <xdr:rowOff>18183</xdr:rowOff>
    </xdr:from>
    <xdr:to>
      <xdr:col>13</xdr:col>
      <xdr:colOff>73215</xdr:colOff>
      <xdr:row>366</xdr:row>
      <xdr:rowOff>91795</xdr:rowOff>
    </xdr:to>
    <xdr:sp macro="" textlink="">
      <xdr:nvSpPr>
        <xdr:cNvPr id="28" name="TextBox 1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9700801" y="72293883"/>
          <a:ext cx="1754789" cy="273637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/>
            <a:t>Building No.2 (Wing A)</a:t>
          </a:r>
          <a:endParaRPr lang="en-IN" sz="1200" b="1"/>
        </a:p>
      </xdr:txBody>
    </xdr:sp>
    <xdr:clientData/>
  </xdr:twoCellAnchor>
  <xdr:twoCellAnchor>
    <xdr:from>
      <xdr:col>9</xdr:col>
      <xdr:colOff>398752</xdr:colOff>
      <xdr:row>377</xdr:row>
      <xdr:rowOff>49898</xdr:rowOff>
    </xdr:from>
    <xdr:to>
      <xdr:col>11</xdr:col>
      <xdr:colOff>580795</xdr:colOff>
      <xdr:row>378</xdr:row>
      <xdr:rowOff>123510</xdr:rowOff>
    </xdr:to>
    <xdr:sp macro="" textlink="">
      <xdr:nvSpPr>
        <xdr:cNvPr id="30" name="TextBox 2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609302" y="74725898"/>
          <a:ext cx="1753668" cy="273637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/>
            <a:t>Building No.3 (Wing B)</a:t>
          </a:r>
          <a:endParaRPr lang="en-IN" sz="1200" b="1"/>
        </a:p>
      </xdr:txBody>
    </xdr:sp>
    <xdr:clientData/>
  </xdr:twoCellAnchor>
  <xdr:twoCellAnchor>
    <xdr:from>
      <xdr:col>10</xdr:col>
      <xdr:colOff>682959</xdr:colOff>
      <xdr:row>374</xdr:row>
      <xdr:rowOff>143198</xdr:rowOff>
    </xdr:from>
    <xdr:to>
      <xdr:col>13</xdr:col>
      <xdr:colOff>61355</xdr:colOff>
      <xdr:row>376</xdr:row>
      <xdr:rowOff>16785</xdr:rowOff>
    </xdr:to>
    <xdr:sp macro="" textlink="">
      <xdr:nvSpPr>
        <xdr:cNvPr id="31" name="TextBox 2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712659" y="74219123"/>
          <a:ext cx="1731071" cy="273637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/>
            <a:t>Building No.3 (Wing A)</a:t>
          </a:r>
          <a:endParaRPr lang="en-IN" sz="1200" b="1"/>
        </a:p>
      </xdr:txBody>
    </xdr:sp>
    <xdr:clientData/>
  </xdr:twoCellAnchor>
  <xdr:twoCellAnchor editAs="oneCell">
    <xdr:from>
      <xdr:col>0</xdr:col>
      <xdr:colOff>647700</xdr:colOff>
      <xdr:row>407</xdr:row>
      <xdr:rowOff>0</xdr:rowOff>
    </xdr:from>
    <xdr:to>
      <xdr:col>7</xdr:col>
      <xdr:colOff>150948</xdr:colOff>
      <xdr:row>428</xdr:row>
      <xdr:rowOff>119475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7700" y="80476725"/>
          <a:ext cx="5713548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904875</xdr:colOff>
      <xdr:row>419</xdr:row>
      <xdr:rowOff>180976</xdr:rowOff>
    </xdr:from>
    <xdr:to>
      <xdr:col>4</xdr:col>
      <xdr:colOff>809625</xdr:colOff>
      <xdr:row>422</xdr:row>
      <xdr:rowOff>171451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695575" y="83058001"/>
          <a:ext cx="1828800" cy="590550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714375</xdr:colOff>
      <xdr:row>416</xdr:row>
      <xdr:rowOff>161925</xdr:rowOff>
    </xdr:from>
    <xdr:to>
      <xdr:col>2</xdr:col>
      <xdr:colOff>677343</xdr:colOff>
      <xdr:row>419</xdr:row>
      <xdr:rowOff>29927</xdr:rowOff>
    </xdr:to>
    <xdr:sp macro="" textlink="">
      <xdr:nvSpPr>
        <xdr:cNvPr id="35" name="TextBox 20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714375" y="82438875"/>
          <a:ext cx="1753668" cy="468077"/>
        </a:xfrm>
        <a:prstGeom prst="rect">
          <a:avLst/>
        </a:prstGeom>
        <a:solidFill>
          <a:srgbClr val="FFC000"/>
        </a:solidFill>
        <a:ln>
          <a:solidFill>
            <a:schemeClr val="accent6">
              <a:lumMod val="60000"/>
              <a:lumOff val="40000"/>
            </a:schemeClr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/>
            <a:t>Terrace</a:t>
          </a:r>
          <a:r>
            <a:rPr lang="en-US" sz="1200" b="1" baseline="0"/>
            <a:t> Area Provided Near duct</a:t>
          </a:r>
          <a:endParaRPr lang="en-IN" sz="1200" b="1"/>
        </a:p>
      </xdr:txBody>
    </xdr:sp>
    <xdr:clientData/>
  </xdr:twoCellAnchor>
  <xdr:twoCellAnchor>
    <xdr:from>
      <xdr:col>2</xdr:col>
      <xdr:colOff>514350</xdr:colOff>
      <xdr:row>417</xdr:row>
      <xdr:rowOff>133350</xdr:rowOff>
    </xdr:from>
    <xdr:to>
      <xdr:col>3</xdr:col>
      <xdr:colOff>295275</xdr:colOff>
      <xdr:row>419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2305050" y="82610325"/>
          <a:ext cx="695325" cy="428625"/>
        </a:xfrm>
        <a:prstGeom prst="straightConnector1">
          <a:avLst/>
        </a:prstGeom>
        <a:ln w="3810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895350</xdr:colOff>
      <xdr:row>413</xdr:row>
      <xdr:rowOff>1</xdr:rowOff>
    </xdr:from>
    <xdr:to>
      <xdr:col>4</xdr:col>
      <xdr:colOff>800100</xdr:colOff>
      <xdr:row>415</xdr:row>
      <xdr:rowOff>190501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2686050" y="81676876"/>
          <a:ext cx="1828800" cy="590550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552450</xdr:colOff>
      <xdr:row>416</xdr:row>
      <xdr:rowOff>47625</xdr:rowOff>
    </xdr:from>
    <xdr:to>
      <xdr:col>3</xdr:col>
      <xdr:colOff>381000</xdr:colOff>
      <xdr:row>417</xdr:row>
      <xdr:rowOff>104775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flipV="1">
          <a:off x="2343150" y="82324575"/>
          <a:ext cx="742950" cy="257175"/>
        </a:xfrm>
        <a:prstGeom prst="straightConnector1">
          <a:avLst/>
        </a:prstGeom>
        <a:ln w="3810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723900</xdr:colOff>
      <xdr:row>502</xdr:row>
      <xdr:rowOff>123825</xdr:rowOff>
    </xdr:from>
    <xdr:to>
      <xdr:col>6</xdr:col>
      <xdr:colOff>714375</xdr:colOff>
      <xdr:row>513</xdr:row>
      <xdr:rowOff>95250</xdr:rowOff>
    </xdr:to>
    <xdr:sp macro="" textlink="">
      <xdr:nvSpPr>
        <xdr:cNvPr id="16" name="Freeform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514600" y="101803200"/>
          <a:ext cx="3590925" cy="2171700"/>
        </a:xfrm>
        <a:custGeom>
          <a:avLst/>
          <a:gdLst>
            <a:gd name="connsiteX0" fmla="*/ 76200 w 3590925"/>
            <a:gd name="connsiteY0" fmla="*/ 123825 h 2171700"/>
            <a:gd name="connsiteX1" fmla="*/ 495300 w 3590925"/>
            <a:gd name="connsiteY1" fmla="*/ 0 h 2171700"/>
            <a:gd name="connsiteX2" fmla="*/ 657225 w 3590925"/>
            <a:gd name="connsiteY2" fmla="*/ 323850 h 2171700"/>
            <a:gd name="connsiteX3" fmla="*/ 885825 w 3590925"/>
            <a:gd name="connsiteY3" fmla="*/ 542925 h 2171700"/>
            <a:gd name="connsiteX4" fmla="*/ 1152525 w 3590925"/>
            <a:gd name="connsiteY4" fmla="*/ 800100 h 2171700"/>
            <a:gd name="connsiteX5" fmla="*/ 1552575 w 3590925"/>
            <a:gd name="connsiteY5" fmla="*/ 971550 h 2171700"/>
            <a:gd name="connsiteX6" fmla="*/ 1981200 w 3590925"/>
            <a:gd name="connsiteY6" fmla="*/ 1028700 h 2171700"/>
            <a:gd name="connsiteX7" fmla="*/ 2686050 w 3590925"/>
            <a:gd name="connsiteY7" fmla="*/ 1114425 h 2171700"/>
            <a:gd name="connsiteX8" fmla="*/ 3019425 w 3590925"/>
            <a:gd name="connsiteY8" fmla="*/ 1162050 h 2171700"/>
            <a:gd name="connsiteX9" fmla="*/ 3419475 w 3590925"/>
            <a:gd name="connsiteY9" fmla="*/ 1238250 h 2171700"/>
            <a:gd name="connsiteX10" fmla="*/ 3533775 w 3590925"/>
            <a:gd name="connsiteY10" fmla="*/ 1390650 h 2171700"/>
            <a:gd name="connsiteX11" fmla="*/ 3590925 w 3590925"/>
            <a:gd name="connsiteY11" fmla="*/ 1504950 h 2171700"/>
            <a:gd name="connsiteX12" fmla="*/ 3581400 w 3590925"/>
            <a:gd name="connsiteY12" fmla="*/ 2171700 h 2171700"/>
            <a:gd name="connsiteX13" fmla="*/ 3305175 w 3590925"/>
            <a:gd name="connsiteY13" fmla="*/ 1914525 h 2171700"/>
            <a:gd name="connsiteX14" fmla="*/ 3038475 w 3590925"/>
            <a:gd name="connsiteY14" fmla="*/ 1895475 h 2171700"/>
            <a:gd name="connsiteX15" fmla="*/ 2743200 w 3590925"/>
            <a:gd name="connsiteY15" fmla="*/ 1876425 h 2171700"/>
            <a:gd name="connsiteX16" fmla="*/ 2295525 w 3590925"/>
            <a:gd name="connsiteY16" fmla="*/ 1647825 h 2171700"/>
            <a:gd name="connsiteX17" fmla="*/ 1838325 w 3590925"/>
            <a:gd name="connsiteY17" fmla="*/ 1514475 h 2171700"/>
            <a:gd name="connsiteX18" fmla="*/ 1409700 w 3590925"/>
            <a:gd name="connsiteY18" fmla="*/ 1438275 h 2171700"/>
            <a:gd name="connsiteX19" fmla="*/ 1085850 w 3590925"/>
            <a:gd name="connsiteY19" fmla="*/ 1304925 h 2171700"/>
            <a:gd name="connsiteX20" fmla="*/ 838200 w 3590925"/>
            <a:gd name="connsiteY20" fmla="*/ 942975 h 2171700"/>
            <a:gd name="connsiteX21" fmla="*/ 581025 w 3590925"/>
            <a:gd name="connsiteY21" fmla="*/ 819150 h 2171700"/>
            <a:gd name="connsiteX22" fmla="*/ 371475 w 3590925"/>
            <a:gd name="connsiteY22" fmla="*/ 781050 h 2171700"/>
            <a:gd name="connsiteX23" fmla="*/ 152400 w 3590925"/>
            <a:gd name="connsiteY23" fmla="*/ 657225 h 2171700"/>
            <a:gd name="connsiteX24" fmla="*/ 0 w 3590925"/>
            <a:gd name="connsiteY24" fmla="*/ 152400 h 2171700"/>
            <a:gd name="connsiteX25" fmla="*/ 76200 w 3590925"/>
            <a:gd name="connsiteY25" fmla="*/ 123825 h 21717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</a:cxnLst>
          <a:rect l="l" t="t" r="r" b="b"/>
          <a:pathLst>
            <a:path w="3590925" h="2171700">
              <a:moveTo>
                <a:pt x="76200" y="123825"/>
              </a:moveTo>
              <a:lnTo>
                <a:pt x="495300" y="0"/>
              </a:lnTo>
              <a:lnTo>
                <a:pt x="657225" y="323850"/>
              </a:lnTo>
              <a:lnTo>
                <a:pt x="885825" y="542925"/>
              </a:lnTo>
              <a:lnTo>
                <a:pt x="1152525" y="800100"/>
              </a:lnTo>
              <a:lnTo>
                <a:pt x="1552575" y="971550"/>
              </a:lnTo>
              <a:lnTo>
                <a:pt x="1981200" y="1028700"/>
              </a:lnTo>
              <a:lnTo>
                <a:pt x="2686050" y="1114425"/>
              </a:lnTo>
              <a:lnTo>
                <a:pt x="3019425" y="1162050"/>
              </a:lnTo>
              <a:lnTo>
                <a:pt x="3419475" y="1238250"/>
              </a:lnTo>
              <a:lnTo>
                <a:pt x="3533775" y="1390650"/>
              </a:lnTo>
              <a:lnTo>
                <a:pt x="3590925" y="1504950"/>
              </a:lnTo>
              <a:lnTo>
                <a:pt x="3581400" y="2171700"/>
              </a:lnTo>
              <a:lnTo>
                <a:pt x="3305175" y="1914525"/>
              </a:lnTo>
              <a:lnTo>
                <a:pt x="3038475" y="1895475"/>
              </a:lnTo>
              <a:lnTo>
                <a:pt x="2743200" y="1876425"/>
              </a:lnTo>
              <a:lnTo>
                <a:pt x="2295525" y="1647825"/>
              </a:lnTo>
              <a:lnTo>
                <a:pt x="1838325" y="1514475"/>
              </a:lnTo>
              <a:lnTo>
                <a:pt x="1409700" y="1438275"/>
              </a:lnTo>
              <a:lnTo>
                <a:pt x="1085850" y="1304925"/>
              </a:lnTo>
              <a:lnTo>
                <a:pt x="838200" y="942975"/>
              </a:lnTo>
              <a:lnTo>
                <a:pt x="581025" y="819150"/>
              </a:lnTo>
              <a:lnTo>
                <a:pt x="371475" y="781050"/>
              </a:lnTo>
              <a:lnTo>
                <a:pt x="152400" y="657225"/>
              </a:lnTo>
              <a:lnTo>
                <a:pt x="0" y="152400"/>
              </a:lnTo>
              <a:lnTo>
                <a:pt x="76200" y="123825"/>
              </a:lnTo>
              <a:close/>
            </a:path>
          </a:pathLst>
        </a:cu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952500</xdr:colOff>
      <xdr:row>507</xdr:row>
      <xdr:rowOff>161925</xdr:rowOff>
    </xdr:from>
    <xdr:to>
      <xdr:col>6</xdr:col>
      <xdr:colOff>20118</xdr:colOff>
      <xdr:row>509</xdr:row>
      <xdr:rowOff>42080</xdr:rowOff>
    </xdr:to>
    <xdr:sp macro="" textlink="">
      <xdr:nvSpPr>
        <xdr:cNvPr id="38" name="TextBox 2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657600" y="102841425"/>
          <a:ext cx="1753668" cy="280205"/>
        </a:xfrm>
        <a:prstGeom prst="rect">
          <a:avLst/>
        </a:prstGeom>
        <a:noFill/>
        <a:ln>
          <a:noFill/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rgbClr val="FFFF00"/>
              </a:solidFill>
            </a:rPr>
            <a:t>Water Body</a:t>
          </a:r>
          <a:endParaRPr lang="en-IN" sz="1200" b="1">
            <a:solidFill>
              <a:srgbClr val="FFFF00"/>
            </a:solidFill>
          </a:endParaRPr>
        </a:p>
      </xdr:txBody>
    </xdr:sp>
    <xdr:clientData/>
  </xdr:twoCellAnchor>
  <xdr:twoCellAnchor>
    <xdr:from>
      <xdr:col>8</xdr:col>
      <xdr:colOff>369714</xdr:colOff>
      <xdr:row>364</xdr:row>
      <xdr:rowOff>110334</xdr:rowOff>
    </xdr:from>
    <xdr:to>
      <xdr:col>8</xdr:col>
      <xdr:colOff>839342</xdr:colOff>
      <xdr:row>366</xdr:row>
      <xdr:rowOff>97125</xdr:rowOff>
    </xdr:to>
    <xdr:sp macro="" textlink="">
      <xdr:nvSpPr>
        <xdr:cNvPr id="48" name="TextBox 93">
          <a:extLst>
            <a:ext uri="{FF2B5EF4-FFF2-40B4-BE49-F238E27FC236}">
              <a16:creationId xmlns:a16="http://schemas.microsoft.com/office/drawing/2014/main" id="{11008E76-1DD4-407B-AFEA-C86F733CC114}"/>
            </a:ext>
          </a:extLst>
        </xdr:cNvPr>
        <xdr:cNvSpPr txBox="1"/>
      </xdr:nvSpPr>
      <xdr:spPr>
        <a:xfrm>
          <a:off x="7170564" y="77294584"/>
          <a:ext cx="469628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1A</a:t>
          </a:r>
          <a:endParaRPr lang="en-IN" b="0" cap="none" spc="0">
            <a:ln w="0"/>
            <a:solidFill>
              <a:sysClr val="windowText" lastClr="00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twoCellAnchor>
  <xdr:twoCellAnchor>
    <xdr:from>
      <xdr:col>9</xdr:col>
      <xdr:colOff>761500</xdr:colOff>
      <xdr:row>365</xdr:row>
      <xdr:rowOff>111091</xdr:rowOff>
    </xdr:from>
    <xdr:to>
      <xdr:col>10</xdr:col>
      <xdr:colOff>450171</xdr:colOff>
      <xdr:row>367</xdr:row>
      <xdr:rowOff>80373</xdr:rowOff>
    </xdr:to>
    <xdr:sp macro="" textlink="">
      <xdr:nvSpPr>
        <xdr:cNvPr id="59" name="TextBox 97">
          <a:extLst>
            <a:ext uri="{FF2B5EF4-FFF2-40B4-BE49-F238E27FC236}">
              <a16:creationId xmlns:a16="http://schemas.microsoft.com/office/drawing/2014/main" id="{63147523-5421-4463-ACE1-F5F368459AA4}"/>
            </a:ext>
          </a:extLst>
        </xdr:cNvPr>
        <xdr:cNvSpPr txBox="1"/>
      </xdr:nvSpPr>
      <xdr:spPr>
        <a:xfrm>
          <a:off x="8781550" y="77485841"/>
          <a:ext cx="488771" cy="36298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3A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661814</xdr:colOff>
      <xdr:row>362</xdr:row>
      <xdr:rowOff>75409</xdr:rowOff>
    </xdr:from>
    <xdr:to>
      <xdr:col>12</xdr:col>
      <xdr:colOff>356742</xdr:colOff>
      <xdr:row>364</xdr:row>
      <xdr:rowOff>47866</xdr:rowOff>
    </xdr:to>
    <xdr:sp macro="" textlink="">
      <xdr:nvSpPr>
        <xdr:cNvPr id="60" name="TextBox 98">
          <a:extLst>
            <a:ext uri="{FF2B5EF4-FFF2-40B4-BE49-F238E27FC236}">
              <a16:creationId xmlns:a16="http://schemas.microsoft.com/office/drawing/2014/main" id="{DBB12CFD-2C86-4D31-921A-CFB382C36D12}"/>
            </a:ext>
          </a:extLst>
        </xdr:cNvPr>
        <xdr:cNvSpPr txBox="1"/>
      </xdr:nvSpPr>
      <xdr:spPr>
        <a:xfrm>
          <a:off x="10218564" y="76865959"/>
          <a:ext cx="431528" cy="36615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3B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44450</xdr:colOff>
      <xdr:row>362</xdr:row>
      <xdr:rowOff>63500</xdr:rowOff>
    </xdr:from>
    <xdr:to>
      <xdr:col>7</xdr:col>
      <xdr:colOff>707198</xdr:colOff>
      <xdr:row>403</xdr:row>
      <xdr:rowOff>0</xdr:rowOff>
    </xdr:to>
    <xdr:grpSp>
      <xdr:nvGrpSpPr>
        <xdr:cNvPr id="11" name="Group 10"/>
        <xdr:cNvGrpSpPr/>
      </xdr:nvGrpSpPr>
      <xdr:grpSpPr>
        <a:xfrm>
          <a:off x="44450" y="76854050"/>
          <a:ext cx="6726998" cy="8001000"/>
          <a:chOff x="44450" y="76854050"/>
          <a:chExt cx="6726998" cy="8001000"/>
        </a:xfrm>
      </xdr:grpSpPr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28947" y="83804026"/>
            <a:ext cx="2158000" cy="105102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1027" y="82066532"/>
            <a:ext cx="1213735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13448" y="78591544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8591" y="80329038"/>
            <a:ext cx="1213735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28949" y="78591544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8048" y="82066532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65307" y="80329038"/>
            <a:ext cx="2157998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76286" y="80329038"/>
            <a:ext cx="2157998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34006" y="82066532"/>
            <a:ext cx="1213735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450" y="76854050"/>
            <a:ext cx="2157998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28949" y="76854050"/>
            <a:ext cx="2157998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5" name="Picture 74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13448" y="76854050"/>
            <a:ext cx="2157998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6" name="Picture 75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450" y="78591544"/>
            <a:ext cx="2157998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7" name="TextBox 93">
            <a:extLst>
              <a:ext uri="{FF2B5EF4-FFF2-40B4-BE49-F238E27FC236}">
                <a16:creationId xmlns:a16="http://schemas.microsoft.com/office/drawing/2014/main" id="{11008E76-1DD4-407B-AFEA-C86F733CC114}"/>
              </a:ext>
            </a:extLst>
          </xdr:cNvPr>
          <xdr:cNvSpPr txBox="1"/>
        </xdr:nvSpPr>
        <xdr:spPr>
          <a:xfrm>
            <a:off x="958850" y="77933550"/>
            <a:ext cx="469628" cy="3741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1A</a:t>
            </a:r>
            <a:endParaRPr lang="en-IN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78" name="TextBox 93">
            <a:extLst>
              <a:ext uri="{FF2B5EF4-FFF2-40B4-BE49-F238E27FC236}">
                <a16:creationId xmlns:a16="http://schemas.microsoft.com/office/drawing/2014/main" id="{11008E76-1DD4-407B-AFEA-C86F733CC114}"/>
              </a:ext>
            </a:extLst>
          </xdr:cNvPr>
          <xdr:cNvSpPr txBox="1"/>
        </xdr:nvSpPr>
        <xdr:spPr>
          <a:xfrm>
            <a:off x="2919499" y="77787500"/>
            <a:ext cx="469628" cy="3741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1B</a:t>
            </a:r>
            <a:endParaRPr lang="en-IN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79" name="TextBox 93">
            <a:extLst>
              <a:ext uri="{FF2B5EF4-FFF2-40B4-BE49-F238E27FC236}">
                <a16:creationId xmlns:a16="http://schemas.microsoft.com/office/drawing/2014/main" id="{11008E76-1DD4-407B-AFEA-C86F733CC114}"/>
              </a:ext>
            </a:extLst>
          </xdr:cNvPr>
          <xdr:cNvSpPr txBox="1"/>
        </xdr:nvSpPr>
        <xdr:spPr>
          <a:xfrm>
            <a:off x="5413548" y="77806550"/>
            <a:ext cx="469628" cy="3741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1C</a:t>
            </a:r>
            <a:endParaRPr lang="en-IN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80" name="TextBox 93">
            <a:extLst>
              <a:ext uri="{FF2B5EF4-FFF2-40B4-BE49-F238E27FC236}">
                <a16:creationId xmlns:a16="http://schemas.microsoft.com/office/drawing/2014/main" id="{11008E76-1DD4-407B-AFEA-C86F733CC114}"/>
              </a:ext>
            </a:extLst>
          </xdr:cNvPr>
          <xdr:cNvSpPr txBox="1"/>
        </xdr:nvSpPr>
        <xdr:spPr>
          <a:xfrm>
            <a:off x="5318298" y="79594844"/>
            <a:ext cx="469628" cy="3741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2A</a:t>
            </a:r>
            <a:endParaRPr lang="en-IN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81" name="TextBox 93">
            <a:extLst>
              <a:ext uri="{FF2B5EF4-FFF2-40B4-BE49-F238E27FC236}">
                <a16:creationId xmlns:a16="http://schemas.microsoft.com/office/drawing/2014/main" id="{11008E76-1DD4-407B-AFEA-C86F733CC114}"/>
              </a:ext>
            </a:extLst>
          </xdr:cNvPr>
          <xdr:cNvSpPr txBox="1"/>
        </xdr:nvSpPr>
        <xdr:spPr>
          <a:xfrm>
            <a:off x="885941" y="81452988"/>
            <a:ext cx="469628" cy="3741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2B</a:t>
            </a:r>
            <a:endParaRPr lang="en-IN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82" name="TextBox 93">
            <a:extLst>
              <a:ext uri="{FF2B5EF4-FFF2-40B4-BE49-F238E27FC236}">
                <a16:creationId xmlns:a16="http://schemas.microsoft.com/office/drawing/2014/main" id="{11008E76-1DD4-407B-AFEA-C86F733CC114}"/>
              </a:ext>
            </a:extLst>
          </xdr:cNvPr>
          <xdr:cNvSpPr txBox="1"/>
        </xdr:nvSpPr>
        <xdr:spPr>
          <a:xfrm>
            <a:off x="5020836" y="81370438"/>
            <a:ext cx="469628" cy="3741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3A</a:t>
            </a:r>
            <a:endParaRPr lang="en-IN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83" name="TextBox 93">
            <a:extLst>
              <a:ext uri="{FF2B5EF4-FFF2-40B4-BE49-F238E27FC236}">
                <a16:creationId xmlns:a16="http://schemas.microsoft.com/office/drawing/2014/main" id="{11008E76-1DD4-407B-AFEA-C86F733CC114}"/>
              </a:ext>
            </a:extLst>
          </xdr:cNvPr>
          <xdr:cNvSpPr txBox="1"/>
        </xdr:nvSpPr>
        <xdr:spPr>
          <a:xfrm>
            <a:off x="1364206" y="83266682"/>
            <a:ext cx="469628" cy="3741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3B</a:t>
            </a:r>
            <a:endParaRPr lang="en-IN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kartikyavatika.com/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housing.com/in/buy/projects/page/293240-kartikya-vatika-by-kartikya-builders-in-panvel/brochure" TargetMode="External"/><Relationship Id="rId1" Type="http://schemas.openxmlformats.org/officeDocument/2006/relationships/hyperlink" Target="https://maps.app.goo.gl/fyRbzM6zEP5ZeD6o7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484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3" style="40" customWidth="1"/>
    <col min="2" max="2" width="12" style="40" customWidth="1"/>
    <col min="3" max="3" width="12.7265625" style="40" customWidth="1"/>
    <col min="4" max="4" width="14.1796875" style="40" customWidth="1"/>
    <col min="5" max="6" width="11.7265625" style="40" customWidth="1"/>
    <col min="7" max="7" width="11.453125" style="40" customWidth="1"/>
    <col min="8" max="8" width="10.5429687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26" ht="46.5" customHeight="1" x14ac:dyDescent="0.35">
      <c r="A1" s="200" t="s">
        <v>160</v>
      </c>
      <c r="B1" s="200"/>
      <c r="C1" s="200"/>
      <c r="D1" s="200"/>
      <c r="E1" s="200"/>
      <c r="F1" s="200"/>
      <c r="G1" s="200"/>
      <c r="H1" s="200"/>
    </row>
    <row r="2" spans="1:26" ht="16.5" customHeight="1" x14ac:dyDescent="0.35">
      <c r="A2" s="201" t="s">
        <v>0</v>
      </c>
      <c r="B2" s="201"/>
      <c r="C2" s="201"/>
      <c r="D2" s="201"/>
      <c r="E2" s="201"/>
      <c r="F2" s="201"/>
      <c r="G2" s="201"/>
      <c r="H2" s="201"/>
    </row>
    <row r="3" spans="1:26" x14ac:dyDescent="0.35">
      <c r="A3" s="176" t="s">
        <v>1</v>
      </c>
      <c r="B3" s="176"/>
      <c r="C3" s="176"/>
      <c r="D3" s="176"/>
      <c r="E3" s="199" t="str">
        <f ca="1">TEXT(TODAY(),"DD/MM/YYYY")</f>
        <v>14/07/2025</v>
      </c>
      <c r="F3" s="199"/>
      <c r="G3" s="199"/>
      <c r="H3" s="199"/>
    </row>
    <row r="4" spans="1:26" ht="15" customHeight="1" x14ac:dyDescent="0.35">
      <c r="A4" s="176" t="s">
        <v>2</v>
      </c>
      <c r="B4" s="176"/>
      <c r="C4" s="176"/>
      <c r="D4" s="176"/>
      <c r="E4" s="199" t="s">
        <v>227</v>
      </c>
      <c r="F4" s="199"/>
      <c r="G4" s="199"/>
      <c r="H4" s="199"/>
    </row>
    <row r="5" spans="1:26" x14ac:dyDescent="0.35">
      <c r="A5" s="176" t="s">
        <v>3</v>
      </c>
      <c r="B5" s="176"/>
      <c r="C5" s="176"/>
      <c r="D5" s="176"/>
      <c r="E5" s="202">
        <v>45847</v>
      </c>
      <c r="F5" s="176"/>
      <c r="G5" s="176"/>
      <c r="H5" s="176"/>
    </row>
    <row r="6" spans="1:26" ht="16.5" customHeight="1" x14ac:dyDescent="0.35">
      <c r="A6" s="176" t="s">
        <v>229</v>
      </c>
      <c r="B6" s="176"/>
      <c r="C6" s="176"/>
      <c r="D6" s="176"/>
      <c r="E6" s="176" t="s">
        <v>228</v>
      </c>
      <c r="F6" s="176"/>
      <c r="G6" s="176"/>
      <c r="H6" s="176"/>
    </row>
    <row r="7" spans="1:26" ht="15" customHeight="1" x14ac:dyDescent="0.35">
      <c r="A7" s="176" t="s">
        <v>4</v>
      </c>
      <c r="B7" s="176"/>
      <c r="C7" s="176"/>
      <c r="D7" s="176"/>
      <c r="E7" s="176" t="s">
        <v>294</v>
      </c>
      <c r="F7" s="176"/>
      <c r="G7" s="176"/>
      <c r="H7" s="176"/>
    </row>
    <row r="8" spans="1:26" x14ac:dyDescent="0.35">
      <c r="A8" s="176" t="s">
        <v>5</v>
      </c>
      <c r="B8" s="176"/>
      <c r="C8" s="176"/>
      <c r="D8" s="176"/>
      <c r="E8" s="138" t="s">
        <v>230</v>
      </c>
      <c r="F8" s="138"/>
      <c r="G8" s="138"/>
      <c r="H8" s="138"/>
    </row>
    <row r="9" spans="1:26" x14ac:dyDescent="0.35">
      <c r="A9" s="176" t="s">
        <v>163</v>
      </c>
      <c r="B9" s="176"/>
      <c r="C9" s="176"/>
      <c r="D9" s="176"/>
      <c r="E9" s="176">
        <v>9324435637</v>
      </c>
      <c r="F9" s="176"/>
      <c r="G9" s="176"/>
      <c r="H9" s="176"/>
    </row>
    <row r="10" spans="1:26" x14ac:dyDescent="0.35">
      <c r="A10" s="176" t="s">
        <v>164</v>
      </c>
      <c r="B10" s="176"/>
      <c r="C10" s="176"/>
      <c r="D10" s="176"/>
      <c r="E10" s="176" t="s">
        <v>28</v>
      </c>
      <c r="F10" s="176"/>
      <c r="G10" s="176"/>
      <c r="H10" s="176"/>
      <c r="I10" s="176" t="s">
        <v>295</v>
      </c>
      <c r="J10" s="176"/>
      <c r="K10" s="176"/>
      <c r="L10" s="176"/>
    </row>
    <row r="11" spans="1:26" x14ac:dyDescent="0.35">
      <c r="A11" s="176" t="s">
        <v>6</v>
      </c>
      <c r="B11" s="176"/>
      <c r="C11" s="176"/>
      <c r="D11" s="176"/>
      <c r="E11" s="176" t="s">
        <v>231</v>
      </c>
      <c r="F11" s="176"/>
      <c r="G11" s="176"/>
      <c r="H11" s="176"/>
    </row>
    <row r="12" spans="1:26" x14ac:dyDescent="0.35">
      <c r="A12" s="176" t="s">
        <v>166</v>
      </c>
      <c r="B12" s="176"/>
      <c r="C12" s="176"/>
      <c r="D12" s="176"/>
      <c r="E12" s="176" t="s">
        <v>28</v>
      </c>
      <c r="F12" s="176"/>
      <c r="G12" s="176"/>
      <c r="H12" s="176"/>
      <c r="S12" s="59" t="s">
        <v>174</v>
      </c>
      <c r="T12" s="59" t="s">
        <v>184</v>
      </c>
      <c r="U12" s="59" t="s">
        <v>167</v>
      </c>
      <c r="V12" s="59" t="s">
        <v>189</v>
      </c>
      <c r="W12" s="59" t="s">
        <v>207</v>
      </c>
      <c r="X12"/>
      <c r="Y12" t="s">
        <v>189</v>
      </c>
      <c r="Z12" t="e">
        <f ca="1">OFFSET($S$12,1,MATCH($G19,$S$12:$W$12,0)-1,15,1)</f>
        <v>#VALUE!</v>
      </c>
    </row>
    <row r="13" spans="1:26" x14ac:dyDescent="0.35">
      <c r="A13" s="124" t="s">
        <v>7</v>
      </c>
      <c r="B13" s="124"/>
      <c r="C13" s="124"/>
      <c r="D13" s="124"/>
      <c r="E13" s="195" t="s">
        <v>287</v>
      </c>
      <c r="F13" s="195"/>
      <c r="G13" s="195"/>
      <c r="H13" s="195"/>
      <c r="S13" s="59" t="s">
        <v>175</v>
      </c>
      <c r="T13" s="59" t="s">
        <v>182</v>
      </c>
      <c r="U13" s="59" t="s">
        <v>204</v>
      </c>
      <c r="V13" s="59" t="s">
        <v>190</v>
      </c>
      <c r="W13" s="59" t="s">
        <v>208</v>
      </c>
      <c r="X13"/>
      <c r="Y13"/>
      <c r="Z13"/>
    </row>
    <row r="14" spans="1:26" x14ac:dyDescent="0.35">
      <c r="A14" s="124" t="s">
        <v>8</v>
      </c>
      <c r="B14" s="124"/>
      <c r="C14" s="124"/>
      <c r="D14" s="124"/>
      <c r="E14" s="195" t="s">
        <v>232</v>
      </c>
      <c r="F14" s="199"/>
      <c r="G14" s="199"/>
      <c r="H14" s="199"/>
      <c r="I14" s="253" t="e">
        <f ca="1">OFFSET($D$4,1,MATCH($J12,$D$4:$H$4,0)-1,15,1)</f>
        <v>#N/A</v>
      </c>
      <c r="J14" s="254"/>
      <c r="K14" s="254"/>
      <c r="L14" s="254"/>
      <c r="M14" s="254"/>
      <c r="N14" s="254"/>
      <c r="O14" s="254"/>
      <c r="P14" s="254"/>
      <c r="S14" s="59" t="s">
        <v>176</v>
      </c>
      <c r="T14" s="59" t="s">
        <v>183</v>
      </c>
      <c r="U14" s="59" t="s">
        <v>205</v>
      </c>
      <c r="V14" s="59" t="s">
        <v>191</v>
      </c>
      <c r="W14" s="59" t="s">
        <v>221</v>
      </c>
      <c r="X14"/>
      <c r="Y14"/>
      <c r="Z14"/>
    </row>
    <row r="15" spans="1:26" ht="35.25" customHeight="1" x14ac:dyDescent="0.35">
      <c r="A15" s="194" t="s">
        <v>9</v>
      </c>
      <c r="B15" s="194"/>
      <c r="C15" s="194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Kartikya Vatika, Survey No.3/1/A, near Shri Ram Mandir, Vajepur Road, Cheravali, Cheravali, Panvel East, Panvel, Raigad - 410206.</v>
      </c>
      <c r="D15" s="194"/>
      <c r="E15" s="194"/>
      <c r="F15" s="194"/>
      <c r="G15" s="194"/>
      <c r="H15" s="194"/>
      <c r="S15" s="59" t="s">
        <v>177</v>
      </c>
      <c r="T15" s="59" t="s">
        <v>185</v>
      </c>
      <c r="U15" s="59" t="s">
        <v>206</v>
      </c>
      <c r="V15" s="59" t="s">
        <v>192</v>
      </c>
      <c r="W15" s="59" t="s">
        <v>209</v>
      </c>
      <c r="X15"/>
      <c r="Y15"/>
      <c r="Z15"/>
    </row>
    <row r="16" spans="1:26" x14ac:dyDescent="0.35">
      <c r="A16" s="195" t="s">
        <v>233</v>
      </c>
      <c r="B16" s="195"/>
      <c r="C16" s="195" t="s">
        <v>234</v>
      </c>
      <c r="D16" s="195"/>
      <c r="E16" s="195"/>
      <c r="F16" s="195"/>
      <c r="G16" s="195"/>
      <c r="H16" s="195"/>
      <c r="S16" s="59" t="s">
        <v>178</v>
      </c>
      <c r="T16" s="59" t="s">
        <v>186</v>
      </c>
      <c r="U16" s="59"/>
      <c r="V16" s="59" t="s">
        <v>193</v>
      </c>
      <c r="W16" s="59" t="s">
        <v>210</v>
      </c>
      <c r="X16"/>
      <c r="Y16"/>
      <c r="Z16"/>
    </row>
    <row r="17" spans="1:26" ht="15.75" customHeight="1" x14ac:dyDescent="0.35">
      <c r="A17" s="126" t="s">
        <v>158</v>
      </c>
      <c r="B17" s="126"/>
      <c r="C17" s="126" t="s">
        <v>235</v>
      </c>
      <c r="D17" s="126"/>
      <c r="E17" s="126"/>
      <c r="F17" s="126"/>
      <c r="G17" s="126"/>
      <c r="H17" s="126"/>
      <c r="S17" s="59" t="s">
        <v>179</v>
      </c>
      <c r="T17" s="59" t="s">
        <v>184</v>
      </c>
      <c r="U17" s="59"/>
      <c r="V17" s="59" t="s">
        <v>194</v>
      </c>
      <c r="W17" s="59" t="s">
        <v>211</v>
      </c>
      <c r="X17"/>
      <c r="Y17"/>
      <c r="Z17"/>
    </row>
    <row r="18" spans="1:26" ht="15.75" customHeight="1" x14ac:dyDescent="0.35">
      <c r="A18" s="194" t="s">
        <v>10</v>
      </c>
      <c r="B18" s="194"/>
      <c r="C18" s="176" t="s">
        <v>236</v>
      </c>
      <c r="D18" s="176"/>
      <c r="E18" s="194" t="s">
        <v>71</v>
      </c>
      <c r="F18" s="194"/>
      <c r="G18" s="195" t="s">
        <v>235</v>
      </c>
      <c r="H18" s="195"/>
      <c r="S18" s="59" t="s">
        <v>180</v>
      </c>
      <c r="T18" s="59" t="s">
        <v>187</v>
      </c>
      <c r="U18" s="59"/>
      <c r="V18" s="59" t="s">
        <v>195</v>
      </c>
      <c r="W18" s="59" t="s">
        <v>212</v>
      </c>
      <c r="X18"/>
      <c r="Y18"/>
      <c r="Z18"/>
    </row>
    <row r="19" spans="1:26" x14ac:dyDescent="0.35">
      <c r="A19" s="124" t="s">
        <v>12</v>
      </c>
      <c r="B19" s="124"/>
      <c r="C19" s="195" t="s">
        <v>240</v>
      </c>
      <c r="D19" s="195"/>
      <c r="E19" s="194" t="s">
        <v>11</v>
      </c>
      <c r="F19" s="194"/>
      <c r="G19" s="198" t="s">
        <v>189</v>
      </c>
      <c r="H19" s="198"/>
      <c r="S19" s="59" t="s">
        <v>181</v>
      </c>
      <c r="T19" s="59" t="s">
        <v>188</v>
      </c>
      <c r="U19" s="59"/>
      <c r="V19" s="59" t="s">
        <v>196</v>
      </c>
      <c r="W19" s="59" t="s">
        <v>213</v>
      </c>
      <c r="X19"/>
      <c r="Y19"/>
      <c r="Z19"/>
    </row>
    <row r="20" spans="1:26" x14ac:dyDescent="0.35">
      <c r="A20" s="124" t="s">
        <v>72</v>
      </c>
      <c r="B20" s="124"/>
      <c r="C20" s="195" t="s">
        <v>191</v>
      </c>
      <c r="D20" s="195"/>
      <c r="E20" s="194" t="s">
        <v>13</v>
      </c>
      <c r="F20" s="194"/>
      <c r="G20" s="126">
        <v>410206</v>
      </c>
      <c r="H20" s="126"/>
      <c r="S20" s="59"/>
      <c r="T20" s="59"/>
      <c r="U20" s="59"/>
      <c r="V20" s="59" t="s">
        <v>197</v>
      </c>
      <c r="W20" s="59" t="s">
        <v>214</v>
      </c>
      <c r="X20"/>
      <c r="Y20"/>
      <c r="Z20"/>
    </row>
    <row r="21" spans="1:26" ht="32.25" customHeight="1" x14ac:dyDescent="0.35">
      <c r="A21" s="124" t="s">
        <v>117</v>
      </c>
      <c r="B21" s="124"/>
      <c r="C21" s="126" t="s">
        <v>241</v>
      </c>
      <c r="D21" s="126"/>
      <c r="E21" s="194" t="s">
        <v>14</v>
      </c>
      <c r="F21" s="194"/>
      <c r="G21" s="195" t="s">
        <v>239</v>
      </c>
      <c r="H21" s="195"/>
      <c r="S21" s="59"/>
      <c r="T21" s="59"/>
      <c r="U21" s="59"/>
      <c r="V21" s="59" t="s">
        <v>198</v>
      </c>
      <c r="W21" s="59" t="s">
        <v>215</v>
      </c>
      <c r="X21"/>
      <c r="Y21"/>
      <c r="Z21"/>
    </row>
    <row r="22" spans="1:26" ht="15" customHeight="1" x14ac:dyDescent="0.35">
      <c r="A22" s="194" t="s">
        <v>74</v>
      </c>
      <c r="B22" s="194"/>
      <c r="C22" s="194"/>
      <c r="D22" s="194"/>
      <c r="E22" s="176" t="s">
        <v>15</v>
      </c>
      <c r="F22" s="176"/>
      <c r="G22" s="176"/>
      <c r="H22" s="176"/>
      <c r="S22" s="59"/>
      <c r="T22" s="59"/>
      <c r="U22" s="59"/>
      <c r="V22" s="59" t="s">
        <v>199</v>
      </c>
      <c r="W22" s="59" t="s">
        <v>216</v>
      </c>
      <c r="X22"/>
      <c r="Y22"/>
      <c r="Z22"/>
    </row>
    <row r="23" spans="1:26" ht="18.75" customHeight="1" x14ac:dyDescent="0.35">
      <c r="A23" s="194"/>
      <c r="B23" s="194"/>
      <c r="C23" s="194"/>
      <c r="D23" s="194"/>
      <c r="E23" s="176"/>
      <c r="F23" s="176"/>
      <c r="G23" s="176"/>
      <c r="H23" s="176"/>
      <c r="S23" s="59"/>
      <c r="T23" s="59"/>
      <c r="U23" s="59"/>
      <c r="V23" s="59" t="s">
        <v>200</v>
      </c>
      <c r="W23" s="59" t="s">
        <v>217</v>
      </c>
      <c r="X23"/>
      <c r="Y23"/>
      <c r="Z23"/>
    </row>
    <row r="24" spans="1:26" ht="15" customHeight="1" x14ac:dyDescent="0.35">
      <c r="A24" s="194" t="s">
        <v>16</v>
      </c>
      <c r="B24" s="194"/>
      <c r="C24" s="194"/>
      <c r="D24" s="194"/>
      <c r="E24" s="126" t="s">
        <v>17</v>
      </c>
      <c r="F24" s="126"/>
      <c r="G24" s="126"/>
      <c r="H24" s="126"/>
      <c r="S24" s="59"/>
      <c r="T24" s="59"/>
      <c r="U24" s="59"/>
      <c r="V24" s="59" t="s">
        <v>201</v>
      </c>
      <c r="W24" s="59" t="s">
        <v>218</v>
      </c>
      <c r="X24"/>
      <c r="Y24"/>
      <c r="Z24"/>
    </row>
    <row r="25" spans="1:26" ht="15" customHeight="1" x14ac:dyDescent="0.35">
      <c r="A25" s="124" t="s">
        <v>18</v>
      </c>
      <c r="B25" s="124"/>
      <c r="C25" s="124"/>
      <c r="D25" s="124"/>
      <c r="E25" s="126" t="str">
        <f>IF(AND(G19="Mumbai"),"Upper Class","Middle Class")</f>
        <v>Middle Class</v>
      </c>
      <c r="F25" s="126"/>
      <c r="G25" s="126"/>
      <c r="H25" s="126"/>
      <c r="S25" s="59"/>
      <c r="T25" s="59"/>
      <c r="U25" s="59"/>
      <c r="V25" s="59" t="s">
        <v>202</v>
      </c>
      <c r="W25" s="59" t="s">
        <v>219</v>
      </c>
      <c r="X25"/>
      <c r="Y25"/>
      <c r="Z25"/>
    </row>
    <row r="26" spans="1:26" x14ac:dyDescent="0.35">
      <c r="A26" s="124" t="s">
        <v>19</v>
      </c>
      <c r="B26" s="124"/>
      <c r="C26" s="124"/>
      <c r="D26" s="124"/>
      <c r="E26" s="126" t="s">
        <v>20</v>
      </c>
      <c r="F26" s="126"/>
      <c r="G26" s="126"/>
      <c r="H26" s="126"/>
      <c r="S26" s="59"/>
      <c r="T26" s="59"/>
      <c r="U26" s="59"/>
      <c r="V26" s="59" t="s">
        <v>203</v>
      </c>
      <c r="W26" s="59" t="s">
        <v>220</v>
      </c>
      <c r="X26"/>
      <c r="Y26"/>
      <c r="Z26"/>
    </row>
    <row r="27" spans="1:26" ht="15.75" customHeight="1" x14ac:dyDescent="0.35">
      <c r="A27" s="124" t="s">
        <v>21</v>
      </c>
      <c r="B27" s="124"/>
      <c r="C27" s="124"/>
      <c r="D27" s="124"/>
      <c r="E27" s="126" t="str">
        <f>IF(AND(G19="Mumbai"),"Developed","Developing")</f>
        <v>Developing</v>
      </c>
      <c r="F27" s="126"/>
      <c r="G27" s="126"/>
      <c r="H27" s="126"/>
    </row>
    <row r="28" spans="1:26" x14ac:dyDescent="0.35">
      <c r="A28" s="124" t="s">
        <v>22</v>
      </c>
      <c r="B28" s="124"/>
      <c r="C28" s="124"/>
      <c r="D28" s="124"/>
      <c r="E28" s="126" t="s">
        <v>23</v>
      </c>
      <c r="F28" s="126"/>
      <c r="G28" s="126"/>
      <c r="H28" s="126"/>
    </row>
    <row r="29" spans="1:26" ht="15.75" customHeight="1" x14ac:dyDescent="0.35">
      <c r="A29" s="124" t="s">
        <v>79</v>
      </c>
      <c r="B29" s="124"/>
      <c r="C29" s="124"/>
      <c r="D29" s="124"/>
      <c r="E29" s="126" t="s">
        <v>80</v>
      </c>
      <c r="F29" s="126"/>
      <c r="G29" s="126"/>
      <c r="H29" s="126"/>
    </row>
    <row r="30" spans="1:26" ht="15" customHeight="1" x14ac:dyDescent="0.35">
      <c r="A30" s="124" t="s">
        <v>31</v>
      </c>
      <c r="B30" s="124"/>
      <c r="C30" s="124"/>
      <c r="D30" s="124"/>
      <c r="E30" s="126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26"/>
      <c r="G30" s="126"/>
      <c r="H30" s="126"/>
    </row>
    <row r="31" spans="1:26" ht="15.75" customHeight="1" x14ac:dyDescent="0.35">
      <c r="A31" s="124" t="s">
        <v>89</v>
      </c>
      <c r="B31" s="124"/>
      <c r="C31" s="124"/>
      <c r="D31" s="124"/>
      <c r="E31" s="126" t="s">
        <v>32</v>
      </c>
      <c r="F31" s="126"/>
      <c r="G31" s="126"/>
      <c r="H31" s="126"/>
    </row>
    <row r="32" spans="1:26" s="22" customFormat="1" x14ac:dyDescent="0.35">
      <c r="A32" s="181" t="s">
        <v>90</v>
      </c>
      <c r="B32" s="181"/>
      <c r="C32" s="177" t="s">
        <v>168</v>
      </c>
      <c r="D32" s="178"/>
      <c r="E32" s="179"/>
      <c r="F32" s="177" t="s">
        <v>29</v>
      </c>
      <c r="G32" s="178"/>
      <c r="H32" s="179"/>
    </row>
    <row r="33" spans="1:10" s="22" customFormat="1" x14ac:dyDescent="0.35">
      <c r="A33" s="180" t="s">
        <v>24</v>
      </c>
      <c r="B33" s="180" t="s">
        <v>28</v>
      </c>
      <c r="C33" s="182" t="s">
        <v>245</v>
      </c>
      <c r="D33" s="183"/>
      <c r="E33" s="184"/>
      <c r="F33" s="182" t="s">
        <v>242</v>
      </c>
      <c r="G33" s="183"/>
      <c r="H33" s="184"/>
    </row>
    <row r="34" spans="1:10" x14ac:dyDescent="0.35">
      <c r="A34" s="180" t="s">
        <v>25</v>
      </c>
      <c r="B34" s="180" t="s">
        <v>28</v>
      </c>
      <c r="C34" s="182" t="s">
        <v>245</v>
      </c>
      <c r="D34" s="183"/>
      <c r="E34" s="184"/>
      <c r="F34" s="182" t="s">
        <v>243</v>
      </c>
      <c r="G34" s="183"/>
      <c r="H34" s="184"/>
    </row>
    <row r="35" spans="1:10" s="22" customFormat="1" ht="29.25" customHeight="1" x14ac:dyDescent="0.35">
      <c r="A35" s="196" t="s">
        <v>27</v>
      </c>
      <c r="B35" s="196" t="s">
        <v>28</v>
      </c>
      <c r="C35" s="197" t="s">
        <v>246</v>
      </c>
      <c r="D35" s="197"/>
      <c r="E35" s="197"/>
      <c r="F35" s="196" t="s">
        <v>244</v>
      </c>
      <c r="G35" s="196"/>
      <c r="H35" s="196"/>
    </row>
    <row r="36" spans="1:10" x14ac:dyDescent="0.35">
      <c r="A36" s="180" t="s">
        <v>26</v>
      </c>
      <c r="B36" s="180" t="s">
        <v>28</v>
      </c>
      <c r="C36" s="185" t="s">
        <v>245</v>
      </c>
      <c r="D36" s="185"/>
      <c r="E36" s="185"/>
      <c r="F36" s="185" t="s">
        <v>242</v>
      </c>
      <c r="G36" s="185"/>
      <c r="H36" s="185"/>
    </row>
    <row r="37" spans="1:10" x14ac:dyDescent="0.35">
      <c r="A37" s="124" t="s">
        <v>30</v>
      </c>
      <c r="B37" s="124"/>
      <c r="C37" s="124"/>
      <c r="D37" s="124"/>
      <c r="E37" s="124"/>
      <c r="F37" s="124"/>
      <c r="G37" s="124"/>
      <c r="H37" s="124"/>
    </row>
    <row r="38" spans="1:10" ht="15.75" customHeight="1" x14ac:dyDescent="0.35">
      <c r="A38" s="124" t="s">
        <v>161</v>
      </c>
      <c r="B38" s="124"/>
      <c r="C38" s="167" t="s">
        <v>237</v>
      </c>
      <c r="D38" s="168"/>
      <c r="E38" s="168"/>
      <c r="F38" s="168"/>
      <c r="G38" s="168"/>
      <c r="H38" s="168"/>
    </row>
    <row r="39" spans="1:10" x14ac:dyDescent="0.35">
      <c r="A39" s="124" t="s">
        <v>157</v>
      </c>
      <c r="B39" s="124"/>
      <c r="C39" s="125" t="s">
        <v>238</v>
      </c>
      <c r="D39" s="126"/>
      <c r="E39" s="126"/>
      <c r="F39" s="126"/>
      <c r="G39" s="126"/>
      <c r="H39" s="126"/>
    </row>
    <row r="40" spans="1:10" x14ac:dyDescent="0.35">
      <c r="A40" s="168" t="s">
        <v>33</v>
      </c>
      <c r="B40" s="168"/>
      <c r="C40" s="168"/>
      <c r="D40" s="168"/>
      <c r="E40" s="168"/>
      <c r="F40" s="168"/>
      <c r="G40" s="168"/>
      <c r="H40" s="168"/>
    </row>
    <row r="41" spans="1:10" x14ac:dyDescent="0.35">
      <c r="A41" s="124" t="s">
        <v>34</v>
      </c>
      <c r="B41" s="124"/>
      <c r="C41" s="124"/>
      <c r="D41" s="124"/>
      <c r="E41" s="186">
        <v>5538.299</v>
      </c>
      <c r="F41" s="186"/>
      <c r="G41" s="186"/>
      <c r="H41" s="186"/>
    </row>
    <row r="42" spans="1:10" x14ac:dyDescent="0.35">
      <c r="A42" s="124" t="s">
        <v>288</v>
      </c>
      <c r="B42" s="124"/>
      <c r="C42" s="124"/>
      <c r="D42" s="124"/>
      <c r="E42" s="192">
        <v>1</v>
      </c>
      <c r="F42" s="192"/>
      <c r="G42" s="192"/>
      <c r="H42" s="192"/>
    </row>
    <row r="43" spans="1:10" x14ac:dyDescent="0.35">
      <c r="A43" s="124" t="s">
        <v>35</v>
      </c>
      <c r="B43" s="124"/>
      <c r="C43" s="124"/>
      <c r="D43" s="124"/>
      <c r="E43" s="192">
        <f>E45/E41-E42</f>
        <v>-2.6667032603332474E-3</v>
      </c>
      <c r="F43" s="192"/>
      <c r="G43" s="192"/>
      <c r="H43" s="192"/>
    </row>
    <row r="44" spans="1:10" x14ac:dyDescent="0.35">
      <c r="A44" s="124" t="s">
        <v>36</v>
      </c>
      <c r="B44" s="124"/>
      <c r="C44" s="124"/>
      <c r="D44" s="124"/>
      <c r="E44" s="192">
        <f>E42+E43</f>
        <v>0.99733329673966675</v>
      </c>
      <c r="F44" s="192"/>
      <c r="G44" s="192"/>
      <c r="H44" s="192"/>
    </row>
    <row r="45" spans="1:10" x14ac:dyDescent="0.35">
      <c r="A45" s="124" t="s">
        <v>289</v>
      </c>
      <c r="B45" s="124"/>
      <c r="C45" s="124"/>
      <c r="D45" s="124"/>
      <c r="E45" s="193">
        <f>(5523.53)</f>
        <v>5523.53</v>
      </c>
      <c r="F45" s="193"/>
      <c r="G45" s="193"/>
      <c r="H45" s="193"/>
      <c r="I45" s="21">
        <f>5523.53+1106.05</f>
        <v>6629.58</v>
      </c>
      <c r="J45" s="21">
        <f>5500.97+1106.05</f>
        <v>6607.02</v>
      </c>
    </row>
    <row r="46" spans="1:10" x14ac:dyDescent="0.35">
      <c r="A46" s="176" t="s">
        <v>37</v>
      </c>
      <c r="B46" s="176"/>
      <c r="C46" s="176"/>
      <c r="D46" s="176"/>
      <c r="E46" s="199" t="s">
        <v>247</v>
      </c>
      <c r="F46" s="199"/>
      <c r="G46" s="199"/>
      <c r="H46" s="199"/>
    </row>
    <row r="47" spans="1:10" x14ac:dyDescent="0.35">
      <c r="A47" s="168" t="s">
        <v>38</v>
      </c>
      <c r="B47" s="168"/>
      <c r="C47" s="168"/>
      <c r="D47" s="168"/>
      <c r="E47" s="168"/>
      <c r="F47" s="168"/>
      <c r="G47" s="168"/>
      <c r="H47" s="168"/>
    </row>
    <row r="48" spans="1:10" ht="33.75" customHeight="1" x14ac:dyDescent="0.35">
      <c r="A48" s="149" t="s">
        <v>146</v>
      </c>
      <c r="B48" s="150"/>
      <c r="C48" s="151" t="s">
        <v>248</v>
      </c>
      <c r="D48" s="152"/>
      <c r="E48" s="152"/>
      <c r="F48" s="152"/>
      <c r="G48" s="152"/>
      <c r="H48" s="153"/>
    </row>
    <row r="49" spans="1:15" ht="30.75" customHeight="1" x14ac:dyDescent="0.35">
      <c r="A49" s="149" t="s">
        <v>39</v>
      </c>
      <c r="B49" s="150"/>
      <c r="C49" s="149" t="s">
        <v>249</v>
      </c>
      <c r="D49" s="232"/>
      <c r="E49" s="150"/>
      <c r="F49" s="18" t="s">
        <v>40</v>
      </c>
      <c r="G49" s="203">
        <v>44756</v>
      </c>
      <c r="H49" s="150"/>
    </row>
    <row r="50" spans="1:15" ht="30.75" customHeight="1" x14ac:dyDescent="0.35">
      <c r="A50" s="149" t="s">
        <v>41</v>
      </c>
      <c r="B50" s="150"/>
      <c r="C50" s="149" t="str">
        <f>C49</f>
        <v>CIDCO/NAINA/Panvel/Cheravali/BP-00552/CC/2022/0220</v>
      </c>
      <c r="D50" s="232"/>
      <c r="E50" s="150"/>
      <c r="F50" s="18" t="s">
        <v>40</v>
      </c>
      <c r="G50" s="203">
        <f>G49</f>
        <v>44756</v>
      </c>
      <c r="H50" s="150"/>
    </row>
    <row r="51" spans="1:15" s="23" customFormat="1" ht="36" customHeight="1" x14ac:dyDescent="0.35">
      <c r="A51" s="204" t="s">
        <v>150</v>
      </c>
      <c r="B51" s="205"/>
      <c r="C51" s="149" t="str">
        <f>C50</f>
        <v>CIDCO/NAINA/Panvel/Cheravali/BP-00552/CC/2022/0220</v>
      </c>
      <c r="D51" s="232"/>
      <c r="E51" s="150"/>
      <c r="F51" s="18" t="s">
        <v>40</v>
      </c>
      <c r="G51" s="203">
        <f>G50</f>
        <v>44756</v>
      </c>
      <c r="H51" s="150"/>
    </row>
    <row r="52" spans="1:15" s="23" customFormat="1" ht="48" customHeight="1" x14ac:dyDescent="0.35">
      <c r="A52" s="206"/>
      <c r="B52" s="207"/>
      <c r="C52" s="149" t="s">
        <v>290</v>
      </c>
      <c r="D52" s="232"/>
      <c r="E52" s="232"/>
      <c r="F52" s="232"/>
      <c r="G52" s="232"/>
      <c r="H52" s="150"/>
    </row>
    <row r="53" spans="1:15" x14ac:dyDescent="0.35">
      <c r="A53" s="255" t="s">
        <v>42</v>
      </c>
      <c r="B53" s="256"/>
      <c r="C53" s="255" t="s">
        <v>101</v>
      </c>
      <c r="D53" s="257"/>
      <c r="E53" s="256"/>
      <c r="F53" s="46" t="s">
        <v>40</v>
      </c>
      <c r="G53" s="233" t="s">
        <v>28</v>
      </c>
      <c r="H53" s="234"/>
    </row>
    <row r="54" spans="1:15" x14ac:dyDescent="0.35">
      <c r="A54" s="211" t="s">
        <v>44</v>
      </c>
      <c r="B54" s="211"/>
      <c r="C54" s="211"/>
      <c r="D54" s="211"/>
      <c r="E54" s="211"/>
      <c r="F54" s="211"/>
      <c r="G54" s="211"/>
      <c r="H54" s="211"/>
    </row>
    <row r="55" spans="1:15" x14ac:dyDescent="0.35">
      <c r="A55" s="194" t="s">
        <v>250</v>
      </c>
      <c r="B55" s="194"/>
      <c r="C55" s="194"/>
      <c r="D55" s="124">
        <v>5523.53</v>
      </c>
      <c r="E55" s="124"/>
      <c r="F55" s="124"/>
      <c r="G55" s="124"/>
      <c r="H55" s="124"/>
    </row>
    <row r="56" spans="1:15" x14ac:dyDescent="0.35">
      <c r="A56" s="126" t="s">
        <v>45</v>
      </c>
      <c r="B56" s="176"/>
      <c r="C56" s="176"/>
      <c r="D56" s="199" t="s">
        <v>282</v>
      </c>
      <c r="E56" s="199"/>
      <c r="F56" s="199"/>
      <c r="G56" s="199"/>
      <c r="H56" s="199"/>
      <c r="I56" s="24"/>
    </row>
    <row r="57" spans="1:15" ht="48.75" customHeight="1" x14ac:dyDescent="0.35">
      <c r="A57" s="238" t="s">
        <v>46</v>
      </c>
      <c r="B57" s="239"/>
      <c r="C57" s="252"/>
      <c r="D57" s="250" t="s">
        <v>251</v>
      </c>
      <c r="E57" s="251"/>
      <c r="F57" s="251"/>
      <c r="G57" s="251"/>
      <c r="H57" s="251"/>
    </row>
    <row r="58" spans="1:15" ht="15.75" customHeight="1" x14ac:dyDescent="0.35">
      <c r="A58" s="238" t="s">
        <v>87</v>
      </c>
      <c r="B58" s="239"/>
      <c r="C58" s="239"/>
      <c r="D58" s="244" t="s">
        <v>252</v>
      </c>
      <c r="E58" s="245"/>
      <c r="F58" s="245"/>
      <c r="G58" s="245"/>
      <c r="H58" s="246"/>
    </row>
    <row r="59" spans="1:15" ht="15.75" customHeight="1" x14ac:dyDescent="0.35">
      <c r="A59" s="240"/>
      <c r="B59" s="241"/>
      <c r="C59" s="241"/>
      <c r="D59" s="247" t="s">
        <v>253</v>
      </c>
      <c r="E59" s="248"/>
      <c r="F59" s="248"/>
      <c r="G59" s="248"/>
      <c r="H59" s="249"/>
    </row>
    <row r="60" spans="1:15" ht="15.75" customHeight="1" x14ac:dyDescent="0.35">
      <c r="A60" s="242"/>
      <c r="B60" s="243"/>
      <c r="C60" s="243"/>
      <c r="D60" s="235" t="s">
        <v>254</v>
      </c>
      <c r="E60" s="236"/>
      <c r="F60" s="236"/>
      <c r="G60" s="236"/>
      <c r="H60" s="237"/>
    </row>
    <row r="61" spans="1:15" ht="15.75" customHeight="1" x14ac:dyDescent="0.35">
      <c r="A61" s="124" t="s">
        <v>43</v>
      </c>
      <c r="B61" s="124"/>
      <c r="C61" s="124"/>
      <c r="D61" s="187" t="s">
        <v>255</v>
      </c>
      <c r="E61" s="187"/>
      <c r="F61" s="187"/>
      <c r="G61" s="187"/>
      <c r="H61" s="187"/>
      <c r="J61" s="25"/>
      <c r="K61" s="24"/>
      <c r="N61" s="24"/>
    </row>
    <row r="62" spans="1:15" ht="15.75" customHeight="1" x14ac:dyDescent="0.35">
      <c r="A62" s="124" t="s">
        <v>85</v>
      </c>
      <c r="B62" s="124"/>
      <c r="C62" s="124"/>
      <c r="D62" s="191" t="str">
        <f>(IF(G53="NA","60 Years After Completion",IF(G53&lt;&gt;"NA",""&amp;60-ROUNDDOWN((E3-G53)/360,0)&amp;" Years"," ")))</f>
        <v>60 Years After Completion</v>
      </c>
      <c r="E62" s="191"/>
      <c r="F62" s="191"/>
      <c r="G62" s="191"/>
      <c r="H62" s="191"/>
      <c r="N62" s="24"/>
    </row>
    <row r="63" spans="1:15" ht="15.75" customHeight="1" x14ac:dyDescent="0.35">
      <c r="A63" s="124" t="s">
        <v>86</v>
      </c>
      <c r="B63" s="124"/>
      <c r="C63" s="124"/>
      <c r="D63" s="194" t="s">
        <v>23</v>
      </c>
      <c r="E63" s="194"/>
      <c r="F63" s="194"/>
      <c r="G63" s="194"/>
      <c r="H63" s="194"/>
      <c r="J63" s="26"/>
      <c r="K63" s="26"/>
    </row>
    <row r="64" spans="1:15" ht="53.25" customHeight="1" x14ac:dyDescent="0.35">
      <c r="A64" s="199" t="s">
        <v>256</v>
      </c>
      <c r="B64" s="199"/>
      <c r="C64" s="199"/>
      <c r="D64" s="126" t="s">
        <v>261</v>
      </c>
      <c r="E64" s="194"/>
      <c r="F64" s="194"/>
      <c r="G64" s="194"/>
      <c r="H64" s="194"/>
      <c r="I64" s="93" t="s">
        <v>265</v>
      </c>
      <c r="J64" s="67"/>
      <c r="K64" s="67"/>
      <c r="L64" s="67"/>
      <c r="M64" s="67"/>
      <c r="N64" s="67"/>
      <c r="O64" s="67"/>
    </row>
    <row r="65" spans="1:14" x14ac:dyDescent="0.35">
      <c r="A65" s="194" t="s">
        <v>143</v>
      </c>
      <c r="B65" s="194"/>
      <c r="C65" s="194"/>
      <c r="D65" s="194" t="s">
        <v>28</v>
      </c>
      <c r="E65" s="194"/>
      <c r="F65" s="194"/>
      <c r="G65" s="194"/>
      <c r="H65" s="194"/>
      <c r="I65" s="27"/>
      <c r="J65" s="27"/>
      <c r="K65" s="27"/>
      <c r="L65" s="27"/>
      <c r="M65" s="27"/>
      <c r="N65" s="27"/>
    </row>
    <row r="66" spans="1:14" ht="15.75" customHeight="1" x14ac:dyDescent="0.35">
      <c r="A66" s="124" t="s">
        <v>84</v>
      </c>
      <c r="B66" s="124"/>
      <c r="C66" s="124"/>
      <c r="D66" s="126" t="str">
        <f ca="1">(IF(G86&gt;95%,"Nothing",IF(G86&gt;0%,"Cement, Aggregate, Steel, etc",IF(G86=0%,"Work not yet Started"))))</f>
        <v>Cement, Aggregate, Steel, etc</v>
      </c>
      <c r="E66" s="126"/>
      <c r="F66" s="126"/>
      <c r="G66" s="126"/>
      <c r="H66" s="126"/>
      <c r="J66" s="26"/>
    </row>
    <row r="67" spans="1:14" ht="33.75" customHeight="1" thickBot="1" x14ac:dyDescent="0.4">
      <c r="A67" s="194" t="s">
        <v>114</v>
      </c>
      <c r="B67" s="194"/>
      <c r="C67" s="194"/>
      <c r="D67" s="126" t="str">
        <f ca="1">(IF(D66="Nothing","Yes",IF(D66="Cement, Aggregate, Steel, etc","Under Construction",IF(D66="Work not yet Started","Work not yet Started"))))</f>
        <v>Under Construction</v>
      </c>
      <c r="E67" s="126"/>
      <c r="F67" s="126" t="str">
        <f ca="1">(IF(D66="Nothing","Yes",IF(D66="Cement, Aggregate, Steel, etc","Under Construction",IF(D66="Work not yet Started","Work not yet Started"))))</f>
        <v>Under Construction</v>
      </c>
      <c r="G67" s="126"/>
      <c r="H67" s="126"/>
    </row>
    <row r="68" spans="1:14" ht="15.75" customHeight="1" x14ac:dyDescent="0.35">
      <c r="A68" s="167" t="s">
        <v>135</v>
      </c>
      <c r="B68" s="167"/>
      <c r="C68" s="139" t="str">
        <f>D58</f>
        <v>Building No.1 (Wing A, B &amp; C) = Gr + 1st to 4th Floor</v>
      </c>
      <c r="D68" s="139"/>
      <c r="E68" s="139"/>
      <c r="F68" s="139"/>
      <c r="G68" s="139"/>
      <c r="H68" s="139"/>
      <c r="I68" s="94" t="str">
        <f ca="1">IF(D81=100%,"All work Completed. Possession granted to the Building.",IF(D80=100%,"All work Completed, Waiting for OC",I69&amp;""&amp;I70&amp;""&amp;J69&amp;""&amp;J68&amp;" "&amp;J70))</f>
        <v xml:space="preserve">Excavation, Plinth Completed </v>
      </c>
      <c r="J68" s="50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/>
      </c>
    </row>
    <row r="69" spans="1:14" x14ac:dyDescent="0.35">
      <c r="A69" s="16" t="s">
        <v>137</v>
      </c>
      <c r="B69" s="53">
        <f>IF(AND(ISNUMBER(SEARCH("1B",C68))),1,IF(AND(ISNUMBER(SEARCH("2B",C68))),2,IF(AND(ISNUMBER(SEARCH("3B",C68))),3,IF(AND(ISNUMBER(SEARCH("4B",C68))),4,IF(ISNUMBER(SEARCH("5B",C68)),5,0)))))</f>
        <v>0</v>
      </c>
      <c r="C69" s="87" t="s">
        <v>70</v>
      </c>
      <c r="D69" s="87">
        <v>1</v>
      </c>
      <c r="E69" s="87" t="s">
        <v>69</v>
      </c>
      <c r="F69" s="87">
        <v>0</v>
      </c>
      <c r="G69" s="87" t="s">
        <v>78</v>
      </c>
      <c r="H69" s="88">
        <f ca="1">--TRIM(RIGHT(SUBSTITUTE(LEFT(C68,_xlfn.AGGREGATE(16,6,FIND({0,1,2,3,4,5,6,7,8,9},C68,ROW(INDIRECT("1:"&amp;LEN(C68)))),1))," ",REPT(" ",LEN(C68))),LEN(C68)))</f>
        <v>4</v>
      </c>
      <c r="I69" s="51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9" s="52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x14ac:dyDescent="0.35">
      <c r="A70" s="137" t="s">
        <v>88</v>
      </c>
      <c r="B70" s="138"/>
      <c r="C70" s="139" t="str">
        <f ca="1">I68</f>
        <v xml:space="preserve">Excavation, Plinth Completed </v>
      </c>
      <c r="D70" s="139"/>
      <c r="E70" s="139"/>
      <c r="F70" s="139"/>
      <c r="G70" s="139"/>
      <c r="H70" s="140"/>
      <c r="I70" s="51" t="str">
        <f ca="1">IF(I69&lt;&gt;""," Completed","")</f>
        <v xml:space="preserve"> Completed</v>
      </c>
      <c r="J70" s="52" t="str">
        <f ca="1">IF(J68&lt;&gt;"","Completed","")</f>
        <v/>
      </c>
    </row>
    <row r="71" spans="1:14" ht="15.75" customHeight="1" x14ac:dyDescent="0.35">
      <c r="A71" s="154" t="s">
        <v>47</v>
      </c>
      <c r="B71" s="155"/>
      <c r="C71" s="85" t="s">
        <v>134</v>
      </c>
      <c r="D71" s="85" t="s">
        <v>81</v>
      </c>
      <c r="E71" s="155" t="s">
        <v>83</v>
      </c>
      <c r="F71" s="155"/>
      <c r="G71" s="155" t="s">
        <v>82</v>
      </c>
      <c r="H71" s="164"/>
      <c r="I71" s="14" t="s">
        <v>136</v>
      </c>
      <c r="J71" s="28">
        <f ca="1">H69*25%</f>
        <v>1</v>
      </c>
    </row>
    <row r="72" spans="1:14" x14ac:dyDescent="0.35">
      <c r="A72" s="154" t="s">
        <v>123</v>
      </c>
      <c r="B72" s="155"/>
      <c r="C72" s="44">
        <f ca="1">J73</f>
        <v>4</v>
      </c>
      <c r="D72" s="19">
        <f ca="1">((100/H69)*C72)/100</f>
        <v>1</v>
      </c>
      <c r="E72" s="156">
        <f ca="1">(((C73/H69*10)+(40/(D69+F69+H69)*C74)+(7.5/(H69)*C75)+(7.5/(H69)*C76)+(10/H69*C77)+(10/H69*C78)+(5/H69*C79)+(5/H69*C80)+(5/H69*C81))/100)</f>
        <v>0.1</v>
      </c>
      <c r="F72" s="188"/>
      <c r="G72" s="156">
        <f ca="1">((((C72/H69)*20)+((C73/H69)*25)+(30/(H69+F69+D69)*C74)+(5/H69*C75)+(5/H69*C76)+(5/H69*C77)+(5/H69*C78)+(0/H69*C79)+(0/H69*C80)+(5/H69*C81))/100)</f>
        <v>0.45</v>
      </c>
      <c r="H72" s="157"/>
      <c r="I72" s="14" t="s">
        <v>96</v>
      </c>
      <c r="J72" s="29">
        <f ca="1">H69*50%</f>
        <v>2</v>
      </c>
    </row>
    <row r="73" spans="1:14" x14ac:dyDescent="0.35">
      <c r="A73" s="154" t="s">
        <v>48</v>
      </c>
      <c r="B73" s="155"/>
      <c r="C73" s="55">
        <f ca="1">J81</f>
        <v>4</v>
      </c>
      <c r="D73" s="19">
        <f ca="1">((100/H69)*C73)/100</f>
        <v>1</v>
      </c>
      <c r="E73" s="158"/>
      <c r="F73" s="189"/>
      <c r="G73" s="158"/>
      <c r="H73" s="159"/>
      <c r="I73" s="14" t="s">
        <v>97</v>
      </c>
      <c r="J73" s="29">
        <f ca="1">H69</f>
        <v>4</v>
      </c>
    </row>
    <row r="74" spans="1:14" ht="15.75" customHeight="1" x14ac:dyDescent="0.35">
      <c r="A74" s="154" t="s">
        <v>124</v>
      </c>
      <c r="B74" s="155"/>
      <c r="C74" s="44">
        <v>0</v>
      </c>
      <c r="D74" s="19">
        <f ca="1">((100/(D69+F69+H69))*C74)/100</f>
        <v>0</v>
      </c>
      <c r="E74" s="158"/>
      <c r="F74" s="189"/>
      <c r="G74" s="158"/>
      <c r="H74" s="159"/>
      <c r="I74" s="14" t="s">
        <v>98</v>
      </c>
      <c r="J74" s="30">
        <f ca="1">(IF(B69&gt;1,(H69/(B69+2)),H69/4))</f>
        <v>1</v>
      </c>
    </row>
    <row r="75" spans="1:14" ht="15.75" customHeight="1" x14ac:dyDescent="0.35">
      <c r="A75" s="154" t="s">
        <v>131</v>
      </c>
      <c r="B75" s="155" t="s">
        <v>125</v>
      </c>
      <c r="C75" s="44">
        <v>0</v>
      </c>
      <c r="D75" s="19">
        <f ca="1">((100/H69)*C75)/100</f>
        <v>0</v>
      </c>
      <c r="E75" s="158"/>
      <c r="F75" s="189"/>
      <c r="G75" s="158"/>
      <c r="H75" s="159"/>
      <c r="I75" s="14" t="s">
        <v>99</v>
      </c>
      <c r="J75" s="30">
        <f ca="1">(IF(B69&gt;1,(H69/(B69+2)+J74),H69/4+J74))</f>
        <v>2</v>
      </c>
    </row>
    <row r="76" spans="1:14" ht="15.75" customHeight="1" x14ac:dyDescent="0.35">
      <c r="A76" s="154" t="s">
        <v>132</v>
      </c>
      <c r="B76" s="155" t="s">
        <v>125</v>
      </c>
      <c r="C76" s="44">
        <v>0</v>
      </c>
      <c r="D76" s="19">
        <f ca="1">((100/H69)*C76)/100</f>
        <v>0</v>
      </c>
      <c r="E76" s="158"/>
      <c r="F76" s="189"/>
      <c r="G76" s="158"/>
      <c r="H76" s="159"/>
      <c r="I76" s="14" t="s">
        <v>141</v>
      </c>
      <c r="J76" s="30">
        <f>(IF(B69&gt;1,(H69/(B69+2)+J75),0))</f>
        <v>0</v>
      </c>
    </row>
    <row r="77" spans="1:14" ht="15" customHeight="1" x14ac:dyDescent="0.35">
      <c r="A77" s="154" t="s">
        <v>130</v>
      </c>
      <c r="B77" s="155" t="s">
        <v>127</v>
      </c>
      <c r="C77" s="44">
        <v>0</v>
      </c>
      <c r="D77" s="19">
        <f ca="1">((100/(H69))*C77)/100</f>
        <v>0</v>
      </c>
      <c r="E77" s="158"/>
      <c r="F77" s="189"/>
      <c r="G77" s="158"/>
      <c r="H77" s="159"/>
      <c r="I77" s="14" t="s">
        <v>138</v>
      </c>
      <c r="J77" s="30">
        <f>(IF(B69&gt;2,(H69/(B69+2)+J76),0))</f>
        <v>0</v>
      </c>
    </row>
    <row r="78" spans="1:14" ht="15.75" customHeight="1" x14ac:dyDescent="0.35">
      <c r="A78" s="154" t="s">
        <v>126</v>
      </c>
      <c r="B78" s="155" t="s">
        <v>126</v>
      </c>
      <c r="C78" s="44">
        <v>0</v>
      </c>
      <c r="D78" s="19">
        <f ca="1">((100/H69)*C78)/100</f>
        <v>0</v>
      </c>
      <c r="E78" s="158"/>
      <c r="F78" s="189"/>
      <c r="G78" s="158"/>
      <c r="H78" s="159"/>
      <c r="I78" s="14" t="s">
        <v>139</v>
      </c>
      <c r="J78" s="31">
        <f>(IF(B69&gt;3,(H69/(B69+2)+J77),0))</f>
        <v>0</v>
      </c>
    </row>
    <row r="79" spans="1:14" ht="15.75" customHeight="1" x14ac:dyDescent="0.35">
      <c r="A79" s="154" t="s">
        <v>133</v>
      </c>
      <c r="B79" s="155"/>
      <c r="C79" s="44">
        <v>0</v>
      </c>
      <c r="D79" s="19">
        <f ca="1">((100/H69)*C79)/100</f>
        <v>0</v>
      </c>
      <c r="E79" s="158"/>
      <c r="F79" s="189"/>
      <c r="G79" s="158"/>
      <c r="H79" s="159"/>
      <c r="I79" s="14" t="s">
        <v>140</v>
      </c>
      <c r="J79" s="30">
        <f>(IF(B69&gt;4,(H69/(B69+2)+J78),0))</f>
        <v>0</v>
      </c>
    </row>
    <row r="80" spans="1:14" ht="15.75" customHeight="1" x14ac:dyDescent="0.35">
      <c r="A80" s="154" t="s">
        <v>128</v>
      </c>
      <c r="B80" s="155" t="s">
        <v>128</v>
      </c>
      <c r="C80" s="44">
        <v>0</v>
      </c>
      <c r="D80" s="19">
        <f ca="1">((100/(H69))*C80)/100</f>
        <v>0</v>
      </c>
      <c r="E80" s="158"/>
      <c r="F80" s="189"/>
      <c r="G80" s="158"/>
      <c r="H80" s="159"/>
      <c r="I80" s="14" t="s">
        <v>142</v>
      </c>
      <c r="J80" s="30">
        <f ca="1">(IF(B69=1,(H69/(B69+3)+J75),IF(B69=0,(H69/4+J75),IF(B69&gt;1,0))))</f>
        <v>3</v>
      </c>
    </row>
    <row r="81" spans="1:10" ht="16" thickBot="1" x14ac:dyDescent="0.4">
      <c r="A81" s="165" t="s">
        <v>129</v>
      </c>
      <c r="B81" s="166"/>
      <c r="C81" s="45">
        <v>0</v>
      </c>
      <c r="D81" s="20">
        <f ca="1">((100/(H69))*C81)/100</f>
        <v>0</v>
      </c>
      <c r="E81" s="160"/>
      <c r="F81" s="190"/>
      <c r="G81" s="160"/>
      <c r="H81" s="161"/>
      <c r="I81" s="15" t="s">
        <v>100</v>
      </c>
      <c r="J81" s="32">
        <f ca="1">(IF(B69&gt;1.5,(H69/(B69+2)+J75+MAX(0,J76-J75)+MAX(0,J77-J76)+MAX(0,J78-J77)+MAX(0,J79-J78)+MAX(0,J80-J79)),IF(B69=1,(H69/(B69+3)+J80),IF(B69=0,H69/4+J80))))</f>
        <v>4</v>
      </c>
    </row>
    <row r="82" spans="1:10" ht="15.75" customHeight="1" x14ac:dyDescent="0.35">
      <c r="A82" s="227" t="s">
        <v>135</v>
      </c>
      <c r="B82" s="228"/>
      <c r="C82" s="229" t="s">
        <v>296</v>
      </c>
      <c r="D82" s="230"/>
      <c r="E82" s="230"/>
      <c r="F82" s="230"/>
      <c r="G82" s="230"/>
      <c r="H82" s="231"/>
      <c r="I82" s="49" t="str">
        <f ca="1">IF(D95=100%,"All work Completed. Possession granted to the Building.",IF(D94=100%,"All work Completed, Waiting for OC",I83&amp;""&amp;I84&amp;""&amp;J83&amp;""&amp;J82&amp;" "&amp;J84))</f>
        <v>Excavation, Plinth, RCC Slab, Brickwork, Internal Plaster Completed, External Plaster upto 2.5 Floor Completed</v>
      </c>
      <c r="J82" s="50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External Plaster upto 2.5 Floor</v>
      </c>
    </row>
    <row r="83" spans="1:10" x14ac:dyDescent="0.35">
      <c r="A83" s="16" t="s">
        <v>137</v>
      </c>
      <c r="B83" s="54">
        <f>IF(AND(ISNUMBER(SEARCH("1B",C82))),1,IF(AND(ISNUMBER(SEARCH("2B",C82))),2,IF(AND(ISNUMBER(SEARCH("3B",C82))),3,IF(AND(ISNUMBER(SEARCH("4B",C82))),4,IF(ISNUMBER(SEARCH("5B",C82)),5,0)))))</f>
        <v>0</v>
      </c>
      <c r="C83" s="87" t="s">
        <v>70</v>
      </c>
      <c r="D83" s="87">
        <v>1</v>
      </c>
      <c r="E83" s="87" t="s">
        <v>69</v>
      </c>
      <c r="F83" s="87">
        <v>0</v>
      </c>
      <c r="G83" s="87" t="s">
        <v>78</v>
      </c>
      <c r="H83" s="88">
        <f ca="1">--TRIM(RIGHT(SUBSTITUTE(LEFT(C82,_xlfn.AGGREGATE(16,6,FIND({0,1,2,3,4,5,6,7,8,9},C82,ROW(INDIRECT("1:"&amp;LEN(C82)))),1))," ",REPT(" ",LEN(C82))),LEN(C82)))</f>
        <v>4</v>
      </c>
      <c r="I83" s="51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Slab, Brickwork, Internal Plaster</v>
      </c>
      <c r="J83" s="52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31.5" customHeight="1" x14ac:dyDescent="0.35">
      <c r="A84" s="137" t="s">
        <v>88</v>
      </c>
      <c r="B84" s="138"/>
      <c r="C84" s="139" t="str">
        <f ca="1">(IF($G$53="NA",I82,"All work Completed. OC Received."))</f>
        <v>Excavation, Plinth, RCC Slab, Brickwork, Internal Plaster Completed, External Plaster upto 2.5 Floor Completed</v>
      </c>
      <c r="D84" s="139"/>
      <c r="E84" s="139"/>
      <c r="F84" s="139"/>
      <c r="G84" s="139"/>
      <c r="H84" s="140"/>
      <c r="I84" s="51" t="str">
        <f ca="1">IF(I83&lt;&gt;""," Completed","")</f>
        <v xml:space="preserve"> Completed</v>
      </c>
      <c r="J84" s="52" t="str">
        <f ca="1">IF(J82&lt;&gt;"","Completed","")</f>
        <v>Completed</v>
      </c>
    </row>
    <row r="85" spans="1:10" ht="15.75" customHeight="1" x14ac:dyDescent="0.35">
      <c r="A85" s="154" t="s">
        <v>47</v>
      </c>
      <c r="B85" s="155"/>
      <c r="C85" s="84" t="s">
        <v>134</v>
      </c>
      <c r="D85" s="84" t="s">
        <v>81</v>
      </c>
      <c r="E85" s="155" t="s">
        <v>83</v>
      </c>
      <c r="F85" s="155"/>
      <c r="G85" s="155" t="s">
        <v>82</v>
      </c>
      <c r="H85" s="164"/>
      <c r="I85" s="14" t="s">
        <v>136</v>
      </c>
      <c r="J85" s="28">
        <f ca="1">H83*25%</f>
        <v>1</v>
      </c>
    </row>
    <row r="86" spans="1:10" x14ac:dyDescent="0.35">
      <c r="A86" s="154" t="s">
        <v>123</v>
      </c>
      <c r="B86" s="155"/>
      <c r="C86" s="84">
        <f ca="1">J87</f>
        <v>4</v>
      </c>
      <c r="D86" s="19">
        <f ca="1">((100/H83)*C86)/100</f>
        <v>1</v>
      </c>
      <c r="E86" s="156">
        <f ca="1">(((C87/H83*10)+(40/(D83+F83+H83)*C88)+(7.5/(H83)*C89)+(7.5/(H83)*C90)+(10/H83*C91)+(10/H83*C92)+(5/H83*C93)+(5/H83*C94)+(5/H83*C95))/100)</f>
        <v>0.71250000000000002</v>
      </c>
      <c r="F86" s="188"/>
      <c r="G86" s="156">
        <f ca="1">((((C86/H83)*20)+((C87/H83)*25)+(30/(H83+F83+D83)*C88)+(5/H83*C89)+(5/H83*C90)+(5/H83*C91)+(5/H83*C92)+(0/H83*C93)+(0/H83*C94)+(5/H83*C95))/100)</f>
        <v>0.88124999999999998</v>
      </c>
      <c r="H86" s="157"/>
      <c r="I86" s="14" t="s">
        <v>96</v>
      </c>
      <c r="J86" s="29">
        <f ca="1">H83*50%</f>
        <v>2</v>
      </c>
    </row>
    <row r="87" spans="1:10" x14ac:dyDescent="0.35">
      <c r="A87" s="154" t="s">
        <v>48</v>
      </c>
      <c r="B87" s="155"/>
      <c r="C87" s="55">
        <f ca="1">J95</f>
        <v>4</v>
      </c>
      <c r="D87" s="19">
        <f ca="1">((100/H83)*C87)/100</f>
        <v>1</v>
      </c>
      <c r="E87" s="158"/>
      <c r="F87" s="189"/>
      <c r="G87" s="158"/>
      <c r="H87" s="159"/>
      <c r="I87" s="14" t="s">
        <v>97</v>
      </c>
      <c r="J87" s="29">
        <f ca="1">H83</f>
        <v>4</v>
      </c>
    </row>
    <row r="88" spans="1:10" ht="15.75" customHeight="1" x14ac:dyDescent="0.35">
      <c r="A88" s="154" t="s">
        <v>124</v>
      </c>
      <c r="B88" s="155"/>
      <c r="C88" s="84">
        <v>5</v>
      </c>
      <c r="D88" s="19">
        <f ca="1">((100/(D83+F83+H83))*C88)/100</f>
        <v>1</v>
      </c>
      <c r="E88" s="158"/>
      <c r="F88" s="189"/>
      <c r="G88" s="158"/>
      <c r="H88" s="159"/>
      <c r="I88" s="14" t="s">
        <v>98</v>
      </c>
      <c r="J88" s="30">
        <f ca="1">(IF(B83&gt;1,(H83/(B83+2)),H83/4))</f>
        <v>1</v>
      </c>
    </row>
    <row r="89" spans="1:10" ht="15.75" customHeight="1" x14ac:dyDescent="0.35">
      <c r="A89" s="154" t="s">
        <v>131</v>
      </c>
      <c r="B89" s="155" t="s">
        <v>125</v>
      </c>
      <c r="C89" s="84">
        <v>4</v>
      </c>
      <c r="D89" s="19">
        <f ca="1">((100/H83)*C89)/100</f>
        <v>1</v>
      </c>
      <c r="E89" s="158"/>
      <c r="F89" s="189"/>
      <c r="G89" s="158"/>
      <c r="H89" s="159"/>
      <c r="I89" s="14" t="s">
        <v>99</v>
      </c>
      <c r="J89" s="30">
        <f ca="1">(IF(B83&gt;1,(H83/(B83+2)+J88),H83/4+J88))</f>
        <v>2</v>
      </c>
    </row>
    <row r="90" spans="1:10" ht="15.75" customHeight="1" x14ac:dyDescent="0.35">
      <c r="A90" s="154" t="s">
        <v>132</v>
      </c>
      <c r="B90" s="155" t="s">
        <v>125</v>
      </c>
      <c r="C90" s="84">
        <v>4</v>
      </c>
      <c r="D90" s="19">
        <f ca="1">((100/H83)*C90)/100</f>
        <v>1</v>
      </c>
      <c r="E90" s="158"/>
      <c r="F90" s="189"/>
      <c r="G90" s="158"/>
      <c r="H90" s="159"/>
      <c r="I90" s="14" t="s">
        <v>141</v>
      </c>
      <c r="J90" s="30">
        <f>(IF(B83&gt;1,(H83/(B83+2)+J89),0))</f>
        <v>0</v>
      </c>
    </row>
    <row r="91" spans="1:10" ht="15" customHeight="1" x14ac:dyDescent="0.35">
      <c r="A91" s="154" t="s">
        <v>130</v>
      </c>
      <c r="B91" s="155" t="s">
        <v>127</v>
      </c>
      <c r="C91" s="84">
        <v>2.5</v>
      </c>
      <c r="D91" s="19">
        <f ca="1">((100/(H83))*C91)/100</f>
        <v>0.625</v>
      </c>
      <c r="E91" s="158"/>
      <c r="F91" s="189"/>
      <c r="G91" s="158"/>
      <c r="H91" s="159"/>
      <c r="I91" s="14" t="s">
        <v>138</v>
      </c>
      <c r="J91" s="30">
        <f>(IF(B83&gt;2,(H83/(B83+2)+J90),0))</f>
        <v>0</v>
      </c>
    </row>
    <row r="92" spans="1:10" ht="15.75" customHeight="1" x14ac:dyDescent="0.35">
      <c r="A92" s="154" t="s">
        <v>126</v>
      </c>
      <c r="B92" s="155" t="s">
        <v>126</v>
      </c>
      <c r="C92" s="84">
        <v>0</v>
      </c>
      <c r="D92" s="19">
        <f ca="1">((100/H83)*C92)/100</f>
        <v>0</v>
      </c>
      <c r="E92" s="158"/>
      <c r="F92" s="189"/>
      <c r="G92" s="158"/>
      <c r="H92" s="159"/>
      <c r="I92" s="14" t="s">
        <v>139</v>
      </c>
      <c r="J92" s="31">
        <f>(IF(B83&gt;3,(H83/(B83+2)+J91),0))</f>
        <v>0</v>
      </c>
    </row>
    <row r="93" spans="1:10" ht="15.75" customHeight="1" x14ac:dyDescent="0.35">
      <c r="A93" s="154" t="s">
        <v>133</v>
      </c>
      <c r="B93" s="155"/>
      <c r="C93" s="84">
        <v>0</v>
      </c>
      <c r="D93" s="19">
        <f ca="1">((100/H83)*C93)/100</f>
        <v>0</v>
      </c>
      <c r="E93" s="158"/>
      <c r="F93" s="189"/>
      <c r="G93" s="158"/>
      <c r="H93" s="159"/>
      <c r="I93" s="14" t="s">
        <v>140</v>
      </c>
      <c r="J93" s="30">
        <f>(IF(B83&gt;4,(H83/(B83+2)+J92),0))</f>
        <v>0</v>
      </c>
    </row>
    <row r="94" spans="1:10" ht="15.75" customHeight="1" x14ac:dyDescent="0.35">
      <c r="A94" s="154" t="s">
        <v>128</v>
      </c>
      <c r="B94" s="155" t="s">
        <v>128</v>
      </c>
      <c r="C94" s="84">
        <v>0</v>
      </c>
      <c r="D94" s="19">
        <f ca="1">((100/(H83))*C94)/100</f>
        <v>0</v>
      </c>
      <c r="E94" s="158"/>
      <c r="F94" s="189"/>
      <c r="G94" s="158"/>
      <c r="H94" s="159"/>
      <c r="I94" s="14" t="s">
        <v>142</v>
      </c>
      <c r="J94" s="30">
        <f ca="1">(IF(B83=1,(H83/(B83+3)+J89),IF(B83=0,(H83/4+J89),IF(B83&gt;1,0))))</f>
        <v>3</v>
      </c>
    </row>
    <row r="95" spans="1:10" ht="16" thickBot="1" x14ac:dyDescent="0.4">
      <c r="A95" s="165" t="s">
        <v>129</v>
      </c>
      <c r="B95" s="166"/>
      <c r="C95" s="83">
        <v>0</v>
      </c>
      <c r="D95" s="20">
        <f ca="1">((100/(H83))*C95)/100</f>
        <v>0</v>
      </c>
      <c r="E95" s="160"/>
      <c r="F95" s="190"/>
      <c r="G95" s="160"/>
      <c r="H95" s="161"/>
      <c r="I95" s="15" t="s">
        <v>100</v>
      </c>
      <c r="J95" s="32">
        <f ca="1">(IF(B83&gt;1.5,(H83/(B83+2)+J89+MAX(0,J90-J89)+MAX(0,J91-J90)+MAX(0,J92-J91)+MAX(0,J93-J92)+MAX(0,J94-J93)),IF(B83=1,(H83/(B83+3)+J94),IF(B83=0,H83/4+J94))))</f>
        <v>4</v>
      </c>
    </row>
    <row r="96" spans="1:10" ht="15.75" customHeight="1" x14ac:dyDescent="0.35">
      <c r="A96" s="227" t="s">
        <v>135</v>
      </c>
      <c r="B96" s="228"/>
      <c r="C96" s="229" t="s">
        <v>297</v>
      </c>
      <c r="D96" s="230"/>
      <c r="E96" s="230"/>
      <c r="F96" s="230"/>
      <c r="G96" s="230"/>
      <c r="H96" s="231"/>
      <c r="I96" s="49" t="str">
        <f ca="1">IF(D109=100%,"All work Completed. Possession granted to the Building.",IF(D108=100%,"All work Completed, Waiting for OC",I97&amp;""&amp;I98&amp;""&amp;J97&amp;""&amp;J96&amp;" "&amp;J98))</f>
        <v>Excavation, Plinth, RCC Slab, Brickwork, Internal Plaster Completed, External Plaster upto 2.5 Floor Completed</v>
      </c>
      <c r="J96" s="50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>, External Plaster upto 2.5 Floor</v>
      </c>
    </row>
    <row r="97" spans="1:10" x14ac:dyDescent="0.35">
      <c r="A97" s="16" t="s">
        <v>137</v>
      </c>
      <c r="B97" s="54">
        <f>IF(AND(ISNUMBER(SEARCH("1B",C96))),1,IF(AND(ISNUMBER(SEARCH("2B",C96))),2,IF(AND(ISNUMBER(SEARCH("3B",C96))),3,IF(AND(ISNUMBER(SEARCH("4B",C96))),4,IF(ISNUMBER(SEARCH("5B",C96)),5,0)))))</f>
        <v>0</v>
      </c>
      <c r="C97" s="87" t="s">
        <v>70</v>
      </c>
      <c r="D97" s="87">
        <v>1</v>
      </c>
      <c r="E97" s="87" t="s">
        <v>69</v>
      </c>
      <c r="F97" s="87">
        <v>0</v>
      </c>
      <c r="G97" s="87" t="s">
        <v>78</v>
      </c>
      <c r="H97" s="88">
        <f ca="1">--TRIM(RIGHT(SUBSTITUTE(LEFT(C96,_xlfn.AGGREGATE(16,6,FIND({0,1,2,3,4,5,6,7,8,9},C96,ROW(INDIRECT("1:"&amp;LEN(C96)))),1))," ",REPT(" ",LEN(C96))),LEN(C96)))</f>
        <v>4</v>
      </c>
      <c r="I97" s="51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Plinth, RCC Slab, Brickwork, Internal Plaster</v>
      </c>
      <c r="J97" s="52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ht="31" customHeight="1" x14ac:dyDescent="0.35">
      <c r="A98" s="137" t="s">
        <v>88</v>
      </c>
      <c r="B98" s="138"/>
      <c r="C98" s="139" t="str">
        <f ca="1">(IF($G$53="NA",I96,"All work Completed. OC Received."))</f>
        <v>Excavation, Plinth, RCC Slab, Brickwork, Internal Plaster Completed, External Plaster upto 2.5 Floor Completed</v>
      </c>
      <c r="D98" s="139"/>
      <c r="E98" s="139"/>
      <c r="F98" s="139"/>
      <c r="G98" s="139"/>
      <c r="H98" s="140"/>
      <c r="I98" s="51" t="str">
        <f ca="1">IF(I97&lt;&gt;""," Completed","")</f>
        <v xml:space="preserve"> Completed</v>
      </c>
      <c r="J98" s="52" t="str">
        <f ca="1">IF(J96&lt;&gt;"","Completed","")</f>
        <v>Completed</v>
      </c>
    </row>
    <row r="99" spans="1:10" ht="15.75" customHeight="1" x14ac:dyDescent="0.35">
      <c r="A99" s="154" t="s">
        <v>47</v>
      </c>
      <c r="B99" s="155"/>
      <c r="C99" s="89" t="s">
        <v>134</v>
      </c>
      <c r="D99" s="89" t="s">
        <v>81</v>
      </c>
      <c r="E99" s="155" t="s">
        <v>83</v>
      </c>
      <c r="F99" s="155"/>
      <c r="G99" s="155" t="s">
        <v>82</v>
      </c>
      <c r="H99" s="164"/>
      <c r="I99" s="14" t="s">
        <v>136</v>
      </c>
      <c r="J99" s="28">
        <f ca="1">H97*25%</f>
        <v>1</v>
      </c>
    </row>
    <row r="100" spans="1:10" x14ac:dyDescent="0.35">
      <c r="A100" s="155" t="s">
        <v>123</v>
      </c>
      <c r="B100" s="155"/>
      <c r="C100" s="92">
        <f ca="1">J101</f>
        <v>4</v>
      </c>
      <c r="D100" s="19">
        <f ca="1">((100/H97)*C100)/100</f>
        <v>1</v>
      </c>
      <c r="E100" s="259">
        <f ca="1">(((C101/H97*10)+(40/(D97+F97+H97)*C102)+(7.5/(H97)*C103)+(7.5/(H97)*C104)+(10/H97*C105)+(10/H97*C106)+(5/H97*C107)+(5/H97*C108)+(5/H97*C109))/100)</f>
        <v>0.71250000000000002</v>
      </c>
      <c r="F100" s="259"/>
      <c r="G100" s="259">
        <f ca="1">((((C100/H97)*20)+((C101/H97)*25)+(30/(H97+F97+D97)*C102)+(5/H97*C103)+(5/H97*C104)+(5/H97*C105)+(5/H97*C106)+(0/H97*C107)+(0/H97*C108)+(5/H97*C109))/100)</f>
        <v>0.88124999999999998</v>
      </c>
      <c r="H100" s="259"/>
      <c r="I100" s="14" t="s">
        <v>96</v>
      </c>
      <c r="J100" s="29">
        <f ca="1">H97*50%</f>
        <v>2</v>
      </c>
    </row>
    <row r="101" spans="1:10" x14ac:dyDescent="0.35">
      <c r="A101" s="155" t="s">
        <v>48</v>
      </c>
      <c r="B101" s="155"/>
      <c r="C101" s="55">
        <f ca="1">J109</f>
        <v>4</v>
      </c>
      <c r="D101" s="19">
        <f ca="1">((100/H97)*C101)/100</f>
        <v>1</v>
      </c>
      <c r="E101" s="259"/>
      <c r="F101" s="259"/>
      <c r="G101" s="259"/>
      <c r="H101" s="259"/>
      <c r="I101" s="14" t="s">
        <v>97</v>
      </c>
      <c r="J101" s="29">
        <f ca="1">H97</f>
        <v>4</v>
      </c>
    </row>
    <row r="102" spans="1:10" ht="15.75" customHeight="1" x14ac:dyDescent="0.35">
      <c r="A102" s="155" t="s">
        <v>124</v>
      </c>
      <c r="B102" s="155"/>
      <c r="C102" s="92">
        <v>5</v>
      </c>
      <c r="D102" s="19">
        <f ca="1">((100/(D97+F97+H97))*C102)/100</f>
        <v>1</v>
      </c>
      <c r="E102" s="259"/>
      <c r="F102" s="259"/>
      <c r="G102" s="259"/>
      <c r="H102" s="259"/>
      <c r="I102" s="14" t="s">
        <v>98</v>
      </c>
      <c r="J102" s="30">
        <f ca="1">(IF(B97&gt;1,(H97/(B97+2)),H97/4))</f>
        <v>1</v>
      </c>
    </row>
    <row r="103" spans="1:10" ht="15.75" customHeight="1" x14ac:dyDescent="0.35">
      <c r="A103" s="155" t="s">
        <v>131</v>
      </c>
      <c r="B103" s="155" t="s">
        <v>125</v>
      </c>
      <c r="C103" s="92">
        <v>4</v>
      </c>
      <c r="D103" s="19">
        <f ca="1">((100/H97)*C103)/100</f>
        <v>1</v>
      </c>
      <c r="E103" s="259"/>
      <c r="F103" s="259"/>
      <c r="G103" s="259"/>
      <c r="H103" s="259"/>
      <c r="I103" s="14" t="s">
        <v>99</v>
      </c>
      <c r="J103" s="30">
        <f ca="1">(IF(B97&gt;1,(H97/(B97+2)+J102),H97/4+J102))</f>
        <v>2</v>
      </c>
    </row>
    <row r="104" spans="1:10" ht="15.75" customHeight="1" x14ac:dyDescent="0.35">
      <c r="A104" s="155" t="s">
        <v>132</v>
      </c>
      <c r="B104" s="155" t="s">
        <v>125</v>
      </c>
      <c r="C104" s="92">
        <v>4</v>
      </c>
      <c r="D104" s="19">
        <f ca="1">((100/H97)*C104)/100</f>
        <v>1</v>
      </c>
      <c r="E104" s="259"/>
      <c r="F104" s="259"/>
      <c r="G104" s="259"/>
      <c r="H104" s="259"/>
      <c r="I104" s="14" t="s">
        <v>141</v>
      </c>
      <c r="J104" s="30">
        <f>(IF(B97&gt;1,(H97/(B97+2)+J103),0))</f>
        <v>0</v>
      </c>
    </row>
    <row r="105" spans="1:10" ht="15" customHeight="1" x14ac:dyDescent="0.35">
      <c r="A105" s="155" t="s">
        <v>130</v>
      </c>
      <c r="B105" s="155" t="s">
        <v>127</v>
      </c>
      <c r="C105" s="92">
        <v>2.5</v>
      </c>
      <c r="D105" s="19">
        <f ca="1">((100/(H97))*C105)/100</f>
        <v>0.625</v>
      </c>
      <c r="E105" s="259"/>
      <c r="F105" s="259"/>
      <c r="G105" s="259"/>
      <c r="H105" s="259"/>
      <c r="I105" s="14" t="s">
        <v>138</v>
      </c>
      <c r="J105" s="30">
        <f>(IF(B97&gt;2,(H97/(B97+2)+J104),0))</f>
        <v>0</v>
      </c>
    </row>
    <row r="106" spans="1:10" ht="15.75" customHeight="1" x14ac:dyDescent="0.35">
      <c r="A106" s="155" t="s">
        <v>126</v>
      </c>
      <c r="B106" s="155" t="s">
        <v>126</v>
      </c>
      <c r="C106" s="92">
        <v>0</v>
      </c>
      <c r="D106" s="19">
        <f ca="1">((100/H97)*C106)/100</f>
        <v>0</v>
      </c>
      <c r="E106" s="259"/>
      <c r="F106" s="259"/>
      <c r="G106" s="259"/>
      <c r="H106" s="259"/>
      <c r="I106" s="14" t="s">
        <v>139</v>
      </c>
      <c r="J106" s="31">
        <f>(IF(B97&gt;3,(H97/(B97+2)+J105),0))</f>
        <v>0</v>
      </c>
    </row>
    <row r="107" spans="1:10" ht="15.75" customHeight="1" x14ac:dyDescent="0.35">
      <c r="A107" s="155" t="s">
        <v>133</v>
      </c>
      <c r="B107" s="155"/>
      <c r="C107" s="92">
        <v>0</v>
      </c>
      <c r="D107" s="19">
        <f ca="1">((100/H97)*C107)/100</f>
        <v>0</v>
      </c>
      <c r="E107" s="259"/>
      <c r="F107" s="259"/>
      <c r="G107" s="259"/>
      <c r="H107" s="259"/>
      <c r="I107" s="14" t="s">
        <v>140</v>
      </c>
      <c r="J107" s="30">
        <f>(IF(B97&gt;4,(H97/(B97+2)+J106),0))</f>
        <v>0</v>
      </c>
    </row>
    <row r="108" spans="1:10" ht="15.75" customHeight="1" x14ac:dyDescent="0.35">
      <c r="A108" s="155" t="s">
        <v>128</v>
      </c>
      <c r="B108" s="155" t="s">
        <v>128</v>
      </c>
      <c r="C108" s="92">
        <v>0</v>
      </c>
      <c r="D108" s="19">
        <f ca="1">((100/(H97))*C108)/100</f>
        <v>0</v>
      </c>
      <c r="E108" s="259"/>
      <c r="F108" s="259"/>
      <c r="G108" s="259"/>
      <c r="H108" s="259"/>
      <c r="I108" s="14" t="s">
        <v>142</v>
      </c>
      <c r="J108" s="30">
        <f ca="1">(IF(B97=1,(H97/(B97+3)+J103),IF(B97=0,(H97/4+J103),IF(B97&gt;1,0))))</f>
        <v>3</v>
      </c>
    </row>
    <row r="109" spans="1:10" ht="16" thickBot="1" x14ac:dyDescent="0.4">
      <c r="A109" s="155" t="s">
        <v>129</v>
      </c>
      <c r="B109" s="155"/>
      <c r="C109" s="92">
        <v>0</v>
      </c>
      <c r="D109" s="19">
        <f ca="1">((100/(H97))*C109)/100</f>
        <v>0</v>
      </c>
      <c r="E109" s="259"/>
      <c r="F109" s="259"/>
      <c r="G109" s="259"/>
      <c r="H109" s="259"/>
      <c r="I109" s="15" t="s">
        <v>100</v>
      </c>
      <c r="J109" s="32">
        <f ca="1">(IF(B97&gt;1.5,(H97/(B97+2)+J103+MAX(0,J104-J103)+MAX(0,J105-J104)+MAX(0,J106-J105)+MAX(0,J107-J106)+MAX(0,J108-J107)),IF(B97=1,(H97/(B97+3)+J108),IF(B97=0,H97/4+J108))))</f>
        <v>4</v>
      </c>
    </row>
    <row r="110" spans="1:10" ht="15.75" customHeight="1" x14ac:dyDescent="0.35">
      <c r="A110" s="167" t="s">
        <v>135</v>
      </c>
      <c r="B110" s="167"/>
      <c r="C110" s="139" t="s">
        <v>298</v>
      </c>
      <c r="D110" s="139"/>
      <c r="E110" s="139"/>
      <c r="F110" s="139"/>
      <c r="G110" s="139"/>
      <c r="H110" s="139"/>
      <c r="I110" s="94" t="str">
        <f ca="1">IF(D123=100%,"All work Completed. Possession granted to the Building.",IF(D122=100%,"All work Completed, Waiting for OC",I111&amp;""&amp;I112&amp;""&amp;J111&amp;""&amp;J110&amp;" "&amp;J112))</f>
        <v>Excavation, Plinth, RCC Slab, Brickwork Completed, External Plaster upto 2 Floor Completed</v>
      </c>
      <c r="J110" s="50" t="str">
        <f ca="1">(IF(C116=(D111+F111+H111),"",IF(C116&gt;0,", RCC upto "&amp;C116&amp;" Slab","")))&amp;(IF(C117=H111,"",IF(C117&gt;0,", Brickwork upto "&amp;C117&amp;" Floor","")))&amp;(IF(C118=H111,"",IF(C118&gt;0,", Internal Plaster upto "&amp;C118&amp;" Floor","")))&amp;(IF(C119=H111,"",IF(C119&gt;0,", External Plaster upto "&amp;C119&amp;" Floor","")))&amp;(IF(C120=H111,"",IF(C120&gt;0,", Flooring upto "&amp;C120&amp;" Floor","")))&amp;(IF(C121=H111,"",IF(C121&gt;0,", Painting upto "&amp;C121&amp;" Floor","")))&amp;(IF(C122=H111,"",IF(C122&gt;0,", Finishing upto "&amp;C122&amp;" Floor","")))&amp;(IF(C123=H111,"",IF(C123&gt;0,", Possession upto "&amp;C123&amp;" Floor","")))</f>
        <v>, External Plaster upto 2 Floor</v>
      </c>
    </row>
    <row r="111" spans="1:10" x14ac:dyDescent="0.35">
      <c r="A111" s="54" t="s">
        <v>137</v>
      </c>
      <c r="B111" s="54">
        <f>IF(AND(ISNUMBER(SEARCH("1B",C110))),1,IF(AND(ISNUMBER(SEARCH("2B",C110))),2,IF(AND(ISNUMBER(SEARCH("3B",C110))),3,IF(AND(ISNUMBER(SEARCH("4B",C110))),4,IF(ISNUMBER(SEARCH("5B",C110)),5,0)))))</f>
        <v>0</v>
      </c>
      <c r="C111" s="54" t="s">
        <v>70</v>
      </c>
      <c r="D111" s="54">
        <v>1</v>
      </c>
      <c r="E111" s="54" t="s">
        <v>69</v>
      </c>
      <c r="F111" s="87">
        <v>0</v>
      </c>
      <c r="G111" s="48" t="s">
        <v>78</v>
      </c>
      <c r="H111" s="54">
        <f ca="1">--TRIM(RIGHT(SUBSTITUTE(LEFT(C110,_xlfn.AGGREGATE(16,6,FIND({0,1,2,3,4,5,6,7,8,9},C110,ROW(INDIRECT("1:"&amp;LEN(C110)))),1))," ",REPT(" ",LEN(C110))),LEN(C110)))</f>
        <v>4</v>
      </c>
      <c r="I111" s="95" t="str">
        <f ca="1">IF(D114=100%,"Excavation","")&amp;IF(D115=100%,", Plinth","")&amp;IF(D116=100%,", RCC Slab","")&amp;IF(D117=100%,", Brickwork","")&amp;IF(D118=100%,", Internal Plaster","")&amp;IF(D119=100%,", External Plaster","")&amp;IF(D120=100%,", Flooring","")&amp;IF(D121=100%,", Painting","")&amp;IF(D122=100%,", Building common Amenities","")</f>
        <v>Excavation, Plinth, RCC Slab, Brickwork</v>
      </c>
      <c r="J111" s="52" t="str">
        <f ca="1">(IF(C114=0,"Work not yet Started.",IF(D114=25%,"Piling work in process",IF(D114=50%,"Excavation work in process",IF(D114=100%,"","0")))))&amp;(IF(C115=0%,"",IF(C115=J116,", Footing work is process",IF(C115=J117,", Footing work Completed",IF(C115=J118,", 1st Basement Completed",IF(C115=J119,", 1st &amp; 2nd Basement Completed",IF(C115=J120,", 1st to 3rd Basement Completed",IF(C115=J121,", 1st to 4th Basement Completed",IF(C115=J122,", Plinth work is process",IF(C115=J123,"","0"))))))))))</f>
        <v/>
      </c>
    </row>
    <row r="112" spans="1:10" ht="31.5" customHeight="1" x14ac:dyDescent="0.35">
      <c r="A112" s="138" t="s">
        <v>88</v>
      </c>
      <c r="B112" s="138"/>
      <c r="C112" s="258" t="str">
        <f ca="1">(IF($G$53="NA",I110,"All work Completed. OC Received."))</f>
        <v>Excavation, Plinth, RCC Slab, Brickwork Completed, External Plaster upto 2 Floor Completed</v>
      </c>
      <c r="D112" s="258"/>
      <c r="E112" s="258"/>
      <c r="F112" s="258"/>
      <c r="G112" s="258"/>
      <c r="H112" s="258"/>
      <c r="I112" s="95" t="str">
        <f ca="1">IF(I111&lt;&gt;""," Completed","")</f>
        <v xml:space="preserve"> Completed</v>
      </c>
      <c r="J112" s="52" t="str">
        <f ca="1">IF(J110&lt;&gt;"","Completed","")</f>
        <v>Completed</v>
      </c>
    </row>
    <row r="113" spans="1:10" ht="15.75" customHeight="1" x14ac:dyDescent="0.35">
      <c r="A113" s="154" t="s">
        <v>47</v>
      </c>
      <c r="B113" s="155"/>
      <c r="C113" s="44" t="s">
        <v>134</v>
      </c>
      <c r="D113" s="44" t="s">
        <v>81</v>
      </c>
      <c r="E113" s="155" t="s">
        <v>83</v>
      </c>
      <c r="F113" s="155"/>
      <c r="G113" s="155" t="s">
        <v>82</v>
      </c>
      <c r="H113" s="164"/>
      <c r="I113" s="14" t="s">
        <v>136</v>
      </c>
      <c r="J113" s="28">
        <f ca="1">H111*25%</f>
        <v>1</v>
      </c>
    </row>
    <row r="114" spans="1:10" x14ac:dyDescent="0.35">
      <c r="A114" s="154" t="s">
        <v>123</v>
      </c>
      <c r="B114" s="155"/>
      <c r="C114" s="44">
        <f ca="1">J115</f>
        <v>4</v>
      </c>
      <c r="D114" s="19">
        <f ca="1">((100/H111)*C114)/100</f>
        <v>1</v>
      </c>
      <c r="E114" s="156">
        <f ca="1">(((C115/H111*10)+(40/(D111+F111+H111)*C116)+(7.5/(H111)*C117)+(7.5/(H111)*C118)+(10/H111*C119)+(10/H111*C120)+(5/H111*C121)+(5/H111*C122)+(5/H111*C123))/100)</f>
        <v>0.625</v>
      </c>
      <c r="F114" s="188"/>
      <c r="G114" s="156">
        <f ca="1">((((C114/H111)*20)+((C115/H111)*25)+(30/(H111+F111+D111)*C116)+(5/H111*C117)+(5/H111*C118)+(5/H111*C119)+(5/H111*C120)+(0/H111*C121)+(0/H111*C122)+(5/H111*C123))/100)</f>
        <v>0.82499999999999996</v>
      </c>
      <c r="H114" s="157"/>
      <c r="I114" s="14" t="s">
        <v>96</v>
      </c>
      <c r="J114" s="29">
        <f ca="1">H111*50%</f>
        <v>2</v>
      </c>
    </row>
    <row r="115" spans="1:10" x14ac:dyDescent="0.35">
      <c r="A115" s="154" t="s">
        <v>48</v>
      </c>
      <c r="B115" s="155"/>
      <c r="C115" s="55">
        <f ca="1">J123</f>
        <v>4</v>
      </c>
      <c r="D115" s="19">
        <f ca="1">((100/H111)*C115)/100</f>
        <v>1</v>
      </c>
      <c r="E115" s="158"/>
      <c r="F115" s="189"/>
      <c r="G115" s="158"/>
      <c r="H115" s="159"/>
      <c r="I115" s="14" t="s">
        <v>97</v>
      </c>
      <c r="J115" s="29">
        <f ca="1">H111</f>
        <v>4</v>
      </c>
    </row>
    <row r="116" spans="1:10" ht="15.75" customHeight="1" x14ac:dyDescent="0.35">
      <c r="A116" s="154" t="s">
        <v>124</v>
      </c>
      <c r="B116" s="155"/>
      <c r="C116" s="44">
        <v>5</v>
      </c>
      <c r="D116" s="19">
        <f ca="1">((100/(D111+F111+H111))*C116)/100</f>
        <v>1</v>
      </c>
      <c r="E116" s="158"/>
      <c r="F116" s="189"/>
      <c r="G116" s="158"/>
      <c r="H116" s="159"/>
      <c r="I116" s="14" t="s">
        <v>98</v>
      </c>
      <c r="J116" s="30">
        <f ca="1">(IF(B111&gt;1,(H111/(B111+2)),H111/4))</f>
        <v>1</v>
      </c>
    </row>
    <row r="117" spans="1:10" ht="15.75" customHeight="1" x14ac:dyDescent="0.35">
      <c r="A117" s="154" t="s">
        <v>131</v>
      </c>
      <c r="B117" s="155" t="s">
        <v>125</v>
      </c>
      <c r="C117" s="44">
        <v>4</v>
      </c>
      <c r="D117" s="19">
        <f ca="1">((100/H111)*C117)/100</f>
        <v>1</v>
      </c>
      <c r="E117" s="158"/>
      <c r="F117" s="189"/>
      <c r="G117" s="158"/>
      <c r="H117" s="159"/>
      <c r="I117" s="14" t="s">
        <v>99</v>
      </c>
      <c r="J117" s="30">
        <f ca="1">(IF(B111&gt;1,(H111/(B111+2)+J116),H111/4+J116))</f>
        <v>2</v>
      </c>
    </row>
    <row r="118" spans="1:10" ht="15.75" customHeight="1" x14ac:dyDescent="0.35">
      <c r="A118" s="154" t="s">
        <v>132</v>
      </c>
      <c r="B118" s="155" t="s">
        <v>125</v>
      </c>
      <c r="C118" s="44">
        <v>0</v>
      </c>
      <c r="D118" s="19">
        <f ca="1">((100/H111)*C118)/100</f>
        <v>0</v>
      </c>
      <c r="E118" s="158"/>
      <c r="F118" s="189"/>
      <c r="G118" s="158"/>
      <c r="H118" s="159"/>
      <c r="I118" s="14" t="s">
        <v>141</v>
      </c>
      <c r="J118" s="30">
        <f>(IF(B111&gt;1,(H111/(B111+2)+J117),0))</f>
        <v>0</v>
      </c>
    </row>
    <row r="119" spans="1:10" ht="15" customHeight="1" x14ac:dyDescent="0.35">
      <c r="A119" s="154" t="s">
        <v>130</v>
      </c>
      <c r="B119" s="155" t="s">
        <v>127</v>
      </c>
      <c r="C119" s="44">
        <v>2</v>
      </c>
      <c r="D119" s="19">
        <f ca="1">((100/(H111))*C119)/100</f>
        <v>0.5</v>
      </c>
      <c r="E119" s="158"/>
      <c r="F119" s="189"/>
      <c r="G119" s="158"/>
      <c r="H119" s="159"/>
      <c r="I119" s="14" t="s">
        <v>138</v>
      </c>
      <c r="J119" s="30">
        <f>(IF(B111&gt;2,(H111/(B111+2)+J118),0))</f>
        <v>0</v>
      </c>
    </row>
    <row r="120" spans="1:10" ht="15.75" customHeight="1" x14ac:dyDescent="0.35">
      <c r="A120" s="154" t="s">
        <v>126</v>
      </c>
      <c r="B120" s="155" t="s">
        <v>126</v>
      </c>
      <c r="C120" s="44">
        <v>0</v>
      </c>
      <c r="D120" s="19">
        <f ca="1">((100/H111)*C120)/100</f>
        <v>0</v>
      </c>
      <c r="E120" s="158"/>
      <c r="F120" s="189"/>
      <c r="G120" s="158"/>
      <c r="H120" s="159"/>
      <c r="I120" s="14" t="s">
        <v>139</v>
      </c>
      <c r="J120" s="31">
        <f>(IF(B111&gt;3,(H111/(B111+2)+J119),0))</f>
        <v>0</v>
      </c>
    </row>
    <row r="121" spans="1:10" ht="15.75" customHeight="1" x14ac:dyDescent="0.35">
      <c r="A121" s="154" t="s">
        <v>133</v>
      </c>
      <c r="B121" s="155"/>
      <c r="C121" s="44">
        <v>0</v>
      </c>
      <c r="D121" s="19">
        <f ca="1">((100/H111)*C121)/100</f>
        <v>0</v>
      </c>
      <c r="E121" s="158"/>
      <c r="F121" s="189"/>
      <c r="G121" s="158"/>
      <c r="H121" s="159"/>
      <c r="I121" s="14" t="s">
        <v>140</v>
      </c>
      <c r="J121" s="30">
        <f>(IF(B111&gt;4,(H111/(B111+2)+J120),0))</f>
        <v>0</v>
      </c>
    </row>
    <row r="122" spans="1:10" ht="15.75" customHeight="1" x14ac:dyDescent="0.35">
      <c r="A122" s="154" t="s">
        <v>128</v>
      </c>
      <c r="B122" s="155" t="s">
        <v>128</v>
      </c>
      <c r="C122" s="44">
        <v>0</v>
      </c>
      <c r="D122" s="19">
        <f ca="1">((100/(H111))*C122)/100</f>
        <v>0</v>
      </c>
      <c r="E122" s="158"/>
      <c r="F122" s="189"/>
      <c r="G122" s="158"/>
      <c r="H122" s="159"/>
      <c r="I122" s="14" t="s">
        <v>142</v>
      </c>
      <c r="J122" s="30">
        <f ca="1">(IF(B111=1,(H111/(B111+3)+J117),IF(B111=0,(H111/4+J117),IF(B111&gt;1,0))))</f>
        <v>3</v>
      </c>
    </row>
    <row r="123" spans="1:10" ht="16" thickBot="1" x14ac:dyDescent="0.4">
      <c r="A123" s="165" t="s">
        <v>129</v>
      </c>
      <c r="B123" s="166"/>
      <c r="C123" s="45">
        <v>0</v>
      </c>
      <c r="D123" s="20">
        <f ca="1">((100/(H111))*C123)/100</f>
        <v>0</v>
      </c>
      <c r="E123" s="160"/>
      <c r="F123" s="190"/>
      <c r="G123" s="160"/>
      <c r="H123" s="161"/>
      <c r="I123" s="15" t="s">
        <v>100</v>
      </c>
      <c r="J123" s="32">
        <f ca="1">(IF(B111&gt;1.5,(H111/(B111+2)+J117+MAX(0,J118-J117)+MAX(0,J119-J118)+MAX(0,J120-J119)+MAX(0,J121-J120)+MAX(0,J122-J121)),IF(B111=1,(H111/(B111+3)+J122),IF(B111=0,H111/4+J122))))</f>
        <v>4</v>
      </c>
    </row>
    <row r="124" spans="1:10" ht="15.75" customHeight="1" x14ac:dyDescent="0.35">
      <c r="A124" s="227" t="s">
        <v>135</v>
      </c>
      <c r="B124" s="228"/>
      <c r="C124" s="229" t="s">
        <v>299</v>
      </c>
      <c r="D124" s="230"/>
      <c r="E124" s="230"/>
      <c r="F124" s="230"/>
      <c r="G124" s="230"/>
      <c r="H124" s="231"/>
      <c r="I124" s="49" t="str">
        <f ca="1">IF(D137=100%,"All work Completed. Possession granted to the Building.",IF(D136=100%,"All work Completed, Waiting for OC",I125&amp;""&amp;I126&amp;""&amp;J125&amp;""&amp;J124&amp;" "&amp;J126))</f>
        <v>Excavation, Plinth, RCC Slab, Brickwork Completed, Internal Plaster upto 3 Floor, External Plaster upto 2 Floor Completed</v>
      </c>
      <c r="J124" s="50" t="str">
        <f ca="1">(IF(C130=(D125+F125+H125),"",IF(C130&gt;0,", RCC upto "&amp;C130&amp;" Slab","")))&amp;(IF(C131=H125,"",IF(C131&gt;0,", Brickwork upto "&amp;C131&amp;" Floor","")))&amp;(IF(C132=H125,"",IF(C132&gt;0,", Internal Plaster upto "&amp;C132&amp;" Floor","")))&amp;(IF(C133=H125,"",IF(C133&gt;0,", External Plaster upto "&amp;C133&amp;" Floor","")))&amp;(IF(C134=H125,"",IF(C134&gt;0,", Flooring upto "&amp;C134&amp;" Floor","")))&amp;(IF(C135=H125,"",IF(C135&gt;0,", Painting upto "&amp;C135&amp;" Floor","")))&amp;(IF(C136=H125,"",IF(C136&gt;0,", Finishing upto "&amp;C136&amp;" Floor","")))&amp;(IF(C137=H125,"",IF(C137&gt;0,", Possession upto "&amp;C137&amp;" Floor","")))</f>
        <v>, Internal Plaster upto 3 Floor, External Plaster upto 2 Floor</v>
      </c>
    </row>
    <row r="125" spans="1:10" x14ac:dyDescent="0.35">
      <c r="A125" s="16" t="s">
        <v>137</v>
      </c>
      <c r="B125" s="54">
        <f>IF(AND(ISNUMBER(SEARCH("1B",C124))),1,IF(AND(ISNUMBER(SEARCH("2B",C124))),2,IF(AND(ISNUMBER(SEARCH("3B",C124))),3,IF(AND(ISNUMBER(SEARCH("4B",C124))),4,IF(ISNUMBER(SEARCH("5B",C124)),5,0)))))</f>
        <v>0</v>
      </c>
      <c r="C125" s="54" t="s">
        <v>70</v>
      </c>
      <c r="D125" s="54">
        <v>1</v>
      </c>
      <c r="E125" s="54" t="s">
        <v>69</v>
      </c>
      <c r="F125" s="87">
        <v>0</v>
      </c>
      <c r="G125" s="48" t="s">
        <v>78</v>
      </c>
      <c r="H125" s="17">
        <f ca="1">--TRIM(RIGHT(SUBSTITUTE(LEFT(C124,_xlfn.AGGREGATE(16,6,FIND({0,1,2,3,4,5,6,7,8,9},C124,ROW(INDIRECT("1:"&amp;LEN(C124)))),1))," ",REPT(" ",LEN(C124))),LEN(C124)))</f>
        <v>4</v>
      </c>
      <c r="I125" s="51" t="str">
        <f ca="1">IF(D128=100%,"Excavation","")&amp;IF(D129=100%,", Plinth","")&amp;IF(D130=100%,", RCC Slab","")&amp;IF(D131=100%,", Brickwork","")&amp;IF(D132=100%,", Internal Plaster","")&amp;IF(D133=100%,", External Plaster","")&amp;IF(D134=100%,", Flooring","")&amp;IF(D135=100%,", Painting","")&amp;IF(D136=100%,", Building common Amenities","")</f>
        <v>Excavation, Plinth, RCC Slab, Brickwork</v>
      </c>
      <c r="J125" s="52" t="str">
        <f ca="1">(IF(C128=0,"Work not yet Started.",IF(D128=25%,"Piling work in process",IF(D128=50%,"Excavation work in process",IF(D128=100%,"","0")))))&amp;(IF(C129=0%,"",IF(C129=J130,", Footing work is process",IF(C129=J131,", Footing work Completed",IF(C129=J132,", 1st Basement Completed",IF(C129=J133,", 1st &amp; 2nd Basement Completed",IF(C129=J134,", 1st to 3rd Basement Completed",IF(C129=J135,", 1st to 4th Basement Completed",IF(C129=J136,", Plinth work is process",IF(C129=J137,"","0"))))))))))</f>
        <v/>
      </c>
    </row>
    <row r="126" spans="1:10" ht="31" customHeight="1" x14ac:dyDescent="0.35">
      <c r="A126" s="137" t="s">
        <v>88</v>
      </c>
      <c r="B126" s="138"/>
      <c r="C126" s="258" t="str">
        <f ca="1">(IF($G$53="NA",I124,"All work Completed. OC Received."))</f>
        <v>Excavation, Plinth, RCC Slab, Brickwork Completed, Internal Plaster upto 3 Floor, External Plaster upto 2 Floor Completed</v>
      </c>
      <c r="D126" s="258"/>
      <c r="E126" s="258"/>
      <c r="F126" s="258"/>
      <c r="G126" s="258"/>
      <c r="H126" s="260"/>
      <c r="I126" s="51" t="str">
        <f ca="1">IF(I125&lt;&gt;""," Completed","")</f>
        <v xml:space="preserve"> Completed</v>
      </c>
      <c r="J126" s="52" t="str">
        <f ca="1">IF(J124&lt;&gt;"","Completed","")</f>
        <v>Completed</v>
      </c>
    </row>
    <row r="127" spans="1:10" ht="15.75" customHeight="1" x14ac:dyDescent="0.35">
      <c r="A127" s="154" t="s">
        <v>47</v>
      </c>
      <c r="B127" s="155"/>
      <c r="C127" s="89" t="s">
        <v>134</v>
      </c>
      <c r="D127" s="89" t="s">
        <v>81</v>
      </c>
      <c r="E127" s="155" t="s">
        <v>83</v>
      </c>
      <c r="F127" s="155"/>
      <c r="G127" s="155" t="s">
        <v>82</v>
      </c>
      <c r="H127" s="164"/>
      <c r="I127" s="14" t="s">
        <v>136</v>
      </c>
      <c r="J127" s="28">
        <f ca="1">H125*25%</f>
        <v>1</v>
      </c>
    </row>
    <row r="128" spans="1:10" x14ac:dyDescent="0.35">
      <c r="A128" s="154" t="s">
        <v>123</v>
      </c>
      <c r="B128" s="155"/>
      <c r="C128" s="89">
        <f ca="1">J129</f>
        <v>4</v>
      </c>
      <c r="D128" s="19">
        <f ca="1">((100/H125)*C128)/100</f>
        <v>1</v>
      </c>
      <c r="E128" s="156">
        <f ca="1">(((C129/H125*10)+(40/(D125+F125+H125)*C130)+(7.5/(H125)*C131)+(7.5/(H125)*C132)+(10/H125*C133)+(10/H125*C134)+(5/H125*C135)+(5/H125*C136)+(5/H125*C137))/100)</f>
        <v>0.68125000000000002</v>
      </c>
      <c r="F128" s="188"/>
      <c r="G128" s="156">
        <f ca="1">((((C128/H125)*20)+((C129/H125)*25)+(30/(H125+F125+D125)*C130)+(5/H125*C131)+(5/H125*C132)+(5/H125*C133)+(5/H125*C134)+(0/H125*C135)+(0/H125*C136)+(5/H125*C137))/100)</f>
        <v>0.86250000000000004</v>
      </c>
      <c r="H128" s="157"/>
      <c r="I128" s="14" t="s">
        <v>96</v>
      </c>
      <c r="J128" s="29">
        <f ca="1">H125*50%</f>
        <v>2</v>
      </c>
    </row>
    <row r="129" spans="1:10" x14ac:dyDescent="0.35">
      <c r="A129" s="154" t="s">
        <v>48</v>
      </c>
      <c r="B129" s="155"/>
      <c r="C129" s="55">
        <f ca="1">J137</f>
        <v>4</v>
      </c>
      <c r="D129" s="19">
        <f ca="1">((100/H125)*C129)/100</f>
        <v>1</v>
      </c>
      <c r="E129" s="158"/>
      <c r="F129" s="189"/>
      <c r="G129" s="158"/>
      <c r="H129" s="159"/>
      <c r="I129" s="14" t="s">
        <v>97</v>
      </c>
      <c r="J129" s="29">
        <f ca="1">H125</f>
        <v>4</v>
      </c>
    </row>
    <row r="130" spans="1:10" ht="15.75" customHeight="1" x14ac:dyDescent="0.35">
      <c r="A130" s="154" t="s">
        <v>124</v>
      </c>
      <c r="B130" s="155"/>
      <c r="C130" s="89">
        <v>5</v>
      </c>
      <c r="D130" s="19">
        <f ca="1">((100/(D125+F125+H125))*C130)/100</f>
        <v>1</v>
      </c>
      <c r="E130" s="158"/>
      <c r="F130" s="189"/>
      <c r="G130" s="158"/>
      <c r="H130" s="159"/>
      <c r="I130" s="14" t="s">
        <v>98</v>
      </c>
      <c r="J130" s="30">
        <f ca="1">(IF(B125&gt;1,(H125/(B125+2)),H125/4))</f>
        <v>1</v>
      </c>
    </row>
    <row r="131" spans="1:10" ht="15.75" customHeight="1" x14ac:dyDescent="0.35">
      <c r="A131" s="154" t="s">
        <v>131</v>
      </c>
      <c r="B131" s="155" t="s">
        <v>125</v>
      </c>
      <c r="C131" s="89">
        <v>4</v>
      </c>
      <c r="D131" s="19">
        <f ca="1">((100/H125)*C131)/100</f>
        <v>1</v>
      </c>
      <c r="E131" s="158"/>
      <c r="F131" s="189"/>
      <c r="G131" s="158"/>
      <c r="H131" s="159"/>
      <c r="I131" s="14" t="s">
        <v>99</v>
      </c>
      <c r="J131" s="30">
        <f ca="1">(IF(B125&gt;1,(H125/(B125+2)+J130),H125/4+J130))</f>
        <v>2</v>
      </c>
    </row>
    <row r="132" spans="1:10" ht="15.75" customHeight="1" x14ac:dyDescent="0.35">
      <c r="A132" s="154" t="s">
        <v>132</v>
      </c>
      <c r="B132" s="155" t="s">
        <v>125</v>
      </c>
      <c r="C132" s="89">
        <v>3</v>
      </c>
      <c r="D132" s="19">
        <f ca="1">((100/H125)*C132)/100</f>
        <v>0.75</v>
      </c>
      <c r="E132" s="158"/>
      <c r="F132" s="189"/>
      <c r="G132" s="158"/>
      <c r="H132" s="159"/>
      <c r="I132" s="14" t="s">
        <v>141</v>
      </c>
      <c r="J132" s="30">
        <f>(IF(B125&gt;1,(H125/(B125+2)+J131),0))</f>
        <v>0</v>
      </c>
    </row>
    <row r="133" spans="1:10" ht="15" customHeight="1" x14ac:dyDescent="0.35">
      <c r="A133" s="154" t="s">
        <v>130</v>
      </c>
      <c r="B133" s="155" t="s">
        <v>127</v>
      </c>
      <c r="C133" s="89">
        <v>2</v>
      </c>
      <c r="D133" s="19">
        <f ca="1">((100/(H125))*C133)/100</f>
        <v>0.5</v>
      </c>
      <c r="E133" s="158"/>
      <c r="F133" s="189"/>
      <c r="G133" s="158"/>
      <c r="H133" s="159"/>
      <c r="I133" s="14" t="s">
        <v>138</v>
      </c>
      <c r="J133" s="30">
        <f>(IF(B125&gt;2,(H125/(B125+2)+J132),0))</f>
        <v>0</v>
      </c>
    </row>
    <row r="134" spans="1:10" ht="15.75" customHeight="1" x14ac:dyDescent="0.35">
      <c r="A134" s="154" t="s">
        <v>126</v>
      </c>
      <c r="B134" s="155" t="s">
        <v>126</v>
      </c>
      <c r="C134" s="89">
        <v>0</v>
      </c>
      <c r="D134" s="19">
        <f ca="1">((100/H125)*C134)/100</f>
        <v>0</v>
      </c>
      <c r="E134" s="158"/>
      <c r="F134" s="189"/>
      <c r="G134" s="158"/>
      <c r="H134" s="159"/>
      <c r="I134" s="14" t="s">
        <v>139</v>
      </c>
      <c r="J134" s="31">
        <f>(IF(B125&gt;3,(H125/(B125+2)+J133),0))</f>
        <v>0</v>
      </c>
    </row>
    <row r="135" spans="1:10" ht="15.75" customHeight="1" x14ac:dyDescent="0.35">
      <c r="A135" s="154" t="s">
        <v>133</v>
      </c>
      <c r="B135" s="155"/>
      <c r="C135" s="89">
        <v>0</v>
      </c>
      <c r="D135" s="19">
        <f ca="1">((100/H125)*C135)/100</f>
        <v>0</v>
      </c>
      <c r="E135" s="158"/>
      <c r="F135" s="189"/>
      <c r="G135" s="158"/>
      <c r="H135" s="159"/>
      <c r="I135" s="14" t="s">
        <v>140</v>
      </c>
      <c r="J135" s="30">
        <f>(IF(B125&gt;4,(H125/(B125+2)+J134),0))</f>
        <v>0</v>
      </c>
    </row>
    <row r="136" spans="1:10" ht="15.75" customHeight="1" x14ac:dyDescent="0.35">
      <c r="A136" s="154" t="s">
        <v>128</v>
      </c>
      <c r="B136" s="155" t="s">
        <v>128</v>
      </c>
      <c r="C136" s="89">
        <v>0</v>
      </c>
      <c r="D136" s="19">
        <f ca="1">((100/(H125))*C136)/100</f>
        <v>0</v>
      </c>
      <c r="E136" s="158"/>
      <c r="F136" s="189"/>
      <c r="G136" s="158"/>
      <c r="H136" s="159"/>
      <c r="I136" s="14" t="s">
        <v>142</v>
      </c>
      <c r="J136" s="30">
        <f ca="1">(IF(B125=1,(H125/(B125+3)+J131),IF(B125=0,(H125/4+J131),IF(B125&gt;1,0))))</f>
        <v>3</v>
      </c>
    </row>
    <row r="137" spans="1:10" ht="16" thickBot="1" x14ac:dyDescent="0.4">
      <c r="A137" s="165" t="s">
        <v>129</v>
      </c>
      <c r="B137" s="166"/>
      <c r="C137" s="90">
        <v>0</v>
      </c>
      <c r="D137" s="20">
        <f ca="1">((100/(H125))*C137)/100</f>
        <v>0</v>
      </c>
      <c r="E137" s="160"/>
      <c r="F137" s="190"/>
      <c r="G137" s="160"/>
      <c r="H137" s="161"/>
      <c r="I137" s="15" t="s">
        <v>100</v>
      </c>
      <c r="J137" s="32">
        <f ca="1">(IF(B125&gt;1.5,(H125/(B125+2)+J131+MAX(0,J132-J131)+MAX(0,J133-J132)+MAX(0,J134-J133)+MAX(0,J135-J134)+MAX(0,J136-J135)),IF(B125=1,(H125/(B125+3)+J136),IF(B125=0,H125/4+J136))))</f>
        <v>4</v>
      </c>
    </row>
    <row r="138" spans="1:10" x14ac:dyDescent="0.35">
      <c r="A138" s="163" t="s">
        <v>152</v>
      </c>
      <c r="B138" s="163"/>
      <c r="C138" s="163"/>
      <c r="D138" s="163"/>
      <c r="E138" s="163"/>
      <c r="F138" s="215" t="s">
        <v>156</v>
      </c>
      <c r="G138" s="215"/>
      <c r="H138" s="215"/>
    </row>
    <row r="139" spans="1:10" x14ac:dyDescent="0.35">
      <c r="A139" s="124" t="s">
        <v>154</v>
      </c>
      <c r="B139" s="124"/>
      <c r="C139" s="124"/>
      <c r="D139" s="124"/>
      <c r="E139" s="124"/>
      <c r="F139" s="162">
        <v>3800</v>
      </c>
      <c r="G139" s="162"/>
      <c r="H139" s="162"/>
      <c r="I139" s="21" t="s">
        <v>286</v>
      </c>
    </row>
    <row r="140" spans="1:10" x14ac:dyDescent="0.35">
      <c r="A140" s="124" t="s">
        <v>153</v>
      </c>
      <c r="B140" s="124"/>
      <c r="C140" s="124"/>
      <c r="D140" s="124"/>
      <c r="E140" s="124"/>
      <c r="F140" s="162">
        <v>7000</v>
      </c>
      <c r="G140" s="162"/>
      <c r="H140" s="162"/>
    </row>
    <row r="141" spans="1:10" hidden="1" x14ac:dyDescent="0.35">
      <c r="A141" s="124" t="s">
        <v>155</v>
      </c>
      <c r="B141" s="124"/>
      <c r="C141" s="124"/>
      <c r="D141" s="124"/>
      <c r="E141" s="124"/>
      <c r="F141" s="162"/>
      <c r="G141" s="162"/>
      <c r="H141" s="162"/>
    </row>
    <row r="142" spans="1:10" s="33" customFormat="1" hidden="1" x14ac:dyDescent="0.3">
      <c r="A142" s="124" t="s">
        <v>170</v>
      </c>
      <c r="B142" s="124"/>
      <c r="C142" s="124"/>
      <c r="D142" s="124"/>
      <c r="E142" s="124"/>
      <c r="F142" s="162"/>
      <c r="G142" s="162"/>
      <c r="H142" s="162"/>
    </row>
    <row r="143" spans="1:10" s="33" customFormat="1" x14ac:dyDescent="0.3">
      <c r="A143" s="124" t="s">
        <v>91</v>
      </c>
      <c r="B143" s="124"/>
      <c r="C143" s="124"/>
      <c r="D143" s="124"/>
      <c r="E143" s="124"/>
      <c r="F143" s="162">
        <v>100000</v>
      </c>
      <c r="G143" s="162"/>
      <c r="H143" s="162"/>
    </row>
    <row r="144" spans="1:10" s="33" customFormat="1" x14ac:dyDescent="0.3">
      <c r="A144" s="124" t="s">
        <v>92</v>
      </c>
      <c r="B144" s="124"/>
      <c r="C144" s="124"/>
      <c r="D144" s="124"/>
      <c r="E144" s="124"/>
      <c r="F144" s="162">
        <v>50000</v>
      </c>
      <c r="G144" s="162"/>
      <c r="H144" s="162"/>
    </row>
    <row r="145" spans="1:9" s="33" customFormat="1" hidden="1" x14ac:dyDescent="0.3">
      <c r="A145" s="124" t="s">
        <v>284</v>
      </c>
      <c r="B145" s="124"/>
      <c r="C145" s="124"/>
      <c r="D145" s="124"/>
      <c r="E145" s="124"/>
      <c r="F145" s="162"/>
      <c r="G145" s="162"/>
      <c r="H145" s="162"/>
    </row>
    <row r="146" spans="1:9" s="33" customFormat="1" hidden="1" x14ac:dyDescent="0.3">
      <c r="A146" s="124" t="s">
        <v>93</v>
      </c>
      <c r="B146" s="124"/>
      <c r="C146" s="124"/>
      <c r="D146" s="124"/>
      <c r="E146" s="124"/>
      <c r="F146" s="162"/>
      <c r="G146" s="162"/>
      <c r="H146" s="162"/>
    </row>
    <row r="147" spans="1:9" s="33" customFormat="1" x14ac:dyDescent="0.3">
      <c r="A147" s="124" t="s">
        <v>285</v>
      </c>
      <c r="B147" s="124"/>
      <c r="C147" s="124"/>
      <c r="D147" s="124"/>
      <c r="E147" s="124"/>
      <c r="F147" s="162">
        <v>70000</v>
      </c>
      <c r="G147" s="162"/>
      <c r="H147" s="162"/>
    </row>
    <row r="148" spans="1:9" s="33" customFormat="1" x14ac:dyDescent="0.3">
      <c r="A148" s="124" t="s">
        <v>94</v>
      </c>
      <c r="B148" s="124"/>
      <c r="C148" s="124"/>
      <c r="D148" s="124"/>
      <c r="E148" s="124"/>
      <c r="F148" s="162">
        <v>50000</v>
      </c>
      <c r="G148" s="162"/>
      <c r="H148" s="162"/>
    </row>
    <row r="149" spans="1:9" s="33" customFormat="1" hidden="1" x14ac:dyDescent="0.3">
      <c r="A149" s="124" t="s">
        <v>95</v>
      </c>
      <c r="B149" s="124"/>
      <c r="C149" s="124"/>
      <c r="D149" s="124"/>
      <c r="E149" s="124"/>
      <c r="F149" s="162"/>
      <c r="G149" s="162"/>
      <c r="H149" s="162"/>
    </row>
    <row r="150" spans="1:9" x14ac:dyDescent="0.35">
      <c r="A150" s="124" t="s">
        <v>49</v>
      </c>
      <c r="B150" s="124"/>
      <c r="C150" s="124"/>
      <c r="D150" s="124"/>
      <c r="E150" s="124"/>
      <c r="F150" s="210">
        <v>200000</v>
      </c>
      <c r="G150" s="210"/>
      <c r="H150" s="210"/>
    </row>
    <row r="151" spans="1:9" s="34" customFormat="1" x14ac:dyDescent="0.35">
      <c r="A151" s="168" t="s">
        <v>50</v>
      </c>
      <c r="B151" s="168"/>
      <c r="C151" s="168"/>
      <c r="D151" s="168"/>
      <c r="E151" s="168"/>
      <c r="F151" s="162">
        <f>F139*0.8</f>
        <v>3040</v>
      </c>
      <c r="G151" s="162"/>
      <c r="H151" s="162"/>
    </row>
    <row r="152" spans="1:9" s="35" customFormat="1" ht="15.75" customHeight="1" x14ac:dyDescent="0.35">
      <c r="A152" s="127" t="s">
        <v>73</v>
      </c>
      <c r="B152" s="127"/>
      <c r="C152" s="127"/>
      <c r="D152" s="127"/>
      <c r="E152" s="127"/>
      <c r="F152" s="127"/>
      <c r="G152" s="127"/>
      <c r="H152" s="127"/>
    </row>
    <row r="153" spans="1:9" s="35" customFormat="1" ht="15.75" customHeight="1" x14ac:dyDescent="0.35">
      <c r="A153" s="132" t="s">
        <v>51</v>
      </c>
      <c r="B153" s="132"/>
      <c r="C153" s="129" t="s">
        <v>76</v>
      </c>
      <c r="D153" s="129"/>
      <c r="E153" s="131" t="s">
        <v>52</v>
      </c>
      <c r="F153" s="131"/>
      <c r="G153" s="132" t="s">
        <v>53</v>
      </c>
      <c r="H153" s="132"/>
    </row>
    <row r="154" spans="1:9" s="35" customFormat="1" x14ac:dyDescent="0.35">
      <c r="A154" s="96" t="s">
        <v>274</v>
      </c>
      <c r="B154" s="64" t="s">
        <v>263</v>
      </c>
      <c r="C154" s="133">
        <f>COUNT(D174:D175)</f>
        <v>2</v>
      </c>
      <c r="D154" s="97"/>
      <c r="E154" s="98">
        <f>SUM(D174:D175)</f>
        <v>194.82840000000002</v>
      </c>
      <c r="F154" s="134"/>
      <c r="G154" s="98">
        <f>SUM(F174:F175)</f>
        <v>301.98402000000004</v>
      </c>
      <c r="H154" s="134"/>
    </row>
    <row r="155" spans="1:9" s="35" customFormat="1" x14ac:dyDescent="0.35">
      <c r="A155" s="127" t="s">
        <v>145</v>
      </c>
      <c r="B155" s="127"/>
      <c r="C155" s="128">
        <f t="shared" ref="C155:G155" si="0">SUM(C154)</f>
        <v>2</v>
      </c>
      <c r="D155" s="129"/>
      <c r="E155" s="130">
        <f t="shared" si="0"/>
        <v>194.82840000000002</v>
      </c>
      <c r="F155" s="131"/>
      <c r="G155" s="132">
        <f t="shared" si="0"/>
        <v>301.98402000000004</v>
      </c>
      <c r="H155" s="132"/>
    </row>
    <row r="156" spans="1:9" s="35" customFormat="1" x14ac:dyDescent="0.35">
      <c r="A156" s="127" t="s">
        <v>68</v>
      </c>
      <c r="B156" s="127"/>
      <c r="C156" s="127"/>
      <c r="D156" s="127"/>
      <c r="E156" s="127"/>
      <c r="F156" s="127"/>
      <c r="G156" s="127"/>
      <c r="H156" s="127"/>
    </row>
    <row r="157" spans="1:9" s="35" customFormat="1" ht="15.75" customHeight="1" x14ac:dyDescent="0.35">
      <c r="A157" s="132" t="s">
        <v>51</v>
      </c>
      <c r="B157" s="132"/>
      <c r="C157" s="129" t="s">
        <v>76</v>
      </c>
      <c r="D157" s="129"/>
      <c r="E157" s="131" t="s">
        <v>52</v>
      </c>
      <c r="F157" s="131"/>
      <c r="G157" s="132" t="s">
        <v>53</v>
      </c>
      <c r="H157" s="132"/>
    </row>
    <row r="158" spans="1:9" s="35" customFormat="1" x14ac:dyDescent="0.35">
      <c r="A158" s="99" t="s">
        <v>257</v>
      </c>
      <c r="B158" s="64" t="s">
        <v>258</v>
      </c>
      <c r="C158" s="97">
        <f>COUNT(D183:D186)+COUNT(D188:D191)*2+COUNT(D193:D196)</f>
        <v>16</v>
      </c>
      <c r="D158" s="97"/>
      <c r="E158" s="98">
        <f>SUM(D183:D186)+SUM(D188:D191)*2+SUM(D193:D196)</f>
        <v>5755.5108</v>
      </c>
      <c r="F158" s="98"/>
      <c r="G158" s="98">
        <f>SUM(F183:F186)+SUM(F188:F191)*2+SUM(F193:F196)</f>
        <v>8771.2337699999989</v>
      </c>
      <c r="H158" s="98"/>
    </row>
    <row r="159" spans="1:9" s="35" customFormat="1" x14ac:dyDescent="0.35">
      <c r="A159" s="145"/>
      <c r="B159" s="64" t="s">
        <v>263</v>
      </c>
      <c r="C159" s="97">
        <f>COUNT(D200:D205)+COUNT(D207:D212)*2+COUNT(D214:D219)</f>
        <v>24</v>
      </c>
      <c r="D159" s="97"/>
      <c r="E159" s="98">
        <f>SUM(D200:D205)+SUM(D207:D212)*2+SUM(D214:D219)</f>
        <v>8757.5903999999991</v>
      </c>
      <c r="F159" s="98"/>
      <c r="G159" s="98">
        <f>SUM(F200:F205)+SUM(F207:F212)*2+SUM(F214:F219)</f>
        <v>13042.95408</v>
      </c>
      <c r="H159" s="98"/>
    </row>
    <row r="160" spans="1:9" s="35" customFormat="1" x14ac:dyDescent="0.35">
      <c r="A160" s="145"/>
      <c r="B160" s="82" t="s">
        <v>266</v>
      </c>
      <c r="C160" s="97">
        <f>COUNT(D223:D226)+COUNT(D228:D231)*2+COUNT(D233:D236)</f>
        <v>16</v>
      </c>
      <c r="D160" s="97"/>
      <c r="E160" s="98">
        <f>SUM(D223:D226)+SUM(D228:D231)*2+SUM(D233:D236)</f>
        <v>5852.6020799999997</v>
      </c>
      <c r="F160" s="98"/>
      <c r="G160" s="98">
        <f>SUM(F223:F226)+SUM(F228:F231)*2+SUM(F233:F236)</f>
        <v>8906.4995760000002</v>
      </c>
      <c r="H160" s="98"/>
      <c r="I160" s="35">
        <f>56+52+51</f>
        <v>159</v>
      </c>
    </row>
    <row r="161" spans="1:14" s="35" customFormat="1" x14ac:dyDescent="0.35">
      <c r="A161" s="99" t="s">
        <v>269</v>
      </c>
      <c r="B161" s="64" t="s">
        <v>258</v>
      </c>
      <c r="C161" s="97">
        <f>COUNT(D241:D249)+COUNT(D251:D259)*2+COUNT(D261:D269)</f>
        <v>36</v>
      </c>
      <c r="D161" s="97"/>
      <c r="E161" s="98">
        <f>SUM(D241:D249)+SUM(D251:D259)*2+SUM(D261:D269)</f>
        <v>13215.048912000002</v>
      </c>
      <c r="F161" s="98"/>
      <c r="G161" s="98">
        <f>SUM(F241:F249)+SUM(F251:F259)*2+SUM(F261:F269)</f>
        <v>20004.426842399997</v>
      </c>
      <c r="H161" s="98"/>
    </row>
    <row r="162" spans="1:14" s="35" customFormat="1" x14ac:dyDescent="0.35">
      <c r="A162" s="100"/>
      <c r="B162" s="64" t="s">
        <v>263</v>
      </c>
      <c r="C162" s="97">
        <f>COUNT(D273:D276)+COUNT(D278:D281)*2+COUNT(D283:D286)</f>
        <v>16</v>
      </c>
      <c r="D162" s="97"/>
      <c r="E162" s="98">
        <f>SUM(D273:D276)+SUM(D278:D281)*2+SUM(D283:D286)</f>
        <v>5817.7267199999987</v>
      </c>
      <c r="F162" s="98"/>
      <c r="G162" s="98">
        <f>SUM(F273:F276)+SUM(F278:F281)*2+SUM(F283:F286)</f>
        <v>8855.9303039999977</v>
      </c>
      <c r="H162" s="98"/>
    </row>
    <row r="163" spans="1:14" s="35" customFormat="1" x14ac:dyDescent="0.35">
      <c r="A163" s="99" t="s">
        <v>274</v>
      </c>
      <c r="B163" s="64" t="s">
        <v>258</v>
      </c>
      <c r="C163" s="97">
        <f>COUNT(D290)+COUNT(D292:D295)+COUNT(D297:D300)*2+COUNT(D302:D305)</f>
        <v>17</v>
      </c>
      <c r="D163" s="97"/>
      <c r="E163" s="98">
        <f>SUM(D290)+SUM(D292:D295)+SUM(D297:D300)*2+SUM(D302:D305)</f>
        <v>6140.3238000000001</v>
      </c>
      <c r="F163" s="98"/>
      <c r="G163" s="98">
        <f>SUM(F290)+SUM(F292:F295)+SUM(F297:F300)*2+SUM(F302:F305)</f>
        <v>9326.2794299999987</v>
      </c>
      <c r="H163" s="98"/>
    </row>
    <row r="164" spans="1:14" s="35" customFormat="1" x14ac:dyDescent="0.35">
      <c r="A164" s="100"/>
      <c r="B164" s="64" t="s">
        <v>263</v>
      </c>
      <c r="C164" s="97">
        <f>COUNT(D308:D309)+COUNT(D311:D318)+COUNT(D320:D327)*2+COUNT(D329:D336)</f>
        <v>34</v>
      </c>
      <c r="D164" s="97"/>
      <c r="E164" s="98">
        <f>SUM(D308:D309)+SUM(D311:D318)+SUM(D320:D327)*2+SUM(D329:D336)</f>
        <v>12567.615839999999</v>
      </c>
      <c r="F164" s="98"/>
      <c r="G164" s="98">
        <f>SUM(F308:F309)+SUM(F311:F318)+SUM(F320:F327)*2+SUM(F329:F336)</f>
        <v>18926.362727999996</v>
      </c>
      <c r="H164" s="98"/>
    </row>
    <row r="165" spans="1:14" s="35" customFormat="1" ht="16" thickBot="1" x14ac:dyDescent="0.4">
      <c r="A165" s="141" t="s">
        <v>145</v>
      </c>
      <c r="B165" s="141"/>
      <c r="C165" s="142">
        <f>SUM(C158:C164)</f>
        <v>159</v>
      </c>
      <c r="D165" s="142"/>
      <c r="E165" s="143">
        <f>SUM(E158:E164)</f>
        <v>58106.418551999996</v>
      </c>
      <c r="F165" s="143"/>
      <c r="G165" s="144">
        <f>SUM(G158:G164)</f>
        <v>87833.686730399975</v>
      </c>
      <c r="H165" s="144"/>
    </row>
    <row r="166" spans="1:14" s="35" customFormat="1" ht="16" thickBot="1" x14ac:dyDescent="0.4">
      <c r="A166" s="225" t="s">
        <v>162</v>
      </c>
      <c r="B166" s="226"/>
      <c r="C166" s="111">
        <f>C155+C165</f>
        <v>161</v>
      </c>
      <c r="D166" s="112"/>
      <c r="E166" s="111">
        <f>E155+E165</f>
        <v>58301.246951999994</v>
      </c>
      <c r="F166" s="112"/>
      <c r="G166" s="111">
        <f>G155+G165</f>
        <v>88135.670750399979</v>
      </c>
      <c r="H166" s="112"/>
    </row>
    <row r="167" spans="1:14" s="34" customFormat="1" x14ac:dyDescent="0.35">
      <c r="A167" s="215" t="s">
        <v>54</v>
      </c>
      <c r="B167" s="215"/>
      <c r="C167" s="215"/>
      <c r="D167" s="215"/>
      <c r="E167" s="215"/>
      <c r="F167" s="215"/>
      <c r="G167" s="215"/>
      <c r="H167" s="215"/>
    </row>
    <row r="168" spans="1:14" x14ac:dyDescent="0.35">
      <c r="A168" s="201" t="s">
        <v>169</v>
      </c>
      <c r="B168" s="201"/>
      <c r="C168" s="201"/>
      <c r="D168" s="201"/>
      <c r="E168" s="201"/>
      <c r="F168" s="201"/>
      <c r="G168" s="201"/>
      <c r="H168" s="201"/>
    </row>
    <row r="169" spans="1:14" ht="47.25" customHeight="1" x14ac:dyDescent="0.35">
      <c r="A169" s="135" t="s">
        <v>115</v>
      </c>
      <c r="B169" s="135" t="s">
        <v>171</v>
      </c>
      <c r="C169" s="135" t="s">
        <v>55</v>
      </c>
      <c r="D169" s="135" t="s">
        <v>56</v>
      </c>
      <c r="E169" s="170" t="s">
        <v>151</v>
      </c>
      <c r="F169" s="43" t="s">
        <v>144</v>
      </c>
      <c r="G169" s="172" t="s">
        <v>58</v>
      </c>
      <c r="H169" s="173"/>
      <c r="I169" s="24"/>
    </row>
    <row r="170" spans="1:14" s="37" customFormat="1" x14ac:dyDescent="0.35">
      <c r="A170" s="136"/>
      <c r="B170" s="136"/>
      <c r="C170" s="136"/>
      <c r="D170" s="136"/>
      <c r="E170" s="171"/>
      <c r="F170" s="13">
        <v>0.55000000000000004</v>
      </c>
      <c r="G170" s="174"/>
      <c r="H170" s="175"/>
    </row>
    <row r="171" spans="1:14" s="37" customFormat="1" x14ac:dyDescent="0.35">
      <c r="A171" s="113" t="s">
        <v>274</v>
      </c>
      <c r="B171" s="114"/>
      <c r="C171" s="114"/>
      <c r="D171" s="114"/>
      <c r="E171" s="114"/>
      <c r="F171" s="114"/>
      <c r="G171" s="114"/>
      <c r="H171" s="115"/>
      <c r="I171" s="81">
        <v>10.763999999999999</v>
      </c>
      <c r="J171" s="36"/>
    </row>
    <row r="172" spans="1:14" s="37" customFormat="1" x14ac:dyDescent="0.35">
      <c r="A172" s="113" t="s">
        <v>263</v>
      </c>
      <c r="B172" s="114"/>
      <c r="C172" s="114"/>
      <c r="D172" s="114"/>
      <c r="E172" s="114"/>
      <c r="F172" s="114"/>
      <c r="G172" s="114"/>
      <c r="H172" s="115"/>
      <c r="I172" s="36"/>
      <c r="L172" s="169"/>
      <c r="M172" s="169"/>
      <c r="N172" s="36"/>
    </row>
    <row r="173" spans="1:14" s="63" customFormat="1" x14ac:dyDescent="0.35">
      <c r="A173" s="113" t="s">
        <v>276</v>
      </c>
      <c r="B173" s="114"/>
      <c r="C173" s="114"/>
      <c r="D173" s="114"/>
      <c r="E173" s="114"/>
      <c r="F173" s="114"/>
      <c r="G173" s="114"/>
      <c r="H173" s="115"/>
      <c r="I173" s="36"/>
      <c r="N173" s="36"/>
    </row>
    <row r="174" spans="1:14" s="63" customFormat="1" ht="15.75" customHeight="1" x14ac:dyDescent="0.35">
      <c r="A174" s="116">
        <v>1</v>
      </c>
      <c r="B174" s="117"/>
      <c r="C174" s="76" t="s">
        <v>277</v>
      </c>
      <c r="D174" s="81">
        <f>(9.05)*10.764</f>
        <v>97.414200000000008</v>
      </c>
      <c r="E174" s="62">
        <v>0</v>
      </c>
      <c r="F174" s="62">
        <f>(D174+E174)*(($F$170)+1)</f>
        <v>150.99201000000002</v>
      </c>
      <c r="G174" s="101" t="str">
        <f>A173</f>
        <v>Ground Floor For Commercial, Entrance Lobby, Parking &amp; Part Residential Area</v>
      </c>
      <c r="H174" s="108"/>
      <c r="I174" s="78">
        <f>1.4*1+2.7*2.6+1.2*0.9</f>
        <v>9.5</v>
      </c>
      <c r="J174" s="63">
        <f>165/D174</f>
        <v>1.6937982347542759</v>
      </c>
      <c r="N174" s="36"/>
    </row>
    <row r="175" spans="1:14" s="63" customFormat="1" ht="15.75" customHeight="1" x14ac:dyDescent="0.35">
      <c r="A175" s="116">
        <v>2</v>
      </c>
      <c r="B175" s="117"/>
      <c r="C175" s="76" t="s">
        <v>277</v>
      </c>
      <c r="D175" s="81">
        <f>(9.05)*10.764</f>
        <v>97.414200000000008</v>
      </c>
      <c r="E175" s="62">
        <v>0</v>
      </c>
      <c r="F175" s="62">
        <f>(D175+E175)*(($F$170)+1)</f>
        <v>150.99201000000002</v>
      </c>
      <c r="G175" s="105"/>
      <c r="H175" s="110"/>
      <c r="I175" s="36"/>
      <c r="J175" s="63">
        <f>165/D175</f>
        <v>1.6937982347542759</v>
      </c>
      <c r="N175" s="36"/>
    </row>
    <row r="176" spans="1:14" s="37" customFormat="1" x14ac:dyDescent="0.35">
      <c r="A176" s="116"/>
      <c r="B176" s="219"/>
      <c r="C176" s="219"/>
      <c r="D176" s="219"/>
      <c r="E176" s="219"/>
      <c r="F176" s="219"/>
      <c r="G176" s="219"/>
      <c r="H176" s="117"/>
      <c r="I176" s="36"/>
      <c r="N176" s="36"/>
    </row>
    <row r="177" spans="1:16" ht="47.25" customHeight="1" x14ac:dyDescent="0.35">
      <c r="A177" s="172" t="s">
        <v>116</v>
      </c>
      <c r="B177" s="135" t="s">
        <v>172</v>
      </c>
      <c r="C177" s="135" t="s">
        <v>55</v>
      </c>
      <c r="D177" s="135" t="s">
        <v>56</v>
      </c>
      <c r="E177" s="170" t="s">
        <v>57</v>
      </c>
      <c r="F177" s="56" t="s">
        <v>144</v>
      </c>
      <c r="G177" s="172" t="s">
        <v>58</v>
      </c>
      <c r="H177" s="173"/>
      <c r="I177" s="36"/>
    </row>
    <row r="178" spans="1:16" s="37" customFormat="1" x14ac:dyDescent="0.35">
      <c r="A178" s="174"/>
      <c r="B178" s="136"/>
      <c r="C178" s="136"/>
      <c r="D178" s="136"/>
      <c r="E178" s="171"/>
      <c r="F178" s="13">
        <v>0.45</v>
      </c>
      <c r="G178" s="174"/>
      <c r="H178" s="175"/>
      <c r="I178" s="36"/>
      <c r="K178" s="65"/>
    </row>
    <row r="179" spans="1:16" s="61" customFormat="1" x14ac:dyDescent="0.35">
      <c r="A179" s="119" t="s">
        <v>257</v>
      </c>
      <c r="B179" s="120"/>
      <c r="C179" s="120"/>
      <c r="D179" s="120"/>
      <c r="E179" s="120"/>
      <c r="F179" s="120"/>
      <c r="G179" s="120"/>
      <c r="H179" s="121"/>
      <c r="I179" s="36"/>
      <c r="K179" s="66"/>
    </row>
    <row r="180" spans="1:16" s="61" customFormat="1" x14ac:dyDescent="0.35">
      <c r="A180" s="119" t="s">
        <v>270</v>
      </c>
      <c r="B180" s="120"/>
      <c r="C180" s="120"/>
      <c r="D180" s="120"/>
      <c r="E180" s="120"/>
      <c r="F180" s="120"/>
      <c r="G180" s="120"/>
      <c r="H180" s="121"/>
      <c r="I180" s="36"/>
      <c r="K180" s="66"/>
    </row>
    <row r="181" spans="1:16" s="37" customFormat="1" x14ac:dyDescent="0.35">
      <c r="A181" s="113" t="s">
        <v>259</v>
      </c>
      <c r="B181" s="114"/>
      <c r="C181" s="114"/>
      <c r="D181" s="114"/>
      <c r="E181" s="114"/>
      <c r="F181" s="114"/>
      <c r="G181" s="114"/>
      <c r="H181" s="115"/>
      <c r="I181" s="80" t="s">
        <v>280</v>
      </c>
      <c r="J181" s="36"/>
      <c r="K181" s="66"/>
    </row>
    <row r="182" spans="1:16" s="61" customFormat="1" x14ac:dyDescent="0.35">
      <c r="A182" s="113" t="s">
        <v>260</v>
      </c>
      <c r="B182" s="114"/>
      <c r="C182" s="114"/>
      <c r="D182" s="114"/>
      <c r="E182" s="114"/>
      <c r="F182" s="114"/>
      <c r="G182" s="114"/>
      <c r="H182" s="115"/>
      <c r="J182" s="36"/>
      <c r="K182" s="66"/>
      <c r="N182" s="61" t="s">
        <v>281</v>
      </c>
    </row>
    <row r="183" spans="1:16" s="37" customFormat="1" ht="15.75" customHeight="1" x14ac:dyDescent="0.35">
      <c r="A183" s="116">
        <v>1</v>
      </c>
      <c r="B183" s="117"/>
      <c r="C183" s="42" t="s">
        <v>262</v>
      </c>
      <c r="D183" s="81">
        <f>(28.3+(5.29))*10.764</f>
        <v>361.56276000000003</v>
      </c>
      <c r="E183" s="81">
        <v>0</v>
      </c>
      <c r="F183" s="42">
        <f>D183*(($F$178)+1)+(IF(E183&lt;101,E183,IF(E183&lt;201,E183/2,IF(E183&lt;=301,E183/3,E183/4))))</f>
        <v>524.26600200000007</v>
      </c>
      <c r="G183" s="101" t="str">
        <f>A181</f>
        <v>Ground Floor For Driver Room, Entrance Lobby, Society Office &amp; Parking</v>
      </c>
      <c r="H183" s="108"/>
      <c r="I183" s="36">
        <f>10.764+9.35+7.011+1.671+1.122</f>
        <v>29.917999999999996</v>
      </c>
      <c r="J183" s="36">
        <f>3.95*2.725+2.13*2.24+2.4*2.75+1.37*1.22+1.22*0.92+0.85*1.22</f>
        <v>25.96575</v>
      </c>
      <c r="K183" s="66">
        <f>2.49+2.8</f>
        <v>5.29</v>
      </c>
      <c r="L183" s="70">
        <f>1.05*2.75</f>
        <v>2.8875000000000002</v>
      </c>
      <c r="M183" s="70">
        <v>638</v>
      </c>
      <c r="N183" s="75">
        <f>(M183-E183)/D183</f>
        <v>1.764562257462577</v>
      </c>
      <c r="P183" s="37">
        <f>638/D183</f>
        <v>1.764562257462577</v>
      </c>
    </row>
    <row r="184" spans="1:16" s="37" customFormat="1" ht="15.75" customHeight="1" x14ac:dyDescent="0.35">
      <c r="A184" s="116">
        <f t="shared" ref="A184:A186" si="1">A183+1</f>
        <v>2</v>
      </c>
      <c r="B184" s="117"/>
      <c r="C184" s="60" t="s">
        <v>262</v>
      </c>
      <c r="D184" s="81">
        <f>(30.77+(2.39))*10.764</f>
        <v>356.93423999999993</v>
      </c>
      <c r="E184" s="81">
        <f>(3.48)*10.764</f>
        <v>37.45872</v>
      </c>
      <c r="F184" s="42">
        <f>D184*(($F$178)+1)+(IF(E184&lt;101,E184,IF(E184&lt;201,E184/2,IF(E184&lt;=301,E184/3,E184/4))))</f>
        <v>555.0133679999999</v>
      </c>
      <c r="G184" s="103"/>
      <c r="H184" s="109"/>
      <c r="I184" s="66">
        <f>1.23*2.825</f>
        <v>3.4747500000000002</v>
      </c>
      <c r="J184" s="36">
        <f>3.95*2.725+2.13*2.24+3.4*2.75+1.37*1.22+1.22*0.92+0.85*1.22</f>
        <v>28.71575</v>
      </c>
      <c r="K184" s="37">
        <f>2.39</f>
        <v>2.39</v>
      </c>
      <c r="L184" s="70">
        <f>1.23*2.825</f>
        <v>3.4747500000000002</v>
      </c>
      <c r="M184" s="70">
        <v>646</v>
      </c>
      <c r="N184" s="75">
        <f>(M184-E184)/D184</f>
        <v>1.7049114705274566</v>
      </c>
      <c r="O184" s="36">
        <f>30.77+(2.39)+3.48</f>
        <v>36.639999999999993</v>
      </c>
    </row>
    <row r="185" spans="1:16" s="37" customFormat="1" ht="15.75" customHeight="1" x14ac:dyDescent="0.35">
      <c r="A185" s="116">
        <f t="shared" si="1"/>
        <v>3</v>
      </c>
      <c r="B185" s="117"/>
      <c r="C185" s="60" t="s">
        <v>262</v>
      </c>
      <c r="D185" s="81">
        <f>(30.33+(2.9))*10.764</f>
        <v>357.68771999999996</v>
      </c>
      <c r="E185" s="81">
        <f>(3.48)*10.764</f>
        <v>37.45872</v>
      </c>
      <c r="F185" s="42">
        <f>D185*(($F$178)+1)+(IF(E185&lt;101,E185,IF(E185&lt;201,E185/2,IF(E185&lt;=301,E185/3,E185/4))))</f>
        <v>556.10591399999987</v>
      </c>
      <c r="G185" s="103"/>
      <c r="H185" s="109"/>
      <c r="I185" s="36"/>
      <c r="J185" s="36">
        <f>3.95*2.725+3.13*2.24+3.4*2.75+1.37*1.22+1.22*0.92+0.85*1.22</f>
        <v>30.955750000000002</v>
      </c>
      <c r="L185" s="70"/>
      <c r="M185" s="70">
        <v>646</v>
      </c>
      <c r="N185" s="75">
        <f t="shared" ref="N185:N191" si="2">(M185-E185)/D185</f>
        <v>1.7013200229518646</v>
      </c>
    </row>
    <row r="186" spans="1:16" s="37" customFormat="1" ht="15.75" customHeight="1" x14ac:dyDescent="0.35">
      <c r="A186" s="116">
        <f t="shared" si="1"/>
        <v>4</v>
      </c>
      <c r="B186" s="117"/>
      <c r="C186" s="60" t="s">
        <v>262</v>
      </c>
      <c r="D186" s="81">
        <f>(28.3+(5.39))*10.764</f>
        <v>362.63915999999995</v>
      </c>
      <c r="E186" s="81">
        <f>(1.05*2.85+0.5*1.5)*10.764</f>
        <v>40.284269999999999</v>
      </c>
      <c r="F186" s="42">
        <f>D186*(($F$178)+1)+(IF(E186&lt;101,E186,IF(E186&lt;201,E186/2,IF(E186&lt;=301,E186/3,E186/4))))</f>
        <v>566.11105199999986</v>
      </c>
      <c r="G186" s="105"/>
      <c r="H186" s="110"/>
      <c r="I186" s="71">
        <f>1.05*2.85+0.5*1.5</f>
        <v>3.7425000000000002</v>
      </c>
      <c r="J186" s="36">
        <f>3.95*2.725+3.13*2.24+3.4*2.75+1.37*1.22+1.22*0.92+0.85*1.22</f>
        <v>30.955750000000002</v>
      </c>
      <c r="L186" s="70">
        <v>649</v>
      </c>
      <c r="M186" s="70">
        <v>649</v>
      </c>
      <c r="N186" s="75">
        <f t="shared" si="2"/>
        <v>1.6785714206926801</v>
      </c>
    </row>
    <row r="187" spans="1:16" s="37" customFormat="1" x14ac:dyDescent="0.35">
      <c r="A187" s="118" t="s">
        <v>267</v>
      </c>
      <c r="B187" s="118"/>
      <c r="C187" s="118"/>
      <c r="D187" s="118"/>
      <c r="E187" s="118"/>
      <c r="F187" s="118"/>
      <c r="G187" s="118"/>
      <c r="H187" s="118"/>
      <c r="N187" s="75" t="e">
        <f t="shared" si="2"/>
        <v>#DIV/0!</v>
      </c>
    </row>
    <row r="188" spans="1:16" s="37" customFormat="1" ht="15.75" customHeight="1" x14ac:dyDescent="0.35">
      <c r="A188" s="116">
        <v>1</v>
      </c>
      <c r="B188" s="117"/>
      <c r="C188" s="62" t="s">
        <v>262</v>
      </c>
      <c r="D188" s="81">
        <f>(28.35+(5.29))*10.764</f>
        <v>362.10095999999999</v>
      </c>
      <c r="E188" s="81">
        <f>(3.23)*10.764</f>
        <v>34.767719999999997</v>
      </c>
      <c r="F188" s="42">
        <f t="shared" ref="F188:F189" si="3">D188*(($F$178)+1)+(IF(E188&lt;101,E188,IF(E188&lt;201,E188/2,IF(E188&lt;=301,E188/3,E188/4))))</f>
        <v>559.81411200000002</v>
      </c>
      <c r="G188" s="101" t="str">
        <f>A187</f>
        <v>2nd &amp; 4th Floor</v>
      </c>
      <c r="H188" s="102"/>
      <c r="I188" s="74">
        <f>3.95*2.725+2.13*2.24+2.4*2.75+1.37*1.22+1.22*0.92+0.85*1.22</f>
        <v>25.96575</v>
      </c>
      <c r="K188" s="66">
        <f>1.23*2.625</f>
        <v>3.2287499999999998</v>
      </c>
      <c r="M188" s="37">
        <v>646</v>
      </c>
      <c r="N188" s="75">
        <f t="shared" si="2"/>
        <v>1.6880161820062558</v>
      </c>
    </row>
    <row r="189" spans="1:16" s="37" customFormat="1" ht="15.75" customHeight="1" x14ac:dyDescent="0.35">
      <c r="A189" s="116">
        <f t="shared" ref="A189:A191" si="4">A188+1</f>
        <v>2</v>
      </c>
      <c r="B189" s="117"/>
      <c r="C189" s="62" t="s">
        <v>262</v>
      </c>
      <c r="D189" s="81">
        <f>(30.72+(2.39))*10.764</f>
        <v>356.39603999999997</v>
      </c>
      <c r="E189" s="81">
        <v>0</v>
      </c>
      <c r="F189" s="42">
        <f t="shared" si="3"/>
        <v>516.77425799999992</v>
      </c>
      <c r="G189" s="103"/>
      <c r="H189" s="104"/>
      <c r="I189" s="72"/>
      <c r="K189" s="66">
        <f>1.05*2.75</f>
        <v>2.8875000000000002</v>
      </c>
      <c r="M189" s="37">
        <v>638</v>
      </c>
      <c r="N189" s="75">
        <f t="shared" si="2"/>
        <v>1.7901433472717601</v>
      </c>
    </row>
    <row r="190" spans="1:16" s="37" customFormat="1" ht="15.75" customHeight="1" x14ac:dyDescent="0.35">
      <c r="A190" s="116">
        <f t="shared" si="4"/>
        <v>3</v>
      </c>
      <c r="B190" s="117"/>
      <c r="C190" s="62" t="s">
        <v>262</v>
      </c>
      <c r="D190" s="81">
        <f>(30.29+(2.9))*10.764</f>
        <v>357.25715999999994</v>
      </c>
      <c r="E190" s="81">
        <f>(2.99)*10.764</f>
        <v>32.184359999999998</v>
      </c>
      <c r="F190" s="42">
        <f>D190*(($F$178)+1)+(IF(E190&lt;101,E190,IF(E190&lt;201,E190/2,IF(E190&lt;=301,E190/3,E190/4))))</f>
        <v>550.20724199999984</v>
      </c>
      <c r="G190" s="103"/>
      <c r="H190" s="104"/>
      <c r="I190" s="72"/>
      <c r="M190" s="37">
        <v>638</v>
      </c>
      <c r="N190" s="75">
        <f t="shared" si="2"/>
        <v>1.6957410734609213</v>
      </c>
    </row>
    <row r="191" spans="1:16" s="37" customFormat="1" ht="15.75" customHeight="1" x14ac:dyDescent="0.35">
      <c r="A191" s="116">
        <f t="shared" si="4"/>
        <v>4</v>
      </c>
      <c r="B191" s="117"/>
      <c r="C191" s="62" t="s">
        <v>262</v>
      </c>
      <c r="D191" s="81">
        <f>(28.35+(5.39))*10.764</f>
        <v>363.17736000000002</v>
      </c>
      <c r="E191" s="81">
        <f>(3.23)*10.764</f>
        <v>34.767719999999997</v>
      </c>
      <c r="F191" s="42">
        <f>D191*(($F$178)+1)+(IF(E191&lt;101,E191,IF(E191&lt;201,E191/2,IF(E191&lt;=301,E191/3,E191/4))))</f>
        <v>561.37489200000005</v>
      </c>
      <c r="G191" s="105"/>
      <c r="H191" s="106"/>
      <c r="I191" s="72"/>
      <c r="M191" s="37">
        <v>645</v>
      </c>
      <c r="N191" s="75">
        <f t="shared" si="2"/>
        <v>1.6802596946021082</v>
      </c>
    </row>
    <row r="192" spans="1:16" s="37" customFormat="1" ht="15.75" customHeight="1" x14ac:dyDescent="0.35">
      <c r="A192" s="118" t="s">
        <v>268</v>
      </c>
      <c r="B192" s="118"/>
      <c r="C192" s="118"/>
      <c r="D192" s="118"/>
      <c r="E192" s="118"/>
      <c r="F192" s="118"/>
      <c r="G192" s="118"/>
      <c r="H192" s="118"/>
      <c r="I192" s="73"/>
      <c r="N192" s="36"/>
    </row>
    <row r="193" spans="1:14" s="63" customFormat="1" x14ac:dyDescent="0.35">
      <c r="A193" s="107">
        <v>1</v>
      </c>
      <c r="B193" s="107"/>
      <c r="C193" s="91" t="s">
        <v>262</v>
      </c>
      <c r="D193" s="81">
        <f>(28.3+(5.29))*10.764</f>
        <v>361.56276000000003</v>
      </c>
      <c r="E193" s="81">
        <v>0</v>
      </c>
      <c r="F193" s="91">
        <f>D193*(($F$178)+1)+(IF(E193&lt;101,E193,IF(E193&lt;201,E193/2,IF(E193&lt;=301,E193/3,E193/4))))</f>
        <v>524.26600200000007</v>
      </c>
      <c r="G193" s="107" t="str">
        <f>A192</f>
        <v>3rd Floor</v>
      </c>
      <c r="H193" s="107"/>
      <c r="I193" s="36"/>
      <c r="N193" s="36"/>
    </row>
    <row r="194" spans="1:14" s="63" customFormat="1" x14ac:dyDescent="0.35">
      <c r="A194" s="107">
        <f t="shared" ref="A194:A196" si="5">A193+1</f>
        <v>2</v>
      </c>
      <c r="B194" s="107"/>
      <c r="C194" s="91" t="s">
        <v>262</v>
      </c>
      <c r="D194" s="81">
        <f>(30.77+(2.39))*10.764</f>
        <v>356.93423999999993</v>
      </c>
      <c r="E194" s="81">
        <f>(3.48)*10.764</f>
        <v>37.45872</v>
      </c>
      <c r="F194" s="91">
        <f>D194*(($F$178)+1)+(IF(E194&lt;101,E194,IF(E194&lt;201,E194/2,IF(E194&lt;=301,E194/3,E194/4))))</f>
        <v>555.0133679999999</v>
      </c>
      <c r="G194" s="107"/>
      <c r="H194" s="107"/>
      <c r="I194" s="36"/>
      <c r="N194" s="36"/>
    </row>
    <row r="195" spans="1:14" s="63" customFormat="1" x14ac:dyDescent="0.35">
      <c r="A195" s="107">
        <f t="shared" si="5"/>
        <v>3</v>
      </c>
      <c r="B195" s="107"/>
      <c r="C195" s="91" t="s">
        <v>262</v>
      </c>
      <c r="D195" s="81">
        <f>(30.33+(2.9))*10.764</f>
        <v>357.68771999999996</v>
      </c>
      <c r="E195" s="81">
        <f>(3.48)*10.764</f>
        <v>37.45872</v>
      </c>
      <c r="F195" s="91">
        <f>D195*(($F$178)+1)+(IF(E195&lt;101,E195,IF(E195&lt;201,E195/2,IF(E195&lt;=301,E195/3,E195/4))))</f>
        <v>556.10591399999987</v>
      </c>
      <c r="G195" s="107"/>
      <c r="H195" s="107"/>
      <c r="I195" s="68">
        <f>1.23*2.825</f>
        <v>3.4747500000000002</v>
      </c>
      <c r="N195" s="36"/>
    </row>
    <row r="196" spans="1:14" s="63" customFormat="1" x14ac:dyDescent="0.35">
      <c r="A196" s="107">
        <f t="shared" si="5"/>
        <v>4</v>
      </c>
      <c r="B196" s="107"/>
      <c r="C196" s="91" t="s">
        <v>262</v>
      </c>
      <c r="D196" s="81">
        <f>(28.3+(5.39))*10.764</f>
        <v>362.63915999999995</v>
      </c>
      <c r="E196" s="81">
        <f>(2.99)*10.764</f>
        <v>32.184359999999998</v>
      </c>
      <c r="F196" s="91">
        <f>D196*(($F$178)+1)+(IF(E196&lt;101,E196,IF(E196&lt;201,E196/2,IF(E196&lt;=301,E196/3,E196/4))))</f>
        <v>558.01114199999984</v>
      </c>
      <c r="G196" s="107"/>
      <c r="H196" s="107"/>
      <c r="I196" s="68">
        <f>1.05*2.85</f>
        <v>2.9925000000000002</v>
      </c>
      <c r="N196" s="36"/>
    </row>
    <row r="197" spans="1:14" s="61" customFormat="1" x14ac:dyDescent="0.35">
      <c r="A197" s="119" t="s">
        <v>271</v>
      </c>
      <c r="B197" s="120"/>
      <c r="C197" s="120"/>
      <c r="D197" s="120"/>
      <c r="E197" s="120"/>
      <c r="F197" s="120"/>
      <c r="G197" s="120"/>
      <c r="H197" s="121"/>
      <c r="I197" s="36"/>
      <c r="K197" s="66"/>
    </row>
    <row r="198" spans="1:14" s="61" customFormat="1" x14ac:dyDescent="0.35">
      <c r="A198" s="113" t="s">
        <v>264</v>
      </c>
      <c r="B198" s="114"/>
      <c r="C198" s="114"/>
      <c r="D198" s="114"/>
      <c r="E198" s="114"/>
      <c r="F198" s="114"/>
      <c r="G198" s="114"/>
      <c r="H198" s="115"/>
      <c r="J198" s="36"/>
      <c r="K198" s="66"/>
    </row>
    <row r="199" spans="1:14" s="61" customFormat="1" x14ac:dyDescent="0.35">
      <c r="A199" s="113" t="s">
        <v>260</v>
      </c>
      <c r="B199" s="114"/>
      <c r="C199" s="114"/>
      <c r="D199" s="114"/>
      <c r="E199" s="114"/>
      <c r="F199" s="114"/>
      <c r="G199" s="114"/>
      <c r="H199" s="115"/>
      <c r="I199" s="36"/>
      <c r="J199" s="63"/>
      <c r="K199" s="63"/>
      <c r="L199" s="63"/>
      <c r="M199" s="63"/>
    </row>
    <row r="200" spans="1:14" s="37" customFormat="1" ht="15.75" customHeight="1" x14ac:dyDescent="0.35">
      <c r="A200" s="107">
        <v>1</v>
      </c>
      <c r="B200" s="107"/>
      <c r="C200" s="62" t="s">
        <v>262</v>
      </c>
      <c r="D200" s="81">
        <f>(27.62+(5.02))*10.764</f>
        <v>351.33695999999998</v>
      </c>
      <c r="E200" s="81">
        <v>0</v>
      </c>
      <c r="F200" s="62">
        <f t="shared" ref="F200:F201" si="6">D200*(($F$178)+1)+(IF(E200&lt;101,E200,IF(E200&lt;201,E200/2,IF(E200&lt;=301,E200/3,E200/4))))</f>
        <v>509.43859199999997</v>
      </c>
      <c r="G200" s="101" t="str">
        <f>A199</f>
        <v>1st Floor For Residential</v>
      </c>
      <c r="H200" s="108"/>
      <c r="I200" s="36">
        <f>3.95*2.675+2.245*0.025+2.42*1.925+2.42*2.7+1.605*1+1.239*0.9+1.511*0.85</f>
        <v>25.819325000000003</v>
      </c>
      <c r="J200" s="63">
        <f>2.175+2.85</f>
        <v>5.0250000000000004</v>
      </c>
      <c r="K200" s="63"/>
      <c r="L200" s="63"/>
      <c r="M200" s="69"/>
    </row>
    <row r="201" spans="1:14" s="37" customFormat="1" ht="15.75" customHeight="1" x14ac:dyDescent="0.35">
      <c r="A201" s="107">
        <v>2</v>
      </c>
      <c r="B201" s="107"/>
      <c r="C201" s="62" t="s">
        <v>262</v>
      </c>
      <c r="D201" s="81">
        <f>(27.78+(8.5))*10.764</f>
        <v>390.51792</v>
      </c>
      <c r="E201" s="81">
        <v>0</v>
      </c>
      <c r="F201" s="62">
        <f t="shared" si="6"/>
        <v>566.25098400000002</v>
      </c>
      <c r="G201" s="103"/>
      <c r="H201" s="109"/>
      <c r="I201" s="36"/>
      <c r="J201" s="63">
        <f>3+2.34*1.05+2.9*1.05</f>
        <v>8.5019999999999989</v>
      </c>
      <c r="K201" s="63"/>
      <c r="L201" s="63"/>
      <c r="M201" s="63"/>
    </row>
    <row r="202" spans="1:14" s="37" customFormat="1" ht="15.75" customHeight="1" x14ac:dyDescent="0.35">
      <c r="A202" s="107">
        <f>A201+1</f>
        <v>3</v>
      </c>
      <c r="B202" s="107"/>
      <c r="C202" s="62" t="s">
        <v>262</v>
      </c>
      <c r="D202" s="81">
        <f>(28.45+(5.32))*10.764</f>
        <v>363.50027999999992</v>
      </c>
      <c r="E202" s="81">
        <v>0</v>
      </c>
      <c r="F202" s="62">
        <f>D202*(($F$178)+1)+(IF(E202&lt;101,E202,IF(E202&lt;201,E202/2,IF(E202&lt;=301,E202/3,E202/4))))</f>
        <v>527.07540599999982</v>
      </c>
      <c r="G202" s="103"/>
      <c r="H202" s="109"/>
      <c r="I202" s="36"/>
      <c r="J202" s="77"/>
      <c r="K202" s="77">
        <f>2.775*1.05</f>
        <v>2.9137499999999998</v>
      </c>
    </row>
    <row r="203" spans="1:14" s="37" customFormat="1" ht="15.75" customHeight="1" x14ac:dyDescent="0.35">
      <c r="A203" s="107">
        <f>A202+1</f>
        <v>4</v>
      </c>
      <c r="B203" s="107"/>
      <c r="C203" s="62" t="s">
        <v>262</v>
      </c>
      <c r="D203" s="81">
        <f>(28.5+(5.72))*10.764</f>
        <v>368.34407999999996</v>
      </c>
      <c r="E203" s="81">
        <f>(3.51)*10.764</f>
        <v>37.781639999999996</v>
      </c>
      <c r="F203" s="62">
        <f>D203*(($F$178)+1)+(IF(E203&lt;101,E203,IF(E203&lt;201,E203/2,IF(E203&lt;=301,E203/3,E203/4))))</f>
        <v>571.88055599999996</v>
      </c>
      <c r="G203" s="103"/>
      <c r="H203" s="109"/>
      <c r="J203" s="77"/>
      <c r="K203" s="77">
        <f>2.85*1.23</f>
        <v>3.5055000000000001</v>
      </c>
    </row>
    <row r="204" spans="1:14" s="37" customFormat="1" ht="15.75" customHeight="1" x14ac:dyDescent="0.35">
      <c r="A204" s="107">
        <f>A203+1</f>
        <v>5</v>
      </c>
      <c r="B204" s="107"/>
      <c r="C204" s="62" t="s">
        <v>262</v>
      </c>
      <c r="D204" s="81">
        <f>(32.67)*10.764</f>
        <v>351.65987999999999</v>
      </c>
      <c r="E204" s="81">
        <f>(3.48)*10.764</f>
        <v>37.45872</v>
      </c>
      <c r="F204" s="62">
        <f>D204*(($F$178)+1)+(IF(E204&lt;101,E204,IF(E204&lt;201,E204/2,IF(E204&lt;=301,E204/3,E204/4))))</f>
        <v>547.36554599999999</v>
      </c>
      <c r="G204" s="103"/>
      <c r="H204" s="109"/>
      <c r="I204" s="36"/>
      <c r="J204" s="77"/>
      <c r="K204" s="77">
        <f>2.825*1.23</f>
        <v>3.4747500000000002</v>
      </c>
    </row>
    <row r="205" spans="1:14" s="37" customFormat="1" ht="15.75" customHeight="1" x14ac:dyDescent="0.35">
      <c r="A205" s="107">
        <f>A204+1</f>
        <v>6</v>
      </c>
      <c r="B205" s="107"/>
      <c r="C205" s="62" t="s">
        <v>262</v>
      </c>
      <c r="D205" s="81">
        <f>(28.3+(5.29))*10.764</f>
        <v>361.56276000000003</v>
      </c>
      <c r="E205" s="81">
        <v>0</v>
      </c>
      <c r="F205" s="62">
        <f>D205*(($F$178)+1)+(IF(E205&lt;101,E205,IF(E205&lt;201,E205/2,IF(E205&lt;=301,E205/3,E205/4))))</f>
        <v>524.26600200000007</v>
      </c>
      <c r="G205" s="105"/>
      <c r="H205" s="110"/>
      <c r="I205" s="36"/>
      <c r="J205" s="77"/>
      <c r="K205" s="77">
        <f>1.05*2.75</f>
        <v>2.8875000000000002</v>
      </c>
    </row>
    <row r="206" spans="1:14" s="63" customFormat="1" ht="15.75" customHeight="1" x14ac:dyDescent="0.35">
      <c r="A206" s="118" t="s">
        <v>267</v>
      </c>
      <c r="B206" s="118"/>
      <c r="C206" s="118"/>
      <c r="D206" s="118"/>
      <c r="E206" s="118"/>
      <c r="F206" s="118"/>
      <c r="G206" s="118"/>
      <c r="H206" s="118"/>
      <c r="I206" s="36"/>
      <c r="L206" s="63">
        <v>4000</v>
      </c>
    </row>
    <row r="207" spans="1:14" s="63" customFormat="1" ht="15.75" customHeight="1" x14ac:dyDescent="0.35">
      <c r="A207" s="107">
        <v>1</v>
      </c>
      <c r="B207" s="107"/>
      <c r="C207" s="62" t="s">
        <v>262</v>
      </c>
      <c r="D207" s="81">
        <f>(28.07+(5.02))*10.764</f>
        <v>356.18076000000002</v>
      </c>
      <c r="E207" s="81">
        <f>(2.6)*10.764</f>
        <v>27.9864</v>
      </c>
      <c r="F207" s="62">
        <f t="shared" ref="F207:F208" si="7">D207*(($F$178)+1)+(IF(E207&lt;101,E207,IF(E207&lt;201,E207/2,IF(E207&lt;=301,E207/3,E207/4))))</f>
        <v>544.44850199999996</v>
      </c>
      <c r="G207" s="101" t="str">
        <f>A206</f>
        <v>2nd &amp; 4th Floor</v>
      </c>
      <c r="H207" s="108"/>
      <c r="I207" s="36"/>
      <c r="L207" s="63">
        <f>L$206*F207</f>
        <v>2177794.0079999999</v>
      </c>
      <c r="M207" s="63">
        <f>L207+270000</f>
        <v>2447794.0079999999</v>
      </c>
    </row>
    <row r="208" spans="1:14" s="63" customFormat="1" ht="15.75" customHeight="1" x14ac:dyDescent="0.35">
      <c r="A208" s="107">
        <v>2</v>
      </c>
      <c r="B208" s="107"/>
      <c r="C208" s="62" t="s">
        <v>262</v>
      </c>
      <c r="D208" s="81">
        <f>(27.78+(8.5))*10.764</f>
        <v>390.51792</v>
      </c>
      <c r="E208" s="81">
        <v>0</v>
      </c>
      <c r="F208" s="62">
        <f t="shared" si="7"/>
        <v>566.25098400000002</v>
      </c>
      <c r="G208" s="103"/>
      <c r="H208" s="109"/>
      <c r="I208" s="36"/>
      <c r="L208" s="86">
        <f t="shared" ref="L208:L219" si="8">L$206*F208</f>
        <v>2265003.9360000002</v>
      </c>
      <c r="M208" s="86">
        <f t="shared" ref="M208:M219" si="9">L208+270000</f>
        <v>2535003.9360000002</v>
      </c>
    </row>
    <row r="209" spans="1:13" s="63" customFormat="1" ht="15.75" customHeight="1" x14ac:dyDescent="0.35">
      <c r="A209" s="107">
        <f>A208+1</f>
        <v>3</v>
      </c>
      <c r="B209" s="107"/>
      <c r="C209" s="62" t="s">
        <v>262</v>
      </c>
      <c r="D209" s="81">
        <f>(28.5+(5.32))*10.764</f>
        <v>364.03847999999999</v>
      </c>
      <c r="E209" s="81">
        <f>(3.12)*10.764</f>
        <v>33.583680000000001</v>
      </c>
      <c r="F209" s="62">
        <f>D209*(($F$178)+1)+(IF(E209&lt;101,E209,IF(E209&lt;201,E209/2,IF(E209&lt;=301,E209/3,E209/4))))</f>
        <v>561.4394759999999</v>
      </c>
      <c r="G209" s="103"/>
      <c r="H209" s="109"/>
      <c r="I209" s="36"/>
      <c r="L209" s="86">
        <f t="shared" si="8"/>
        <v>2245757.9039999996</v>
      </c>
      <c r="M209" s="86">
        <f t="shared" si="9"/>
        <v>2515757.9039999996</v>
      </c>
    </row>
    <row r="210" spans="1:13" s="63" customFormat="1" ht="15.75" customHeight="1" x14ac:dyDescent="0.35">
      <c r="A210" s="107">
        <f>A209+1</f>
        <v>4</v>
      </c>
      <c r="B210" s="107"/>
      <c r="C210" s="62" t="s">
        <v>262</v>
      </c>
      <c r="D210" s="81">
        <f>(28.45+(5.72))*10.764</f>
        <v>367.80588</v>
      </c>
      <c r="E210" s="81">
        <v>0</v>
      </c>
      <c r="F210" s="62">
        <f>D210*(($F$178)+1)+(IF(E210&lt;101,E210,IF(E210&lt;201,E210/2,IF(E210&lt;=301,E210/3,E210/4))))</f>
        <v>533.31852600000002</v>
      </c>
      <c r="G210" s="103"/>
      <c r="H210" s="109"/>
      <c r="I210" s="36"/>
      <c r="L210" s="86">
        <f t="shared" si="8"/>
        <v>2133274.1040000003</v>
      </c>
      <c r="M210" s="86">
        <f t="shared" si="9"/>
        <v>2403274.1040000003</v>
      </c>
    </row>
    <row r="211" spans="1:13" s="63" customFormat="1" ht="15.75" customHeight="1" x14ac:dyDescent="0.35">
      <c r="A211" s="107">
        <f>A210+1</f>
        <v>5</v>
      </c>
      <c r="B211" s="107"/>
      <c r="C211" s="62" t="s">
        <v>262</v>
      </c>
      <c r="D211" s="81">
        <f>(32.63)*10.764</f>
        <v>351.22932000000003</v>
      </c>
      <c r="E211" s="81">
        <v>0</v>
      </c>
      <c r="F211" s="62">
        <f>D211*(($F$178)+1)+(IF(E211&lt;101,E211,IF(E211&lt;201,E211/2,IF(E211&lt;=301,E211/3,E211/4))))</f>
        <v>509.28251400000005</v>
      </c>
      <c r="G211" s="103"/>
      <c r="H211" s="109"/>
      <c r="I211" s="36"/>
      <c r="L211" s="86">
        <f t="shared" si="8"/>
        <v>2037130.0560000001</v>
      </c>
      <c r="M211" s="86">
        <f t="shared" si="9"/>
        <v>2307130.0559999999</v>
      </c>
    </row>
    <row r="212" spans="1:13" s="63" customFormat="1" ht="15.75" customHeight="1" x14ac:dyDescent="0.35">
      <c r="A212" s="107">
        <f>A211+1</f>
        <v>6</v>
      </c>
      <c r="B212" s="107"/>
      <c r="C212" s="62" t="s">
        <v>262</v>
      </c>
      <c r="D212" s="81">
        <f>(28.35+(5.29))*10.764</f>
        <v>362.10095999999999</v>
      </c>
      <c r="E212" s="81">
        <f>(3.29)*10.764</f>
        <v>35.413559999999997</v>
      </c>
      <c r="F212" s="62">
        <f>D212*(($F$178)+1)+(IF(E212&lt;101,E212,IF(E212&lt;201,E212/2,IF(E212&lt;=301,E212/3,E212/4))))</f>
        <v>560.45995199999993</v>
      </c>
      <c r="G212" s="105"/>
      <c r="H212" s="110"/>
      <c r="I212" s="36"/>
      <c r="L212" s="86">
        <f t="shared" si="8"/>
        <v>2241839.8079999997</v>
      </c>
      <c r="M212" s="86">
        <f t="shared" si="9"/>
        <v>2511839.8079999997</v>
      </c>
    </row>
    <row r="213" spans="1:13" s="63" customFormat="1" ht="15.75" customHeight="1" x14ac:dyDescent="0.35">
      <c r="A213" s="113" t="s">
        <v>268</v>
      </c>
      <c r="B213" s="114"/>
      <c r="C213" s="114"/>
      <c r="D213" s="114"/>
      <c r="E213" s="114"/>
      <c r="F213" s="114"/>
      <c r="G213" s="114"/>
      <c r="H213" s="114"/>
      <c r="I213" s="36"/>
      <c r="L213" s="86">
        <f t="shared" si="8"/>
        <v>0</v>
      </c>
      <c r="M213" s="86">
        <f t="shared" si="9"/>
        <v>270000</v>
      </c>
    </row>
    <row r="214" spans="1:13" s="63" customFormat="1" ht="15.75" customHeight="1" x14ac:dyDescent="0.35">
      <c r="A214" s="107">
        <v>1</v>
      </c>
      <c r="B214" s="107"/>
      <c r="C214" s="62" t="s">
        <v>262</v>
      </c>
      <c r="D214" s="81">
        <f>(27.62+(5.02))*10.764</f>
        <v>351.33695999999998</v>
      </c>
      <c r="E214" s="81">
        <v>0</v>
      </c>
      <c r="F214" s="62">
        <f t="shared" ref="F214:F215" si="10">D214*(($F$178)+1)+(IF(E214&lt;101,E214,IF(E214&lt;201,E214/2,IF(E214&lt;=301,E214/3,E214/4))))</f>
        <v>509.43859199999997</v>
      </c>
      <c r="G214" s="101" t="str">
        <f>A213</f>
        <v>3rd Floor</v>
      </c>
      <c r="H214" s="108"/>
      <c r="I214" s="36"/>
      <c r="L214" s="86">
        <f t="shared" si="8"/>
        <v>2037754.3679999998</v>
      </c>
      <c r="M214" s="86">
        <f t="shared" si="9"/>
        <v>2307754.3679999998</v>
      </c>
    </row>
    <row r="215" spans="1:13" s="63" customFormat="1" ht="15.75" customHeight="1" x14ac:dyDescent="0.35">
      <c r="A215" s="107">
        <v>2</v>
      </c>
      <c r="B215" s="107"/>
      <c r="C215" s="62" t="s">
        <v>262</v>
      </c>
      <c r="D215" s="81">
        <f>(27.78+(8.5))*10.764</f>
        <v>390.51792</v>
      </c>
      <c r="E215" s="81">
        <v>0</v>
      </c>
      <c r="F215" s="62">
        <f t="shared" si="10"/>
        <v>566.25098400000002</v>
      </c>
      <c r="G215" s="103"/>
      <c r="H215" s="109"/>
      <c r="I215" s="36"/>
      <c r="L215" s="86">
        <f t="shared" si="8"/>
        <v>2265003.9360000002</v>
      </c>
      <c r="M215" s="86">
        <f t="shared" si="9"/>
        <v>2535003.9360000002</v>
      </c>
    </row>
    <row r="216" spans="1:13" s="63" customFormat="1" ht="15.75" customHeight="1" x14ac:dyDescent="0.35">
      <c r="A216" s="107">
        <f>A215+1</f>
        <v>3</v>
      </c>
      <c r="B216" s="107"/>
      <c r="C216" s="62" t="s">
        <v>262</v>
      </c>
      <c r="D216" s="81">
        <f>(28.45+(5.32))*10.764</f>
        <v>363.50027999999992</v>
      </c>
      <c r="E216" s="81">
        <v>0</v>
      </c>
      <c r="F216" s="62">
        <f>D216*(($F$178)+1)+(IF(E216&lt;101,E216,IF(E216&lt;201,E216/2,IF(E216&lt;=301,E216/3,E216/4))))</f>
        <v>527.07540599999982</v>
      </c>
      <c r="G216" s="103"/>
      <c r="H216" s="109"/>
      <c r="I216" s="36"/>
      <c r="L216" s="86">
        <f t="shared" si="8"/>
        <v>2108301.6239999994</v>
      </c>
      <c r="M216" s="86">
        <f t="shared" si="9"/>
        <v>2378301.6239999994</v>
      </c>
    </row>
    <row r="217" spans="1:13" s="63" customFormat="1" ht="15.75" customHeight="1" x14ac:dyDescent="0.35">
      <c r="A217" s="107">
        <f>A216+1</f>
        <v>4</v>
      </c>
      <c r="B217" s="107"/>
      <c r="C217" s="62" t="s">
        <v>262</v>
      </c>
      <c r="D217" s="81">
        <f>(28.5+(5.72))*10.764</f>
        <v>368.34407999999996</v>
      </c>
      <c r="E217" s="81">
        <f>(3.51)*10.764</f>
        <v>37.781639999999996</v>
      </c>
      <c r="F217" s="62">
        <f>D217*(($F$178)+1)+(IF(E217&lt;101,E217,IF(E217&lt;201,E217/2,IF(E217&lt;=301,E217/3,E217/4))))</f>
        <v>571.88055599999996</v>
      </c>
      <c r="G217" s="103"/>
      <c r="H217" s="109"/>
      <c r="I217" s="36"/>
      <c r="L217" s="86">
        <f t="shared" si="8"/>
        <v>2287522.2239999999</v>
      </c>
      <c r="M217" s="86">
        <f t="shared" si="9"/>
        <v>2557522.2239999999</v>
      </c>
    </row>
    <row r="218" spans="1:13" s="63" customFormat="1" ht="15.75" customHeight="1" x14ac:dyDescent="0.35">
      <c r="A218" s="107">
        <f>A217+1</f>
        <v>5</v>
      </c>
      <c r="B218" s="107"/>
      <c r="C218" s="62" t="s">
        <v>262</v>
      </c>
      <c r="D218" s="81">
        <f>(32.67)*10.764</f>
        <v>351.65987999999999</v>
      </c>
      <c r="E218" s="81">
        <f>(3.48)*10.764</f>
        <v>37.45872</v>
      </c>
      <c r="F218" s="62">
        <f>D218*(($F$178)+1)+(IF(E218&lt;101,E218,IF(E218&lt;201,E218/2,IF(E218&lt;=301,E218/3,E218/4))))</f>
        <v>547.36554599999999</v>
      </c>
      <c r="G218" s="103"/>
      <c r="H218" s="109"/>
      <c r="I218" s="36"/>
      <c r="L218" s="86">
        <f t="shared" si="8"/>
        <v>2189462.1839999999</v>
      </c>
      <c r="M218" s="86">
        <f t="shared" si="9"/>
        <v>2459462.1839999999</v>
      </c>
    </row>
    <row r="219" spans="1:13" s="63" customFormat="1" ht="15.75" customHeight="1" x14ac:dyDescent="0.35">
      <c r="A219" s="107">
        <f>A218+1</f>
        <v>6</v>
      </c>
      <c r="B219" s="107"/>
      <c r="C219" s="62" t="s">
        <v>262</v>
      </c>
      <c r="D219" s="81">
        <f>(28.3+(5.29))*10.764</f>
        <v>361.56276000000003</v>
      </c>
      <c r="E219" s="81">
        <v>0</v>
      </c>
      <c r="F219" s="62">
        <f>D219*(($F$178)+1)+(IF(E219&lt;101,E219,IF(E219&lt;201,E219/2,IF(E219&lt;=301,E219/3,E219/4))))</f>
        <v>524.26600200000007</v>
      </c>
      <c r="G219" s="105"/>
      <c r="H219" s="110"/>
      <c r="I219" s="36"/>
      <c r="L219" s="86">
        <f t="shared" si="8"/>
        <v>2097064.0080000004</v>
      </c>
      <c r="M219" s="86">
        <f t="shared" si="9"/>
        <v>2367064.0080000004</v>
      </c>
    </row>
    <row r="220" spans="1:13" s="63" customFormat="1" x14ac:dyDescent="0.35">
      <c r="A220" s="119" t="s">
        <v>272</v>
      </c>
      <c r="B220" s="120"/>
      <c r="C220" s="120"/>
      <c r="D220" s="120"/>
      <c r="E220" s="120"/>
      <c r="F220" s="120"/>
      <c r="G220" s="120"/>
      <c r="H220" s="121"/>
      <c r="I220" s="36"/>
      <c r="K220" s="66"/>
    </row>
    <row r="221" spans="1:13" s="63" customFormat="1" x14ac:dyDescent="0.35">
      <c r="A221" s="113" t="s">
        <v>264</v>
      </c>
      <c r="B221" s="114"/>
      <c r="C221" s="114"/>
      <c r="D221" s="114"/>
      <c r="E221" s="114"/>
      <c r="F221" s="114"/>
      <c r="G221" s="114"/>
      <c r="H221" s="115"/>
      <c r="J221" s="36"/>
      <c r="K221" s="66"/>
    </row>
    <row r="222" spans="1:13" s="63" customFormat="1" x14ac:dyDescent="0.35">
      <c r="A222" s="113" t="s">
        <v>260</v>
      </c>
      <c r="B222" s="114"/>
      <c r="C222" s="114"/>
      <c r="D222" s="114"/>
      <c r="E222" s="114"/>
      <c r="F222" s="114"/>
      <c r="G222" s="114"/>
      <c r="H222" s="115"/>
      <c r="J222" s="36"/>
      <c r="K222" s="66"/>
    </row>
    <row r="223" spans="1:13" s="63" customFormat="1" ht="15.75" customHeight="1" x14ac:dyDescent="0.35">
      <c r="A223" s="107">
        <v>1</v>
      </c>
      <c r="B223" s="107"/>
      <c r="C223" s="62" t="s">
        <v>262</v>
      </c>
      <c r="D223" s="81">
        <f>(28.4+(5.39))*10.764</f>
        <v>363.71555999999998</v>
      </c>
      <c r="E223" s="81">
        <f>(2.99)*10.764</f>
        <v>32.184359999999998</v>
      </c>
      <c r="F223" s="62">
        <f>D223*(($F$178)+1)+(IF(E223&lt;101,E223,IF(E223&lt;201,E223/2,IF(E223&lt;=301,E223/3,E223/4))))</f>
        <v>559.57192199999997</v>
      </c>
      <c r="G223" s="101" t="str">
        <f>A222</f>
        <v>1st Floor For Residential</v>
      </c>
      <c r="H223" s="108"/>
      <c r="I223" s="36">
        <f>10.763+9.35+7.011+1.671+1.122</f>
        <v>29.916999999999998</v>
      </c>
    </row>
    <row r="224" spans="1:13" s="63" customFormat="1" ht="15.75" customHeight="1" x14ac:dyDescent="0.35">
      <c r="A224" s="107">
        <v>2</v>
      </c>
      <c r="B224" s="107"/>
      <c r="C224" s="62" t="s">
        <v>262</v>
      </c>
      <c r="D224" s="81">
        <f>(28.45+(5.8))*10.764</f>
        <v>368.66699999999997</v>
      </c>
      <c r="E224" s="81">
        <f>(3.51)*10.764</f>
        <v>37.781639999999996</v>
      </c>
      <c r="F224" s="62">
        <f t="shared" ref="F224" si="11">D224*(($F$178)+1)+(IF(E224&lt;101,E224,IF(E224&lt;201,E224/2,IF(E224&lt;=301,E224/3,E224/4))))</f>
        <v>572.34879000000001</v>
      </c>
      <c r="G224" s="103"/>
      <c r="H224" s="109"/>
      <c r="I224" s="36"/>
    </row>
    <row r="225" spans="1:9" s="63" customFormat="1" ht="15.75" customHeight="1" x14ac:dyDescent="0.35">
      <c r="A225" s="107">
        <f>A224+1</f>
        <v>3</v>
      </c>
      <c r="B225" s="107"/>
      <c r="C225" s="62" t="s">
        <v>262</v>
      </c>
      <c r="D225" s="81">
        <f>(28.45+(5.72))*10.764</f>
        <v>367.80588</v>
      </c>
      <c r="E225" s="81">
        <f>(3.51)*10.764</f>
        <v>37.781639999999996</v>
      </c>
      <c r="F225" s="62">
        <f>D225*(($F$178)+1)+(IF(E225&lt;101,E225,IF(E225&lt;201,E225/2,IF(E225&lt;=301,E225/3,E225/4))))</f>
        <v>571.10016600000006</v>
      </c>
      <c r="G225" s="103"/>
      <c r="H225" s="109"/>
      <c r="I225" s="36"/>
    </row>
    <row r="226" spans="1:9" s="63" customFormat="1" ht="15.75" customHeight="1" x14ac:dyDescent="0.35">
      <c r="A226" s="107">
        <f>A225+1</f>
        <v>4</v>
      </c>
      <c r="B226" s="107"/>
      <c r="C226" s="62" t="s">
        <v>262</v>
      </c>
      <c r="D226" s="81">
        <f>(28.4+(5.32))*10.764</f>
        <v>362.96207999999996</v>
      </c>
      <c r="E226" s="81">
        <v>0</v>
      </c>
      <c r="F226" s="62">
        <f>D226*(($F$178)+1)+(IF(E226&lt;101,E226,IF(E226&lt;201,E226/2,IF(E226&lt;=301,E226/3,E226/4))))</f>
        <v>526.29501599999992</v>
      </c>
      <c r="G226" s="105"/>
      <c r="H226" s="110"/>
      <c r="I226" s="36"/>
    </row>
    <row r="227" spans="1:9" s="37" customFormat="1" ht="15.75" customHeight="1" x14ac:dyDescent="0.35">
      <c r="A227" s="118" t="s">
        <v>267</v>
      </c>
      <c r="B227" s="118"/>
      <c r="C227" s="118"/>
      <c r="D227" s="118"/>
      <c r="E227" s="118"/>
      <c r="F227" s="118"/>
      <c r="G227" s="118"/>
      <c r="H227" s="118"/>
      <c r="I227" s="36"/>
    </row>
    <row r="228" spans="1:9" s="37" customFormat="1" ht="15.75" customHeight="1" x14ac:dyDescent="0.35">
      <c r="A228" s="107">
        <v>1</v>
      </c>
      <c r="B228" s="107"/>
      <c r="C228" s="62" t="s">
        <v>262</v>
      </c>
      <c r="D228" s="81">
        <f>(28.45+(5.39))*10.764</f>
        <v>364.25375999999994</v>
      </c>
      <c r="E228" s="81">
        <f>(3.26)*10.764</f>
        <v>35.090639999999993</v>
      </c>
      <c r="F228" s="62">
        <f>D228*(($F$178)+1)+(IF(E228&lt;101,E228,IF(E228&lt;201,E228/2,IF(E228&lt;=301,E228/3,E228/4))))</f>
        <v>563.25859199999991</v>
      </c>
      <c r="G228" s="101" t="str">
        <f>A227</f>
        <v>2nd &amp; 4th Floor</v>
      </c>
      <c r="H228" s="108"/>
      <c r="I228" s="36"/>
    </row>
    <row r="229" spans="1:9" s="37" customFormat="1" ht="15.75" customHeight="1" x14ac:dyDescent="0.35">
      <c r="A229" s="107">
        <v>2</v>
      </c>
      <c r="B229" s="107"/>
      <c r="C229" s="62" t="s">
        <v>262</v>
      </c>
      <c r="D229" s="81">
        <f>(28.4+(5.8))*10.764</f>
        <v>368.12879999999996</v>
      </c>
      <c r="E229" s="81">
        <f>(2.99)*10.764</f>
        <v>32.184359999999998</v>
      </c>
      <c r="F229" s="62">
        <f t="shared" ref="F229" si="12">D229*(($F$178)+1)+(IF(E229&lt;101,E229,IF(E229&lt;201,E229/2,IF(E229&lt;=301,E229/3,E229/4))))</f>
        <v>565.97111999999993</v>
      </c>
      <c r="G229" s="103"/>
      <c r="H229" s="109"/>
      <c r="I229" s="36"/>
    </row>
    <row r="230" spans="1:9" s="37" customFormat="1" ht="15.75" customHeight="1" x14ac:dyDescent="0.35">
      <c r="A230" s="107">
        <f>A229+1</f>
        <v>3</v>
      </c>
      <c r="B230" s="107"/>
      <c r="C230" s="62" t="s">
        <v>262</v>
      </c>
      <c r="D230" s="81">
        <f>(28.4+(5.72))*10.764</f>
        <v>367.26767999999993</v>
      </c>
      <c r="E230" s="81">
        <v>0</v>
      </c>
      <c r="F230" s="62">
        <f>D230*(($F$178)+1)+(IF(E230&lt;101,E230,IF(E230&lt;201,E230/2,IF(E230&lt;=301,E230/3,E230/4))))</f>
        <v>532.53813599999989</v>
      </c>
      <c r="G230" s="103"/>
      <c r="H230" s="109"/>
      <c r="I230" s="36"/>
    </row>
    <row r="231" spans="1:9" s="37" customFormat="1" ht="15.75" customHeight="1" x14ac:dyDescent="0.35">
      <c r="A231" s="107">
        <f>A230+1</f>
        <v>4</v>
      </c>
      <c r="B231" s="107"/>
      <c r="C231" s="62" t="s">
        <v>262</v>
      </c>
      <c r="D231" s="81">
        <f>(28.45+(5.32))*10.764</f>
        <v>363.50027999999992</v>
      </c>
      <c r="E231" s="81">
        <f>(3.26)*10.764</f>
        <v>35.090639999999993</v>
      </c>
      <c r="F231" s="62">
        <f>D231*(($F$178)+1)+(IF(E231&lt;101,E231,IF(E231&lt;201,E231/2,IF(E231&lt;=301,E231/3,E231/4))))</f>
        <v>562.16604599999982</v>
      </c>
      <c r="G231" s="105"/>
      <c r="H231" s="110"/>
      <c r="I231" s="36"/>
    </row>
    <row r="232" spans="1:9" s="37" customFormat="1" x14ac:dyDescent="0.35">
      <c r="A232" s="118" t="s">
        <v>268</v>
      </c>
      <c r="B232" s="118"/>
      <c r="C232" s="118"/>
      <c r="D232" s="118"/>
      <c r="E232" s="118"/>
      <c r="F232" s="118"/>
      <c r="G232" s="118"/>
      <c r="H232" s="118"/>
      <c r="I232" s="36"/>
    </row>
    <row r="233" spans="1:9" s="37" customFormat="1" ht="15.75" customHeight="1" x14ac:dyDescent="0.35">
      <c r="A233" s="107">
        <v>1</v>
      </c>
      <c r="B233" s="107"/>
      <c r="C233" s="91" t="s">
        <v>262</v>
      </c>
      <c r="D233" s="81">
        <f>(28.4+(5.39))*10.764</f>
        <v>363.71555999999998</v>
      </c>
      <c r="E233" s="81">
        <f>(2.99)*10.764</f>
        <v>32.184359999999998</v>
      </c>
      <c r="F233" s="91">
        <f>D233*(($F$178)+1)+(IF(E233&lt;101,E233,IF(E233&lt;201,E233/2,IF(E233&lt;=301,E233/3,E233/4))))</f>
        <v>559.57192199999997</v>
      </c>
      <c r="G233" s="107" t="str">
        <f>A232</f>
        <v>3rd Floor</v>
      </c>
      <c r="H233" s="107"/>
      <c r="I233" s="36"/>
    </row>
    <row r="234" spans="1:9" s="37" customFormat="1" x14ac:dyDescent="0.35">
      <c r="A234" s="107">
        <v>2</v>
      </c>
      <c r="B234" s="107"/>
      <c r="C234" s="91" t="s">
        <v>262</v>
      </c>
      <c r="D234" s="81">
        <f>(28.45+(5.8))*10.764</f>
        <v>368.66699999999997</v>
      </c>
      <c r="E234" s="81">
        <f>(3.51)*10.764</f>
        <v>37.781639999999996</v>
      </c>
      <c r="F234" s="91">
        <f t="shared" ref="F234" si="13">D234*(($F$178)+1)+(IF(E234&lt;101,E234,IF(E234&lt;201,E234/2,IF(E234&lt;=301,E234/3,E234/4))))</f>
        <v>572.34879000000001</v>
      </c>
      <c r="G234" s="107"/>
      <c r="H234" s="107"/>
      <c r="I234" s="36"/>
    </row>
    <row r="235" spans="1:9" s="37" customFormat="1" x14ac:dyDescent="0.35">
      <c r="A235" s="107">
        <f>A234+1</f>
        <v>3</v>
      </c>
      <c r="B235" s="107"/>
      <c r="C235" s="91" t="s">
        <v>262</v>
      </c>
      <c r="D235" s="81">
        <f>(28.45+(5.72))*10.764</f>
        <v>367.80588</v>
      </c>
      <c r="E235" s="81">
        <f>(3.51)*10.764</f>
        <v>37.781639999999996</v>
      </c>
      <c r="F235" s="91">
        <f>D235*(($F$178)+1)+(IF(E235&lt;101,E235,IF(E235&lt;201,E235/2,IF(E235&lt;=301,E235/3,E235/4))))</f>
        <v>571.10016600000006</v>
      </c>
      <c r="G235" s="107"/>
      <c r="H235" s="107"/>
      <c r="I235" s="36"/>
    </row>
    <row r="236" spans="1:9" s="37" customFormat="1" x14ac:dyDescent="0.35">
      <c r="A236" s="107">
        <f>A235+1</f>
        <v>4</v>
      </c>
      <c r="B236" s="107"/>
      <c r="C236" s="91" t="s">
        <v>262</v>
      </c>
      <c r="D236" s="81">
        <f>(28.4+(5.32))*10.764</f>
        <v>362.96207999999996</v>
      </c>
      <c r="E236" s="81">
        <v>0</v>
      </c>
      <c r="F236" s="91">
        <f>D236*(($F$178)+1)+(IF(E236&lt;101,E236,IF(E236&lt;201,E236/2,IF(E236&lt;=301,E236/3,E236/4))))</f>
        <v>526.29501599999992</v>
      </c>
      <c r="G236" s="107"/>
      <c r="H236" s="107"/>
      <c r="I236" s="36"/>
    </row>
    <row r="237" spans="1:9" s="63" customFormat="1" x14ac:dyDescent="0.35">
      <c r="A237" s="118" t="s">
        <v>269</v>
      </c>
      <c r="B237" s="118"/>
      <c r="C237" s="118"/>
      <c r="D237" s="118"/>
      <c r="E237" s="118"/>
      <c r="F237" s="118"/>
      <c r="G237" s="118"/>
      <c r="H237" s="118"/>
      <c r="I237" s="36"/>
    </row>
    <row r="238" spans="1:9" s="63" customFormat="1" x14ac:dyDescent="0.35">
      <c r="A238" s="123" t="s">
        <v>270</v>
      </c>
      <c r="B238" s="123"/>
      <c r="C238" s="123"/>
      <c r="D238" s="123"/>
      <c r="E238" s="123"/>
      <c r="F238" s="123"/>
      <c r="G238" s="123"/>
      <c r="H238" s="123"/>
      <c r="I238" s="36"/>
    </row>
    <row r="239" spans="1:9" s="63" customFormat="1" x14ac:dyDescent="0.35">
      <c r="A239" s="113" t="s">
        <v>273</v>
      </c>
      <c r="B239" s="114"/>
      <c r="C239" s="114"/>
      <c r="D239" s="114"/>
      <c r="E239" s="114"/>
      <c r="F239" s="114"/>
      <c r="G239" s="114"/>
      <c r="H239" s="115"/>
      <c r="I239" s="36"/>
    </row>
    <row r="240" spans="1:9" s="63" customFormat="1" x14ac:dyDescent="0.35">
      <c r="A240" s="113" t="s">
        <v>260</v>
      </c>
      <c r="B240" s="114"/>
      <c r="C240" s="114"/>
      <c r="D240" s="114"/>
      <c r="E240" s="114"/>
      <c r="F240" s="114"/>
      <c r="G240" s="114"/>
      <c r="H240" s="115"/>
      <c r="I240" s="36"/>
    </row>
    <row r="241" spans="1:13" s="63" customFormat="1" ht="15.75" customHeight="1" x14ac:dyDescent="0.35">
      <c r="A241" s="107">
        <v>1</v>
      </c>
      <c r="B241" s="107"/>
      <c r="C241" s="62" t="s">
        <v>262</v>
      </c>
      <c r="D241" s="81">
        <f>(31.26+(6.16))*10.764</f>
        <v>402.78888000000001</v>
      </c>
      <c r="E241" s="81">
        <f>(3.6)*10.764</f>
        <v>38.750399999999999</v>
      </c>
      <c r="F241" s="62">
        <f>D241*(($F$178)+1)+(IF(E241&lt;101,E241,IF(E241&lt;201,E241/2,IF(E241&lt;=301,E241/3,E241/4))))</f>
        <v>622.79427599999997</v>
      </c>
      <c r="G241" s="101" t="str">
        <f>A240</f>
        <v>1st Floor For Residential</v>
      </c>
      <c r="H241" s="108"/>
      <c r="I241" s="36">
        <f>4.17*2.9+2.24*2.13+2.4*2.75+1.22*1.4+0.92*1.22+2.34*0.9+0.92*0.18</f>
        <v>28.566199999999998</v>
      </c>
      <c r="J241" s="63">
        <f>1.2*3.05+2.39+0.15*0.73</f>
        <v>6.1594999999999995</v>
      </c>
      <c r="K241" s="63">
        <f>1.23*2.925</f>
        <v>3.5977499999999996</v>
      </c>
      <c r="M241" s="63">
        <f>712/D241</f>
        <v>1.76767541348212</v>
      </c>
    </row>
    <row r="242" spans="1:13" s="63" customFormat="1" ht="15.75" customHeight="1" x14ac:dyDescent="0.35">
      <c r="A242" s="107">
        <v>2</v>
      </c>
      <c r="B242" s="107"/>
      <c r="C242" s="62" t="s">
        <v>262</v>
      </c>
      <c r="D242" s="81">
        <f>(29.1+(5.32))*10.764</f>
        <v>370.49687999999998</v>
      </c>
      <c r="E242" s="81">
        <f>(3.41)*10.764</f>
        <v>36.705239999999996</v>
      </c>
      <c r="F242" s="62">
        <f t="shared" ref="F242" si="14">D242*(($F$178)+1)+(IF(E242&lt;101,E242,IF(E242&lt;201,E242/2,IF(E242&lt;=301,E242/3,E242/4))))</f>
        <v>573.92571599999997</v>
      </c>
      <c r="G242" s="103"/>
      <c r="H242" s="109"/>
      <c r="I242" s="36"/>
      <c r="M242" s="63">
        <f>661/D242</f>
        <v>1.7840905974700787</v>
      </c>
    </row>
    <row r="243" spans="1:13" s="63" customFormat="1" ht="15.75" customHeight="1" x14ac:dyDescent="0.35">
      <c r="A243" s="107">
        <f>A242+1</f>
        <v>3</v>
      </c>
      <c r="B243" s="107"/>
      <c r="C243" s="62" t="s">
        <v>262</v>
      </c>
      <c r="D243" s="81">
        <f>(28.62+(5.32+3.477))*10.764</f>
        <v>402.75658799999997</v>
      </c>
      <c r="E243" s="81">
        <v>0</v>
      </c>
      <c r="F243" s="62">
        <f>D243*(($F$178)+1)+(IF(E243&lt;101,E243,IF(E243&lt;201,E243/2,IF(E243&lt;=301,E243/3,E243/4))))</f>
        <v>583.99705259999996</v>
      </c>
      <c r="G243" s="103"/>
      <c r="H243" s="109"/>
      <c r="I243" s="36"/>
      <c r="M243" s="63">
        <f>652/D243</f>
        <v>1.6188437866098917</v>
      </c>
    </row>
    <row r="244" spans="1:13" s="63" customFormat="1" ht="15.75" customHeight="1" x14ac:dyDescent="0.35">
      <c r="A244" s="107">
        <f>A243+1</f>
        <v>4</v>
      </c>
      <c r="B244" s="107"/>
      <c r="C244" s="62" t="s">
        <v>262</v>
      </c>
      <c r="D244" s="81">
        <f>(28.45+(5.66))*10.764</f>
        <v>367.16003999999998</v>
      </c>
      <c r="E244" s="81">
        <f>(2.99)*10.764</f>
        <v>32.184359999999998</v>
      </c>
      <c r="F244" s="62">
        <f>D244*(($F$178)+1)+(IF(E244&lt;101,E244,IF(E244&lt;201,E244/2,IF(E244&lt;=301,E244/3,E244/4))))</f>
        <v>564.56641799999989</v>
      </c>
      <c r="G244" s="103"/>
      <c r="H244" s="109"/>
      <c r="I244" s="36"/>
      <c r="M244" s="63">
        <f>645/D244</f>
        <v>1.7567271209579345</v>
      </c>
    </row>
    <row r="245" spans="1:13" s="63" customFormat="1" x14ac:dyDescent="0.35">
      <c r="A245" s="107">
        <v>5</v>
      </c>
      <c r="B245" s="107"/>
      <c r="C245" s="62" t="s">
        <v>262</v>
      </c>
      <c r="D245" s="81">
        <f>(30.48+(2.9))*10.764</f>
        <v>359.30232000000001</v>
      </c>
      <c r="E245" s="81">
        <f>(3.48)*10.764</f>
        <v>37.45872</v>
      </c>
      <c r="F245" s="62">
        <f>D245*(($F$178)+1)+(IF(E245&lt;101,E245,IF(E245&lt;201,E245/2,IF(E245&lt;=301,E245/3,E245/4))))</f>
        <v>558.44708400000002</v>
      </c>
      <c r="G245" s="103"/>
      <c r="H245" s="109"/>
      <c r="I245" s="36"/>
      <c r="M245" s="63">
        <f>620/D245</f>
        <v>1.7255663698469856</v>
      </c>
    </row>
    <row r="246" spans="1:13" s="63" customFormat="1" x14ac:dyDescent="0.35">
      <c r="A246" s="107">
        <v>6</v>
      </c>
      <c r="B246" s="107"/>
      <c r="C246" s="62" t="s">
        <v>262</v>
      </c>
      <c r="D246" s="81">
        <f>(29.43)*10.764</f>
        <v>316.78451999999999</v>
      </c>
      <c r="E246" s="81">
        <f>(5.51)*10.764</f>
        <v>59.309639999999995</v>
      </c>
      <c r="F246" s="62">
        <f t="shared" ref="F246" si="15">D246*(($F$178)+1)+(IF(E246&lt;101,E246,IF(E246&lt;201,E246/2,IF(E246&lt;=301,E246/3,E246/4))))</f>
        <v>518.6471939999999</v>
      </c>
      <c r="G246" s="103"/>
      <c r="H246" s="109"/>
      <c r="I246" s="36"/>
      <c r="J246" s="63">
        <f>1.08*3.7+1.32*1.15</f>
        <v>5.5140000000000002</v>
      </c>
    </row>
    <row r="247" spans="1:13" s="63" customFormat="1" x14ac:dyDescent="0.35">
      <c r="A247" s="107">
        <v>7</v>
      </c>
      <c r="B247" s="107"/>
      <c r="C247" s="62" t="s">
        <v>262</v>
      </c>
      <c r="D247" s="81">
        <f>(28.5+(5.32))*10.764</f>
        <v>364.03847999999999</v>
      </c>
      <c r="E247" s="81">
        <f>(3.51)*10.764</f>
        <v>37.781639999999996</v>
      </c>
      <c r="F247" s="62">
        <f>D247*(($F$178)+1)+(IF(E247&lt;101,E247,IF(E247&lt;201,E247/2,IF(E247&lt;=301,E247/3,E247/4))))</f>
        <v>565.63743599999998</v>
      </c>
      <c r="G247" s="103"/>
      <c r="H247" s="109"/>
      <c r="I247" s="36"/>
    </row>
    <row r="248" spans="1:13" s="63" customFormat="1" x14ac:dyDescent="0.35">
      <c r="A248" s="107">
        <f>A247+1</f>
        <v>8</v>
      </c>
      <c r="B248" s="107"/>
      <c r="C248" s="62" t="s">
        <v>262</v>
      </c>
      <c r="D248" s="81">
        <f>(28.45+(5.32))*10.764</f>
        <v>363.50027999999992</v>
      </c>
      <c r="E248" s="81">
        <v>0</v>
      </c>
      <c r="F248" s="62">
        <f>D248*(($F$178)+1)+(IF(E248&lt;101,E248,IF(E248&lt;201,E248/2,IF(E248&lt;=301,E248/3,E248/4))))</f>
        <v>527.07540599999982</v>
      </c>
      <c r="G248" s="103"/>
      <c r="H248" s="109"/>
      <c r="I248" s="36"/>
    </row>
    <row r="249" spans="1:13" s="63" customFormat="1" x14ac:dyDescent="0.35">
      <c r="A249" s="107">
        <f>A248+1</f>
        <v>9</v>
      </c>
      <c r="B249" s="107"/>
      <c r="C249" s="62" t="s">
        <v>262</v>
      </c>
      <c r="D249" s="81">
        <f>(29+(5.39))*10.764</f>
        <v>370.17395999999997</v>
      </c>
      <c r="E249" s="81">
        <f>(2.85)*10.764</f>
        <v>30.677399999999999</v>
      </c>
      <c r="F249" s="62">
        <f>D249*(($F$178)+1)+(IF(E249&lt;101,E249,IF(E249&lt;201,E249/2,IF(E249&lt;=301,E249/3,E249/4))))</f>
        <v>567.42964199999994</v>
      </c>
      <c r="G249" s="105"/>
      <c r="H249" s="110"/>
      <c r="I249" s="36"/>
    </row>
    <row r="250" spans="1:13" s="63" customFormat="1" x14ac:dyDescent="0.35">
      <c r="A250" s="113" t="s">
        <v>267</v>
      </c>
      <c r="B250" s="114"/>
      <c r="C250" s="114"/>
      <c r="D250" s="114"/>
      <c r="E250" s="114"/>
      <c r="F250" s="114"/>
      <c r="G250" s="114"/>
      <c r="H250" s="115"/>
      <c r="I250" s="36"/>
    </row>
    <row r="251" spans="1:13" s="63" customFormat="1" ht="15.75" customHeight="1" x14ac:dyDescent="0.35">
      <c r="A251" s="107">
        <v>1</v>
      </c>
      <c r="B251" s="107"/>
      <c r="C251" s="62" t="s">
        <v>262</v>
      </c>
      <c r="D251" s="81">
        <f>(30.62+(6.16))*10.764</f>
        <v>395.89992000000001</v>
      </c>
      <c r="E251" s="81">
        <v>0</v>
      </c>
      <c r="F251" s="62">
        <f>D251*(($F$178)+1)+(IF(E251&lt;101,E251,IF(E251&lt;201,E251/2,IF(E251&lt;=301,E251/3,E251/4))))</f>
        <v>574.05488400000002</v>
      </c>
      <c r="G251" s="101" t="str">
        <f>A250</f>
        <v>2nd &amp; 4th Floor</v>
      </c>
      <c r="H251" s="108"/>
      <c r="I251" s="36">
        <f>4.17*2.9+2.24*2.13+2.4*2.75+1.22*1.4+0.92*1.22+2.34*0.9+0.92*0.18</f>
        <v>28.566199999999998</v>
      </c>
      <c r="J251" s="63">
        <f>1.2*3.05+2.39+0.15*0.73</f>
        <v>6.1594999999999995</v>
      </c>
      <c r="K251" s="63">
        <f>1.23*2.925</f>
        <v>3.5977499999999996</v>
      </c>
    </row>
    <row r="252" spans="1:13" s="63" customFormat="1" ht="15.75" customHeight="1" x14ac:dyDescent="0.35">
      <c r="A252" s="107">
        <v>2</v>
      </c>
      <c r="B252" s="107"/>
      <c r="C252" s="62" t="s">
        <v>262</v>
      </c>
      <c r="D252" s="81">
        <f>(28.49+(5.32))*10.764</f>
        <v>363.93083999999999</v>
      </c>
      <c r="E252" s="81">
        <v>0</v>
      </c>
      <c r="F252" s="62">
        <f t="shared" ref="F252" si="16">D252*(($F$178)+1)+(IF(E252&lt;101,E252,IF(E252&lt;201,E252/2,IF(E252&lt;=301,E252/3,E252/4))))</f>
        <v>527.69971799999996</v>
      </c>
      <c r="G252" s="103"/>
      <c r="H252" s="109"/>
      <c r="I252" s="36"/>
    </row>
    <row r="253" spans="1:13" s="63" customFormat="1" ht="15.75" customHeight="1" x14ac:dyDescent="0.35">
      <c r="A253" s="107">
        <f>A252+1</f>
        <v>3</v>
      </c>
      <c r="B253" s="107"/>
      <c r="C253" s="62" t="s">
        <v>262</v>
      </c>
      <c r="D253" s="81">
        <f>(28.63+(5.32+3.477))*10.764</f>
        <v>402.86422799999997</v>
      </c>
      <c r="E253" s="81">
        <v>0</v>
      </c>
      <c r="F253" s="62">
        <f>D253*(($F$178)+1)+(IF(E253&lt;101,E253,IF(E253&lt;201,E253/2,IF(E253&lt;=301,E253/3,E253/4))))</f>
        <v>584.15313059999994</v>
      </c>
      <c r="G253" s="103"/>
      <c r="H253" s="109"/>
      <c r="I253" s="36"/>
    </row>
    <row r="254" spans="1:13" s="63" customFormat="1" ht="15.75" customHeight="1" x14ac:dyDescent="0.35">
      <c r="A254" s="107">
        <f>A253+1</f>
        <v>4</v>
      </c>
      <c r="B254" s="107"/>
      <c r="C254" s="62" t="s">
        <v>262</v>
      </c>
      <c r="D254" s="81">
        <f>(28.5+(5.66))*10.764</f>
        <v>367.69823999999994</v>
      </c>
      <c r="E254" s="81">
        <f>(3.32)*10.764</f>
        <v>35.736479999999993</v>
      </c>
      <c r="F254" s="62">
        <f>D254*(($F$178)+1)+(IF(E254&lt;101,E254,IF(E254&lt;201,E254/2,IF(E254&lt;=301,E254/3,E254/4))))</f>
        <v>568.89892799999996</v>
      </c>
      <c r="G254" s="103"/>
      <c r="H254" s="109"/>
      <c r="I254" s="36"/>
    </row>
    <row r="255" spans="1:13" s="63" customFormat="1" x14ac:dyDescent="0.35">
      <c r="A255" s="107">
        <v>5</v>
      </c>
      <c r="B255" s="107"/>
      <c r="C255" s="62" t="s">
        <v>262</v>
      </c>
      <c r="D255" s="81">
        <f>(30.44+(2.9))*10.764</f>
        <v>358.87175999999999</v>
      </c>
      <c r="E255" s="81">
        <f>(2.99)*10.764</f>
        <v>32.184359999999998</v>
      </c>
      <c r="F255" s="62">
        <f>D255*(($F$178)+1)+(IF(E255&lt;101,E255,IF(E255&lt;201,E255/2,IF(E255&lt;=301,E255/3,E255/4))))</f>
        <v>552.54841199999998</v>
      </c>
      <c r="G255" s="103"/>
      <c r="H255" s="109"/>
      <c r="I255" s="36"/>
    </row>
    <row r="256" spans="1:13" s="63" customFormat="1" x14ac:dyDescent="0.35">
      <c r="A256" s="107">
        <v>6</v>
      </c>
      <c r="B256" s="107"/>
      <c r="C256" s="62" t="s">
        <v>262</v>
      </c>
      <c r="D256" s="81">
        <f>(28.53)*10.764</f>
        <v>307.09692000000001</v>
      </c>
      <c r="E256" s="81">
        <v>0</v>
      </c>
      <c r="F256" s="62">
        <f t="shared" ref="F256" si="17">D256*(($F$178)+1)+(IF(E256&lt;101,E256,IF(E256&lt;201,E256/2,IF(E256&lt;=301,E256/3,E256/4))))</f>
        <v>445.29053399999998</v>
      </c>
      <c r="G256" s="103"/>
      <c r="H256" s="109"/>
      <c r="I256" s="36"/>
    </row>
    <row r="257" spans="1:11" s="63" customFormat="1" x14ac:dyDescent="0.35">
      <c r="A257" s="107">
        <v>7</v>
      </c>
      <c r="B257" s="107"/>
      <c r="C257" s="62" t="s">
        <v>262</v>
      </c>
      <c r="D257" s="81">
        <f>(28.45+(5.32))*10.764</f>
        <v>363.50027999999992</v>
      </c>
      <c r="E257" s="81">
        <v>0</v>
      </c>
      <c r="F257" s="62">
        <f>D257*(($F$178)+1)+(IF(E257&lt;101,E257,IF(E257&lt;201,E257/2,IF(E257&lt;=301,E257/3,E257/4))))</f>
        <v>527.07540599999982</v>
      </c>
      <c r="G257" s="103"/>
      <c r="H257" s="109"/>
      <c r="I257" s="36"/>
    </row>
    <row r="258" spans="1:11" s="63" customFormat="1" x14ac:dyDescent="0.35">
      <c r="A258" s="107">
        <f>A257+1</f>
        <v>8</v>
      </c>
      <c r="B258" s="107"/>
      <c r="C258" s="62" t="s">
        <v>262</v>
      </c>
      <c r="D258" s="81">
        <f>(28.5+(5.32))*10.764</f>
        <v>364.03847999999999</v>
      </c>
      <c r="E258" s="81">
        <f>(3.32)*10.764</f>
        <v>35.736479999999993</v>
      </c>
      <c r="F258" s="62">
        <f>D258*(($F$178)+1)+(IF(E258&lt;101,E258,IF(E258&lt;201,E258/2,IF(E258&lt;=301,E258/3,E258/4))))</f>
        <v>563.59227599999997</v>
      </c>
      <c r="G258" s="103"/>
      <c r="H258" s="109"/>
      <c r="I258" s="36"/>
    </row>
    <row r="259" spans="1:11" s="63" customFormat="1" x14ac:dyDescent="0.35">
      <c r="A259" s="107">
        <f>A258+1</f>
        <v>9</v>
      </c>
      <c r="B259" s="107"/>
      <c r="C259" s="62" t="s">
        <v>262</v>
      </c>
      <c r="D259" s="81">
        <f>(28.67+(5.39))*10.764</f>
        <v>366.62184000000002</v>
      </c>
      <c r="E259" s="81">
        <f>(4.16)*10.764</f>
        <v>44.778239999999997</v>
      </c>
      <c r="F259" s="62">
        <f>D259*(($F$178)+1)+(IF(E259&lt;101,E259,IF(E259&lt;201,E259/2,IF(E259&lt;=301,E259/3,E259/4))))</f>
        <v>576.379908</v>
      </c>
      <c r="G259" s="105"/>
      <c r="H259" s="110"/>
      <c r="I259" s="36"/>
    </row>
    <row r="260" spans="1:11" s="63" customFormat="1" x14ac:dyDescent="0.35">
      <c r="A260" s="113" t="s">
        <v>268</v>
      </c>
      <c r="B260" s="114"/>
      <c r="C260" s="114"/>
      <c r="D260" s="114"/>
      <c r="E260" s="114"/>
      <c r="F260" s="114"/>
      <c r="G260" s="114"/>
      <c r="H260" s="115"/>
      <c r="I260" s="36"/>
    </row>
    <row r="261" spans="1:11" s="63" customFormat="1" x14ac:dyDescent="0.35">
      <c r="A261" s="107">
        <v>1</v>
      </c>
      <c r="B261" s="107"/>
      <c r="C261" s="62" t="s">
        <v>262</v>
      </c>
      <c r="D261" s="81">
        <f>(31.26+(6.16))*10.764</f>
        <v>402.78888000000001</v>
      </c>
      <c r="E261" s="81">
        <f>(3.6)*10.764</f>
        <v>38.750399999999999</v>
      </c>
      <c r="F261" s="62">
        <f>D261*(($F$178)+1)+(IF(E261&lt;101,E261,IF(E261&lt;201,E261/2,IF(E261&lt;=301,E261/3,E261/4))))</f>
        <v>622.79427599999997</v>
      </c>
      <c r="G261" s="101" t="str">
        <f>A260</f>
        <v>3rd Floor</v>
      </c>
      <c r="H261" s="108"/>
      <c r="I261" s="36">
        <f>4.17*2.9+2.24*2.13+2.4*2.75+1.22*1.4+0.92*1.22+2.34*0.9+0.92*0.18</f>
        <v>28.566199999999998</v>
      </c>
      <c r="J261" s="63">
        <f>1.2*3.05+2.39+0.15*0.73</f>
        <v>6.1594999999999995</v>
      </c>
      <c r="K261" s="63">
        <f>1.23*2.925</f>
        <v>3.5977499999999996</v>
      </c>
    </row>
    <row r="262" spans="1:11" s="63" customFormat="1" x14ac:dyDescent="0.35">
      <c r="A262" s="107">
        <v>2</v>
      </c>
      <c r="B262" s="107"/>
      <c r="C262" s="62" t="s">
        <v>262</v>
      </c>
      <c r="D262" s="81">
        <f>(29.1+(5.32))*10.764</f>
        <v>370.49687999999998</v>
      </c>
      <c r="E262" s="81">
        <f>(3.41)*10.764</f>
        <v>36.705239999999996</v>
      </c>
      <c r="F262" s="62">
        <f t="shared" ref="F262" si="18">D262*(($F$178)+1)+(IF(E262&lt;101,E262,IF(E262&lt;201,E262/2,IF(E262&lt;=301,E262/3,E262/4))))</f>
        <v>573.92571599999997</v>
      </c>
      <c r="G262" s="103"/>
      <c r="H262" s="109"/>
      <c r="I262" s="36"/>
    </row>
    <row r="263" spans="1:11" s="63" customFormat="1" x14ac:dyDescent="0.35">
      <c r="A263" s="107">
        <f>A262+1</f>
        <v>3</v>
      </c>
      <c r="B263" s="107"/>
      <c r="C263" s="62" t="s">
        <v>262</v>
      </c>
      <c r="D263" s="81">
        <f>(28.62+(5.32+3.477))*10.764</f>
        <v>402.75658799999997</v>
      </c>
      <c r="E263" s="81">
        <v>0</v>
      </c>
      <c r="F263" s="62">
        <f>D263*(($F$178)+1)+(IF(E263&lt;101,E263,IF(E263&lt;201,E263/2,IF(E263&lt;=301,E263/3,E263/4))))</f>
        <v>583.99705259999996</v>
      </c>
      <c r="G263" s="103"/>
      <c r="H263" s="109"/>
      <c r="I263" s="36"/>
    </row>
    <row r="264" spans="1:11" s="63" customFormat="1" x14ac:dyDescent="0.35">
      <c r="A264" s="107">
        <f>A263+1</f>
        <v>4</v>
      </c>
      <c r="B264" s="107"/>
      <c r="C264" s="62" t="s">
        <v>262</v>
      </c>
      <c r="D264" s="81">
        <f>(28.45+(5.66))*10.764</f>
        <v>367.16003999999998</v>
      </c>
      <c r="E264" s="81">
        <f>(2.99)*10.764</f>
        <v>32.184359999999998</v>
      </c>
      <c r="F264" s="62">
        <f>D264*(($F$178)+1)+(IF(E264&lt;101,E264,IF(E264&lt;201,E264/2,IF(E264&lt;=301,E264/3,E264/4))))</f>
        <v>564.56641799999989</v>
      </c>
      <c r="G264" s="103"/>
      <c r="H264" s="109"/>
      <c r="I264" s="36"/>
    </row>
    <row r="265" spans="1:11" s="63" customFormat="1" x14ac:dyDescent="0.35">
      <c r="A265" s="107">
        <v>5</v>
      </c>
      <c r="B265" s="107"/>
      <c r="C265" s="62" t="s">
        <v>262</v>
      </c>
      <c r="D265" s="81">
        <f>(30.48+(2.9))*10.764</f>
        <v>359.30232000000001</v>
      </c>
      <c r="E265" s="81">
        <f>(3.48)*10.764</f>
        <v>37.45872</v>
      </c>
      <c r="F265" s="62">
        <f>D265*(($F$178)+1)+(IF(E265&lt;101,E265,IF(E265&lt;201,E265/2,IF(E265&lt;=301,E265/3,E265/4))))</f>
        <v>558.44708400000002</v>
      </c>
      <c r="G265" s="103"/>
      <c r="H265" s="109"/>
      <c r="I265" s="36"/>
    </row>
    <row r="266" spans="1:11" s="63" customFormat="1" x14ac:dyDescent="0.35">
      <c r="A266" s="107">
        <v>6</v>
      </c>
      <c r="B266" s="107"/>
      <c r="C266" s="62" t="s">
        <v>262</v>
      </c>
      <c r="D266" s="81">
        <f>(29.43)*10.764</f>
        <v>316.78451999999999</v>
      </c>
      <c r="E266" s="81">
        <f>(5.51)*10.764</f>
        <v>59.309639999999995</v>
      </c>
      <c r="F266" s="62">
        <f t="shared" ref="F266" si="19">D266*(($F$178)+1)+(IF(E266&lt;101,E266,IF(E266&lt;201,E266/2,IF(E266&lt;=301,E266/3,E266/4))))</f>
        <v>518.6471939999999</v>
      </c>
      <c r="G266" s="103"/>
      <c r="H266" s="109"/>
      <c r="I266" s="36"/>
    </row>
    <row r="267" spans="1:11" s="63" customFormat="1" x14ac:dyDescent="0.35">
      <c r="A267" s="107">
        <v>7</v>
      </c>
      <c r="B267" s="107"/>
      <c r="C267" s="62" t="s">
        <v>262</v>
      </c>
      <c r="D267" s="81">
        <f>(28.5+(5.32))*10.764</f>
        <v>364.03847999999999</v>
      </c>
      <c r="E267" s="81">
        <f>(3.51)*10.764</f>
        <v>37.781639999999996</v>
      </c>
      <c r="F267" s="62">
        <f>D267*(($F$178)+1)+(IF(E267&lt;101,E267,IF(E267&lt;201,E267/2,IF(E267&lt;=301,E267/3,E267/4))))</f>
        <v>565.63743599999998</v>
      </c>
      <c r="G267" s="103"/>
      <c r="H267" s="109"/>
      <c r="I267" s="36"/>
    </row>
    <row r="268" spans="1:11" s="63" customFormat="1" x14ac:dyDescent="0.35">
      <c r="A268" s="107">
        <f>A267+1</f>
        <v>8</v>
      </c>
      <c r="B268" s="107"/>
      <c r="C268" s="62" t="s">
        <v>262</v>
      </c>
      <c r="D268" s="81">
        <f>(28.45+(5.32))*10.764</f>
        <v>363.50027999999992</v>
      </c>
      <c r="E268" s="81">
        <v>0</v>
      </c>
      <c r="F268" s="62">
        <f>D268*(($F$178)+1)+(IF(E268&lt;101,E268,IF(E268&lt;201,E268/2,IF(E268&lt;=301,E268/3,E268/4))))</f>
        <v>527.07540599999982</v>
      </c>
      <c r="G268" s="103"/>
      <c r="H268" s="109"/>
      <c r="I268" s="36"/>
    </row>
    <row r="269" spans="1:11" s="63" customFormat="1" x14ac:dyDescent="0.35">
      <c r="A269" s="107">
        <f>A268+1</f>
        <v>9</v>
      </c>
      <c r="B269" s="107"/>
      <c r="C269" s="62" t="s">
        <v>262</v>
      </c>
      <c r="D269" s="81">
        <f>(29+(5.39))*10.764</f>
        <v>370.17395999999997</v>
      </c>
      <c r="E269" s="81">
        <f>(2.85)*10.764</f>
        <v>30.677399999999999</v>
      </c>
      <c r="F269" s="62">
        <f>D269*(($F$178)+1)+(IF(E269&lt;101,E269,IF(E269&lt;201,E269/2,IF(E269&lt;=301,E269/3,E269/4))))</f>
        <v>567.42964199999994</v>
      </c>
      <c r="G269" s="105"/>
      <c r="H269" s="110"/>
      <c r="I269" s="36"/>
    </row>
    <row r="270" spans="1:11" s="63" customFormat="1" x14ac:dyDescent="0.35">
      <c r="A270" s="119" t="s">
        <v>271</v>
      </c>
      <c r="B270" s="120"/>
      <c r="C270" s="120"/>
      <c r="D270" s="120"/>
      <c r="E270" s="120"/>
      <c r="F270" s="120"/>
      <c r="G270" s="120"/>
      <c r="H270" s="121"/>
      <c r="I270" s="36"/>
    </row>
    <row r="271" spans="1:11" s="63" customFormat="1" x14ac:dyDescent="0.35">
      <c r="A271" s="113" t="s">
        <v>264</v>
      </c>
      <c r="B271" s="114"/>
      <c r="C271" s="114"/>
      <c r="D271" s="114"/>
      <c r="E271" s="114"/>
      <c r="F271" s="114"/>
      <c r="G271" s="114"/>
      <c r="H271" s="115"/>
      <c r="I271" s="36"/>
    </row>
    <row r="272" spans="1:11" s="63" customFormat="1" x14ac:dyDescent="0.35">
      <c r="A272" s="118" t="s">
        <v>260</v>
      </c>
      <c r="B272" s="118"/>
      <c r="C272" s="118"/>
      <c r="D272" s="118"/>
      <c r="E272" s="118"/>
      <c r="F272" s="118"/>
      <c r="G272" s="118"/>
      <c r="H272" s="118"/>
      <c r="I272" s="36"/>
    </row>
    <row r="273" spans="1:11" s="63" customFormat="1" ht="15.75" customHeight="1" x14ac:dyDescent="0.35">
      <c r="A273" s="107">
        <v>1</v>
      </c>
      <c r="B273" s="107"/>
      <c r="C273" s="91" t="s">
        <v>262</v>
      </c>
      <c r="D273" s="81">
        <f>(28.4+(5.32))*10.764</f>
        <v>362.96207999999996</v>
      </c>
      <c r="E273" s="81">
        <v>0</v>
      </c>
      <c r="F273" s="91">
        <f>D273*(($F$178)+1)+(IF(E273&lt;101,E273,IF(E273&lt;201,E273/2,IF(E273&lt;=301,E273/3,E273/4))))</f>
        <v>526.29501599999992</v>
      </c>
      <c r="G273" s="107" t="str">
        <f>A271</f>
        <v>Ground Floor For Entrance Lobby &amp; Parking</v>
      </c>
      <c r="H273" s="107"/>
      <c r="I273" s="36">
        <f>4.17*2.9+2.24*2.13+2.4*2.75+1.22*1.4+0.92*1.22+2.34*0.9+0.92*0.18</f>
        <v>28.566199999999998</v>
      </c>
      <c r="J273" s="63">
        <f>1.2*3.05+2.39+0.15*0.73</f>
        <v>6.1594999999999995</v>
      </c>
      <c r="K273" s="63">
        <f>1.23*2.925</f>
        <v>3.5977499999999996</v>
      </c>
    </row>
    <row r="274" spans="1:11" s="63" customFormat="1" ht="15.75" customHeight="1" x14ac:dyDescent="0.35">
      <c r="A274" s="107">
        <v>2</v>
      </c>
      <c r="B274" s="107"/>
      <c r="C274" s="91" t="s">
        <v>262</v>
      </c>
      <c r="D274" s="81">
        <f>(28.45+(5.32))*10.764</f>
        <v>363.50027999999992</v>
      </c>
      <c r="E274" s="81">
        <f>(3.51)*10.764</f>
        <v>37.781639999999996</v>
      </c>
      <c r="F274" s="91">
        <f t="shared" ref="F274" si="20">D274*(($F$178)+1)+(IF(E274&lt;101,E274,IF(E274&lt;201,E274/2,IF(E274&lt;=301,E274/3,E274/4))))</f>
        <v>564.85704599999985</v>
      </c>
      <c r="G274" s="107"/>
      <c r="H274" s="107"/>
      <c r="I274" s="36"/>
    </row>
    <row r="275" spans="1:11" s="63" customFormat="1" ht="15.75" customHeight="1" x14ac:dyDescent="0.35">
      <c r="A275" s="107">
        <f>A274+1</f>
        <v>3</v>
      </c>
      <c r="B275" s="107"/>
      <c r="C275" s="91" t="s">
        <v>262</v>
      </c>
      <c r="D275" s="81">
        <f>(28.45+(5.39))*10.764</f>
        <v>364.25375999999994</v>
      </c>
      <c r="E275" s="81">
        <f>(3.51)*10.764</f>
        <v>37.781639999999996</v>
      </c>
      <c r="F275" s="91">
        <f>D275*(($F$178)+1)+(IF(E275&lt;101,E275,IF(E275&lt;201,E275/2,IF(E275&lt;=301,E275/3,E275/4))))</f>
        <v>565.94959199999994</v>
      </c>
      <c r="G275" s="107"/>
      <c r="H275" s="107"/>
      <c r="I275" s="36"/>
    </row>
    <row r="276" spans="1:11" s="63" customFormat="1" ht="15.75" customHeight="1" x14ac:dyDescent="0.35">
      <c r="A276" s="107">
        <f>A275+1</f>
        <v>4</v>
      </c>
      <c r="B276" s="107"/>
      <c r="C276" s="91" t="s">
        <v>262</v>
      </c>
      <c r="D276" s="81">
        <f>(28.4+(5.39))*10.764</f>
        <v>363.71555999999998</v>
      </c>
      <c r="E276" s="81">
        <f>(2.99)*10.764</f>
        <v>32.184359999999998</v>
      </c>
      <c r="F276" s="91">
        <f>D276*(($F$178)+1)+(IF(E276&lt;101,E276,IF(E276&lt;201,E276/2,IF(E276&lt;=301,E276/3,E276/4))))</f>
        <v>559.57192199999997</v>
      </c>
      <c r="G276" s="107"/>
      <c r="H276" s="107"/>
      <c r="I276" s="36"/>
    </row>
    <row r="277" spans="1:11" s="63" customFormat="1" x14ac:dyDescent="0.35">
      <c r="A277" s="118" t="s">
        <v>267</v>
      </c>
      <c r="B277" s="118"/>
      <c r="C277" s="118"/>
      <c r="D277" s="118"/>
      <c r="E277" s="118"/>
      <c r="F277" s="118"/>
      <c r="G277" s="118"/>
      <c r="H277" s="118"/>
      <c r="I277" s="36"/>
    </row>
    <row r="278" spans="1:11" s="63" customFormat="1" ht="15.75" customHeight="1" x14ac:dyDescent="0.35">
      <c r="A278" s="107">
        <v>1</v>
      </c>
      <c r="B278" s="107"/>
      <c r="C278" s="91" t="s">
        <v>262</v>
      </c>
      <c r="D278" s="81">
        <f>(28.45+(5.32))*10.764</f>
        <v>363.50027999999992</v>
      </c>
      <c r="E278" s="81">
        <f>(3.26)*10.764</f>
        <v>35.090639999999993</v>
      </c>
      <c r="F278" s="91">
        <f>D278*(($F$178)+1)+(IF(E278&lt;101,E278,IF(E278&lt;201,E278/2,IF(E278&lt;=301,E278/3,E278/4))))</f>
        <v>562.16604599999982</v>
      </c>
      <c r="G278" s="107" t="str">
        <f>A277</f>
        <v>2nd &amp; 4th Floor</v>
      </c>
      <c r="H278" s="107"/>
      <c r="I278" s="36"/>
    </row>
    <row r="279" spans="1:11" s="63" customFormat="1" ht="15.75" customHeight="1" x14ac:dyDescent="0.35">
      <c r="A279" s="107">
        <v>2</v>
      </c>
      <c r="B279" s="107"/>
      <c r="C279" s="91" t="s">
        <v>262</v>
      </c>
      <c r="D279" s="81">
        <f>(28.4+(5.32))*10.764</f>
        <v>362.96207999999996</v>
      </c>
      <c r="E279" s="81">
        <v>0</v>
      </c>
      <c r="F279" s="91">
        <f t="shared" ref="F279" si="21">D279*(($F$178)+1)+(IF(E279&lt;101,E279,IF(E279&lt;201,E279/2,IF(E279&lt;=301,E279/3,E279/4))))</f>
        <v>526.29501599999992</v>
      </c>
      <c r="G279" s="107"/>
      <c r="H279" s="107"/>
      <c r="I279" s="36"/>
    </row>
    <row r="280" spans="1:11" s="63" customFormat="1" ht="15.75" customHeight="1" x14ac:dyDescent="0.35">
      <c r="A280" s="107">
        <f>A279+1</f>
        <v>3</v>
      </c>
      <c r="B280" s="107"/>
      <c r="C280" s="91" t="s">
        <v>262</v>
      </c>
      <c r="D280" s="81">
        <f>(28.4+(5.39))*10.764</f>
        <v>363.71555999999998</v>
      </c>
      <c r="E280" s="81">
        <f>(2.99)*10.764</f>
        <v>32.184359999999998</v>
      </c>
      <c r="F280" s="91">
        <f>D280*(($F$178)+1)+(IF(E280&lt;101,E280,IF(E280&lt;201,E280/2,IF(E280&lt;=301,E280/3,E280/4))))</f>
        <v>559.57192199999997</v>
      </c>
      <c r="G280" s="107"/>
      <c r="H280" s="107"/>
      <c r="I280" s="36"/>
    </row>
    <row r="281" spans="1:11" s="63" customFormat="1" ht="15.75" customHeight="1" x14ac:dyDescent="0.35">
      <c r="A281" s="107">
        <f>A280+1</f>
        <v>4</v>
      </c>
      <c r="B281" s="107"/>
      <c r="C281" s="91" t="s">
        <v>262</v>
      </c>
      <c r="D281" s="81">
        <f>(28.45+(5.39))*10.764</f>
        <v>364.25375999999994</v>
      </c>
      <c r="E281" s="81">
        <f>(3.26)*10.764</f>
        <v>35.090639999999993</v>
      </c>
      <c r="F281" s="91">
        <f>D281*(($F$178)+1)+(IF(E281&lt;101,E281,IF(E281&lt;201,E281/2,IF(E281&lt;=301,E281/3,E281/4))))</f>
        <v>563.25859199999991</v>
      </c>
      <c r="G281" s="107"/>
      <c r="H281" s="107"/>
      <c r="I281" s="36"/>
    </row>
    <row r="282" spans="1:11" s="63" customFormat="1" x14ac:dyDescent="0.35">
      <c r="A282" s="113" t="s">
        <v>268</v>
      </c>
      <c r="B282" s="114"/>
      <c r="C282" s="114"/>
      <c r="D282" s="114"/>
      <c r="E282" s="114"/>
      <c r="F282" s="114"/>
      <c r="G282" s="114"/>
      <c r="H282" s="115"/>
      <c r="I282" s="36"/>
    </row>
    <row r="283" spans="1:11" s="63" customFormat="1" x14ac:dyDescent="0.35">
      <c r="A283" s="107">
        <v>1</v>
      </c>
      <c r="B283" s="107"/>
      <c r="C283" s="62" t="s">
        <v>262</v>
      </c>
      <c r="D283" s="81">
        <f>(28.4+(5.32))*10.764</f>
        <v>362.96207999999996</v>
      </c>
      <c r="E283" s="81">
        <v>0</v>
      </c>
      <c r="F283" s="62">
        <f>D283*(($F$178)+1)+(IF(E283&lt;101,E283,IF(E283&lt;201,E283/2,IF(E283&lt;=301,E283/3,E283/4))))</f>
        <v>526.29501599999992</v>
      </c>
      <c r="G283" s="101" t="str">
        <f>A282</f>
        <v>3rd Floor</v>
      </c>
      <c r="H283" s="108"/>
      <c r="I283" s="36"/>
    </row>
    <row r="284" spans="1:11" s="63" customFormat="1" x14ac:dyDescent="0.35">
      <c r="A284" s="107">
        <v>2</v>
      </c>
      <c r="B284" s="107"/>
      <c r="C284" s="62" t="s">
        <v>262</v>
      </c>
      <c r="D284" s="81">
        <f>(28.45+(5.32))*10.764</f>
        <v>363.50027999999992</v>
      </c>
      <c r="E284" s="81">
        <f>(3.51)*10.764</f>
        <v>37.781639999999996</v>
      </c>
      <c r="F284" s="62">
        <f t="shared" ref="F284" si="22">D284*(($F$178)+1)+(IF(E284&lt;101,E284,IF(E284&lt;201,E284/2,IF(E284&lt;=301,E284/3,E284/4))))</f>
        <v>564.85704599999985</v>
      </c>
      <c r="G284" s="103"/>
      <c r="H284" s="109"/>
      <c r="I284" s="36"/>
    </row>
    <row r="285" spans="1:11" s="63" customFormat="1" x14ac:dyDescent="0.35">
      <c r="A285" s="107">
        <f>A284+1</f>
        <v>3</v>
      </c>
      <c r="B285" s="107"/>
      <c r="C285" s="62" t="s">
        <v>262</v>
      </c>
      <c r="D285" s="81">
        <f>(28.45+(5.39))*10.764</f>
        <v>364.25375999999994</v>
      </c>
      <c r="E285" s="81">
        <f>(3.51)*10.764</f>
        <v>37.781639999999996</v>
      </c>
      <c r="F285" s="62">
        <f>D285*(($F$178)+1)+(IF(E285&lt;101,E285,IF(E285&lt;201,E285/2,IF(E285&lt;=301,E285/3,E285/4))))</f>
        <v>565.94959199999994</v>
      </c>
      <c r="G285" s="103"/>
      <c r="H285" s="109"/>
      <c r="I285" s="36"/>
    </row>
    <row r="286" spans="1:11" s="63" customFormat="1" x14ac:dyDescent="0.35">
      <c r="A286" s="107">
        <f>A285+1</f>
        <v>4</v>
      </c>
      <c r="B286" s="107"/>
      <c r="C286" s="62" t="s">
        <v>262</v>
      </c>
      <c r="D286" s="81">
        <f>(28.4+(5.39))*10.764</f>
        <v>363.71555999999998</v>
      </c>
      <c r="E286" s="81">
        <f>(2.99)*10.764</f>
        <v>32.184359999999998</v>
      </c>
      <c r="F286" s="62">
        <f>D286*(($F$178)+1)+(IF(E286&lt;101,E286,IF(E286&lt;201,E286/2,IF(E286&lt;=301,E286/3,E286/4))))</f>
        <v>559.57192199999997</v>
      </c>
      <c r="G286" s="105"/>
      <c r="H286" s="110"/>
      <c r="I286" s="36"/>
    </row>
    <row r="287" spans="1:11" s="63" customFormat="1" x14ac:dyDescent="0.35">
      <c r="A287" s="113" t="s">
        <v>274</v>
      </c>
      <c r="B287" s="114"/>
      <c r="C287" s="114"/>
      <c r="D287" s="114"/>
      <c r="E287" s="114"/>
      <c r="F287" s="114"/>
      <c r="G287" s="114"/>
      <c r="H287" s="115"/>
      <c r="I287" s="36"/>
    </row>
    <row r="288" spans="1:11" s="63" customFormat="1" x14ac:dyDescent="0.35">
      <c r="A288" s="119" t="s">
        <v>270</v>
      </c>
      <c r="B288" s="120"/>
      <c r="C288" s="120"/>
      <c r="D288" s="120"/>
      <c r="E288" s="120"/>
      <c r="F288" s="120"/>
      <c r="G288" s="120"/>
      <c r="H288" s="121"/>
      <c r="I288" s="36"/>
    </row>
    <row r="289" spans="1:9" s="63" customFormat="1" x14ac:dyDescent="0.35">
      <c r="A289" s="113" t="s">
        <v>275</v>
      </c>
      <c r="B289" s="114"/>
      <c r="C289" s="114"/>
      <c r="D289" s="114"/>
      <c r="E289" s="114"/>
      <c r="F289" s="114"/>
      <c r="G289" s="114"/>
      <c r="H289" s="115"/>
      <c r="I289" s="36"/>
    </row>
    <row r="290" spans="1:9" s="63" customFormat="1" ht="45" customHeight="1" x14ac:dyDescent="0.35">
      <c r="A290" s="107">
        <v>1</v>
      </c>
      <c r="B290" s="107"/>
      <c r="C290" s="62" t="s">
        <v>262</v>
      </c>
      <c r="D290" s="81">
        <f>(27.89+(5.32))*10.764</f>
        <v>357.47244000000001</v>
      </c>
      <c r="E290" s="81">
        <f>(0)*10.764</f>
        <v>0</v>
      </c>
      <c r="F290" s="62">
        <f>D290*(($F$178)+1)+(IF(E290&lt;101,E290,IF(E290&lt;201,E290/2,IF(E290&lt;=301,E290/3,E290/4))))</f>
        <v>518.33503799999994</v>
      </c>
      <c r="G290" s="116" t="str">
        <f>A289</f>
        <v>Ground Floor For Residential, Entrance Lobby, Meter Room &amp; Parking</v>
      </c>
      <c r="H290" s="117"/>
      <c r="I290" s="36">
        <f>3.95*2.75+2.13*2.24+2.4*2.75+1.22*0.92+1.37*1.22+0.85*1.22</f>
        <v>26.064499999999995</v>
      </c>
    </row>
    <row r="291" spans="1:9" s="63" customFormat="1" x14ac:dyDescent="0.35">
      <c r="A291" s="113" t="s">
        <v>260</v>
      </c>
      <c r="B291" s="114"/>
      <c r="C291" s="114"/>
      <c r="D291" s="114"/>
      <c r="E291" s="114"/>
      <c r="F291" s="114"/>
      <c r="G291" s="114"/>
      <c r="H291" s="115"/>
      <c r="I291" s="36"/>
    </row>
    <row r="292" spans="1:9" s="63" customFormat="1" ht="15.75" customHeight="1" x14ac:dyDescent="0.35">
      <c r="A292" s="107">
        <v>1</v>
      </c>
      <c r="B292" s="107"/>
      <c r="C292" s="62" t="s">
        <v>262</v>
      </c>
      <c r="D292" s="81">
        <f>(28.45+(5.32))*10.764</f>
        <v>363.50027999999992</v>
      </c>
      <c r="E292" s="81">
        <v>0</v>
      </c>
      <c r="F292" s="62">
        <f>D292*(($F$178)+1)+(IF(E292&lt;101,E292,IF(E292&lt;201,E292/2,IF(E292&lt;=301,E292/3,E292/4))))</f>
        <v>527.07540599999982</v>
      </c>
      <c r="G292" s="101" t="str">
        <f>A291</f>
        <v>1st Floor For Residential</v>
      </c>
      <c r="H292" s="108"/>
      <c r="I292" s="36"/>
    </row>
    <row r="293" spans="1:9" s="63" customFormat="1" x14ac:dyDescent="0.35">
      <c r="A293" s="107">
        <v>2</v>
      </c>
      <c r="B293" s="107"/>
      <c r="C293" s="62" t="s">
        <v>262</v>
      </c>
      <c r="D293" s="81">
        <f>(30.49+(2.82))*10.764</f>
        <v>358.54883999999993</v>
      </c>
      <c r="E293" s="81">
        <f>(3.51)*10.764</f>
        <v>37.781639999999996</v>
      </c>
      <c r="F293" s="62">
        <f t="shared" ref="F293" si="23">D293*(($F$178)+1)+(IF(E293&lt;101,E293,IF(E293&lt;201,E293/2,IF(E293&lt;=301,E293/3,E293/4))))</f>
        <v>557.67745799999989</v>
      </c>
      <c r="G293" s="103"/>
      <c r="H293" s="109"/>
      <c r="I293" s="36"/>
    </row>
    <row r="294" spans="1:9" s="63" customFormat="1" x14ac:dyDescent="0.35">
      <c r="A294" s="107">
        <f>A293+1</f>
        <v>3</v>
      </c>
      <c r="B294" s="107"/>
      <c r="C294" s="62" t="s">
        <v>262</v>
      </c>
      <c r="D294" s="81">
        <f>(30.49+(2.9))*10.764</f>
        <v>359.40996000000001</v>
      </c>
      <c r="E294" s="81">
        <f>(3.51)*10.764</f>
        <v>37.781639999999996</v>
      </c>
      <c r="F294" s="62">
        <f>D294*(($F$178)+1)+(IF(E294&lt;101,E294,IF(E294&lt;201,E294/2,IF(E294&lt;=301,E294/3,E294/4))))</f>
        <v>558.92608200000006</v>
      </c>
      <c r="G294" s="103"/>
      <c r="H294" s="109"/>
      <c r="I294" s="36"/>
    </row>
    <row r="295" spans="1:9" s="63" customFormat="1" x14ac:dyDescent="0.35">
      <c r="A295" s="107">
        <f>A294+1</f>
        <v>4</v>
      </c>
      <c r="B295" s="107"/>
      <c r="C295" s="62" t="s">
        <v>262</v>
      </c>
      <c r="D295" s="81">
        <f>(28.45+(5.39))*10.764</f>
        <v>364.25375999999994</v>
      </c>
      <c r="E295" s="81">
        <f>(2.99)*10.764</f>
        <v>32.184359999999998</v>
      </c>
      <c r="F295" s="62">
        <f>D295*(($F$178)+1)+(IF(E295&lt;101,E295,IF(E295&lt;201,E295/2,IF(E295&lt;=301,E295/3,E295/4))))</f>
        <v>560.35231199999987</v>
      </c>
      <c r="G295" s="105"/>
      <c r="H295" s="110"/>
      <c r="I295" s="36"/>
    </row>
    <row r="296" spans="1:9" s="63" customFormat="1" x14ac:dyDescent="0.35">
      <c r="A296" s="113" t="s">
        <v>267</v>
      </c>
      <c r="B296" s="114"/>
      <c r="C296" s="114"/>
      <c r="D296" s="114"/>
      <c r="E296" s="114"/>
      <c r="F296" s="114"/>
      <c r="G296" s="114"/>
      <c r="H296" s="115"/>
      <c r="I296" s="36"/>
    </row>
    <row r="297" spans="1:9" s="63" customFormat="1" ht="15" customHeight="1" x14ac:dyDescent="0.35">
      <c r="A297" s="107">
        <v>1</v>
      </c>
      <c r="B297" s="107"/>
      <c r="C297" s="62" t="s">
        <v>262</v>
      </c>
      <c r="D297" s="81">
        <f>(28.5+(5.32))*10.764</f>
        <v>364.03847999999999</v>
      </c>
      <c r="E297" s="81">
        <f>(3.32)*10.764</f>
        <v>35.736479999999993</v>
      </c>
      <c r="F297" s="62">
        <f>D297*(($F$178)+1)+(IF(E297&lt;101,E297,IF(E297&lt;201,E297/2,IF(E297&lt;=301,E297/3,E297/4))))</f>
        <v>563.59227599999997</v>
      </c>
      <c r="G297" s="101" t="str">
        <f>A296</f>
        <v>2nd &amp; 4th Floor</v>
      </c>
      <c r="H297" s="108"/>
      <c r="I297" s="36"/>
    </row>
    <row r="298" spans="1:9" s="63" customFormat="1" x14ac:dyDescent="0.35">
      <c r="A298" s="107">
        <v>2</v>
      </c>
      <c r="B298" s="107"/>
      <c r="C298" s="62" t="s">
        <v>262</v>
      </c>
      <c r="D298" s="81">
        <f>(30.44+(2.82))*10.764</f>
        <v>358.01063999999997</v>
      </c>
      <c r="E298" s="81">
        <v>0</v>
      </c>
      <c r="F298" s="62">
        <f t="shared" ref="F298" si="24">D298*(($F$178)+1)+(IF(E298&lt;101,E298,IF(E298&lt;201,E298/2,IF(E298&lt;=301,E298/3,E298/4))))</f>
        <v>519.11542799999995</v>
      </c>
      <c r="G298" s="103"/>
      <c r="H298" s="109"/>
      <c r="I298" s="36"/>
    </row>
    <row r="299" spans="1:9" s="63" customFormat="1" x14ac:dyDescent="0.35">
      <c r="A299" s="107">
        <v>3</v>
      </c>
      <c r="B299" s="107"/>
      <c r="C299" s="62" t="s">
        <v>262</v>
      </c>
      <c r="D299" s="81">
        <f>(30.44+(2.9))*10.764</f>
        <v>358.87175999999999</v>
      </c>
      <c r="E299" s="81">
        <f>(2.99)*10.764</f>
        <v>32.184359999999998</v>
      </c>
      <c r="F299" s="62">
        <f>D299*(($F$178)+1)+(IF(E299&lt;101,E299,IF(E299&lt;201,E299/2,IF(E299&lt;=301,E299/3,E299/4))))</f>
        <v>552.54841199999998</v>
      </c>
      <c r="G299" s="103"/>
      <c r="H299" s="109"/>
      <c r="I299" s="36"/>
    </row>
    <row r="300" spans="1:9" s="63" customFormat="1" x14ac:dyDescent="0.35">
      <c r="A300" s="107">
        <v>4</v>
      </c>
      <c r="B300" s="107"/>
      <c r="C300" s="62" t="s">
        <v>262</v>
      </c>
      <c r="D300" s="81">
        <f>(28.5+(5.39))*10.764</f>
        <v>364.79195999999996</v>
      </c>
      <c r="E300" s="81">
        <f>(3.32)*10.764</f>
        <v>35.736479999999993</v>
      </c>
      <c r="F300" s="62">
        <f>D300*(($F$178)+1)+(IF(E300&lt;101,E300,IF(E300&lt;201,E300/2,IF(E300&lt;=301,E300/3,E300/4))))</f>
        <v>564.68482199999994</v>
      </c>
      <c r="G300" s="105"/>
      <c r="H300" s="110"/>
      <c r="I300" s="36"/>
    </row>
    <row r="301" spans="1:9" s="63" customFormat="1" x14ac:dyDescent="0.35">
      <c r="A301" s="113" t="s">
        <v>279</v>
      </c>
      <c r="B301" s="114"/>
      <c r="C301" s="114"/>
      <c r="D301" s="114"/>
      <c r="E301" s="114"/>
      <c r="F301" s="114"/>
      <c r="G301" s="114"/>
      <c r="H301" s="115"/>
      <c r="I301" s="36"/>
    </row>
    <row r="302" spans="1:9" s="63" customFormat="1" ht="15" customHeight="1" x14ac:dyDescent="0.35">
      <c r="A302" s="107">
        <v>1</v>
      </c>
      <c r="B302" s="107"/>
      <c r="C302" s="62" t="s">
        <v>262</v>
      </c>
      <c r="D302" s="81">
        <f>(28.45+(5.32))*10.764</f>
        <v>363.50027999999992</v>
      </c>
      <c r="E302" s="81">
        <v>0</v>
      </c>
      <c r="F302" s="62">
        <f>D302*(($F$178)+1)+(IF(E302&lt;101,E302,IF(E302&lt;201,E302/2,IF(E302&lt;=301,E302/3,E302/4))))</f>
        <v>527.07540599999982</v>
      </c>
      <c r="G302" s="101" t="str">
        <f>A301</f>
        <v>3th Floor</v>
      </c>
      <c r="H302" s="108"/>
      <c r="I302" s="36"/>
    </row>
    <row r="303" spans="1:9" s="63" customFormat="1" x14ac:dyDescent="0.35">
      <c r="A303" s="107">
        <v>2</v>
      </c>
      <c r="B303" s="107"/>
      <c r="C303" s="62" t="s">
        <v>262</v>
      </c>
      <c r="D303" s="81">
        <f>(30.49+(2.82))*10.764</f>
        <v>358.54883999999993</v>
      </c>
      <c r="E303" s="81">
        <f>(3.51)*10.764</f>
        <v>37.781639999999996</v>
      </c>
      <c r="F303" s="62">
        <f t="shared" ref="F303" si="25">D303*(($F$178)+1)+(IF(E303&lt;101,E303,IF(E303&lt;201,E303/2,IF(E303&lt;=301,E303/3,E303/4))))</f>
        <v>557.67745799999989</v>
      </c>
      <c r="G303" s="103"/>
      <c r="H303" s="109"/>
      <c r="I303" s="36"/>
    </row>
    <row r="304" spans="1:9" s="63" customFormat="1" x14ac:dyDescent="0.35">
      <c r="A304" s="107">
        <v>3</v>
      </c>
      <c r="B304" s="107"/>
      <c r="C304" s="62" t="s">
        <v>262</v>
      </c>
      <c r="D304" s="81">
        <f>(30.49+(2.9))*10.764</f>
        <v>359.40996000000001</v>
      </c>
      <c r="E304" s="81">
        <f>(3.51)*10.764</f>
        <v>37.781639999999996</v>
      </c>
      <c r="F304" s="62">
        <f>D304*(($F$178)+1)+(IF(E304&lt;101,E304,IF(E304&lt;201,E304/2,IF(E304&lt;=301,E304/3,E304/4))))</f>
        <v>558.92608200000006</v>
      </c>
      <c r="G304" s="103"/>
      <c r="H304" s="109"/>
      <c r="I304" s="36"/>
    </row>
    <row r="305" spans="1:9" s="63" customFormat="1" x14ac:dyDescent="0.35">
      <c r="A305" s="107">
        <v>4</v>
      </c>
      <c r="B305" s="107"/>
      <c r="C305" s="62" t="s">
        <v>262</v>
      </c>
      <c r="D305" s="81">
        <f>(28.45+(5.39))*10.764</f>
        <v>364.25375999999994</v>
      </c>
      <c r="E305" s="81">
        <f>(2.99)*10.764</f>
        <v>32.184359999999998</v>
      </c>
      <c r="F305" s="62">
        <f>D305*(($F$178)+1)+(IF(E305&lt;101,E305,IF(E305&lt;201,E305/2,IF(E305&lt;=301,E305/3,E305/4))))</f>
        <v>560.35231199999987</v>
      </c>
      <c r="G305" s="105"/>
      <c r="H305" s="110"/>
      <c r="I305" s="36"/>
    </row>
    <row r="306" spans="1:9" s="63" customFormat="1" x14ac:dyDescent="0.35">
      <c r="A306" s="119" t="s">
        <v>271</v>
      </c>
      <c r="B306" s="120"/>
      <c r="C306" s="120"/>
      <c r="D306" s="120"/>
      <c r="E306" s="120"/>
      <c r="F306" s="120"/>
      <c r="G306" s="120"/>
      <c r="H306" s="121"/>
      <c r="I306" s="36"/>
    </row>
    <row r="307" spans="1:9" s="63" customFormat="1" x14ac:dyDescent="0.35">
      <c r="A307" s="113" t="s">
        <v>278</v>
      </c>
      <c r="B307" s="114"/>
      <c r="C307" s="114"/>
      <c r="D307" s="114"/>
      <c r="E307" s="114"/>
      <c r="F307" s="114"/>
      <c r="G307" s="114"/>
      <c r="H307" s="115"/>
      <c r="I307" s="36"/>
    </row>
    <row r="308" spans="1:9" s="63" customFormat="1" ht="32.25" customHeight="1" x14ac:dyDescent="0.35">
      <c r="A308" s="107">
        <v>1</v>
      </c>
      <c r="B308" s="107"/>
      <c r="C308" s="62" t="s">
        <v>262</v>
      </c>
      <c r="D308" s="81">
        <f>(27.89+(5.31))*10.764</f>
        <v>357.3648</v>
      </c>
      <c r="E308" s="81">
        <v>0</v>
      </c>
      <c r="F308" s="62">
        <f>D308*(($F$178)+1)+(IF(E308&lt;101,E308,IF(E308&lt;201,E308/2,IF(E308&lt;=301,E308/3,E308/4))))</f>
        <v>518.17895999999996</v>
      </c>
      <c r="G308" s="101" t="str">
        <f>A307</f>
        <v>Ground Floor For Residential, Entrance Lobby, Parking &amp; Part Commercial Area</v>
      </c>
      <c r="H308" s="108"/>
      <c r="I308" s="36"/>
    </row>
    <row r="309" spans="1:9" s="63" customFormat="1" ht="30.75" customHeight="1" x14ac:dyDescent="0.35">
      <c r="A309" s="122">
        <v>2</v>
      </c>
      <c r="B309" s="122"/>
      <c r="C309" s="79" t="s">
        <v>262</v>
      </c>
      <c r="D309" s="81">
        <f>(29.3+(3.6))*10.764</f>
        <v>354.13559999999995</v>
      </c>
      <c r="E309" s="81">
        <v>0</v>
      </c>
      <c r="F309" s="79">
        <f t="shared" ref="F309" si="26">D309*(($F$178)+1)+(IF(E309&lt;101,E309,IF(E309&lt;201,E309/2,IF(E309&lt;=301,E309/3,E309/4))))</f>
        <v>513.49661999999989</v>
      </c>
      <c r="G309" s="105"/>
      <c r="H309" s="110"/>
      <c r="I309" s="36"/>
    </row>
    <row r="310" spans="1:9" s="63" customFormat="1" x14ac:dyDescent="0.35">
      <c r="A310" s="118" t="s">
        <v>260</v>
      </c>
      <c r="B310" s="118"/>
      <c r="C310" s="118"/>
      <c r="D310" s="118"/>
      <c r="E310" s="118"/>
      <c r="F310" s="118"/>
      <c r="G310" s="118"/>
      <c r="H310" s="118"/>
      <c r="I310" s="36"/>
    </row>
    <row r="311" spans="1:9" s="63" customFormat="1" ht="15.75" customHeight="1" x14ac:dyDescent="0.35">
      <c r="A311" s="107">
        <v>1</v>
      </c>
      <c r="B311" s="107"/>
      <c r="C311" s="91" t="s">
        <v>262</v>
      </c>
      <c r="D311" s="81">
        <f>(28.5+(5.32))*10.764</f>
        <v>364.03847999999999</v>
      </c>
      <c r="E311" s="81">
        <f>(3.51)*10.764</f>
        <v>37.781639999999996</v>
      </c>
      <c r="F311" s="91">
        <f>D311*(($F$178)+1)+(IF(E311&lt;101,E311,IF(E311&lt;201,E311/2,IF(E311&lt;=301,E311/3,E311/4))))</f>
        <v>565.63743599999998</v>
      </c>
      <c r="G311" s="107" t="str">
        <f>A310</f>
        <v>1st Floor For Residential</v>
      </c>
      <c r="H311" s="107"/>
      <c r="I311" s="36"/>
    </row>
    <row r="312" spans="1:9" s="63" customFormat="1" x14ac:dyDescent="0.35">
      <c r="A312" s="107">
        <v>2</v>
      </c>
      <c r="B312" s="107"/>
      <c r="C312" s="91" t="s">
        <v>262</v>
      </c>
      <c r="D312" s="81">
        <f>(28.45+(5.32))*10.764</f>
        <v>363.50027999999992</v>
      </c>
      <c r="E312" s="81">
        <v>0</v>
      </c>
      <c r="F312" s="91">
        <f t="shared" ref="F312" si="27">D312*(($F$178)+1)+(IF(E312&lt;101,E312,IF(E312&lt;201,E312/2,IF(E312&lt;=301,E312/3,E312/4))))</f>
        <v>527.07540599999982</v>
      </c>
      <c r="G312" s="107"/>
      <c r="H312" s="107"/>
      <c r="I312" s="66"/>
    </row>
    <row r="313" spans="1:9" s="63" customFormat="1" x14ac:dyDescent="0.35">
      <c r="A313" s="107">
        <f>A312+1</f>
        <v>3</v>
      </c>
      <c r="B313" s="107"/>
      <c r="C313" s="91" t="s">
        <v>262</v>
      </c>
      <c r="D313" s="81">
        <f>(30.12+(5.9))*10.764</f>
        <v>387.71928000000003</v>
      </c>
      <c r="E313" s="81">
        <f>(3.16)*10.764</f>
        <v>34.014240000000001</v>
      </c>
      <c r="F313" s="91">
        <f>D313*(($F$178)+1)+(IF(E313&lt;101,E313,IF(E313&lt;201,E313/2,IF(E313&lt;=301,E313/3,E313/4))))</f>
        <v>596.20719599999995</v>
      </c>
      <c r="G313" s="107"/>
      <c r="H313" s="107"/>
      <c r="I313" s="63">
        <f>0.5*(2.72+2.972)*1.112</f>
        <v>3.1647520000000005</v>
      </c>
    </row>
    <row r="314" spans="1:9" s="63" customFormat="1" x14ac:dyDescent="0.35">
      <c r="A314" s="107">
        <f>A313+1</f>
        <v>4</v>
      </c>
      <c r="B314" s="107"/>
      <c r="C314" s="91" t="s">
        <v>262</v>
      </c>
      <c r="D314" s="81">
        <f>(29.1+(5.9))*10.764</f>
        <v>376.73999999999995</v>
      </c>
      <c r="E314" s="81">
        <f>(3.32)*10.764</f>
        <v>35.736479999999993</v>
      </c>
      <c r="F314" s="91">
        <f>D314*(($F$178)+1)+(IF(E314&lt;101,E314,IF(E314&lt;201,E314/2,IF(E314&lt;=301,E314/3,E314/4))))</f>
        <v>582.00947999999994</v>
      </c>
      <c r="G314" s="107"/>
      <c r="H314" s="107"/>
      <c r="I314" s="36"/>
    </row>
    <row r="315" spans="1:9" s="63" customFormat="1" x14ac:dyDescent="0.35">
      <c r="A315" s="107">
        <v>5</v>
      </c>
      <c r="B315" s="107"/>
      <c r="C315" s="91" t="s">
        <v>262</v>
      </c>
      <c r="D315" s="81">
        <f>(29.1+(5.39))*10.764</f>
        <v>371.25036</v>
      </c>
      <c r="E315" s="81">
        <f>(3.41)*10.764</f>
        <v>36.705239999999996</v>
      </c>
      <c r="F315" s="91">
        <f>D315*(($F$178)+1)+(IF(E315&lt;101,E315,IF(E315&lt;201,E315/2,IF(E315&lt;=301,E315/3,E315/4))))</f>
        <v>575.01826199999994</v>
      </c>
      <c r="G315" s="107"/>
      <c r="H315" s="107"/>
      <c r="I315" s="36"/>
    </row>
    <row r="316" spans="1:9" s="63" customFormat="1" x14ac:dyDescent="0.35">
      <c r="A316" s="107">
        <v>6</v>
      </c>
      <c r="B316" s="107"/>
      <c r="C316" s="91" t="s">
        <v>262</v>
      </c>
      <c r="D316" s="81">
        <f>(29.1+(5.39))*10.764</f>
        <v>371.25036</v>
      </c>
      <c r="E316" s="81">
        <f>(3.41)*10.764</f>
        <v>36.705239999999996</v>
      </c>
      <c r="F316" s="91">
        <f t="shared" ref="F316" si="28">D316*(($F$178)+1)+(IF(E316&lt;101,E316,IF(E316&lt;201,E316/2,IF(E316&lt;=301,E316/3,E316/4))))</f>
        <v>575.01826199999994</v>
      </c>
      <c r="G316" s="107"/>
      <c r="H316" s="107"/>
      <c r="I316" s="36"/>
    </row>
    <row r="317" spans="1:9" s="63" customFormat="1" x14ac:dyDescent="0.35">
      <c r="A317" s="107">
        <v>7</v>
      </c>
      <c r="B317" s="107"/>
      <c r="C317" s="91" t="s">
        <v>262</v>
      </c>
      <c r="D317" s="81">
        <f>(29.1+(5.39))*10.764</f>
        <v>371.25036</v>
      </c>
      <c r="E317" s="81">
        <f>(3.41)*10.764</f>
        <v>36.705239999999996</v>
      </c>
      <c r="F317" s="91">
        <f>D317*(($F$178)+1)+(IF(E317&lt;101,E317,IF(E317&lt;201,E317/2,IF(E317&lt;=301,E317/3,E317/4))))</f>
        <v>575.01826199999994</v>
      </c>
      <c r="G317" s="107"/>
      <c r="H317" s="107"/>
      <c r="I317" s="36">
        <f>2.85*1.05</f>
        <v>2.9925000000000002</v>
      </c>
    </row>
    <row r="318" spans="1:9" s="63" customFormat="1" x14ac:dyDescent="0.35">
      <c r="A318" s="107">
        <v>8</v>
      </c>
      <c r="B318" s="107"/>
      <c r="C318" s="91" t="s">
        <v>262</v>
      </c>
      <c r="D318" s="81">
        <f>(29.1+(5.39))*10.764</f>
        <v>371.25036</v>
      </c>
      <c r="E318" s="81">
        <f>(3.41)*10.764</f>
        <v>36.705239999999996</v>
      </c>
      <c r="F318" s="91">
        <f>D318*(($F$178)+1)+(IF(E318&lt;101,E318,IF(E318&lt;201,E318/2,IF(E318&lt;=301,E318/3,E318/4))))</f>
        <v>575.01826199999994</v>
      </c>
      <c r="G318" s="107"/>
      <c r="H318" s="107"/>
      <c r="I318" s="36"/>
    </row>
    <row r="319" spans="1:9" s="63" customFormat="1" ht="15.75" customHeight="1" x14ac:dyDescent="0.35">
      <c r="A319" s="118" t="s">
        <v>267</v>
      </c>
      <c r="B319" s="118"/>
      <c r="C319" s="118"/>
      <c r="D319" s="118"/>
      <c r="E319" s="118"/>
      <c r="F319" s="118"/>
      <c r="G319" s="118"/>
      <c r="H319" s="118"/>
      <c r="I319" s="36"/>
    </row>
    <row r="320" spans="1:9" s="63" customFormat="1" ht="15.75" customHeight="1" x14ac:dyDescent="0.35">
      <c r="A320" s="107">
        <v>1</v>
      </c>
      <c r="B320" s="107"/>
      <c r="C320" s="91" t="s">
        <v>262</v>
      </c>
      <c r="D320" s="81">
        <f>(28.45+(5.32))*10.764</f>
        <v>363.50027999999992</v>
      </c>
      <c r="E320" s="81">
        <v>0</v>
      </c>
      <c r="F320" s="91">
        <f>D320*(($F$178)+1)+(IF(E320&lt;101,E320,IF(E320&lt;201,E320/2,IF(E320&lt;=301,E320/3,E320/4))))</f>
        <v>527.07540599999982</v>
      </c>
      <c r="G320" s="107" t="str">
        <f>A319</f>
        <v>2nd &amp; 4th Floor</v>
      </c>
      <c r="H320" s="107"/>
      <c r="I320" s="68"/>
    </row>
    <row r="321" spans="1:9" s="63" customFormat="1" x14ac:dyDescent="0.35">
      <c r="A321" s="107">
        <v>2</v>
      </c>
      <c r="B321" s="107"/>
      <c r="C321" s="91" t="s">
        <v>262</v>
      </c>
      <c r="D321" s="81">
        <f>(28.45+(5.32))*10.764</f>
        <v>363.50027999999992</v>
      </c>
      <c r="E321" s="81">
        <f>(3.06)*10.764</f>
        <v>32.937840000000001</v>
      </c>
      <c r="F321" s="91">
        <f t="shared" ref="F321" si="29">D321*(($F$178)+1)+(IF(E321&lt;101,E321,IF(E321&lt;201,E321/2,IF(E321&lt;=301,E321/3,E321/4))))</f>
        <v>560.01324599999987</v>
      </c>
      <c r="G321" s="107"/>
      <c r="H321" s="107"/>
      <c r="I321" s="36"/>
    </row>
    <row r="322" spans="1:9" s="63" customFormat="1" x14ac:dyDescent="0.35">
      <c r="A322" s="107">
        <f>A321+1</f>
        <v>3</v>
      </c>
      <c r="B322" s="107"/>
      <c r="C322" s="91" t="s">
        <v>262</v>
      </c>
      <c r="D322" s="81">
        <f>(29.69+(5.9))*10.764</f>
        <v>383.09075999999999</v>
      </c>
      <c r="E322" s="81">
        <v>0</v>
      </c>
      <c r="F322" s="91">
        <f>D322*(($F$178)+1)+(IF(E322&lt;101,E322,IF(E322&lt;201,E322/2,IF(E322&lt;=301,E322/3,E322/4))))</f>
        <v>555.48160199999995</v>
      </c>
      <c r="G322" s="107"/>
      <c r="H322" s="107"/>
      <c r="I322" s="36"/>
    </row>
    <row r="323" spans="1:9" s="63" customFormat="1" x14ac:dyDescent="0.35">
      <c r="A323" s="107">
        <f>A322+1</f>
        <v>4</v>
      </c>
      <c r="B323" s="107"/>
      <c r="C323" s="91" t="s">
        <v>262</v>
      </c>
      <c r="D323" s="81">
        <f>(28.49+(5.9))*10.764</f>
        <v>370.17395999999997</v>
      </c>
      <c r="E323" s="81">
        <v>0</v>
      </c>
      <c r="F323" s="91">
        <f>D323*(($F$178)+1)+(IF(E323&lt;101,E323,IF(E323&lt;201,E323/2,IF(E323&lt;=301,E323/3,E323/4))))</f>
        <v>536.75224199999991</v>
      </c>
      <c r="G323" s="107"/>
      <c r="H323" s="107"/>
      <c r="I323" s="36"/>
    </row>
    <row r="324" spans="1:9" s="63" customFormat="1" x14ac:dyDescent="0.35">
      <c r="A324" s="107">
        <v>5</v>
      </c>
      <c r="B324" s="107"/>
      <c r="C324" s="91" t="s">
        <v>262</v>
      </c>
      <c r="D324" s="81">
        <f>(28.49+(5.39))*10.764</f>
        <v>364.68431999999996</v>
      </c>
      <c r="E324" s="81">
        <v>0</v>
      </c>
      <c r="F324" s="91">
        <f>D324*(($F$178)+1)+(IF(E324&lt;101,E324,IF(E324&lt;201,E324/2,IF(E324&lt;=301,E324/3,E324/4))))</f>
        <v>528.79226399999993</v>
      </c>
      <c r="G324" s="107"/>
      <c r="H324" s="107"/>
      <c r="I324" s="36"/>
    </row>
    <row r="325" spans="1:9" s="63" customFormat="1" x14ac:dyDescent="0.35">
      <c r="A325" s="107">
        <v>6</v>
      </c>
      <c r="B325" s="107"/>
      <c r="C325" s="91" t="s">
        <v>262</v>
      </c>
      <c r="D325" s="81">
        <f>(29.05+(5.39))*10.764</f>
        <v>370.71215999999993</v>
      </c>
      <c r="E325" s="81">
        <f>(2.99)*10.764</f>
        <v>32.184359999999998</v>
      </c>
      <c r="F325" s="91">
        <f t="shared" ref="F325" si="30">D325*(($F$178)+1)+(IF(E325&lt;101,E325,IF(E325&lt;201,E325/2,IF(E325&lt;=301,E325/3,E325/4))))</f>
        <v>569.71699199999989</v>
      </c>
      <c r="G325" s="107"/>
      <c r="H325" s="107"/>
      <c r="I325" s="36"/>
    </row>
    <row r="326" spans="1:9" s="63" customFormat="1" x14ac:dyDescent="0.35">
      <c r="A326" s="107">
        <v>7</v>
      </c>
      <c r="B326" s="107"/>
      <c r="C326" s="91" t="s">
        <v>262</v>
      </c>
      <c r="D326" s="81">
        <f>(29.05+(5.39))*10.764</f>
        <v>370.71215999999993</v>
      </c>
      <c r="E326" s="81">
        <f>(2.99)*10.764</f>
        <v>32.184359999999998</v>
      </c>
      <c r="F326" s="91">
        <f>D326*(($F$178)+1)+(IF(E326&lt;101,E326,IF(E326&lt;201,E326/2,IF(E326&lt;=301,E326/3,E326/4))))</f>
        <v>569.71699199999989</v>
      </c>
      <c r="G326" s="107"/>
      <c r="H326" s="107"/>
      <c r="I326" s="36"/>
    </row>
    <row r="327" spans="1:9" s="63" customFormat="1" x14ac:dyDescent="0.35">
      <c r="A327" s="107">
        <v>8</v>
      </c>
      <c r="B327" s="107"/>
      <c r="C327" s="91" t="s">
        <v>262</v>
      </c>
      <c r="D327" s="81">
        <f>(28.49+(5.39))*10.764</f>
        <v>364.68431999999996</v>
      </c>
      <c r="E327" s="81">
        <v>0</v>
      </c>
      <c r="F327" s="91">
        <f>D327*(($F$178)+1)+(IF(E327&lt;101,E327,IF(E327&lt;201,E327/2,IF(E327&lt;=301,E327/3,E327/4))))</f>
        <v>528.79226399999993</v>
      </c>
      <c r="G327" s="107"/>
      <c r="H327" s="107"/>
      <c r="I327" s="36"/>
    </row>
    <row r="328" spans="1:9" s="63" customFormat="1" ht="15.75" customHeight="1" x14ac:dyDescent="0.35">
      <c r="A328" s="113" t="s">
        <v>279</v>
      </c>
      <c r="B328" s="114"/>
      <c r="C328" s="114"/>
      <c r="D328" s="114"/>
      <c r="E328" s="114"/>
      <c r="F328" s="114"/>
      <c r="G328" s="114"/>
      <c r="H328" s="115"/>
      <c r="I328" s="36"/>
    </row>
    <row r="329" spans="1:9" s="63" customFormat="1" ht="15.75" customHeight="1" x14ac:dyDescent="0.35">
      <c r="A329" s="107">
        <v>1</v>
      </c>
      <c r="B329" s="107"/>
      <c r="C329" s="62" t="s">
        <v>262</v>
      </c>
      <c r="D329" s="81">
        <f>(28.5+(5.32))*10.764</f>
        <v>364.03847999999999</v>
      </c>
      <c r="E329" s="81">
        <f>(3.51)*10.764</f>
        <v>37.781639999999996</v>
      </c>
      <c r="F329" s="62">
        <f>D329*(($F$178)+1)+(IF(E329&lt;101,E329,IF(E329&lt;201,E329/2,IF(E329&lt;=301,E329/3,E329/4))))</f>
        <v>565.63743599999998</v>
      </c>
      <c r="G329" s="101" t="str">
        <f>A328</f>
        <v>3th Floor</v>
      </c>
      <c r="H329" s="108"/>
      <c r="I329" s="36"/>
    </row>
    <row r="330" spans="1:9" s="63" customFormat="1" x14ac:dyDescent="0.35">
      <c r="A330" s="107">
        <v>2</v>
      </c>
      <c r="B330" s="107"/>
      <c r="C330" s="62" t="s">
        <v>262</v>
      </c>
      <c r="D330" s="81">
        <f>(28.45+(5.32))*10.764</f>
        <v>363.50027999999992</v>
      </c>
      <c r="E330" s="81">
        <v>0</v>
      </c>
      <c r="F330" s="62">
        <f t="shared" ref="F330" si="31">D330*(($F$178)+1)+(IF(E330&lt;101,E330,IF(E330&lt;201,E330/2,IF(E330&lt;=301,E330/3,E330/4))))</f>
        <v>527.07540599999982</v>
      </c>
      <c r="G330" s="103"/>
      <c r="H330" s="109"/>
      <c r="I330" s="36"/>
    </row>
    <row r="331" spans="1:9" s="63" customFormat="1" x14ac:dyDescent="0.35">
      <c r="A331" s="107">
        <f>A330+1</f>
        <v>3</v>
      </c>
      <c r="B331" s="107"/>
      <c r="C331" s="62" t="s">
        <v>262</v>
      </c>
      <c r="D331" s="81">
        <f>(30.12+(5.9))*10.764</f>
        <v>387.71928000000003</v>
      </c>
      <c r="E331" s="81">
        <f>(3.16)*10.764</f>
        <v>34.014240000000001</v>
      </c>
      <c r="F331" s="62">
        <f>D331*(($F$178)+1)+(IF(E331&lt;101,E331,IF(E331&lt;201,E331/2,IF(E331&lt;=301,E331/3,E331/4))))</f>
        <v>596.20719599999995</v>
      </c>
      <c r="G331" s="103"/>
      <c r="H331" s="109"/>
      <c r="I331" s="36"/>
    </row>
    <row r="332" spans="1:9" s="63" customFormat="1" x14ac:dyDescent="0.35">
      <c r="A332" s="107">
        <f>A331+1</f>
        <v>4</v>
      </c>
      <c r="B332" s="107"/>
      <c r="C332" s="62" t="s">
        <v>262</v>
      </c>
      <c r="D332" s="81">
        <f>(29.1+(5.9))*10.764</f>
        <v>376.73999999999995</v>
      </c>
      <c r="E332" s="81">
        <f>(3.32)*10.764</f>
        <v>35.736479999999993</v>
      </c>
      <c r="F332" s="62">
        <f>D332*(($F$178)+1)+(IF(E332&lt;101,E332,IF(E332&lt;201,E332/2,IF(E332&lt;=301,E332/3,E332/4))))</f>
        <v>582.00947999999994</v>
      </c>
      <c r="G332" s="103"/>
      <c r="H332" s="109"/>
      <c r="I332" s="36"/>
    </row>
    <row r="333" spans="1:9" s="63" customFormat="1" x14ac:dyDescent="0.35">
      <c r="A333" s="107">
        <v>5</v>
      </c>
      <c r="B333" s="107"/>
      <c r="C333" s="62" t="s">
        <v>262</v>
      </c>
      <c r="D333" s="81">
        <f>(29.1+(5.39))*10.764</f>
        <v>371.25036</v>
      </c>
      <c r="E333" s="81">
        <f>(3.41)*10.764</f>
        <v>36.705239999999996</v>
      </c>
      <c r="F333" s="62">
        <f>D333*(($F$178)+1)+(IF(E333&lt;101,E333,IF(E333&lt;201,E333/2,IF(E333&lt;=301,E333/3,E333/4))))</f>
        <v>575.01826199999994</v>
      </c>
      <c r="G333" s="103"/>
      <c r="H333" s="109"/>
      <c r="I333" s="36"/>
    </row>
    <row r="334" spans="1:9" s="63" customFormat="1" x14ac:dyDescent="0.35">
      <c r="A334" s="107">
        <v>6</v>
      </c>
      <c r="B334" s="107"/>
      <c r="C334" s="62" t="s">
        <v>262</v>
      </c>
      <c r="D334" s="81">
        <f>(29.1+(5.39))*10.764</f>
        <v>371.25036</v>
      </c>
      <c r="E334" s="81">
        <f>(3.41)*10.764</f>
        <v>36.705239999999996</v>
      </c>
      <c r="F334" s="62">
        <f t="shared" ref="F334" si="32">D334*(($F$178)+1)+(IF(E334&lt;101,E334,IF(E334&lt;201,E334/2,IF(E334&lt;=301,E334/3,E334/4))))</f>
        <v>575.01826199999994</v>
      </c>
      <c r="G334" s="103"/>
      <c r="H334" s="109"/>
      <c r="I334" s="36"/>
    </row>
    <row r="335" spans="1:9" s="63" customFormat="1" x14ac:dyDescent="0.35">
      <c r="A335" s="107">
        <v>7</v>
      </c>
      <c r="B335" s="107"/>
      <c r="C335" s="62" t="s">
        <v>262</v>
      </c>
      <c r="D335" s="81">
        <f>(29.1+(5.39))*10.764</f>
        <v>371.25036</v>
      </c>
      <c r="E335" s="81">
        <f>(3.41)*10.764</f>
        <v>36.705239999999996</v>
      </c>
      <c r="F335" s="62">
        <f>D335*(($F$178)+1)+(IF(E335&lt;101,E335,IF(E335&lt;201,E335/2,IF(E335&lt;=301,E335/3,E335/4))))</f>
        <v>575.01826199999994</v>
      </c>
      <c r="G335" s="103"/>
      <c r="H335" s="109"/>
      <c r="I335" s="36"/>
    </row>
    <row r="336" spans="1:9" s="63" customFormat="1" x14ac:dyDescent="0.35">
      <c r="A336" s="107">
        <v>8</v>
      </c>
      <c r="B336" s="107"/>
      <c r="C336" s="62" t="s">
        <v>262</v>
      </c>
      <c r="D336" s="81">
        <f>(29.1+(5.39))*10.764</f>
        <v>371.25036</v>
      </c>
      <c r="E336" s="81">
        <f>(3.41)*10.764</f>
        <v>36.705239999999996</v>
      </c>
      <c r="F336" s="62">
        <f>D336*(($F$178)+1)+(IF(E336&lt;101,E336,IF(E336&lt;201,E336/2,IF(E336&lt;=301,E336/3,E336/4))))</f>
        <v>575.01826199999994</v>
      </c>
      <c r="G336" s="105"/>
      <c r="H336" s="110"/>
      <c r="I336" s="36"/>
    </row>
    <row r="337" spans="1:8" s="35" customFormat="1" x14ac:dyDescent="0.35">
      <c r="A337" s="220" t="s">
        <v>66</v>
      </c>
      <c r="B337" s="220"/>
      <c r="C337" s="220"/>
      <c r="D337" s="220"/>
      <c r="E337" s="220"/>
      <c r="F337" s="220"/>
      <c r="G337" s="220"/>
      <c r="H337" s="220"/>
    </row>
    <row r="338" spans="1:8" s="35" customFormat="1" x14ac:dyDescent="0.35">
      <c r="A338" s="47">
        <v>1</v>
      </c>
      <c r="B338" s="216" t="s">
        <v>301</v>
      </c>
      <c r="C338" s="217"/>
      <c r="D338" s="217"/>
      <c r="E338" s="217"/>
      <c r="F338" s="217"/>
      <c r="G338" s="217"/>
      <c r="H338" s="218"/>
    </row>
    <row r="339" spans="1:8" s="35" customFormat="1" x14ac:dyDescent="0.35">
      <c r="A339" s="47">
        <v>2</v>
      </c>
      <c r="B339" s="212" t="str">
        <f>(IF(F177="Saleable area Loading :","We have considered Saleable area of Flats as per our Calculation.","We considered Saleable area of Flat as per Builder area Sheet."))</f>
        <v>We have considered Saleable area of Flats as per our Calculation.</v>
      </c>
      <c r="C339" s="213"/>
      <c r="D339" s="213"/>
      <c r="E339" s="213"/>
      <c r="F339" s="213"/>
      <c r="G339" s="213"/>
      <c r="H339" s="214"/>
    </row>
    <row r="340" spans="1:8" s="35" customFormat="1" x14ac:dyDescent="0.35">
      <c r="A340" s="64">
        <v>3</v>
      </c>
      <c r="B340" s="212" t="str">
        <f>(IF(F169="Saleable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40" s="213"/>
      <c r="D340" s="213"/>
      <c r="E340" s="213"/>
      <c r="F340" s="213"/>
      <c r="G340" s="213"/>
      <c r="H340" s="214"/>
    </row>
    <row r="341" spans="1:8" s="35" customFormat="1" x14ac:dyDescent="0.35">
      <c r="A341" s="64">
        <v>4</v>
      </c>
      <c r="B341" s="146" t="s">
        <v>118</v>
      </c>
      <c r="C341" s="147"/>
      <c r="D341" s="147"/>
      <c r="E341" s="147"/>
      <c r="F341" s="147"/>
      <c r="G341" s="147"/>
      <c r="H341" s="148"/>
    </row>
    <row r="342" spans="1:8" s="35" customFormat="1" ht="31.5" customHeight="1" x14ac:dyDescent="0.35">
      <c r="A342" s="64">
        <v>5</v>
      </c>
      <c r="B342" s="146" t="s">
        <v>283</v>
      </c>
      <c r="C342" s="147"/>
      <c r="D342" s="147"/>
      <c r="E342" s="147"/>
      <c r="F342" s="147"/>
      <c r="G342" s="147"/>
      <c r="H342" s="148"/>
    </row>
    <row r="343" spans="1:8" s="35" customFormat="1" x14ac:dyDescent="0.35">
      <c r="A343" s="64">
        <v>6</v>
      </c>
      <c r="B343" s="146" t="s">
        <v>147</v>
      </c>
      <c r="C343" s="147"/>
      <c r="D343" s="147"/>
      <c r="E343" s="147"/>
      <c r="F343" s="147"/>
      <c r="G343" s="147"/>
      <c r="H343" s="148"/>
    </row>
    <row r="344" spans="1:8" s="35" customFormat="1" x14ac:dyDescent="0.35">
      <c r="A344" s="64">
        <v>7</v>
      </c>
      <c r="B344" s="146" t="s">
        <v>119</v>
      </c>
      <c r="C344" s="147"/>
      <c r="D344" s="147"/>
      <c r="E344" s="147"/>
      <c r="F344" s="147"/>
      <c r="G344" s="147"/>
      <c r="H344" s="148"/>
    </row>
    <row r="345" spans="1:8" s="35" customFormat="1" ht="34.5" customHeight="1" x14ac:dyDescent="0.35">
      <c r="A345" s="64">
        <v>8</v>
      </c>
      <c r="B345" s="146" t="s">
        <v>149</v>
      </c>
      <c r="C345" s="147"/>
      <c r="D345" s="147"/>
      <c r="E345" s="147"/>
      <c r="F345" s="147"/>
      <c r="G345" s="147"/>
      <c r="H345" s="148"/>
    </row>
    <row r="346" spans="1:8" s="35" customFormat="1" x14ac:dyDescent="0.35">
      <c r="A346" s="64">
        <v>9</v>
      </c>
      <c r="B346" s="146" t="s">
        <v>120</v>
      </c>
      <c r="C346" s="147"/>
      <c r="D346" s="147"/>
      <c r="E346" s="147"/>
      <c r="F346" s="147"/>
      <c r="G346" s="147"/>
      <c r="H346" s="148"/>
    </row>
    <row r="347" spans="1:8" s="35" customFormat="1" ht="31.5" customHeight="1" x14ac:dyDescent="0.35">
      <c r="A347" s="64">
        <v>10</v>
      </c>
      <c r="B347" s="146" t="s">
        <v>291</v>
      </c>
      <c r="C347" s="147"/>
      <c r="D347" s="147"/>
      <c r="E347" s="147"/>
      <c r="F347" s="147"/>
      <c r="G347" s="147"/>
      <c r="H347" s="148"/>
    </row>
    <row r="348" spans="1:8" s="35" customFormat="1" ht="32.25" hidden="1" customHeight="1" x14ac:dyDescent="0.35">
      <c r="A348" s="57" t="s">
        <v>148</v>
      </c>
      <c r="B348" s="222" t="s">
        <v>173</v>
      </c>
      <c r="C348" s="223"/>
      <c r="D348" s="223"/>
      <c r="E348" s="223"/>
      <c r="F348" s="223"/>
      <c r="G348" s="223"/>
      <c r="H348" s="224"/>
    </row>
    <row r="349" spans="1:8" s="35" customFormat="1" x14ac:dyDescent="0.35">
      <c r="A349" s="64">
        <v>11</v>
      </c>
      <c r="B349" s="146" t="s">
        <v>293</v>
      </c>
      <c r="C349" s="147"/>
      <c r="D349" s="147"/>
      <c r="E349" s="147"/>
      <c r="F349" s="147"/>
      <c r="G349" s="147"/>
      <c r="H349" s="148"/>
    </row>
    <row r="350" spans="1:8" x14ac:dyDescent="0.35">
      <c r="A350" s="211" t="s">
        <v>59</v>
      </c>
      <c r="B350" s="211"/>
      <c r="C350" s="211"/>
      <c r="D350" s="211"/>
      <c r="E350" s="211"/>
      <c r="F350" s="211"/>
      <c r="G350" s="211"/>
      <c r="H350" s="211"/>
    </row>
    <row r="351" spans="1:8" x14ac:dyDescent="0.35">
      <c r="A351" s="124" t="s">
        <v>60</v>
      </c>
      <c r="B351" s="124"/>
      <c r="C351" s="124"/>
      <c r="D351" s="124"/>
      <c r="E351" s="124"/>
      <c r="F351" s="124"/>
      <c r="G351" s="124"/>
      <c r="H351" s="124"/>
    </row>
    <row r="352" spans="1:8" ht="15.75" customHeight="1" x14ac:dyDescent="0.35">
      <c r="A352" s="221" t="s">
        <v>61</v>
      </c>
      <c r="B352" s="221"/>
      <c r="C352" s="221"/>
      <c r="D352" s="221"/>
      <c r="E352" s="221"/>
      <c r="F352" s="221"/>
      <c r="G352" s="221"/>
      <c r="H352" s="221"/>
    </row>
    <row r="353" spans="1:8" x14ac:dyDescent="0.35">
      <c r="A353" s="124" t="s">
        <v>62</v>
      </c>
      <c r="B353" s="124"/>
      <c r="C353" s="124"/>
      <c r="D353" s="124"/>
      <c r="E353" s="124"/>
      <c r="F353" s="124"/>
      <c r="G353" s="124"/>
      <c r="H353" s="124"/>
    </row>
    <row r="354" spans="1:8" x14ac:dyDescent="0.35">
      <c r="A354" s="124" t="s">
        <v>63</v>
      </c>
      <c r="B354" s="124"/>
      <c r="C354" s="124"/>
      <c r="D354" s="124"/>
      <c r="E354" s="124"/>
      <c r="F354" s="124"/>
      <c r="G354" s="124"/>
      <c r="H354" s="124"/>
    </row>
    <row r="355" spans="1:8" x14ac:dyDescent="0.35">
      <c r="A355" s="124" t="s">
        <v>121</v>
      </c>
      <c r="B355" s="124"/>
      <c r="C355" s="124"/>
      <c r="D355" s="124"/>
      <c r="E355" s="124"/>
      <c r="F355" s="124"/>
      <c r="G355" s="124"/>
      <c r="H355" s="124"/>
    </row>
    <row r="356" spans="1:8" ht="34" customHeight="1" x14ac:dyDescent="0.35">
      <c r="A356" s="194" t="s">
        <v>122</v>
      </c>
      <c r="B356" s="194"/>
      <c r="C356" s="194"/>
      <c r="D356" s="194"/>
      <c r="E356" s="194"/>
      <c r="F356" s="194"/>
      <c r="G356" s="194"/>
      <c r="H356" s="194"/>
    </row>
    <row r="357" spans="1:8" x14ac:dyDescent="0.35">
      <c r="A357" s="209" t="s">
        <v>75</v>
      </c>
      <c r="B357" s="209"/>
      <c r="C357" s="209" t="s">
        <v>300</v>
      </c>
      <c r="D357" s="209"/>
      <c r="E357" s="209" t="s">
        <v>102</v>
      </c>
      <c r="F357" s="209"/>
      <c r="G357" s="209" t="s">
        <v>302</v>
      </c>
      <c r="H357" s="209"/>
    </row>
    <row r="358" spans="1:8" x14ac:dyDescent="0.35">
      <c r="A358" s="208" t="s">
        <v>77</v>
      </c>
      <c r="B358" s="208"/>
      <c r="C358" s="208"/>
      <c r="D358" s="208"/>
      <c r="E358" s="208"/>
      <c r="F358" s="208"/>
      <c r="G358" s="208"/>
      <c r="H358" s="208"/>
    </row>
    <row r="359" spans="1:8" x14ac:dyDescent="0.35">
      <c r="A359" s="208"/>
      <c r="B359" s="208"/>
      <c r="C359" s="208"/>
      <c r="D359" s="208"/>
      <c r="E359" s="208"/>
      <c r="F359" s="208"/>
      <c r="G359" s="208"/>
      <c r="H359" s="208"/>
    </row>
    <row r="360" spans="1:8" x14ac:dyDescent="0.35">
      <c r="A360" s="208"/>
      <c r="B360" s="208"/>
      <c r="C360" s="208"/>
      <c r="D360" s="208"/>
      <c r="E360" s="208"/>
      <c r="F360" s="208"/>
      <c r="G360" s="208"/>
      <c r="H360" s="208"/>
    </row>
    <row r="361" spans="1:8" x14ac:dyDescent="0.35">
      <c r="A361" s="208"/>
      <c r="B361" s="208"/>
      <c r="C361" s="208"/>
      <c r="D361" s="208"/>
      <c r="E361" s="208"/>
      <c r="F361" s="208"/>
      <c r="G361" s="208"/>
      <c r="H361" s="208"/>
    </row>
    <row r="362" spans="1:8" x14ac:dyDescent="0.35">
      <c r="A362" s="38" t="s">
        <v>64</v>
      </c>
      <c r="B362" s="39"/>
      <c r="C362" s="39"/>
      <c r="D362" s="38" t="str">
        <f>E8</f>
        <v>Kartikya Vatika</v>
      </c>
      <c r="F362" s="39"/>
      <c r="G362" s="39"/>
      <c r="H362" s="39"/>
    </row>
    <row r="363" spans="1:8" x14ac:dyDescent="0.35">
      <c r="A363" s="39"/>
      <c r="B363" s="39"/>
      <c r="C363" s="39"/>
      <c r="D363" s="39"/>
      <c r="E363" s="39"/>
      <c r="F363" s="39"/>
      <c r="G363" s="39"/>
      <c r="H363" s="39"/>
    </row>
    <row r="364" spans="1:8" x14ac:dyDescent="0.35">
      <c r="A364" s="39"/>
      <c r="B364" s="39"/>
      <c r="C364" s="39"/>
      <c r="D364" s="39"/>
      <c r="E364" s="39"/>
      <c r="F364" s="39"/>
      <c r="G364" s="39"/>
      <c r="H364" s="39"/>
    </row>
    <row r="365" spans="1:8" ht="15" customHeight="1" x14ac:dyDescent="0.35"/>
    <row r="406" spans="1:1" x14ac:dyDescent="0.35">
      <c r="A406" s="41" t="s">
        <v>292</v>
      </c>
    </row>
    <row r="441" spans="1:1" x14ac:dyDescent="0.35">
      <c r="A441" s="41" t="s">
        <v>159</v>
      </c>
    </row>
    <row r="484" spans="1:1" x14ac:dyDescent="0.35">
      <c r="A484" s="41" t="s">
        <v>65</v>
      </c>
    </row>
  </sheetData>
  <mergeCells count="542">
    <mergeCell ref="I10:L10"/>
    <mergeCell ref="A124:B124"/>
    <mergeCell ref="C124:H124"/>
    <mergeCell ref="A126:B126"/>
    <mergeCell ref="C126:H126"/>
    <mergeCell ref="A127:B127"/>
    <mergeCell ref="E127:F127"/>
    <mergeCell ref="G127:H127"/>
    <mergeCell ref="A128:B128"/>
    <mergeCell ref="E128:F137"/>
    <mergeCell ref="G128:H137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C96:H96"/>
    <mergeCell ref="A98:B98"/>
    <mergeCell ref="C98:H98"/>
    <mergeCell ref="A99:B99"/>
    <mergeCell ref="E99:F99"/>
    <mergeCell ref="G99:H99"/>
    <mergeCell ref="A100:B100"/>
    <mergeCell ref="E100:F109"/>
    <mergeCell ref="G100:H109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E85:F85"/>
    <mergeCell ref="G85:H85"/>
    <mergeCell ref="A144:E144"/>
    <mergeCell ref="F144:H144"/>
    <mergeCell ref="A145:E145"/>
    <mergeCell ref="A147:E147"/>
    <mergeCell ref="F141:H141"/>
    <mergeCell ref="A146:E146"/>
    <mergeCell ref="A117:B117"/>
    <mergeCell ref="A118:B118"/>
    <mergeCell ref="A93:B93"/>
    <mergeCell ref="A94:B94"/>
    <mergeCell ref="E113:F113"/>
    <mergeCell ref="E114:F123"/>
    <mergeCell ref="E86:F95"/>
    <mergeCell ref="A85:B85"/>
    <mergeCell ref="C112:H112"/>
    <mergeCell ref="A113:B113"/>
    <mergeCell ref="A90:B90"/>
    <mergeCell ref="A91:B91"/>
    <mergeCell ref="A92:B92"/>
    <mergeCell ref="A120:B120"/>
    <mergeCell ref="F139:H139"/>
    <mergeCell ref="A96:B96"/>
    <mergeCell ref="I14:P14"/>
    <mergeCell ref="F149:H149"/>
    <mergeCell ref="F147:H147"/>
    <mergeCell ref="A202:B202"/>
    <mergeCell ref="A168:H168"/>
    <mergeCell ref="G153:H153"/>
    <mergeCell ref="A148:E148"/>
    <mergeCell ref="A53:B53"/>
    <mergeCell ref="C53:E53"/>
    <mergeCell ref="D55:H55"/>
    <mergeCell ref="F148:H148"/>
    <mergeCell ref="E153:F153"/>
    <mergeCell ref="A153:B153"/>
    <mergeCell ref="C157:D157"/>
    <mergeCell ref="D65:H65"/>
    <mergeCell ref="A66:C66"/>
    <mergeCell ref="G71:H71"/>
    <mergeCell ref="F138:H138"/>
    <mergeCell ref="F143:H143"/>
    <mergeCell ref="A183:B183"/>
    <mergeCell ref="C52:H52"/>
    <mergeCell ref="A179:H179"/>
    <mergeCell ref="A180:H180"/>
    <mergeCell ref="A182:H182"/>
    <mergeCell ref="A82:B82"/>
    <mergeCell ref="C82:H82"/>
    <mergeCell ref="A77:B77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G53:H53"/>
    <mergeCell ref="D60:H60"/>
    <mergeCell ref="D66:H66"/>
    <mergeCell ref="A72:B72"/>
    <mergeCell ref="C50:E50"/>
    <mergeCell ref="C51:E51"/>
    <mergeCell ref="A58:C60"/>
    <mergeCell ref="D58:H58"/>
    <mergeCell ref="D59:H59"/>
    <mergeCell ref="D64:H64"/>
    <mergeCell ref="D57:H57"/>
    <mergeCell ref="A57:C57"/>
    <mergeCell ref="G154:H154"/>
    <mergeCell ref="A123:B123"/>
    <mergeCell ref="F146:H146"/>
    <mergeCell ref="C153:D153"/>
    <mergeCell ref="A230:B230"/>
    <mergeCell ref="A191:B191"/>
    <mergeCell ref="A355:H355"/>
    <mergeCell ref="A352:H352"/>
    <mergeCell ref="A188:B188"/>
    <mergeCell ref="A157:B157"/>
    <mergeCell ref="D177:D178"/>
    <mergeCell ref="E177:E178"/>
    <mergeCell ref="G177:H178"/>
    <mergeCell ref="A181:H181"/>
    <mergeCell ref="A204:B204"/>
    <mergeCell ref="A201:B201"/>
    <mergeCell ref="B348:H348"/>
    <mergeCell ref="A166:B166"/>
    <mergeCell ref="C166:D166"/>
    <mergeCell ref="E166:F166"/>
    <mergeCell ref="B346:H346"/>
    <mergeCell ref="B349:H349"/>
    <mergeCell ref="C169:C170"/>
    <mergeCell ref="B177:B178"/>
    <mergeCell ref="B344:H344"/>
    <mergeCell ref="B340:H340"/>
    <mergeCell ref="A236:B236"/>
    <mergeCell ref="A234:B234"/>
    <mergeCell ref="A235:B235"/>
    <mergeCell ref="A167:H167"/>
    <mergeCell ref="B338:H338"/>
    <mergeCell ref="B339:H339"/>
    <mergeCell ref="A228:B228"/>
    <mergeCell ref="A177:A178"/>
    <mergeCell ref="A200:B200"/>
    <mergeCell ref="A198:H198"/>
    <mergeCell ref="A199:H199"/>
    <mergeCell ref="A176:H176"/>
    <mergeCell ref="B341:H341"/>
    <mergeCell ref="B342:H342"/>
    <mergeCell ref="A337:H337"/>
    <mergeCell ref="A231:B231"/>
    <mergeCell ref="A227:H227"/>
    <mergeCell ref="A197:H197"/>
    <mergeCell ref="A186:B186"/>
    <mergeCell ref="A229:B229"/>
    <mergeCell ref="A189:B189"/>
    <mergeCell ref="A190:B190"/>
    <mergeCell ref="E46:H46"/>
    <mergeCell ref="E71:F71"/>
    <mergeCell ref="A64:C64"/>
    <mergeCell ref="A358:H361"/>
    <mergeCell ref="A357:B357"/>
    <mergeCell ref="E357:F357"/>
    <mergeCell ref="C357:D357"/>
    <mergeCell ref="G357:H357"/>
    <mergeCell ref="A152:H152"/>
    <mergeCell ref="A150:E150"/>
    <mergeCell ref="F150:H150"/>
    <mergeCell ref="A151:E151"/>
    <mergeCell ref="F151:H151"/>
    <mergeCell ref="A187:H187"/>
    <mergeCell ref="A203:B203"/>
    <mergeCell ref="A353:H353"/>
    <mergeCell ref="A156:H156"/>
    <mergeCell ref="A356:H356"/>
    <mergeCell ref="A354:H354"/>
    <mergeCell ref="A351:H351"/>
    <mergeCell ref="E157:F157"/>
    <mergeCell ref="B347:H347"/>
    <mergeCell ref="A350:H350"/>
    <mergeCell ref="G157:H157"/>
    <mergeCell ref="G50:H50"/>
    <mergeCell ref="A51:B52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C70:H70"/>
    <mergeCell ref="A73:B73"/>
    <mergeCell ref="A75:B75"/>
    <mergeCell ref="A67:C67"/>
    <mergeCell ref="D67:H67"/>
    <mergeCell ref="A65:C6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F34:H34"/>
    <mergeCell ref="E42:H42"/>
    <mergeCell ref="A42:D42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F33:H33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A37:H37"/>
    <mergeCell ref="A36:B36"/>
    <mergeCell ref="C36:E36"/>
    <mergeCell ref="G114:H123"/>
    <mergeCell ref="A41:D41"/>
    <mergeCell ref="E41:H41"/>
    <mergeCell ref="A40:H40"/>
    <mergeCell ref="A61:C61"/>
    <mergeCell ref="A62:C62"/>
    <mergeCell ref="D61:H61"/>
    <mergeCell ref="E72:F81"/>
    <mergeCell ref="G72:H81"/>
    <mergeCell ref="A80:B80"/>
    <mergeCell ref="A81:B81"/>
    <mergeCell ref="D62:H62"/>
    <mergeCell ref="A43:D43"/>
    <mergeCell ref="E43:H43"/>
    <mergeCell ref="E44:H44"/>
    <mergeCell ref="E45:H45"/>
    <mergeCell ref="A44:D44"/>
    <mergeCell ref="C177:C178"/>
    <mergeCell ref="G174:H175"/>
    <mergeCell ref="G183:H186"/>
    <mergeCell ref="A184:B184"/>
    <mergeCell ref="A38:B38"/>
    <mergeCell ref="C38:H38"/>
    <mergeCell ref="A45:D45"/>
    <mergeCell ref="L172:M172"/>
    <mergeCell ref="A79:B79"/>
    <mergeCell ref="C161:D161"/>
    <mergeCell ref="E161:F161"/>
    <mergeCell ref="G161:H161"/>
    <mergeCell ref="F145:H145"/>
    <mergeCell ref="A139:E139"/>
    <mergeCell ref="A110:B110"/>
    <mergeCell ref="C110:H110"/>
    <mergeCell ref="A171:H171"/>
    <mergeCell ref="E169:E170"/>
    <mergeCell ref="G169:H170"/>
    <mergeCell ref="A86:B86"/>
    <mergeCell ref="A46:D46"/>
    <mergeCell ref="A47:H47"/>
    <mergeCell ref="A114:B114"/>
    <mergeCell ref="B345:H345"/>
    <mergeCell ref="A48:B48"/>
    <mergeCell ref="C48:H48"/>
    <mergeCell ref="B343:H343"/>
    <mergeCell ref="A115:B115"/>
    <mergeCell ref="A116:B116"/>
    <mergeCell ref="G86:H95"/>
    <mergeCell ref="A87:B87"/>
    <mergeCell ref="A88:B88"/>
    <mergeCell ref="A89:B89"/>
    <mergeCell ref="F140:H140"/>
    <mergeCell ref="A140:E140"/>
    <mergeCell ref="D169:D170"/>
    <mergeCell ref="A142:E142"/>
    <mergeCell ref="A119:B119"/>
    <mergeCell ref="A121:B121"/>
    <mergeCell ref="A122:B122"/>
    <mergeCell ref="A141:E141"/>
    <mergeCell ref="A138:E138"/>
    <mergeCell ref="F142:H142"/>
    <mergeCell ref="G113:H113"/>
    <mergeCell ref="A112:B112"/>
    <mergeCell ref="A143:E143"/>
    <mergeCell ref="A95:B95"/>
    <mergeCell ref="A39:B39"/>
    <mergeCell ref="C39:H39"/>
    <mergeCell ref="A185:B185"/>
    <mergeCell ref="A149:E149"/>
    <mergeCell ref="A155:B155"/>
    <mergeCell ref="C155:D155"/>
    <mergeCell ref="E155:F155"/>
    <mergeCell ref="G155:H155"/>
    <mergeCell ref="C162:D162"/>
    <mergeCell ref="E162:F162"/>
    <mergeCell ref="G162:H162"/>
    <mergeCell ref="C154:D154"/>
    <mergeCell ref="E154:F154"/>
    <mergeCell ref="B169:B170"/>
    <mergeCell ref="A169:A170"/>
    <mergeCell ref="A84:B84"/>
    <mergeCell ref="C84:H84"/>
    <mergeCell ref="G159:H159"/>
    <mergeCell ref="A165:B165"/>
    <mergeCell ref="C165:D165"/>
    <mergeCell ref="E165:F165"/>
    <mergeCell ref="G165:H165"/>
    <mergeCell ref="A161:A162"/>
    <mergeCell ref="A158:A160"/>
    <mergeCell ref="A195:B195"/>
    <mergeCell ref="A196:B196"/>
    <mergeCell ref="A193:B193"/>
    <mergeCell ref="A220:H220"/>
    <mergeCell ref="A221:H221"/>
    <mergeCell ref="A222:H222"/>
    <mergeCell ref="A223:B223"/>
    <mergeCell ref="A224:B224"/>
    <mergeCell ref="A213:H213"/>
    <mergeCell ref="A214:B214"/>
    <mergeCell ref="A215:B215"/>
    <mergeCell ref="A216:B216"/>
    <mergeCell ref="A217:B217"/>
    <mergeCell ref="A218:B218"/>
    <mergeCell ref="A219:B219"/>
    <mergeCell ref="A205:B205"/>
    <mergeCell ref="A249:B249"/>
    <mergeCell ref="A250:H250"/>
    <mergeCell ref="A251:B251"/>
    <mergeCell ref="A252:B252"/>
    <mergeCell ref="A253:B253"/>
    <mergeCell ref="A233:B233"/>
    <mergeCell ref="A232:H232"/>
    <mergeCell ref="A237:H237"/>
    <mergeCell ref="A238:H238"/>
    <mergeCell ref="A239:H239"/>
    <mergeCell ref="A240:H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59:B259"/>
    <mergeCell ref="A260:H260"/>
    <mergeCell ref="A261:B261"/>
    <mergeCell ref="A262:B262"/>
    <mergeCell ref="A263:B263"/>
    <mergeCell ref="G251:H259"/>
    <mergeCell ref="A254:B254"/>
    <mergeCell ref="A255:B255"/>
    <mergeCell ref="A256:B256"/>
    <mergeCell ref="A257:B257"/>
    <mergeCell ref="A258:B258"/>
    <mergeCell ref="A273:B273"/>
    <mergeCell ref="A274:B274"/>
    <mergeCell ref="A275:B275"/>
    <mergeCell ref="A276:B276"/>
    <mergeCell ref="A272:H272"/>
    <mergeCell ref="G261:H269"/>
    <mergeCell ref="G273:H276"/>
    <mergeCell ref="A264:B264"/>
    <mergeCell ref="A265:B265"/>
    <mergeCell ref="A266:B266"/>
    <mergeCell ref="A267:B267"/>
    <mergeCell ref="A268:B268"/>
    <mergeCell ref="A270:H270"/>
    <mergeCell ref="A271:H271"/>
    <mergeCell ref="A277:H277"/>
    <mergeCell ref="A278:B278"/>
    <mergeCell ref="A279:B279"/>
    <mergeCell ref="A280:B280"/>
    <mergeCell ref="G241:H249"/>
    <mergeCell ref="G292:H295"/>
    <mergeCell ref="A310:H310"/>
    <mergeCell ref="A311:B311"/>
    <mergeCell ref="A312:B312"/>
    <mergeCell ref="A291:H291"/>
    <mergeCell ref="G290:H290"/>
    <mergeCell ref="A306:H306"/>
    <mergeCell ref="A307:H307"/>
    <mergeCell ref="A292:B292"/>
    <mergeCell ref="A293:B293"/>
    <mergeCell ref="A294:B294"/>
    <mergeCell ref="A295:B295"/>
    <mergeCell ref="A290:B290"/>
    <mergeCell ref="A308:B308"/>
    <mergeCell ref="A309:B309"/>
    <mergeCell ref="A305:B305"/>
    <mergeCell ref="A281:B281"/>
    <mergeCell ref="G278:H281"/>
    <mergeCell ref="A269:B269"/>
    <mergeCell ref="A282:H282"/>
    <mergeCell ref="A283:B283"/>
    <mergeCell ref="A284:B284"/>
    <mergeCell ref="A285:B285"/>
    <mergeCell ref="A286:B286"/>
    <mergeCell ref="A287:H287"/>
    <mergeCell ref="A288:H288"/>
    <mergeCell ref="A289:H289"/>
    <mergeCell ref="G283:H286"/>
    <mergeCell ref="A328:H328"/>
    <mergeCell ref="A329:B329"/>
    <mergeCell ref="G329:H336"/>
    <mergeCell ref="A330:B330"/>
    <mergeCell ref="A331:B331"/>
    <mergeCell ref="A332:B332"/>
    <mergeCell ref="A333:B333"/>
    <mergeCell ref="A334:B334"/>
    <mergeCell ref="A335:B335"/>
    <mergeCell ref="A336:B336"/>
    <mergeCell ref="A319:H319"/>
    <mergeCell ref="A320:B320"/>
    <mergeCell ref="G320:H327"/>
    <mergeCell ref="A321:B321"/>
    <mergeCell ref="A322:B322"/>
    <mergeCell ref="A323:B323"/>
    <mergeCell ref="A324:B324"/>
    <mergeCell ref="A325:B325"/>
    <mergeCell ref="A326:B326"/>
    <mergeCell ref="A327:B327"/>
    <mergeCell ref="A316:B316"/>
    <mergeCell ref="A317:B317"/>
    <mergeCell ref="A318:B318"/>
    <mergeCell ref="G308:H309"/>
    <mergeCell ref="G311:H318"/>
    <mergeCell ref="A296:H296"/>
    <mergeCell ref="G297:H300"/>
    <mergeCell ref="A301:H301"/>
    <mergeCell ref="A302:B302"/>
    <mergeCell ref="G302:H305"/>
    <mergeCell ref="A303:B303"/>
    <mergeCell ref="A304:B304"/>
    <mergeCell ref="A297:B297"/>
    <mergeCell ref="A298:B298"/>
    <mergeCell ref="A299:B299"/>
    <mergeCell ref="A300:B300"/>
    <mergeCell ref="A313:B313"/>
    <mergeCell ref="A314:B314"/>
    <mergeCell ref="A315:B315"/>
    <mergeCell ref="G188:H191"/>
    <mergeCell ref="G193:H196"/>
    <mergeCell ref="G200:H205"/>
    <mergeCell ref="G207:H212"/>
    <mergeCell ref="G214:H219"/>
    <mergeCell ref="G223:H226"/>
    <mergeCell ref="G228:H231"/>
    <mergeCell ref="G233:H236"/>
    <mergeCell ref="G166:H166"/>
    <mergeCell ref="A172:H172"/>
    <mergeCell ref="A173:H173"/>
    <mergeCell ref="A174:B174"/>
    <mergeCell ref="A175:B175"/>
    <mergeCell ref="A225:B225"/>
    <mergeCell ref="A226:B226"/>
    <mergeCell ref="A192:H192"/>
    <mergeCell ref="A206:H206"/>
    <mergeCell ref="A207:B207"/>
    <mergeCell ref="A208:B208"/>
    <mergeCell ref="A209:B209"/>
    <mergeCell ref="A210:B210"/>
    <mergeCell ref="A211:B211"/>
    <mergeCell ref="A212:B212"/>
    <mergeCell ref="A194:B194"/>
    <mergeCell ref="C158:D158"/>
    <mergeCell ref="E158:F158"/>
    <mergeCell ref="G158:H158"/>
    <mergeCell ref="C159:D159"/>
    <mergeCell ref="E159:F159"/>
    <mergeCell ref="C160:D160"/>
    <mergeCell ref="E160:F160"/>
    <mergeCell ref="G160:H160"/>
    <mergeCell ref="A163:A164"/>
    <mergeCell ref="C163:D163"/>
    <mergeCell ref="E163:F163"/>
    <mergeCell ref="G163:H163"/>
    <mergeCell ref="C164:D164"/>
    <mergeCell ref="E164:F164"/>
    <mergeCell ref="G164:H164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69:E170">
      <formula1>"Attached Loft area,Attached Terrace area,Attached Mezzanine area"</formula1>
    </dataValidation>
    <dataValidation type="list" allowBlank="1" showInputMessage="1" showErrorMessage="1" sqref="F170 F178">
      <formula1>"45%,50%,55%,60%"</formula1>
    </dataValidation>
    <dataValidation type="list" allowBlank="1" showInputMessage="1" showErrorMessage="1" sqref="G357:H357">
      <formula1>"Gaurav Panchal,Kunal Kadam,Pranita Mhatre,Shruti Fule,Pooja Kawale,Mansee Mohite,Anjali Kamble, Hitakshi Mhatre, Sachin Sawant"</formula1>
    </dataValidation>
    <dataValidation type="list" allowBlank="1" showInputMessage="1" showErrorMessage="1" sqref="F138:H138">
      <formula1>"On Saleable Area,On Builtup Area,On Carpet Area,On Plot Area"</formula1>
    </dataValidation>
    <dataValidation type="list" allowBlank="1" showInputMessage="1" showErrorMessage="1" sqref="F150:H150">
      <formula1>"100000,150000,200000,250000,300000,350000,400000,500000,600000,700000,800000,900000,1000000,1200000,1400000,1500000"</formula1>
    </dataValidation>
    <dataValidation type="list" allowBlank="1" showInputMessage="1" showErrorMessage="1" sqref="F169 F177">
      <formula1>"Saleable area Loading :,Builder Saleable area"</formula1>
    </dataValidation>
    <dataValidation type="list" allowBlank="1" showInputMessage="1" showErrorMessage="1" sqref="B169:B170">
      <formula1>"Shop No. (Sale Plan),Sale / Rehab,Sale / Mhada"</formula1>
    </dataValidation>
    <dataValidation type="list" allowBlank="1" showInputMessage="1" showErrorMessage="1" sqref="B177:B178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  <hyperlink ref="I64" r:id="rId2"/>
    <hyperlink ref="I181" r:id="rId3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4"/>
  <headerFooter>
    <oddHeader>&amp;C&amp;G</oddHeader>
    <oddFooter>&amp;L&amp;"Times New Roman,Bold"&amp;12Ref No: &amp;F&amp;C&amp;G&amp;R&amp;"Times New Roman,Bold"&amp;12&amp;P</oddFooter>
  </headerFooter>
  <rowBreaks count="5" manualBreakCount="5">
    <brk id="67" max="7" man="1"/>
    <brk id="361" max="16383" man="1"/>
    <brk id="404" max="16383" man="1"/>
    <brk id="440" max="16383" man="1"/>
    <brk id="483" max="16383" man="1"/>
  </rowBreaks>
  <ignoredErrors>
    <ignoredError sqref="F308 F309 A319:H319 F329:F336 A311:C318 F311:H318 A320:C327 F320:H327" unlockedFormula="1"/>
  </ignoredErrors>
  <drawing r:id="rId5"/>
  <legacy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61" t="s">
        <v>103</v>
      </c>
      <c r="C3" s="261"/>
      <c r="D3" s="261"/>
      <c r="E3" s="261"/>
      <c r="F3" s="261"/>
      <c r="G3" s="261"/>
      <c r="H3" s="261"/>
    </row>
    <row r="4" spans="1:9" x14ac:dyDescent="0.35">
      <c r="A4" s="2"/>
      <c r="B4" s="3" t="s">
        <v>104</v>
      </c>
      <c r="C4" s="3" t="s">
        <v>105</v>
      </c>
      <c r="D4" s="3" t="s">
        <v>67</v>
      </c>
      <c r="E4" s="3" t="s">
        <v>106</v>
      </c>
      <c r="F4" s="3" t="s">
        <v>112</v>
      </c>
      <c r="G4" s="3" t="s">
        <v>113</v>
      </c>
      <c r="H4" s="3" t="s">
        <v>107</v>
      </c>
    </row>
    <row r="5" spans="1:9" ht="15" customHeight="1" x14ac:dyDescent="0.35">
      <c r="A5" s="2"/>
      <c r="B5" s="5" t="s">
        <v>108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108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108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108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108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109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109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111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58"/>
      <c r="C4" s="58" t="s">
        <v>11</v>
      </c>
      <c r="D4" s="59" t="s">
        <v>174</v>
      </c>
      <c r="E4" s="59" t="s">
        <v>184</v>
      </c>
      <c r="F4" s="59" t="s">
        <v>167</v>
      </c>
      <c r="G4" s="59" t="s">
        <v>189</v>
      </c>
      <c r="H4" s="59" t="s">
        <v>207</v>
      </c>
      <c r="J4" t="s">
        <v>189</v>
      </c>
      <c r="K4" t="s">
        <v>205</v>
      </c>
    </row>
    <row r="5" spans="2:11" x14ac:dyDescent="0.35">
      <c r="B5" s="58"/>
      <c r="C5" s="58"/>
      <c r="D5" s="59" t="s">
        <v>175</v>
      </c>
      <c r="E5" s="59" t="s">
        <v>182</v>
      </c>
      <c r="F5" s="59" t="s">
        <v>204</v>
      </c>
      <c r="G5" s="59" t="s">
        <v>190</v>
      </c>
      <c r="H5" s="59" t="s">
        <v>208</v>
      </c>
    </row>
    <row r="6" spans="2:11" x14ac:dyDescent="0.35">
      <c r="B6" s="58"/>
      <c r="C6" s="58"/>
      <c r="D6" s="59" t="s">
        <v>176</v>
      </c>
      <c r="E6" s="59" t="s">
        <v>183</v>
      </c>
      <c r="F6" s="59" t="s">
        <v>205</v>
      </c>
      <c r="G6" s="59" t="s">
        <v>191</v>
      </c>
      <c r="H6" s="59" t="s">
        <v>221</v>
      </c>
    </row>
    <row r="7" spans="2:11" x14ac:dyDescent="0.35">
      <c r="B7" s="58"/>
      <c r="C7" s="58"/>
      <c r="D7" s="59" t="s">
        <v>177</v>
      </c>
      <c r="E7" s="59" t="s">
        <v>185</v>
      </c>
      <c r="F7" s="59" t="s">
        <v>206</v>
      </c>
      <c r="G7" s="59" t="s">
        <v>192</v>
      </c>
      <c r="H7" s="59" t="s">
        <v>209</v>
      </c>
    </row>
    <row r="8" spans="2:11" x14ac:dyDescent="0.35">
      <c r="B8" s="58"/>
      <c r="C8" s="58"/>
      <c r="D8" s="59" t="s">
        <v>178</v>
      </c>
      <c r="E8" s="59" t="s">
        <v>186</v>
      </c>
      <c r="F8" s="59"/>
      <c r="G8" s="59" t="s">
        <v>193</v>
      </c>
      <c r="H8" s="59" t="s">
        <v>210</v>
      </c>
    </row>
    <row r="9" spans="2:11" x14ac:dyDescent="0.35">
      <c r="B9" s="58"/>
      <c r="C9" s="58"/>
      <c r="D9" s="59" t="s">
        <v>179</v>
      </c>
      <c r="E9" s="59" t="s">
        <v>184</v>
      </c>
      <c r="F9" s="59"/>
      <c r="G9" s="59" t="s">
        <v>194</v>
      </c>
      <c r="H9" s="59" t="s">
        <v>211</v>
      </c>
    </row>
    <row r="10" spans="2:11" x14ac:dyDescent="0.35">
      <c r="B10" s="58"/>
      <c r="C10" s="58"/>
      <c r="D10" s="59" t="s">
        <v>180</v>
      </c>
      <c r="E10" s="59" t="s">
        <v>187</v>
      </c>
      <c r="F10" s="59"/>
      <c r="G10" s="59" t="s">
        <v>195</v>
      </c>
      <c r="H10" s="59" t="s">
        <v>212</v>
      </c>
    </row>
    <row r="11" spans="2:11" x14ac:dyDescent="0.35">
      <c r="B11" s="58"/>
      <c r="C11" s="58"/>
      <c r="D11" s="59" t="s">
        <v>181</v>
      </c>
      <c r="E11" s="59" t="s">
        <v>188</v>
      </c>
      <c r="F11" s="59"/>
      <c r="G11" s="59" t="s">
        <v>196</v>
      </c>
      <c r="H11" s="59" t="s">
        <v>213</v>
      </c>
    </row>
    <row r="12" spans="2:11" x14ac:dyDescent="0.35">
      <c r="B12" s="58"/>
      <c r="C12" s="58"/>
      <c r="D12" s="59"/>
      <c r="E12" s="59"/>
      <c r="F12" s="59"/>
      <c r="G12" s="59" t="s">
        <v>197</v>
      </c>
      <c r="H12" s="59" t="s">
        <v>214</v>
      </c>
    </row>
    <row r="13" spans="2:11" x14ac:dyDescent="0.35">
      <c r="B13" s="58"/>
      <c r="C13" s="58"/>
      <c r="D13" s="59"/>
      <c r="E13" s="59"/>
      <c r="F13" s="59"/>
      <c r="G13" s="59" t="s">
        <v>198</v>
      </c>
      <c r="H13" s="59" t="s">
        <v>215</v>
      </c>
    </row>
    <row r="14" spans="2:11" x14ac:dyDescent="0.35">
      <c r="B14" s="58"/>
      <c r="C14" s="58"/>
      <c r="D14" s="59"/>
      <c r="E14" s="59"/>
      <c r="F14" s="59"/>
      <c r="G14" s="59" t="s">
        <v>199</v>
      </c>
      <c r="H14" s="59" t="s">
        <v>216</v>
      </c>
    </row>
    <row r="15" spans="2:11" x14ac:dyDescent="0.35">
      <c r="B15" s="58"/>
      <c r="C15" s="58"/>
      <c r="D15" s="59"/>
      <c r="E15" s="59"/>
      <c r="F15" s="59"/>
      <c r="G15" s="59" t="s">
        <v>200</v>
      </c>
      <c r="H15" s="59" t="s">
        <v>217</v>
      </c>
    </row>
    <row r="16" spans="2:11" x14ac:dyDescent="0.35">
      <c r="B16" s="58"/>
      <c r="C16" s="58"/>
      <c r="D16" s="59"/>
      <c r="E16" s="59"/>
      <c r="F16" s="59"/>
      <c r="G16" s="59" t="s">
        <v>201</v>
      </c>
      <c r="H16" s="59" t="s">
        <v>218</v>
      </c>
    </row>
    <row r="17" spans="2:8" x14ac:dyDescent="0.35">
      <c r="B17" s="58"/>
      <c r="C17" s="58"/>
      <c r="D17" s="59"/>
      <c r="E17" s="59"/>
      <c r="F17" s="59"/>
      <c r="G17" s="59" t="s">
        <v>202</v>
      </c>
      <c r="H17" s="59" t="s">
        <v>219</v>
      </c>
    </row>
    <row r="18" spans="2:8" x14ac:dyDescent="0.35">
      <c r="B18" s="58"/>
      <c r="C18" s="58"/>
      <c r="D18" s="59"/>
      <c r="E18" s="59"/>
      <c r="F18" s="59"/>
      <c r="G18" s="59" t="s">
        <v>203</v>
      </c>
      <c r="H18" s="59" t="s">
        <v>220</v>
      </c>
    </row>
    <row r="24" spans="2:8" x14ac:dyDescent="0.35">
      <c r="C24" t="s">
        <v>165</v>
      </c>
    </row>
    <row r="25" spans="2:8" x14ac:dyDescent="0.35">
      <c r="C25" t="s">
        <v>222</v>
      </c>
    </row>
    <row r="26" spans="2:8" x14ac:dyDescent="0.35">
      <c r="C26" t="s">
        <v>223</v>
      </c>
    </row>
    <row r="27" spans="2:8" x14ac:dyDescent="0.35">
      <c r="C27" t="s">
        <v>224</v>
      </c>
    </row>
    <row r="28" spans="2:8" x14ac:dyDescent="0.35">
      <c r="C28" t="s">
        <v>225</v>
      </c>
    </row>
    <row r="29" spans="2:8" x14ac:dyDescent="0.35">
      <c r="C29" t="s">
        <v>226</v>
      </c>
    </row>
    <row r="30" spans="2:8" x14ac:dyDescent="0.35">
      <c r="C30" t="s">
        <v>165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2025-04-11T09:55:39Z</cp:lastPrinted>
  <dcterms:created xsi:type="dcterms:W3CDTF">2019-07-16T09:29:46Z</dcterms:created>
  <dcterms:modified xsi:type="dcterms:W3CDTF">2025-07-14T15:25:16Z</dcterms:modified>
</cp:coreProperties>
</file>