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July 2025\14-07-2025\"/>
    </mc:Choice>
  </mc:AlternateContent>
  <bookViews>
    <workbookView xWindow="0" yWindow="0" windowWidth="19200" windowHeight="6640" tabRatio="725"/>
  </bookViews>
  <sheets>
    <sheet name="Report" sheetId="1" r:id="rId1"/>
    <sheet name="AXIS" sheetId="7" r:id="rId2"/>
    <sheet name="Flat detail" sheetId="3" r:id="rId3"/>
    <sheet name="valuation" sheetId="5" r:id="rId4"/>
    <sheet name="Note" sheetId="4" r:id="rId5"/>
  </sheets>
  <definedNames>
    <definedName name="_xlnm.Print_Area" localSheetId="0">Report!$A$1:$H$290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8" i="1" l="1"/>
  <c r="E87" i="1"/>
  <c r="J86" i="1"/>
  <c r="E86" i="1"/>
  <c r="J85" i="1"/>
  <c r="E85" i="1"/>
  <c r="J84" i="1"/>
  <c r="E84" i="1"/>
  <c r="J83" i="1"/>
  <c r="E83" i="1"/>
  <c r="E82" i="1"/>
  <c r="E81" i="1"/>
  <c r="E80" i="1"/>
  <c r="E79" i="1"/>
  <c r="H76" i="1"/>
  <c r="F87" i="1" l="1"/>
  <c r="F83" i="1"/>
  <c r="J80" i="1"/>
  <c r="J78" i="1"/>
  <c r="F86" i="1"/>
  <c r="F82" i="1"/>
  <c r="F88" i="1"/>
  <c r="F84" i="1"/>
  <c r="J81" i="1"/>
  <c r="J82" i="1" s="1"/>
  <c r="J87" i="1" s="1"/>
  <c r="J88" i="1" s="1"/>
  <c r="F80" i="1"/>
  <c r="J79" i="1"/>
  <c r="F85" i="1"/>
  <c r="F81" i="1"/>
  <c r="F79" i="1"/>
  <c r="H79" i="1"/>
  <c r="G79" i="1"/>
  <c r="I75" i="1" l="1"/>
  <c r="C77" i="1" s="1"/>
  <c r="K100" i="1" l="1"/>
  <c r="K99" i="1"/>
  <c r="K98" i="1"/>
  <c r="K97" i="1"/>
  <c r="D176" i="1" l="1"/>
  <c r="F176" i="1" s="1"/>
  <c r="D175" i="1"/>
  <c r="F175" i="1" s="1"/>
  <c r="D174" i="1"/>
  <c r="F174" i="1" s="1"/>
  <c r="D181" i="1"/>
  <c r="F181" i="1" s="1"/>
  <c r="D180" i="1"/>
  <c r="F180" i="1" s="1"/>
  <c r="D179" i="1"/>
  <c r="F179" i="1" s="1"/>
  <c r="D178" i="1"/>
  <c r="F178" i="1" s="1"/>
  <c r="G178" i="1"/>
  <c r="G179" i="1" s="1"/>
  <c r="G180" i="1" s="1"/>
  <c r="G181" i="1" s="1"/>
  <c r="G174" i="1"/>
  <c r="G175" i="1" s="1"/>
  <c r="G176" i="1" s="1"/>
  <c r="D171" i="1"/>
  <c r="F171" i="1" s="1"/>
  <c r="D170" i="1"/>
  <c r="F170" i="1" s="1"/>
  <c r="D169" i="1"/>
  <c r="F169" i="1" s="1"/>
  <c r="D168" i="1"/>
  <c r="F168" i="1" s="1"/>
  <c r="D167" i="1"/>
  <c r="F167" i="1" s="1"/>
  <c r="D166" i="1"/>
  <c r="F166" i="1" s="1"/>
  <c r="G166" i="1"/>
  <c r="G167" i="1" s="1"/>
  <c r="G168" i="1" s="1"/>
  <c r="G169" i="1" s="1"/>
  <c r="G170" i="1" s="1"/>
  <c r="G171" i="1" s="1"/>
  <c r="D164" i="1"/>
  <c r="F164" i="1" s="1"/>
  <c r="D163" i="1"/>
  <c r="F163" i="1" s="1"/>
  <c r="G163" i="1"/>
  <c r="G164" i="1" s="1"/>
  <c r="D150" i="1"/>
  <c r="F150" i="1" s="1"/>
  <c r="D149" i="1"/>
  <c r="F149" i="1" s="1"/>
  <c r="D148" i="1"/>
  <c r="F148" i="1" s="1"/>
  <c r="D146" i="1"/>
  <c r="F146" i="1" s="1"/>
  <c r="D147" i="1"/>
  <c r="F147" i="1" s="1"/>
  <c r="D145" i="1"/>
  <c r="F145" i="1" s="1"/>
  <c r="D144" i="1"/>
  <c r="F144" i="1" s="1"/>
  <c r="A145" i="1"/>
  <c r="A146" i="1" s="1"/>
  <c r="A147" i="1" s="1"/>
  <c r="A148" i="1" s="1"/>
  <c r="A149" i="1" s="1"/>
  <c r="A150" i="1" s="1"/>
  <c r="G144" i="1"/>
  <c r="G145" i="1" s="1"/>
  <c r="G146" i="1" s="1"/>
  <c r="G147" i="1" s="1"/>
  <c r="G148" i="1" s="1"/>
  <c r="G149" i="1" s="1"/>
  <c r="G150" i="1" s="1"/>
  <c r="D160" i="1"/>
  <c r="F160" i="1" s="1"/>
  <c r="D159" i="1"/>
  <c r="F159" i="1" s="1"/>
  <c r="D158" i="1"/>
  <c r="F158" i="1" s="1"/>
  <c r="D157" i="1"/>
  <c r="F157" i="1" s="1"/>
  <c r="G157" i="1"/>
  <c r="G158" i="1" s="1"/>
  <c r="G159" i="1" s="1"/>
  <c r="G160" i="1" s="1"/>
  <c r="D141" i="1"/>
  <c r="D140" i="1"/>
  <c r="D139" i="1"/>
  <c r="D138" i="1"/>
  <c r="D137" i="1"/>
  <c r="D136" i="1"/>
  <c r="D135" i="1"/>
  <c r="D134" i="1"/>
  <c r="F141" i="1"/>
  <c r="G47" i="1"/>
  <c r="O166" i="1"/>
  <c r="P157" i="1"/>
  <c r="O178" i="1"/>
  <c r="P166" i="1"/>
  <c r="P178" i="1"/>
  <c r="O157" i="1"/>
  <c r="G119" i="1" l="1"/>
  <c r="E118" i="1"/>
  <c r="G123" i="1"/>
  <c r="G125" i="1"/>
  <c r="C118" i="1"/>
  <c r="G124" i="1"/>
  <c r="C123" i="1"/>
  <c r="C125" i="1"/>
  <c r="E125" i="1"/>
  <c r="E119" i="1"/>
  <c r="E120" i="1" s="1"/>
  <c r="C124" i="1"/>
  <c r="C119" i="1"/>
  <c r="E123" i="1"/>
  <c r="E124" i="1"/>
  <c r="N178" i="1"/>
  <c r="A178" i="1" s="1"/>
  <c r="O179" i="1"/>
  <c r="P179" i="1"/>
  <c r="P180" i="1" s="1"/>
  <c r="P181" i="1" s="1"/>
  <c r="N166" i="1"/>
  <c r="A166" i="1" s="1"/>
  <c r="O167" i="1"/>
  <c r="P167" i="1"/>
  <c r="P168" i="1" s="1"/>
  <c r="P169" i="1" s="1"/>
  <c r="P170" i="1" s="1"/>
  <c r="P171" i="1" s="1"/>
  <c r="N157" i="1"/>
  <c r="A157" i="1" s="1"/>
  <c r="O158" i="1"/>
  <c r="P158" i="1"/>
  <c r="P159" i="1" s="1"/>
  <c r="P160" i="1" s="1"/>
  <c r="A184" i="1"/>
  <c r="A185" i="1" s="1"/>
  <c r="A186" i="1" l="1"/>
  <c r="A189" i="1" s="1"/>
  <c r="A190" i="1" s="1"/>
  <c r="C120" i="1"/>
  <c r="G126" i="1"/>
  <c r="E126" i="1"/>
  <c r="C126" i="1"/>
  <c r="N179" i="1"/>
  <c r="A179" i="1" s="1"/>
  <c r="O180" i="1"/>
  <c r="N167" i="1"/>
  <c r="A167" i="1" s="1"/>
  <c r="O168" i="1"/>
  <c r="N158" i="1"/>
  <c r="A158" i="1" s="1"/>
  <c r="O159" i="1"/>
  <c r="N180" i="1" l="1"/>
  <c r="A180" i="1" s="1"/>
  <c r="O181" i="1"/>
  <c r="N181" i="1" s="1"/>
  <c r="A181" i="1" s="1"/>
  <c r="N168" i="1"/>
  <c r="A168" i="1" s="1"/>
  <c r="O169" i="1"/>
  <c r="N159" i="1"/>
  <c r="A159" i="1" s="1"/>
  <c r="O160" i="1"/>
  <c r="N160" i="1" s="1"/>
  <c r="A160" i="1" s="1"/>
  <c r="C61" i="1"/>
  <c r="H62" i="1"/>
  <c r="N169" i="1" l="1"/>
  <c r="A169" i="1" s="1"/>
  <c r="O170" i="1"/>
  <c r="D67" i="1"/>
  <c r="D74" i="1"/>
  <c r="D70" i="1"/>
  <c r="K66" i="1"/>
  <c r="C65" i="1" s="1"/>
  <c r="D73" i="1"/>
  <c r="D69" i="1"/>
  <c r="K65" i="1"/>
  <c r="D72" i="1"/>
  <c r="D68" i="1"/>
  <c r="K64" i="1"/>
  <c r="K67" i="1"/>
  <c r="K68" i="1" s="1"/>
  <c r="D71" i="1"/>
  <c r="H90" i="1"/>
  <c r="K94" i="1" l="1"/>
  <c r="C93" i="1" s="1"/>
  <c r="D93" i="1" s="1"/>
  <c r="K92" i="1"/>
  <c r="D97" i="1"/>
  <c r="K93" i="1"/>
  <c r="D102" i="1"/>
  <c r="D100" i="1"/>
  <c r="D98" i="1"/>
  <c r="D96" i="1"/>
  <c r="K95" i="1"/>
  <c r="K96" i="1" s="1"/>
  <c r="K101" i="1" s="1"/>
  <c r="K102" i="1" s="1"/>
  <c r="C94" i="1" s="1"/>
  <c r="D94" i="1" s="1"/>
  <c r="D101" i="1"/>
  <c r="D99" i="1"/>
  <c r="D95" i="1"/>
  <c r="N170" i="1"/>
  <c r="A170" i="1" s="1"/>
  <c r="O171" i="1"/>
  <c r="N171" i="1" s="1"/>
  <c r="A171" i="1" s="1"/>
  <c r="D65" i="1"/>
  <c r="K69" i="1"/>
  <c r="K70" i="1" s="1"/>
  <c r="K71" i="1" s="1"/>
  <c r="K72" i="1" s="1"/>
  <c r="G93" i="1" l="1"/>
  <c r="I89" i="1"/>
  <c r="C91" i="1" s="1"/>
  <c r="E93" i="1" s="1"/>
  <c r="K73" i="1"/>
  <c r="E12" i="7"/>
  <c r="C12" i="7"/>
  <c r="E27" i="7"/>
  <c r="C27" i="7"/>
  <c r="K74" i="1" l="1"/>
  <c r="F10" i="7"/>
  <c r="F8" i="7"/>
  <c r="F7" i="7"/>
  <c r="F5" i="7"/>
  <c r="F9" i="7" s="1"/>
  <c r="C66" i="1" l="1"/>
  <c r="G65" i="1" s="1"/>
  <c r="F11" i="7"/>
  <c r="I11" i="7" s="1"/>
  <c r="I10" i="7"/>
  <c r="I9" i="7"/>
  <c r="I8" i="7"/>
  <c r="H7" i="7"/>
  <c r="I6" i="7"/>
  <c r="H6" i="7"/>
  <c r="I5" i="7"/>
  <c r="I4" i="7"/>
  <c r="E44" i="7"/>
  <c r="C44" i="7"/>
  <c r="F43" i="7"/>
  <c r="I43" i="7" s="1"/>
  <c r="F42" i="7"/>
  <c r="I42" i="7" s="1"/>
  <c r="F40" i="7"/>
  <c r="I40" i="7" s="1"/>
  <c r="F38" i="7"/>
  <c r="I38" i="7" s="1"/>
  <c r="F37" i="7"/>
  <c r="I37" i="7" s="1"/>
  <c r="I36" i="7"/>
  <c r="H36" i="7"/>
  <c r="B36" i="7" s="1"/>
  <c r="F35" i="7"/>
  <c r="F39" i="7" s="1"/>
  <c r="I39" i="7" s="1"/>
  <c r="I34" i="7"/>
  <c r="F26" i="7"/>
  <c r="I26" i="7" s="1"/>
  <c r="F25" i="7"/>
  <c r="I25" i="7" s="1"/>
  <c r="F22" i="7"/>
  <c r="I22" i="7" s="1"/>
  <c r="F23" i="7"/>
  <c r="I23" i="7" s="1"/>
  <c r="F20" i="7"/>
  <c r="I20" i="7" s="1"/>
  <c r="I19" i="7"/>
  <c r="H19" i="7"/>
  <c r="B19" i="7" s="1"/>
  <c r="F18" i="7"/>
  <c r="F21" i="7" s="1"/>
  <c r="I17" i="7"/>
  <c r="D60" i="1" l="1"/>
  <c r="F103" i="1"/>
  <c r="D66" i="1"/>
  <c r="I61" i="1"/>
  <c r="C63" i="1" s="1"/>
  <c r="E65" i="1" s="1"/>
  <c r="H40" i="7"/>
  <c r="F41" i="7"/>
  <c r="I41" i="7" s="1"/>
  <c r="I7" i="7"/>
  <c r="I12" i="7" s="1"/>
  <c r="H8" i="7"/>
  <c r="H35" i="7"/>
  <c r="I35" i="7"/>
  <c r="D35" i="7" s="1"/>
  <c r="D36" i="7" s="1"/>
  <c r="D37" i="7" s="1"/>
  <c r="D38" i="7" s="1"/>
  <c r="D39" i="7" s="1"/>
  <c r="D40" i="7" s="1"/>
  <c r="D41" i="7" s="1"/>
  <c r="D42" i="7" s="1"/>
  <c r="H11" i="7"/>
  <c r="H9" i="7"/>
  <c r="H5" i="7"/>
  <c r="H10" i="7"/>
  <c r="H43" i="7"/>
  <c r="H38" i="7"/>
  <c r="H39" i="7"/>
  <c r="H37" i="7"/>
  <c r="B37" i="7" s="1"/>
  <c r="H42" i="7"/>
  <c r="F24" i="7"/>
  <c r="H25" i="7"/>
  <c r="H21" i="7"/>
  <c r="I21" i="7"/>
  <c r="H23" i="7"/>
  <c r="H20" i="7"/>
  <c r="B20" i="7" s="1"/>
  <c r="H18" i="7"/>
  <c r="H22" i="7"/>
  <c r="I18" i="7"/>
  <c r="D18" i="7" s="1"/>
  <c r="D19" i="7" s="1"/>
  <c r="D20" i="7" s="1"/>
  <c r="H26" i="7"/>
  <c r="B21" i="7" l="1"/>
  <c r="D21" i="7"/>
  <c r="D22" i="7" s="1"/>
  <c r="D23" i="7" s="1"/>
  <c r="B22" i="7"/>
  <c r="B23" i="7" s="1"/>
  <c r="H41" i="7"/>
  <c r="H44" i="7" s="1"/>
  <c r="B38" i="7"/>
  <c r="B39" i="7" s="1"/>
  <c r="B40" i="7" s="1"/>
  <c r="I44" i="7"/>
  <c r="H12" i="7"/>
  <c r="H24" i="7"/>
  <c r="I24" i="7"/>
  <c r="I27" i="7" s="1"/>
  <c r="B41" i="7" l="1"/>
  <c r="B42" i="7" s="1"/>
  <c r="D24" i="7"/>
  <c r="D25" i="7" s="1"/>
  <c r="B24" i="7"/>
  <c r="B25" i="7" s="1"/>
  <c r="H27" i="7"/>
  <c r="C14" i="1" l="1"/>
  <c r="E41" i="1" l="1"/>
  <c r="E42" i="1" s="1"/>
  <c r="F134" i="1" l="1"/>
  <c r="G134" i="1"/>
  <c r="G135" i="1" s="1"/>
  <c r="G136" i="1" s="1"/>
  <c r="G137" i="1" s="1"/>
  <c r="G138" i="1" s="1"/>
  <c r="G139" i="1" s="1"/>
  <c r="G140" i="1" s="1"/>
  <c r="G141" i="1" s="1"/>
  <c r="A135" i="1"/>
  <c r="A136" i="1" s="1"/>
  <c r="A137" i="1" s="1"/>
  <c r="A138" i="1" s="1"/>
  <c r="A139" i="1" s="1"/>
  <c r="A140" i="1" s="1"/>
  <c r="A141" i="1" s="1"/>
  <c r="F135" i="1"/>
  <c r="F136" i="1"/>
  <c r="F137" i="1"/>
  <c r="F138" i="1"/>
  <c r="F139" i="1"/>
  <c r="F140" i="1"/>
  <c r="E3" i="1"/>
  <c r="D58" i="1" s="1"/>
  <c r="G118" i="1" l="1"/>
  <c r="G120" i="1" s="1"/>
  <c r="E25" i="1"/>
  <c r="E23" i="1"/>
  <c r="F6" i="5" l="1"/>
  <c r="G6" i="5" s="1"/>
  <c r="F7" i="5"/>
  <c r="G7" i="5" s="1"/>
  <c r="F8" i="5"/>
  <c r="G8" i="5" s="1"/>
  <c r="F9" i="5"/>
  <c r="G9" i="5" s="1"/>
  <c r="F10" i="5"/>
  <c r="G10" i="5" s="1"/>
  <c r="F11" i="5"/>
  <c r="G11" i="5" s="1"/>
  <c r="F5" i="5"/>
  <c r="G5" i="5" s="1"/>
  <c r="G12" i="5" l="1"/>
  <c r="E7" i="1" l="1"/>
  <c r="D205" i="1" l="1"/>
  <c r="F115" i="1"/>
  <c r="C47" i="1"/>
  <c r="D52" i="1"/>
  <c r="L33" i="3" l="1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L34" i="3" l="1"/>
  <c r="K34" i="3" s="1"/>
  <c r="E34" i="3"/>
  <c r="I34" i="3"/>
  <c r="H34" i="3" s="1"/>
  <c r="D34" i="3" l="1"/>
  <c r="D36" i="3" s="1"/>
  <c r="E36" i="3"/>
</calcChain>
</file>

<file path=xl/comments1.xml><?xml version="1.0" encoding="utf-8"?>
<comments xmlns="http://schemas.openxmlformats.org/spreadsheetml/2006/main">
  <authors>
    <author xml:space="preserve"> </author>
  </authors>
  <commentList>
    <comment ref="F4" authorId="0" shapeId="0">
      <text>
        <r>
          <rPr>
            <sz val="10"/>
            <rFont val="Arial"/>
            <family val="2"/>
          </rPr>
          <t>No of habitable floors</t>
        </r>
      </text>
    </comment>
    <comment ref="F6" authorId="0" shapeId="0">
      <text>
        <r>
          <rPr>
            <sz val="10"/>
            <rFont val="Arial"/>
            <family val="2"/>
          </rPr>
          <t>No of RCC slabs including podiums</t>
        </r>
      </text>
    </comment>
    <comment ref="G6" authorId="0" shapeId="0">
      <text>
        <r>
          <rPr>
            <sz val="10"/>
            <rFont val="Arial"/>
            <family val="2"/>
          </rPr>
          <t>No of constructed RCC slabs including podium</t>
        </r>
      </text>
    </comment>
    <comment ref="F17" authorId="0" shapeId="0">
      <text>
        <r>
          <rPr>
            <sz val="10"/>
            <rFont val="Arial"/>
            <family val="2"/>
          </rPr>
          <t>No of habitable floors</t>
        </r>
      </text>
    </comment>
    <comment ref="F19" authorId="0" shapeId="0">
      <text>
        <r>
          <rPr>
            <sz val="10"/>
            <rFont val="Arial"/>
            <family val="2"/>
          </rPr>
          <t>No of RCC slabs including podiums</t>
        </r>
      </text>
    </comment>
    <comment ref="G19" authorId="0" shapeId="0">
      <text>
        <r>
          <rPr>
            <sz val="10"/>
            <rFont val="Arial"/>
            <family val="2"/>
          </rPr>
          <t>No of constructed RCC slabs including podium</t>
        </r>
      </text>
    </comment>
    <comment ref="F34" authorId="0" shapeId="0">
      <text>
        <r>
          <rPr>
            <sz val="10"/>
            <rFont val="Arial"/>
            <family val="2"/>
          </rPr>
          <t>No of habitable floors</t>
        </r>
      </text>
    </comment>
    <comment ref="F36" authorId="0" shapeId="0">
      <text>
        <r>
          <rPr>
            <sz val="10"/>
            <rFont val="Arial"/>
            <family val="2"/>
          </rPr>
          <t>No of RCC slabs including podiums</t>
        </r>
      </text>
    </comment>
    <comment ref="G36" authorId="0" shapeId="0">
      <text>
        <r>
          <rPr>
            <sz val="10"/>
            <rFont val="Arial"/>
            <family val="2"/>
          </rPr>
          <t>No of constructed RCC slabs including podium</t>
        </r>
      </text>
    </comment>
  </commentList>
</comments>
</file>

<file path=xl/sharedStrings.xml><?xml version="1.0" encoding="utf-8"?>
<sst xmlns="http://schemas.openxmlformats.org/spreadsheetml/2006/main" count="483" uniqueCount="268">
  <si>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</si>
  <si>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</si>
  <si>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</si>
  <si>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</si>
  <si>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</si>
  <si>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</si>
  <si>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</si>
  <si>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</si>
  <si>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</si>
  <si>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</si>
  <si>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</si>
  <si>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</si>
  <si>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</si>
  <si>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</si>
  <si>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</si>
  <si>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</si>
  <si>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</si>
  <si>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</si>
  <si>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</si>
  <si>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</si>
  <si>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</si>
  <si>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</si>
  <si>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</si>
  <si>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</si>
  <si>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</si>
  <si>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</si>
  <si>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</si>
  <si>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</si>
  <si>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</si>
  <si>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</si>
  <si>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</si>
  <si>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</si>
  <si>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</si>
  <si>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</si>
  <si>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</si>
  <si>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</si>
  <si>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</si>
  <si>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</si>
  <si>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</si>
  <si>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</si>
  <si>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</si>
  <si>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</si>
  <si>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</si>
  <si>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</si>
  <si>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</si>
  <si>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</si>
  <si>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</si>
  <si>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</si>
  <si>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</si>
  <si>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</si>
  <si>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</si>
  <si>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</si>
  <si>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</si>
  <si>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</si>
  <si>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</si>
  <si>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</si>
  <si>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</si>
  <si>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</si>
  <si>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</si>
  <si>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</si>
  <si>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</si>
  <si>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</si>
  <si>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</si>
  <si>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</si>
  <si>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</si>
  <si>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</si>
  <si>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</si>
  <si>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</si>
  <si>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</si>
  <si>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</si>
  <si>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</si>
  <si>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</si>
  <si>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</si>
  <si>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</si>
  <si>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</si>
  <si>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</si>
  <si>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</si>
  <si>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</si>
  <si>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</si>
  <si>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</si>
  <si>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</si>
  <si>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</si>
  <si>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</si>
  <si>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</si>
  <si>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</si>
  <si>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</si>
  <si>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</si>
  <si>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</si>
  <si>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</si>
  <si>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</si>
  <si>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</si>
  <si>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</si>
  <si>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</si>
  <si>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</si>
  <si>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</si>
  <si>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</si>
  <si>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</si>
  <si>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</si>
  <si>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</si>
  <si>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</si>
  <si>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</si>
  <si>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</si>
  <si>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</si>
  <si>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</si>
  <si>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</si>
  <si>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</si>
  <si>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</si>
  <si>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</si>
  <si>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</si>
  <si>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</si>
  <si>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</si>
  <si>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</si>
  <si>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</si>
  <si>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</si>
  <si>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Residential + Commercial</t>
  </si>
  <si>
    <t>Recommended rate of the shop Per Sq. Ft. ( on Saleable area)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</si>
  <si>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</si>
  <si>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</si>
  <si>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</si>
  <si>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</si>
  <si>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</si>
  <si>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</si>
  <si>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</si>
  <si>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</si>
  <si>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</si>
  <si>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</si>
  <si>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</si>
  <si>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</si>
  <si>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</si>
  <si>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</si>
  <si>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</si>
  <si>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</si>
  <si>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</si>
  <si>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</si>
  <si>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</si>
  <si>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</si>
  <si>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</si>
  <si>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</si>
  <si>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in process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</si>
  <si>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</si>
  <si>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</si>
  <si>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</si>
  <si>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</si>
  <si>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</si>
  <si>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</si>
  <si>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</si>
  <si>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</si>
  <si>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</si>
  <si>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</si>
  <si>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3BHK</t>
  </si>
  <si>
    <t>99 Acres</t>
  </si>
  <si>
    <t>Average</t>
  </si>
  <si>
    <t xml:space="preserve">Valuation Adopted </t>
  </si>
  <si>
    <t>Saleable Area</t>
  </si>
  <si>
    <t>Rate on Saleable</t>
  </si>
  <si>
    <t>All work Completed. Provide OC.</t>
  </si>
  <si>
    <t xml:space="preserve">Wheather the construction is as per approved Building plan : </t>
  </si>
  <si>
    <t>Saleable area
Loading :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</si>
  <si>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</si>
  <si>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</si>
  <si>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</si>
  <si>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</si>
  <si>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</si>
  <si>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</si>
  <si>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</si>
  <si>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</si>
  <si>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5) Gross carpet area =  Net Carpet area + Fungible area.</t>
  </si>
  <si>
    <t>6) Fungible Area= Enclosed Balcony + Flower Bed + Covered Balcony + Service Slab + Duct + Chajja + Wheather Shed area.</t>
  </si>
  <si>
    <t>Stage calculator as per Revised Valuation Manual</t>
  </si>
  <si>
    <t>Completed</t>
  </si>
  <si>
    <t>Net completed</t>
  </si>
  <si>
    <t>Recommended</t>
  </si>
  <si>
    <t>Net recommended</t>
  </si>
  <si>
    <t>No of floors in building</t>
  </si>
  <si>
    <t>No of constructed floors</t>
  </si>
  <si>
    <t>Completed (%)</t>
  </si>
  <si>
    <t>Recommended (%)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</si>
  <si>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</si>
  <si>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</si>
  <si>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</si>
  <si>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</si>
  <si>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</si>
  <si>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</si>
  <si>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</si>
  <si>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Final Stage (%)</t>
  </si>
  <si>
    <t>Ext. Plaster &amp; Plumbing</t>
  </si>
  <si>
    <t>Brickwork</t>
  </si>
  <si>
    <t>Internal Plaster</t>
  </si>
  <si>
    <t>Painting &amp; Wooden</t>
  </si>
  <si>
    <t>ASMITA recommendation</t>
  </si>
  <si>
    <t>Actual Stage Provided by AXIS Bank</t>
  </si>
  <si>
    <t>Split % by Asmita ---OK By Ajinkya</t>
  </si>
  <si>
    <t>Slab/Floor</t>
  </si>
  <si>
    <t>Construction details:</t>
  </si>
  <si>
    <t>Piling Work in process</t>
  </si>
  <si>
    <t>Basement</t>
  </si>
  <si>
    <t>Basement 1</t>
  </si>
  <si>
    <t>Basement 2</t>
  </si>
  <si>
    <t>Basement 3</t>
  </si>
  <si>
    <t>Building Common Amenities &amp; Painting</t>
  </si>
  <si>
    <t>Basement 4</t>
  </si>
  <si>
    <t>Ideal Enclave</t>
  </si>
  <si>
    <t>Axis Goregaon</t>
  </si>
  <si>
    <t>MAHSUL/KAKSH.1/T.1/NAP/SR - 189/2018</t>
  </si>
  <si>
    <t>MAHSUL/KAKSH.1/MEJ1/NAP/SR/189/18</t>
  </si>
  <si>
    <t>Gut No</t>
  </si>
  <si>
    <t>Umroli</t>
  </si>
  <si>
    <t>Palghar</t>
  </si>
  <si>
    <t>Type A1</t>
  </si>
  <si>
    <t>Shop</t>
  </si>
  <si>
    <t>Ground Floor for Commercial &amp; Parking</t>
  </si>
  <si>
    <t>Type A2</t>
  </si>
  <si>
    <t>Type A3</t>
  </si>
  <si>
    <t>1BHK</t>
  </si>
  <si>
    <t>2BHK</t>
  </si>
  <si>
    <t>1.5BHK</t>
  </si>
  <si>
    <t>1st &amp; 2nd Floor for Residential</t>
  </si>
  <si>
    <t>Ground Floor for Residential &amp; Parking</t>
  </si>
  <si>
    <t>1st to 4th Floor</t>
  </si>
  <si>
    <t>1st to 4th Floor for Residential</t>
  </si>
  <si>
    <t>Flats - 53, Shops - 15</t>
  </si>
  <si>
    <t>We considered Gross carpet area = Net carpet + Enclose balcony.</t>
  </si>
  <si>
    <t>Legal  Charges</t>
  </si>
  <si>
    <t>10,000/-</t>
  </si>
  <si>
    <t>Other Charges</t>
  </si>
  <si>
    <t>1,00,000/-</t>
  </si>
  <si>
    <t>We considered  Saleable area  as per our calculation.</t>
  </si>
  <si>
    <t>On Site, we meet Ms. Padnya Gawand(Sales)(8788228660).</t>
  </si>
  <si>
    <t>Approved Plans, CC, Cost Sheet</t>
  </si>
  <si>
    <t>Soham Garden Buildings</t>
  </si>
  <si>
    <t>Padghe Road</t>
  </si>
  <si>
    <t>Open Plot</t>
  </si>
  <si>
    <t xml:space="preserve">Umroli Railway Station </t>
  </si>
  <si>
    <t>Internal Road</t>
  </si>
  <si>
    <t xml:space="preserve"> Open Plot</t>
  </si>
  <si>
    <t>232/A/2</t>
  </si>
  <si>
    <t>Building No.1</t>
  </si>
  <si>
    <t>Type A1 - A Wing</t>
  </si>
  <si>
    <t>Building No.1 
Type A1 = A Wing
Type A2 = B Wing
Type A3 = C Wing</t>
  </si>
  <si>
    <t>Building No.1 (Type A1 - A Wing) = Gr + 1st to 2nd Floor
Building No.1 (Type A2 - B Wing &amp; A3 - C Wing) = Gr + 1st to 4th Floor</t>
  </si>
  <si>
    <t>Building No.1 (Type A2 - B Wing &amp; A3 - C Wing) = Gr + 1st to 4th Floor</t>
  </si>
  <si>
    <t>Building No.1 (Type A1 - A Wing) = Gr + 1st to 2nd Floor</t>
  </si>
  <si>
    <t>Type A2 - B Wing</t>
  </si>
  <si>
    <t>Type A3 - C Wing</t>
  </si>
  <si>
    <t>M/s. T. L. Realities</t>
  </si>
  <si>
    <t>Building No.1 (Type A3 - C Wing) = Gr + 1st to 4th Floor</t>
  </si>
  <si>
    <t>Building No.1 (Type A2 - B Wing) = Gr + 1st to 4th Floor</t>
  </si>
  <si>
    <t>Recommended rate should be considered as all inclusive rate if other charges are not mentioned. (Excluding GST &amp; other government Taxes)</t>
  </si>
  <si>
    <t>Part II
(Flat No.1 &amp; 2)</t>
  </si>
  <si>
    <t>Part I
(Flat No.3,4,5,6)</t>
  </si>
  <si>
    <t>Slab/Floor
Average of Part I &amp; II</t>
  </si>
  <si>
    <t>3 Wings</t>
  </si>
  <si>
    <t>Location Link</t>
  </si>
  <si>
    <t>Office No. 1031, Wing J, Akshar Business Park, Plot No. 03 Sector 25, Near APMC Market, Vashi, 
Navi Mumbai, Maharashtra 400703 TEL: 022-46090378/79/80                                                                       
E mail : vsjcapf@gmail.com. Web site : www.vsjadon.com</t>
  </si>
  <si>
    <t>Valid Up to: Building 1 (Type A1) = Gr + 1st to 2nd Floor
Building 1 (Type A2 &amp; A3) = Gr + 1st to 4th Floor</t>
  </si>
  <si>
    <t xml:space="preserve">Car parking is subjected to authentic documentation. </t>
  </si>
  <si>
    <t xml:space="preserve">The project has received first CC on 07/06/2019, But construction work is not yet Completed. </t>
  </si>
  <si>
    <t xml:space="preserve">Building No.1 (C Wing) = Construction work is in process at the time of visit (Slow Speed).
Building No.1 (A, B Wing) = Construction work is the same as last visit, but work is in process at the time of the visit. (Slow Speed)
</t>
  </si>
  <si>
    <t>Site Person - Contact Details (Name &amp; Contact No.)</t>
  </si>
  <si>
    <t>Mr. Akash 9029664475</t>
  </si>
  <si>
    <t>Gaurav Naik</t>
  </si>
  <si>
    <t>P99000027773</t>
  </si>
  <si>
    <t>As per RERA, completion period of project Ideal Enclave is expired on 31/09/2024 but still project work is pending.</t>
  </si>
  <si>
    <t>Pooja</t>
  </si>
  <si>
    <t>As per RERA - 31/12/2026</t>
  </si>
  <si>
    <t>Wing A &amp; B = Construction work was stopped. Construction work is same as last visit dtd.07/10/2024
Wing C = Construction work was stopped. Work is same as last visit dtd.05/04/2025.</t>
  </si>
  <si>
    <t>https://maps.app.goo.gl/TDG95yoGFPU9fokn6</t>
  </si>
  <si>
    <t>0.85 Km from Umroli Railway Station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</si>
</sst>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dd\/mm\/yyyy"/>
  </numFmts>
  <fonts count="30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5"/>
      <color rgb="FF000000"/>
      <name val="Calibri"/>
      <family val="2"/>
    </font>
    <font>
      <b/>
      <sz val="11"/>
      <name val="Times New Roman"/>
      <family val="1"/>
    </font>
    <font>
      <u/>
      <sz val="11"/>
      <color theme="10"/>
      <name val="Calibri"/>
      <family val="2"/>
    </font>
    <font>
      <b/>
      <sz val="12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6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13"/>
        <bgColor indexed="34"/>
      </patternFill>
    </fill>
    <fill>
      <patternFill patternType="solid">
        <fgColor indexed="45"/>
        <bgColor indexed="29"/>
      </patternFill>
    </fill>
    <fill>
      <patternFill patternType="solid">
        <fgColor indexed="27"/>
        <bgColor indexed="41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0" fontId="28" fillId="0" borderId="0" applyNumberFormat="0" applyFill="0" applyBorder="0" applyAlignment="0" applyProtection="0"/>
  </cellStyleXfs>
  <cellXfs count="230">
    <xf numFmtId="0" fontId="0" fillId="0" borderId="0" xfId="0"/>
    <xf numFmtId="0" fontId="0" fillId="3" borderId="1" xfId="0" applyFill="1" applyBorder="1"/>
    <xf numFmtId="0" fontId="0" fillId="0" borderId="2" xfId="0" applyBorder="1" applyAlignment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/>
    <xf numFmtId="0" fontId="7" fillId="0" borderId="12" xfId="1" applyFont="1" applyBorder="1" applyProtection="1">
      <protection hidden="1"/>
    </xf>
    <xf numFmtId="0" fontId="7" fillId="0" borderId="13" xfId="1" applyFont="1" applyBorder="1" applyProtection="1">
      <protection hidden="1"/>
    </xf>
    <xf numFmtId="0" fontId="7" fillId="0" borderId="13" xfId="1" applyFont="1" applyBorder="1"/>
    <xf numFmtId="0" fontId="5" fillId="0" borderId="0" xfId="4" applyFont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9" fontId="8" fillId="0" borderId="19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Fill="1" applyBorder="1" applyProtection="1">
      <protection hidden="1"/>
    </xf>
    <xf numFmtId="0" fontId="24" fillId="4" borderId="25" xfId="0" applyFont="1" applyFill="1" applyBorder="1" applyAlignment="1">
      <alignment horizontal="center" vertical="center" wrapText="1"/>
    </xf>
    <xf numFmtId="0" fontId="24" fillId="5" borderId="25" xfId="0" applyFont="1" applyFill="1" applyBorder="1" applyAlignment="1">
      <alignment horizontal="center" vertical="center" wrapText="1"/>
    </xf>
    <xf numFmtId="0" fontId="24" fillId="5" borderId="25" xfId="0" applyFont="1" applyFill="1" applyBorder="1" applyAlignment="1" applyProtection="1">
      <alignment horizontal="center" vertical="center" wrapText="1"/>
      <protection locked="0"/>
    </xf>
    <xf numFmtId="164" fontId="24" fillId="5" borderId="25" xfId="0" applyNumberFormat="1" applyFont="1" applyFill="1" applyBorder="1" applyAlignment="1">
      <alignment horizontal="center" vertical="center" wrapText="1"/>
    </xf>
    <xf numFmtId="0" fontId="24" fillId="6" borderId="25" xfId="0" applyFont="1" applyFill="1" applyBorder="1" applyAlignment="1" applyProtection="1">
      <alignment horizontal="center" vertical="center" wrapText="1"/>
      <protection locked="0"/>
    </xf>
    <xf numFmtId="0" fontId="24" fillId="7" borderId="25" xfId="0" applyFont="1" applyFill="1" applyBorder="1" applyAlignment="1" applyProtection="1">
      <alignment horizontal="center" vertical="center" wrapText="1"/>
      <protection locked="0"/>
    </xf>
    <xf numFmtId="0" fontId="24" fillId="6" borderId="25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25" xfId="0" applyFont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1" fontId="24" fillId="8" borderId="25" xfId="0" applyNumberFormat="1" applyFont="1" applyFill="1" applyBorder="1" applyAlignment="1">
      <alignment horizontal="center" vertical="center" wrapText="1"/>
    </xf>
    <xf numFmtId="0" fontId="17" fillId="0" borderId="13" xfId="0" applyNumberFormat="1" applyFont="1" applyBorder="1" applyProtection="1">
      <protection hidden="1"/>
    </xf>
    <xf numFmtId="0" fontId="7" fillId="0" borderId="11" xfId="1" applyFont="1" applyFill="1" applyBorder="1" applyProtection="1">
      <protection hidden="1"/>
    </xf>
    <xf numFmtId="0" fontId="7" fillId="0" borderId="0" xfId="1" applyFont="1" applyFill="1" applyBorder="1" applyProtection="1">
      <protection hidden="1"/>
    </xf>
    <xf numFmtId="1" fontId="24" fillId="5" borderId="25" xfId="0" applyNumberFormat="1" applyFont="1" applyFill="1" applyBorder="1" applyAlignment="1">
      <alignment horizontal="center" vertical="center" wrapText="1"/>
    </xf>
    <xf numFmtId="0" fontId="24" fillId="4" borderId="25" xfId="0" applyFont="1" applyFill="1" applyBorder="1" applyAlignment="1">
      <alignment horizontal="left" vertical="top" wrapText="1"/>
    </xf>
    <xf numFmtId="0" fontId="24" fillId="5" borderId="25" xfId="0" applyFont="1" applyFill="1" applyBorder="1" applyAlignment="1">
      <alignment horizontal="center" vertical="top" wrapText="1"/>
    </xf>
    <xf numFmtId="0" fontId="24" fillId="5" borderId="25" xfId="0" applyFont="1" applyFill="1" applyBorder="1" applyAlignment="1" applyProtection="1">
      <alignment horizontal="center" vertical="top" wrapText="1"/>
      <protection locked="0"/>
    </xf>
    <xf numFmtId="164" fontId="24" fillId="5" borderId="25" xfId="0" applyNumberFormat="1" applyFont="1" applyFill="1" applyBorder="1" applyAlignment="1">
      <alignment horizontal="center" vertical="top" wrapText="1"/>
    </xf>
    <xf numFmtId="0" fontId="25" fillId="4" borderId="25" xfId="0" applyFont="1" applyFill="1" applyBorder="1" applyAlignment="1">
      <alignment horizontal="center" vertical="center" wrapText="1"/>
    </xf>
    <xf numFmtId="0" fontId="0" fillId="3" borderId="0" xfId="0" applyFill="1"/>
    <xf numFmtId="0" fontId="17" fillId="0" borderId="14" xfId="0" applyFont="1" applyFill="1" applyBorder="1" applyProtection="1">
      <protection hidden="1"/>
    </xf>
    <xf numFmtId="1" fontId="0" fillId="0" borderId="13" xfId="0" applyNumberFormat="1" applyBorder="1"/>
    <xf numFmtId="1" fontId="0" fillId="0" borderId="13" xfId="0" applyNumberFormat="1" applyBorder="1" applyAlignment="1">
      <alignment horizontal="right"/>
    </xf>
    <xf numFmtId="1" fontId="0" fillId="0" borderId="15" xfId="0" applyNumberFormat="1" applyBorder="1"/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1" fontId="8" fillId="0" borderId="3" xfId="1" applyNumberFormat="1" applyFont="1" applyFill="1" applyBorder="1" applyAlignment="1" applyProtection="1">
      <alignment horizontal="center" vertical="top" wrapText="1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1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5" xfId="1" applyFont="1" applyFill="1" applyBorder="1" applyAlignment="1" applyProtection="1">
      <alignment horizontal="center" vertical="top"/>
      <protection locked="0"/>
    </xf>
    <xf numFmtId="0" fontId="7" fillId="0" borderId="0" xfId="1" applyFont="1" applyFill="1"/>
    <xf numFmtId="0" fontId="15" fillId="0" borderId="0" xfId="1" applyFont="1" applyFill="1"/>
    <xf numFmtId="0" fontId="12" fillId="0" borderId="1" xfId="1" applyFont="1" applyFill="1" applyBorder="1" applyAlignment="1" applyProtection="1">
      <alignment vertical="top"/>
      <protection locked="0"/>
    </xf>
    <xf numFmtId="0" fontId="12" fillId="0" borderId="0" xfId="1" applyFont="1" applyFill="1"/>
    <xf numFmtId="1" fontId="7" fillId="0" borderId="0" xfId="1" applyNumberFormat="1" applyFont="1" applyFill="1"/>
    <xf numFmtId="0" fontId="7" fillId="0" borderId="0" xfId="1" applyNumberFormat="1" applyFont="1" applyFill="1"/>
    <xf numFmtId="14" fontId="7" fillId="0" borderId="0" xfId="1" applyNumberFormat="1" applyFont="1" applyFill="1"/>
    <xf numFmtId="0" fontId="7" fillId="0" borderId="0" xfId="1" applyFont="1" applyFill="1" applyProtection="1">
      <protection hidden="1"/>
    </xf>
    <xf numFmtId="0" fontId="7" fillId="0" borderId="12" xfId="1" applyFont="1" applyFill="1" applyBorder="1" applyProtection="1">
      <protection hidden="1"/>
    </xf>
    <xf numFmtId="0" fontId="7" fillId="0" borderId="13" xfId="1" applyFont="1" applyFill="1" applyBorder="1" applyProtection="1">
      <protection hidden="1"/>
    </xf>
    <xf numFmtId="0" fontId="7" fillId="0" borderId="0" xfId="1" applyFont="1" applyFill="1" applyBorder="1"/>
    <xf numFmtId="0" fontId="7" fillId="0" borderId="13" xfId="1" applyFont="1" applyFill="1" applyBorder="1"/>
    <xf numFmtId="0" fontId="12" fillId="0" borderId="1" xfId="1" applyFont="1" applyFill="1" applyBorder="1" applyAlignment="1" applyProtection="1">
      <alignment horizontal="center" wrapText="1"/>
      <protection locked="0"/>
    </xf>
    <xf numFmtId="9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9" fontId="17" fillId="0" borderId="0" xfId="0" applyNumberFormat="1" applyFont="1" applyFill="1" applyBorder="1" applyProtection="1">
      <protection hidden="1"/>
    </xf>
    <xf numFmtId="0" fontId="17" fillId="0" borderId="13" xfId="0" applyNumberFormat="1" applyFont="1" applyFill="1" applyBorder="1" applyProtection="1">
      <protection hidden="1"/>
    </xf>
    <xf numFmtId="1" fontId="12" fillId="0" borderId="1" xfId="1" applyNumberFormat="1" applyFont="1" applyFill="1" applyBorder="1" applyAlignment="1" applyProtection="1">
      <alignment horizontal="center" wrapText="1"/>
      <protection locked="0"/>
    </xf>
    <xf numFmtId="1" fontId="0" fillId="0" borderId="13" xfId="0" applyNumberFormat="1" applyFill="1" applyBorder="1"/>
    <xf numFmtId="1" fontId="0" fillId="0" borderId="0" xfId="0" applyNumberFormat="1" applyFill="1" applyBorder="1"/>
    <xf numFmtId="164" fontId="0" fillId="0" borderId="0" xfId="0" applyNumberFormat="1" applyFill="1" applyBorder="1"/>
    <xf numFmtId="1" fontId="0" fillId="0" borderId="13" xfId="0" applyNumberFormat="1" applyFill="1" applyBorder="1" applyAlignment="1">
      <alignment horizontal="right"/>
    </xf>
    <xf numFmtId="0" fontId="0" fillId="0" borderId="0" xfId="0" applyFill="1" applyBorder="1"/>
    <xf numFmtId="0" fontId="0" fillId="0" borderId="13" xfId="0" applyFill="1" applyBorder="1"/>
    <xf numFmtId="0" fontId="12" fillId="0" borderId="7" xfId="1" applyFont="1" applyFill="1" applyBorder="1" applyAlignment="1" applyProtection="1">
      <alignment horizontal="center" wrapText="1"/>
      <protection locked="0"/>
    </xf>
    <xf numFmtId="9" fontId="12" fillId="0" borderId="7" xfId="1" applyNumberFormat="1" applyFont="1" applyFill="1" applyBorder="1" applyAlignment="1" applyProtection="1">
      <alignment horizontal="center" vertical="center" wrapText="1"/>
      <protection hidden="1"/>
    </xf>
    <xf numFmtId="9" fontId="17" fillId="0" borderId="14" xfId="0" applyNumberFormat="1" applyFont="1" applyFill="1" applyBorder="1" applyProtection="1">
      <protection hidden="1"/>
    </xf>
    <xf numFmtId="1" fontId="0" fillId="0" borderId="15" xfId="0" applyNumberFormat="1" applyFill="1" applyBorder="1"/>
    <xf numFmtId="0" fontId="16" fillId="0" borderId="0" xfId="1" applyFont="1" applyFill="1"/>
    <xf numFmtId="0" fontId="6" fillId="0" borderId="0" xfId="2" applyFont="1" applyFill="1"/>
    <xf numFmtId="0" fontId="7" fillId="0" borderId="0" xfId="0" applyFont="1" applyFill="1" applyAlignment="1">
      <alignment horizontal="center" vertical="center"/>
    </xf>
    <xf numFmtId="1" fontId="7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7" fillId="0" borderId="0" xfId="1" applyNumberFormat="1" applyFont="1" applyFill="1" applyAlignment="1">
      <alignment horizontal="center" vertical="center"/>
    </xf>
    <xf numFmtId="0" fontId="8" fillId="0" borderId="0" xfId="1" applyFont="1" applyFill="1" applyBorder="1" applyAlignment="1" applyProtection="1">
      <alignment vertical="top"/>
      <protection locked="0"/>
    </xf>
    <xf numFmtId="0" fontId="8" fillId="0" borderId="0" xfId="1" applyFont="1" applyFill="1" applyBorder="1" applyAlignment="1" applyProtection="1">
      <alignment vertical="top" wrapText="1"/>
      <protection locked="0"/>
    </xf>
    <xf numFmtId="0" fontId="7" fillId="0" borderId="0" xfId="1" applyFont="1" applyFill="1" applyProtection="1">
      <protection locked="0"/>
    </xf>
    <xf numFmtId="0" fontId="10" fillId="0" borderId="0" xfId="1" applyFont="1" applyFill="1" applyProtection="1">
      <protection locked="0"/>
    </xf>
    <xf numFmtId="0" fontId="12" fillId="0" borderId="4" xfId="1" applyFont="1" applyFill="1" applyBorder="1" applyAlignment="1" applyProtection="1">
      <alignment horizontal="center" vertical="top"/>
      <protection locked="0"/>
    </xf>
    <xf numFmtId="0" fontId="13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27" fillId="2" borderId="1" xfId="1" applyFont="1" applyFill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Fill="1" applyBorder="1" applyAlignment="1" applyProtection="1">
      <alignment vertical="top" wrapText="1"/>
      <protection locked="0"/>
    </xf>
    <xf numFmtId="0" fontId="13" fillId="0" borderId="5" xfId="1" applyFont="1" applyFill="1" applyBorder="1" applyAlignment="1" applyProtection="1">
      <alignment vertical="top" wrapText="1"/>
      <protection locked="0"/>
    </xf>
    <xf numFmtId="1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29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1" applyNumberFormat="1" applyFont="1" applyFill="1" applyBorder="1" applyAlignment="1" applyProtection="1">
      <alignment horizontal="center" vertical="top" wrapText="1"/>
      <protection locked="0"/>
    </xf>
    <xf numFmtId="9" fontId="8" fillId="0" borderId="1" xfId="8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9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1" xfId="1" applyFont="1" applyFill="1" applyBorder="1" applyAlignment="1" applyProtection="1">
      <alignment horizontal="center" vertical="top"/>
      <protection locked="0"/>
    </xf>
    <xf numFmtId="1" fontId="13" fillId="0" borderId="9" xfId="0" applyNumberFormat="1" applyFont="1" applyFill="1" applyBorder="1" applyAlignment="1" applyProtection="1">
      <alignment vertical="top" wrapText="1"/>
      <protection locked="0"/>
    </xf>
    <xf numFmtId="1" fontId="13" fillId="0" borderId="24" xfId="0" applyNumberFormat="1" applyFont="1" applyFill="1" applyBorder="1" applyAlignment="1" applyProtection="1">
      <alignment vertical="top" wrapText="1"/>
      <protection locked="0"/>
    </xf>
    <xf numFmtId="1" fontId="13" fillId="0" borderId="10" xfId="0" applyNumberFormat="1" applyFont="1" applyFill="1" applyBorder="1" applyAlignment="1" applyProtection="1">
      <alignment vertical="top" wrapText="1"/>
      <protection locked="0"/>
    </xf>
    <xf numFmtId="0" fontId="8" fillId="0" borderId="1" xfId="1" applyFont="1" applyFill="1" applyBorder="1" applyAlignment="1" applyProtection="1">
      <alignment horizontal="center" vertical="top"/>
      <protection locked="0"/>
    </xf>
    <xf numFmtId="0" fontId="28" fillId="0" borderId="1" xfId="9" applyFill="1" applyBorder="1" applyAlignment="1" applyProtection="1">
      <alignment horizontal="left"/>
      <protection locked="0"/>
    </xf>
    <xf numFmtId="0" fontId="12" fillId="0" borderId="1" xfId="1" applyFont="1" applyFill="1" applyBorder="1" applyAlignment="1" applyProtection="1">
      <alignment horizontal="left"/>
      <protection locked="0"/>
    </xf>
    <xf numFmtId="0" fontId="12" fillId="0" borderId="4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6" xfId="1" applyFont="1" applyFill="1" applyBorder="1" applyAlignment="1" applyProtection="1">
      <alignment horizontal="center" vertical="top" wrapText="1"/>
      <protection locked="0"/>
    </xf>
    <xf numFmtId="0" fontId="12" fillId="0" borderId="7" xfId="1" applyFont="1" applyFill="1" applyBorder="1" applyAlignment="1" applyProtection="1">
      <alignment horizontal="center" vertical="top" wrapText="1"/>
      <protection locked="0"/>
    </xf>
    <xf numFmtId="164" fontId="6" fillId="0" borderId="1" xfId="1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Fill="1" applyBorder="1" applyAlignment="1" applyProtection="1">
      <alignment horizontal="left" vertical="top"/>
      <protection locked="0"/>
    </xf>
    <xf numFmtId="0" fontId="13" fillId="0" borderId="35" xfId="1" applyFont="1" applyFill="1" applyBorder="1" applyAlignment="1" applyProtection="1">
      <alignment horizontal="left" vertical="top" wrapText="1"/>
      <protection locked="0"/>
    </xf>
    <xf numFmtId="0" fontId="13" fillId="0" borderId="23" xfId="1" applyFont="1" applyFill="1" applyBorder="1" applyAlignment="1" applyProtection="1">
      <alignment horizontal="left" vertical="top" wrapText="1"/>
      <protection locked="0"/>
    </xf>
    <xf numFmtId="0" fontId="13" fillId="0" borderId="22" xfId="1" applyFont="1" applyFill="1" applyBorder="1" applyAlignment="1" applyProtection="1">
      <alignment horizontal="left" vertical="top" wrapText="1"/>
      <protection locked="0"/>
    </xf>
    <xf numFmtId="0" fontId="13" fillId="0" borderId="2" xfId="1" applyFont="1" applyFill="1" applyBorder="1" applyAlignment="1" applyProtection="1">
      <alignment horizontal="left" vertical="top" wrapText="1"/>
      <protection locked="0"/>
    </xf>
    <xf numFmtId="0" fontId="13" fillId="0" borderId="36" xfId="1" applyFont="1" applyFill="1" applyBorder="1" applyAlignment="1" applyProtection="1">
      <alignment horizontal="left" vertical="top" wrapText="1"/>
      <protection locked="0"/>
    </xf>
    <xf numFmtId="1" fontId="6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0" fontId="6" fillId="0" borderId="1" xfId="1" applyFont="1" applyFill="1" applyBorder="1" applyAlignment="1" applyProtection="1">
      <alignment vertical="top"/>
      <protection locked="0"/>
    </xf>
    <xf numFmtId="1" fontId="8" fillId="0" borderId="1" xfId="0" applyNumberFormat="1" applyFont="1" applyFill="1" applyBorder="1" applyAlignment="1" applyProtection="1">
      <alignment horizontal="center" vertical="top" wrapText="1"/>
      <protection locked="0"/>
    </xf>
    <xf numFmtId="1" fontId="8" fillId="0" borderId="3" xfId="1" applyNumberFormat="1" applyFont="1" applyFill="1" applyBorder="1" applyAlignment="1" applyProtection="1">
      <alignment horizontal="center" vertical="top" wrapText="1"/>
      <protection locked="0"/>
    </xf>
    <xf numFmtId="1" fontId="8" fillId="0" borderId="19" xfId="1" applyNumberFormat="1" applyFont="1" applyFill="1" applyBorder="1" applyAlignment="1" applyProtection="1">
      <alignment horizontal="center" vertical="top" wrapText="1"/>
      <protection locked="0"/>
    </xf>
    <xf numFmtId="1" fontId="4" fillId="0" borderId="3" xfId="1" applyNumberFormat="1" applyFont="1" applyFill="1" applyBorder="1" applyAlignment="1" applyProtection="1">
      <alignment horizontal="center" vertical="top" wrapText="1"/>
      <protection locked="0"/>
    </xf>
    <xf numFmtId="1" fontId="4" fillId="0" borderId="19" xfId="1" applyNumberFormat="1" applyFont="1" applyFill="1" applyBorder="1" applyAlignment="1" applyProtection="1">
      <alignment horizontal="center" vertical="top" wrapText="1"/>
      <protection locked="0"/>
    </xf>
    <xf numFmtId="1" fontId="8" fillId="0" borderId="20" xfId="1" applyNumberFormat="1" applyFont="1" applyFill="1" applyBorder="1" applyAlignment="1" applyProtection="1">
      <alignment horizontal="center" vertical="top" wrapText="1"/>
      <protection locked="0"/>
    </xf>
    <xf numFmtId="1" fontId="8" fillId="0" borderId="21" xfId="1" applyNumberFormat="1" applyFont="1" applyFill="1" applyBorder="1" applyAlignment="1" applyProtection="1">
      <alignment horizontal="center" vertical="top" wrapText="1"/>
      <protection locked="0"/>
    </xf>
    <xf numFmtId="1" fontId="8" fillId="0" borderId="22" xfId="1" applyNumberFormat="1" applyFont="1" applyFill="1" applyBorder="1" applyAlignment="1" applyProtection="1">
      <alignment horizontal="center" vertical="top" wrapText="1"/>
      <protection locked="0"/>
    </xf>
    <xf numFmtId="1" fontId="8" fillId="0" borderId="23" xfId="1" applyNumberFormat="1" applyFont="1" applyFill="1" applyBorder="1" applyAlignment="1" applyProtection="1">
      <alignment horizontal="center" vertical="top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1" fontId="7" fillId="0" borderId="1" xfId="0" applyNumberFormat="1" applyFont="1" applyFill="1" applyBorder="1" applyAlignment="1" applyProtection="1">
      <alignment horizontal="center" vertical="top" wrapText="1"/>
      <protection locked="0"/>
    </xf>
    <xf numFmtId="0" fontId="7" fillId="0" borderId="1" xfId="0" applyFont="1" applyFill="1" applyBorder="1" applyAlignment="1" applyProtection="1">
      <alignment horizontal="center" vertical="top" wrapText="1"/>
      <protection locked="0"/>
    </xf>
    <xf numFmtId="1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1" fontId="10" fillId="0" borderId="1" xfId="0" applyNumberFormat="1" applyFont="1" applyFill="1" applyBorder="1" applyAlignment="1" applyProtection="1">
      <alignment horizontal="center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3" fillId="0" borderId="1" xfId="0" applyFont="1" applyFill="1" applyBorder="1" applyAlignment="1" applyProtection="1">
      <alignment horizontal="center" vertical="top" wrapText="1"/>
      <protection locked="0"/>
    </xf>
    <xf numFmtId="1" fontId="13" fillId="0" borderId="1" xfId="0" applyNumberFormat="1" applyFont="1" applyFill="1" applyBorder="1" applyAlignment="1" applyProtection="1">
      <alignment horizontal="center" vertical="top" wrapText="1"/>
      <protection locked="0"/>
    </xf>
    <xf numFmtId="1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" applyFont="1" applyFill="1" applyBorder="1" applyAlignment="1" applyProtection="1">
      <alignment horizontal="left" vertical="top" wrapText="1"/>
      <protection locked="0"/>
    </xf>
    <xf numFmtId="1" fontId="8" fillId="0" borderId="1" xfId="0" applyNumberFormat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vertical="top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1" fontId="4" fillId="0" borderId="1" xfId="1" applyNumberFormat="1" applyFont="1" applyFill="1" applyBorder="1" applyAlignment="1" applyProtection="1">
      <alignment horizontal="center" vertical="top" wrapText="1"/>
      <protection locked="0"/>
    </xf>
    <xf numFmtId="1" fontId="8" fillId="0" borderId="1" xfId="1" applyNumberFormat="1" applyFont="1" applyFill="1" applyBorder="1" applyAlignment="1" applyProtection="1">
      <alignment horizontal="center" vertical="top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29" fillId="0" borderId="9" xfId="0" applyNumberFormat="1" applyFont="1" applyFill="1" applyBorder="1" applyAlignment="1" applyProtection="1">
      <alignment vertical="top" wrapText="1"/>
      <protection locked="0"/>
    </xf>
    <xf numFmtId="1" fontId="29" fillId="0" borderId="24" xfId="0" applyNumberFormat="1" applyFont="1" applyFill="1" applyBorder="1" applyAlignment="1" applyProtection="1">
      <alignment vertical="top" wrapText="1"/>
      <protection locked="0"/>
    </xf>
    <xf numFmtId="1" fontId="29" fillId="0" borderId="10" xfId="0" applyNumberFormat="1" applyFont="1" applyFill="1" applyBorder="1" applyAlignment="1" applyProtection="1">
      <alignment vertical="top" wrapText="1"/>
      <protection locked="0"/>
    </xf>
    <xf numFmtId="0" fontId="13" fillId="0" borderId="1" xfId="1" applyFont="1" applyFill="1" applyBorder="1" applyAlignment="1" applyProtection="1">
      <alignment horizontal="center" vertical="top" wrapText="1"/>
      <protection locked="0"/>
    </xf>
    <xf numFmtId="0" fontId="14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1" fontId="12" fillId="0" borderId="1" xfId="1" applyNumberFormat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horizontal="left" vertical="top" wrapText="1"/>
      <protection locked="0"/>
    </xf>
    <xf numFmtId="0" fontId="13" fillId="0" borderId="28" xfId="1" applyFont="1" applyFill="1" applyBorder="1" applyAlignment="1" applyProtection="1">
      <alignment horizontal="center" vertical="top" wrapText="1"/>
      <protection locked="0"/>
    </xf>
    <xf numFmtId="0" fontId="13" fillId="0" borderId="18" xfId="1" applyFont="1" applyFill="1" applyBorder="1" applyAlignment="1" applyProtection="1">
      <alignment horizontal="center" vertical="top" wrapText="1"/>
      <protection locked="0"/>
    </xf>
    <xf numFmtId="0" fontId="13" fillId="0" borderId="16" xfId="1" applyFont="1" applyFill="1" applyBorder="1" applyAlignment="1" applyProtection="1">
      <alignment horizontal="left" vertical="top" wrapText="1"/>
      <protection locked="0"/>
    </xf>
    <xf numFmtId="0" fontId="13" fillId="0" borderId="17" xfId="1" applyFont="1" applyFill="1" applyBorder="1" applyAlignment="1" applyProtection="1">
      <alignment horizontal="left" vertical="top" wrapText="1"/>
      <protection locked="0"/>
    </xf>
    <xf numFmtId="0" fontId="13" fillId="0" borderId="29" xfId="1" applyFont="1" applyFill="1" applyBorder="1" applyAlignment="1" applyProtection="1">
      <alignment horizontal="left" vertical="top" wrapText="1"/>
      <protection locked="0"/>
    </xf>
    <xf numFmtId="0" fontId="13" fillId="0" borderId="4" xfId="1" applyFont="1" applyFill="1" applyBorder="1" applyAlignment="1" applyProtection="1">
      <alignment horizontal="left" vertical="top"/>
      <protection locked="0"/>
    </xf>
    <xf numFmtId="9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12" fillId="0" borderId="4" xfId="1" applyFont="1" applyFill="1" applyBorder="1" applyAlignment="1" applyProtection="1">
      <alignment horizontal="center" vertical="top"/>
      <protection locked="0"/>
    </xf>
    <xf numFmtId="0" fontId="13" fillId="0" borderId="5" xfId="1" applyFont="1" applyFill="1" applyBorder="1" applyAlignment="1" applyProtection="1">
      <alignment horizontal="left" vertical="top" wrapText="1"/>
      <protection locked="0"/>
    </xf>
    <xf numFmtId="0" fontId="13" fillId="0" borderId="4" xfId="1" applyFont="1" applyFill="1" applyBorder="1" applyAlignment="1" applyProtection="1">
      <alignment horizontal="center" vertical="top" wrapText="1"/>
      <protection locked="0"/>
    </xf>
    <xf numFmtId="0" fontId="12" fillId="0" borderId="3" xfId="1" applyFont="1" applyFill="1" applyBorder="1" applyAlignment="1" applyProtection="1">
      <alignment horizontal="left" vertical="top" wrapText="1"/>
      <protection locked="0"/>
    </xf>
    <xf numFmtId="0" fontId="12" fillId="0" borderId="3" xfId="1" applyFont="1" applyFill="1" applyBorder="1" applyAlignment="1" applyProtection="1">
      <alignment horizontal="left" vertical="top"/>
      <protection locked="0"/>
    </xf>
    <xf numFmtId="0" fontId="12" fillId="0" borderId="20" xfId="1" applyFont="1" applyFill="1" applyBorder="1" applyAlignment="1" applyProtection="1">
      <alignment horizontal="left" vertical="top" wrapText="1"/>
      <protection locked="0"/>
    </xf>
    <xf numFmtId="0" fontId="12" fillId="0" borderId="30" xfId="1" applyFont="1" applyFill="1" applyBorder="1" applyAlignment="1" applyProtection="1">
      <alignment horizontal="left" vertical="top" wrapText="1"/>
      <protection locked="0"/>
    </xf>
    <xf numFmtId="0" fontId="12" fillId="0" borderId="21" xfId="1" applyFont="1" applyFill="1" applyBorder="1" applyAlignment="1" applyProtection="1">
      <alignment horizontal="left" vertical="top" wrapText="1"/>
      <protection locked="0"/>
    </xf>
    <xf numFmtId="167" fontId="12" fillId="0" borderId="1" xfId="1" applyNumberFormat="1" applyFont="1" applyFill="1" applyBorder="1" applyAlignment="1" applyProtection="1">
      <alignment horizontal="left" vertical="top" wrapText="1"/>
      <protection locked="0"/>
    </xf>
    <xf numFmtId="0" fontId="12" fillId="0" borderId="9" xfId="1" applyFont="1" applyFill="1" applyBorder="1" applyAlignment="1" applyProtection="1">
      <alignment horizontal="left" vertical="top" wrapText="1"/>
      <protection locked="0"/>
    </xf>
    <xf numFmtId="0" fontId="12" fillId="0" borderId="24" xfId="1" applyFont="1" applyFill="1" applyBorder="1" applyAlignment="1" applyProtection="1">
      <alignment horizontal="left" vertical="top" wrapText="1"/>
      <protection locked="0"/>
    </xf>
    <xf numFmtId="0" fontId="12" fillId="0" borderId="10" xfId="1" applyFont="1" applyFill="1" applyBorder="1" applyAlignment="1" applyProtection="1">
      <alignment horizontal="left" vertical="top" wrapText="1"/>
      <protection locked="0"/>
    </xf>
    <xf numFmtId="2" fontId="12" fillId="0" borderId="1" xfId="1" applyNumberFormat="1" applyFont="1" applyFill="1" applyBorder="1" applyAlignment="1" applyProtection="1">
      <alignment horizontal="left" vertical="top"/>
      <protection locked="0"/>
    </xf>
    <xf numFmtId="0" fontId="11" fillId="0" borderId="1" xfId="1" applyFont="1" applyFill="1" applyBorder="1" applyAlignment="1" applyProtection="1">
      <alignment horizontal="center" vertical="top" wrapText="1"/>
      <protection locked="0"/>
    </xf>
    <xf numFmtId="167" fontId="12" fillId="0" borderId="1" xfId="1" applyNumberFormat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left" vertical="center" wrapText="1"/>
      <protection locked="0"/>
    </xf>
    <xf numFmtId="167" fontId="13" fillId="0" borderId="1" xfId="1" applyNumberFormat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center"/>
      <protection locked="0"/>
    </xf>
    <xf numFmtId="0" fontId="8" fillId="0" borderId="1" xfId="1" applyFont="1" applyFill="1" applyBorder="1" applyAlignment="1" applyProtection="1">
      <alignment horizontal="left" vertical="top"/>
      <protection locked="0"/>
    </xf>
    <xf numFmtId="2" fontId="6" fillId="0" borderId="1" xfId="1" applyNumberFormat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Fill="1" applyBorder="1" applyAlignment="1" applyProtection="1">
      <alignment horizontal="center"/>
      <protection locked="0"/>
    </xf>
    <xf numFmtId="9" fontId="12" fillId="2" borderId="3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32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19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31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33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34" xfId="1" applyNumberFormat="1" applyFont="1" applyFill="1" applyBorder="1" applyAlignment="1" applyProtection="1">
      <alignment horizontal="center" vertical="center" wrapText="1"/>
      <protection hidden="1"/>
    </xf>
    <xf numFmtId="9" fontId="12" fillId="0" borderId="5" xfId="1" applyNumberFormat="1" applyFont="1" applyFill="1" applyBorder="1" applyAlignment="1" applyProtection="1">
      <alignment horizontal="center" vertical="center" wrapText="1"/>
      <protection hidden="1"/>
    </xf>
    <xf numFmtId="9" fontId="12" fillId="0" borderId="7" xfId="1" applyNumberFormat="1" applyFont="1" applyFill="1" applyBorder="1" applyAlignment="1" applyProtection="1">
      <alignment horizontal="center" vertical="center" wrapText="1"/>
      <protection hidden="1"/>
    </xf>
    <xf numFmtId="9" fontId="12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5" xfId="1" applyFont="1" applyFill="1" applyBorder="1" applyAlignment="1" applyProtection="1">
      <alignment horizontal="center" vertical="top" wrapText="1"/>
      <protection locked="0"/>
    </xf>
    <xf numFmtId="0" fontId="12" fillId="0" borderId="16" xfId="1" applyFont="1" applyFill="1" applyBorder="1" applyAlignment="1" applyProtection="1">
      <alignment horizontal="left" vertical="top"/>
      <protection locked="0"/>
    </xf>
    <xf numFmtId="0" fontId="12" fillId="0" borderId="17" xfId="1" applyFont="1" applyFill="1" applyBorder="1" applyAlignment="1" applyProtection="1">
      <alignment horizontal="left" vertical="top"/>
      <protection locked="0"/>
    </xf>
    <xf numFmtId="0" fontId="12" fillId="0" borderId="18" xfId="1" applyFont="1" applyFill="1" applyBorder="1" applyAlignment="1" applyProtection="1">
      <alignment horizontal="left" vertical="top"/>
      <protection locked="0"/>
    </xf>
    <xf numFmtId="0" fontId="7" fillId="0" borderId="0" xfId="1" applyFont="1" applyFill="1" applyAlignment="1">
      <alignment horizontal="center" vertical="center"/>
    </xf>
    <xf numFmtId="1" fontId="8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24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0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4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1" fontId="12" fillId="0" borderId="1" xfId="0" applyNumberFormat="1" applyFont="1" applyFill="1" applyBorder="1" applyAlignment="1" applyProtection="1">
      <alignment horizontal="center" vertical="top" wrapText="1"/>
      <protection locked="0"/>
    </xf>
    <xf numFmtId="0" fontId="12" fillId="0" borderId="1" xfId="0" applyFont="1" applyFill="1" applyBorder="1" applyAlignment="1" applyProtection="1">
      <alignment horizontal="center" vertical="top" wrapText="1"/>
      <protection locked="0"/>
    </xf>
    <xf numFmtId="0" fontId="23" fillId="4" borderId="25" xfId="0" applyFont="1" applyFill="1" applyBorder="1" applyAlignment="1">
      <alignment horizontal="center" vertical="center" wrapText="1"/>
    </xf>
    <xf numFmtId="0" fontId="23" fillId="4" borderId="27" xfId="0" applyFont="1" applyFill="1" applyBorder="1" applyAlignment="1">
      <alignment horizontal="center" vertical="center" wrapText="1"/>
    </xf>
    <xf numFmtId="0" fontId="26" fillId="3" borderId="26" xfId="0" applyFont="1" applyFill="1" applyBorder="1" applyAlignment="1">
      <alignment horizontal="center"/>
    </xf>
    <xf numFmtId="0" fontId="26" fillId="3" borderId="9" xfId="0" applyFont="1" applyFill="1" applyBorder="1" applyAlignment="1">
      <alignment horizontal="center"/>
    </xf>
    <xf numFmtId="0" fontId="26" fillId="3" borderId="24" xfId="0" applyFont="1" applyFill="1" applyBorder="1" applyAlignment="1">
      <alignment horizontal="center"/>
    </xf>
    <xf numFmtId="0" fontId="26" fillId="3" borderId="10" xfId="0" applyFont="1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1" xfId="5" applyFont="1" applyBorder="1" applyAlignment="1">
      <alignment horizontal="left"/>
    </xf>
  </cellXfs>
  <cellStyles count="10">
    <cellStyle name="Comma 2" xfId="6"/>
    <cellStyle name="Excel Built-in Normal" xfId="2"/>
    <cellStyle name="Excel Built-in Normal 2" xfId="4"/>
    <cellStyle name="Hyperlink" xfId="9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683530</xdr:colOff>
      <xdr:row>204</xdr:row>
      <xdr:rowOff>88859</xdr:rowOff>
    </xdr:from>
    <xdr:to>
      <xdr:col>12</xdr:col>
      <xdr:colOff>584080</xdr:colOff>
      <xdr:row>216</xdr:row>
      <xdr:rowOff>38084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8155" y="46227959"/>
          <a:ext cx="3120000" cy="23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12</xdr:col>
      <xdr:colOff>646594</xdr:colOff>
      <xdr:row>204</xdr:row>
      <xdr:rowOff>88859</xdr:rowOff>
    </xdr:from>
    <xdr:to>
      <xdr:col>20</xdr:col>
      <xdr:colOff>547144</xdr:colOff>
      <xdr:row>216</xdr:row>
      <xdr:rowOff>38084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0669" y="46227959"/>
          <a:ext cx="3120000" cy="23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542925</xdr:colOff>
      <xdr:row>229</xdr:row>
      <xdr:rowOff>184107</xdr:rowOff>
    </xdr:from>
    <xdr:to>
      <xdr:col>12</xdr:col>
      <xdr:colOff>443475</xdr:colOff>
      <xdr:row>241</xdr:row>
      <xdr:rowOff>123807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7550" y="51314307"/>
          <a:ext cx="3120000" cy="23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707065</xdr:colOff>
      <xdr:row>216</xdr:row>
      <xdr:rowOff>145462</xdr:rowOff>
    </xdr:from>
    <xdr:to>
      <xdr:col>11</xdr:col>
      <xdr:colOff>136465</xdr:colOff>
      <xdr:row>229</xdr:row>
      <xdr:rowOff>137138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0094" y="49025521"/>
          <a:ext cx="1950724" cy="261385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11</xdr:col>
      <xdr:colOff>281849</xdr:colOff>
      <xdr:row>216</xdr:row>
      <xdr:rowOff>115258</xdr:rowOff>
    </xdr:from>
    <xdr:to>
      <xdr:col>17</xdr:col>
      <xdr:colOff>120824</xdr:colOff>
      <xdr:row>229</xdr:row>
      <xdr:rowOff>106933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21074" y="48645133"/>
          <a:ext cx="1944000" cy="2592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12</xdr:col>
      <xdr:colOff>501374</xdr:colOff>
      <xdr:row>229</xdr:row>
      <xdr:rowOff>184107</xdr:rowOff>
    </xdr:from>
    <xdr:to>
      <xdr:col>20</xdr:col>
      <xdr:colOff>401924</xdr:colOff>
      <xdr:row>241</xdr:row>
      <xdr:rowOff>123807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5449" y="51314307"/>
          <a:ext cx="3120000" cy="23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17</xdr:col>
      <xdr:colOff>226172</xdr:colOff>
      <xdr:row>216</xdr:row>
      <xdr:rowOff>115258</xdr:rowOff>
    </xdr:from>
    <xdr:to>
      <xdr:col>20</xdr:col>
      <xdr:colOff>350897</xdr:colOff>
      <xdr:row>229</xdr:row>
      <xdr:rowOff>106933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0422" y="48645133"/>
          <a:ext cx="1944000" cy="2592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12</xdr:col>
      <xdr:colOff>791442</xdr:colOff>
      <xdr:row>203</xdr:row>
      <xdr:rowOff>200918</xdr:rowOff>
    </xdr:from>
    <xdr:to>
      <xdr:col>17</xdr:col>
      <xdr:colOff>84405</xdr:colOff>
      <xdr:row>205</xdr:row>
      <xdr:rowOff>170200</xdr:rowOff>
    </xdr:to>
    <xdr:sp macro="" textlink="">
      <xdr:nvSpPr>
        <xdr:cNvPr id="27" name="Rectangle 26"/>
        <xdr:cNvSpPr/>
      </xdr:nvSpPr>
      <xdr:spPr>
        <a:xfrm>
          <a:off x="10551766" y="46470006"/>
          <a:ext cx="693698" cy="372694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800" b="1">
              <a:solidFill>
                <a:srgbClr val="FF0000"/>
              </a:solidFill>
            </a:rPr>
            <a:t>Part I</a:t>
          </a:r>
        </a:p>
      </xdr:txBody>
    </xdr:sp>
    <xdr:clientData/>
  </xdr:twoCellAnchor>
  <xdr:twoCellAnchor>
    <xdr:from>
      <xdr:col>18</xdr:col>
      <xdr:colOff>193912</xdr:colOff>
      <xdr:row>204</xdr:row>
      <xdr:rowOff>126942</xdr:rowOff>
    </xdr:from>
    <xdr:to>
      <xdr:col>20</xdr:col>
      <xdr:colOff>401924</xdr:colOff>
      <xdr:row>206</xdr:row>
      <xdr:rowOff>96224</xdr:rowOff>
    </xdr:to>
    <xdr:sp macro="" textlink="">
      <xdr:nvSpPr>
        <xdr:cNvPr id="28" name="Rectangle 27"/>
        <xdr:cNvSpPr/>
      </xdr:nvSpPr>
      <xdr:spPr>
        <a:xfrm flipH="1">
          <a:off x="11947762" y="46266042"/>
          <a:ext cx="1417687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800" b="1">
              <a:solidFill>
                <a:srgbClr val="FF0000"/>
              </a:solidFill>
            </a:rPr>
            <a:t>Part II</a:t>
          </a:r>
        </a:p>
      </xdr:txBody>
    </xdr:sp>
    <xdr:clientData/>
  </xdr:twoCellAnchor>
  <xdr:twoCellAnchor>
    <xdr:from>
      <xdr:col>10</xdr:col>
      <xdr:colOff>504319</xdr:colOff>
      <xdr:row>204</xdr:row>
      <xdr:rowOff>67235</xdr:rowOff>
    </xdr:from>
    <xdr:to>
      <xdr:col>12</xdr:col>
      <xdr:colOff>23078</xdr:colOff>
      <xdr:row>206</xdr:row>
      <xdr:rowOff>34836</xdr:rowOff>
    </xdr:to>
    <xdr:sp macro="" textlink="">
      <xdr:nvSpPr>
        <xdr:cNvPr id="31" name="Rectangle 30"/>
        <xdr:cNvSpPr/>
      </xdr:nvSpPr>
      <xdr:spPr>
        <a:xfrm>
          <a:off x="8852701" y="46538029"/>
          <a:ext cx="930701" cy="371013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A Wing </a:t>
          </a:r>
        </a:p>
      </xdr:txBody>
    </xdr:sp>
    <xdr:clientData/>
  </xdr:twoCellAnchor>
  <xdr:twoCellAnchor>
    <xdr:from>
      <xdr:col>16</xdr:col>
      <xdr:colOff>10941</xdr:colOff>
      <xdr:row>214</xdr:row>
      <xdr:rowOff>18738</xdr:rowOff>
    </xdr:from>
    <xdr:to>
      <xdr:col>17</xdr:col>
      <xdr:colOff>320182</xdr:colOff>
      <xdr:row>215</xdr:row>
      <xdr:rowOff>188045</xdr:rowOff>
    </xdr:to>
    <xdr:sp macro="" textlink="">
      <xdr:nvSpPr>
        <xdr:cNvPr id="32" name="Rectangle 31"/>
        <xdr:cNvSpPr/>
      </xdr:nvSpPr>
      <xdr:spPr>
        <a:xfrm>
          <a:off x="10545591" y="48148563"/>
          <a:ext cx="918841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B Wing </a:t>
          </a:r>
        </a:p>
      </xdr:txBody>
    </xdr:sp>
    <xdr:clientData/>
  </xdr:twoCellAnchor>
  <xdr:twoCellAnchor>
    <xdr:from>
      <xdr:col>8</xdr:col>
      <xdr:colOff>819480</xdr:colOff>
      <xdr:row>216</xdr:row>
      <xdr:rowOff>171287</xdr:rowOff>
    </xdr:from>
    <xdr:to>
      <xdr:col>9</xdr:col>
      <xdr:colOff>682557</xdr:colOff>
      <xdr:row>218</xdr:row>
      <xdr:rowOff>140569</xdr:rowOff>
    </xdr:to>
    <xdr:sp macro="" textlink="">
      <xdr:nvSpPr>
        <xdr:cNvPr id="33" name="Rectangle 32"/>
        <xdr:cNvSpPr/>
      </xdr:nvSpPr>
      <xdr:spPr>
        <a:xfrm>
          <a:off x="7352509" y="49051346"/>
          <a:ext cx="916430" cy="372694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C Wing </a:t>
          </a:r>
        </a:p>
      </xdr:txBody>
    </xdr:sp>
    <xdr:clientData/>
  </xdr:twoCellAnchor>
  <xdr:twoCellAnchor>
    <xdr:from>
      <xdr:col>9</xdr:col>
      <xdr:colOff>415849</xdr:colOff>
      <xdr:row>201</xdr:row>
      <xdr:rowOff>8825</xdr:rowOff>
    </xdr:from>
    <xdr:to>
      <xdr:col>10</xdr:col>
      <xdr:colOff>257629</xdr:colOff>
      <xdr:row>202</xdr:row>
      <xdr:rowOff>94469</xdr:rowOff>
    </xdr:to>
    <xdr:cxnSp macro="">
      <xdr:nvCxnSpPr>
        <xdr:cNvPr id="3" name="Straight Arrow Connector 2"/>
        <xdr:cNvCxnSpPr/>
      </xdr:nvCxnSpPr>
      <xdr:spPr>
        <a:xfrm flipH="1">
          <a:off x="8359699" y="44744575"/>
          <a:ext cx="641880" cy="28249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199</xdr:row>
      <xdr:rowOff>0</xdr:rowOff>
    </xdr:from>
    <xdr:to>
      <xdr:col>9</xdr:col>
      <xdr:colOff>759813</xdr:colOff>
      <xdr:row>200</xdr:row>
      <xdr:rowOff>114646</xdr:rowOff>
    </xdr:to>
    <xdr:sp macro="" textlink="">
      <xdr:nvSpPr>
        <xdr:cNvPr id="55" name="Rectangle 54"/>
        <xdr:cNvSpPr/>
      </xdr:nvSpPr>
      <xdr:spPr>
        <a:xfrm>
          <a:off x="7943850" y="44202350"/>
          <a:ext cx="759813" cy="311496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4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Part I</a:t>
          </a:r>
        </a:p>
      </xdr:txBody>
    </xdr:sp>
    <xdr:clientData/>
  </xdr:twoCellAnchor>
  <xdr:twoCellAnchor>
    <xdr:from>
      <xdr:col>0</xdr:col>
      <xdr:colOff>209550</xdr:colOff>
      <xdr:row>205</xdr:row>
      <xdr:rowOff>82550</xdr:rowOff>
    </xdr:from>
    <xdr:to>
      <xdr:col>7</xdr:col>
      <xdr:colOff>670101</xdr:colOff>
      <xdr:row>243</xdr:row>
      <xdr:rowOff>48734</xdr:rowOff>
    </xdr:to>
    <xdr:grpSp>
      <xdr:nvGrpSpPr>
        <xdr:cNvPr id="2" name="Group 1"/>
        <xdr:cNvGrpSpPr/>
      </xdr:nvGrpSpPr>
      <xdr:grpSpPr>
        <a:xfrm>
          <a:off x="209550" y="45224700"/>
          <a:ext cx="6435901" cy="7440134"/>
          <a:chOff x="209550" y="45224700"/>
          <a:chExt cx="6435901" cy="7440134"/>
        </a:xfrm>
      </xdr:grpSpPr>
      <xdr:pic>
        <xdr:nvPicPr>
          <xdr:cNvPr id="34" name="Picture 33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15444" y="50504834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5" name="Picture 34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15444" y="45224700"/>
            <a:ext cx="3117482" cy="23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6" name="Picture 35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47389" y="45224700"/>
            <a:ext cx="3117482" cy="23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7" name="Picture 36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53975" y="50504834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9" name="Picture 38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95588" y="47666767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8" name="Picture 47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402569" y="47666767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4" name="Picture 53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9550" y="47666767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29" name="Rectangle 28"/>
          <xdr:cNvSpPr/>
        </xdr:nvSpPr>
        <xdr:spPr>
          <a:xfrm>
            <a:off x="3763094" y="45478700"/>
            <a:ext cx="759813" cy="311496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4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Part I</a:t>
            </a:r>
          </a:p>
        </xdr:txBody>
      </xdr:sp>
      <xdr:sp macro="" textlink="">
        <xdr:nvSpPr>
          <xdr:cNvPr id="30" name="Rectangle 29"/>
          <xdr:cNvSpPr/>
        </xdr:nvSpPr>
        <xdr:spPr>
          <a:xfrm>
            <a:off x="4779094" y="45720000"/>
            <a:ext cx="759813" cy="311496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4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Part II</a:t>
            </a:r>
          </a:p>
        </xdr:txBody>
      </xdr:sp>
    </xdr:grpSp>
    <xdr:clientData/>
  </xdr:twoCellAnchor>
  <xdr:twoCellAnchor editAs="oneCell">
    <xdr:from>
      <xdr:col>1</xdr:col>
      <xdr:colOff>266700</xdr:colOff>
      <xdr:row>269</xdr:row>
      <xdr:rowOff>47054</xdr:rowOff>
    </xdr:from>
    <xdr:to>
      <xdr:col>6</xdr:col>
      <xdr:colOff>590600</xdr:colOff>
      <xdr:row>288</xdr:row>
      <xdr:rowOff>72017</xdr:rowOff>
    </xdr:to>
    <xdr:pic>
      <xdr:nvPicPr>
        <xdr:cNvPr id="38" name="Picture 37"/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66800" y="57781254"/>
          <a:ext cx="4680000" cy="376511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266700</xdr:colOff>
      <xdr:row>248</xdr:row>
      <xdr:rowOff>95250</xdr:rowOff>
    </xdr:from>
    <xdr:to>
      <xdr:col>6</xdr:col>
      <xdr:colOff>590600</xdr:colOff>
      <xdr:row>268</xdr:row>
      <xdr:rowOff>106183</xdr:rowOff>
    </xdr:to>
    <xdr:pic>
      <xdr:nvPicPr>
        <xdr:cNvPr id="40" name="Picture 39"/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66800" y="53695600"/>
          <a:ext cx="4680000" cy="394793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76310</xdr:colOff>
      <xdr:row>274</xdr:row>
      <xdr:rowOff>66929</xdr:rowOff>
    </xdr:from>
    <xdr:to>
      <xdr:col>3</xdr:col>
      <xdr:colOff>905780</xdr:colOff>
      <xdr:row>279</xdr:row>
      <xdr:rowOff>33972</xdr:rowOff>
    </xdr:to>
    <xdr:sp macro="" textlink="">
      <xdr:nvSpPr>
        <xdr:cNvPr id="41" name="Rectangle 40"/>
        <xdr:cNvSpPr/>
      </xdr:nvSpPr>
      <xdr:spPr>
        <a:xfrm rot="1079938">
          <a:off x="2603610" y="58785379"/>
          <a:ext cx="829470" cy="951293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IN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TDG95yoGFPU9fokn6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248"/>
  <sheetViews>
    <sheetView tabSelected="1" view="pageBreakPreview" zoomScaleNormal="100" zoomScaleSheetLayoutView="100" zoomScalePageLayoutView="85" workbookViewId="0">
      <selection activeCell="E9" sqref="E9:H9"/>
    </sheetView>
  </sheetViews>
  <sheetFormatPr defaultColWidth="9.1796875" defaultRowHeight="15.5" x14ac:dyDescent="0.35"/>
  <cols>
    <col min="1" max="1" width="11.453125" style="92" customWidth="1"/>
    <col min="2" max="2" width="12" style="92" customWidth="1"/>
    <col min="3" max="3" width="12.7265625" style="92" customWidth="1"/>
    <col min="4" max="4" width="14.1796875" style="92" customWidth="1"/>
    <col min="5" max="7" width="11.7265625" style="92" customWidth="1"/>
    <col min="8" max="8" width="12.453125" style="92" customWidth="1"/>
    <col min="9" max="9" width="15.7265625" style="57" customWidth="1"/>
    <col min="10" max="10" width="11.453125" style="57" customWidth="1"/>
    <col min="11" max="11" width="10.54296875" style="57" bestFit="1" customWidth="1"/>
    <col min="12" max="12" width="10.54296875" style="57" customWidth="1"/>
    <col min="13" max="13" width="11.81640625" style="57" customWidth="1"/>
    <col min="14" max="14" width="12.54296875" style="57" hidden="1" customWidth="1"/>
    <col min="15" max="15" width="9.81640625" style="57" hidden="1" customWidth="1"/>
    <col min="16" max="16" width="10.453125" style="57" hidden="1" customWidth="1"/>
    <col min="17" max="19" width="9.1796875" style="57"/>
    <col min="20" max="20" width="9" style="57" customWidth="1"/>
    <col min="21" max="247" width="9.1796875" style="57"/>
    <col min="248" max="248" width="8.7265625" style="57" customWidth="1"/>
    <col min="249" max="249" width="9.81640625" style="57" customWidth="1"/>
    <col min="250" max="250" width="14.453125" style="57" customWidth="1"/>
    <col min="251" max="251" width="7.26953125" style="57" customWidth="1"/>
    <col min="252" max="252" width="5.54296875" style="57" customWidth="1"/>
    <col min="253" max="253" width="9" style="57" customWidth="1"/>
    <col min="254" max="255" width="9.81640625" style="57" customWidth="1"/>
    <col min="256" max="256" width="11.1796875" style="57" customWidth="1"/>
    <col min="257" max="257" width="2.81640625" style="57" customWidth="1"/>
    <col min="258" max="258" width="3.54296875" style="57" customWidth="1"/>
    <col min="259" max="503" width="9.1796875" style="57"/>
    <col min="504" max="504" width="8.7265625" style="57" customWidth="1"/>
    <col min="505" max="505" width="9.81640625" style="57" customWidth="1"/>
    <col min="506" max="506" width="14.453125" style="57" customWidth="1"/>
    <col min="507" max="507" width="7.26953125" style="57" customWidth="1"/>
    <col min="508" max="508" width="5.54296875" style="57" customWidth="1"/>
    <col min="509" max="509" width="9" style="57" customWidth="1"/>
    <col min="510" max="511" width="9.81640625" style="57" customWidth="1"/>
    <col min="512" max="512" width="11.1796875" style="57" customWidth="1"/>
    <col min="513" max="513" width="2.81640625" style="57" customWidth="1"/>
    <col min="514" max="514" width="3.54296875" style="57" customWidth="1"/>
    <col min="515" max="759" width="9.1796875" style="57"/>
    <col min="760" max="760" width="8.7265625" style="57" customWidth="1"/>
    <col min="761" max="761" width="9.81640625" style="57" customWidth="1"/>
    <col min="762" max="762" width="14.453125" style="57" customWidth="1"/>
    <col min="763" max="763" width="7.26953125" style="57" customWidth="1"/>
    <col min="764" max="764" width="5.54296875" style="57" customWidth="1"/>
    <col min="765" max="765" width="9" style="57" customWidth="1"/>
    <col min="766" max="767" width="9.81640625" style="57" customWidth="1"/>
    <col min="768" max="768" width="11.1796875" style="57" customWidth="1"/>
    <col min="769" max="769" width="2.81640625" style="57" customWidth="1"/>
    <col min="770" max="770" width="3.54296875" style="57" customWidth="1"/>
    <col min="771" max="1015" width="9.1796875" style="57"/>
    <col min="1016" max="1016" width="8.7265625" style="57" customWidth="1"/>
    <col min="1017" max="1017" width="9.81640625" style="57" customWidth="1"/>
    <col min="1018" max="1018" width="14.453125" style="57" customWidth="1"/>
    <col min="1019" max="1019" width="7.26953125" style="57" customWidth="1"/>
    <col min="1020" max="1020" width="5.54296875" style="57" customWidth="1"/>
    <col min="1021" max="1021" width="9" style="57" customWidth="1"/>
    <col min="1022" max="1023" width="9.81640625" style="57" customWidth="1"/>
    <col min="1024" max="1024" width="11.1796875" style="57" customWidth="1"/>
    <col min="1025" max="1025" width="2.81640625" style="57" customWidth="1"/>
    <col min="1026" max="1026" width="3.54296875" style="57" customWidth="1"/>
    <col min="1027" max="1271" width="9.1796875" style="57"/>
    <col min="1272" max="1272" width="8.7265625" style="57" customWidth="1"/>
    <col min="1273" max="1273" width="9.81640625" style="57" customWidth="1"/>
    <col min="1274" max="1274" width="14.453125" style="57" customWidth="1"/>
    <col min="1275" max="1275" width="7.26953125" style="57" customWidth="1"/>
    <col min="1276" max="1276" width="5.54296875" style="57" customWidth="1"/>
    <col min="1277" max="1277" width="9" style="57" customWidth="1"/>
    <col min="1278" max="1279" width="9.81640625" style="57" customWidth="1"/>
    <col min="1280" max="1280" width="11.1796875" style="57" customWidth="1"/>
    <col min="1281" max="1281" width="2.81640625" style="57" customWidth="1"/>
    <col min="1282" max="1282" width="3.54296875" style="57" customWidth="1"/>
    <col min="1283" max="1527" width="9.1796875" style="57"/>
    <col min="1528" max="1528" width="8.7265625" style="57" customWidth="1"/>
    <col min="1529" max="1529" width="9.81640625" style="57" customWidth="1"/>
    <col min="1530" max="1530" width="14.453125" style="57" customWidth="1"/>
    <col min="1531" max="1531" width="7.26953125" style="57" customWidth="1"/>
    <col min="1532" max="1532" width="5.54296875" style="57" customWidth="1"/>
    <col min="1533" max="1533" width="9" style="57" customWidth="1"/>
    <col min="1534" max="1535" width="9.81640625" style="57" customWidth="1"/>
    <col min="1536" max="1536" width="11.1796875" style="57" customWidth="1"/>
    <col min="1537" max="1537" width="2.81640625" style="57" customWidth="1"/>
    <col min="1538" max="1538" width="3.54296875" style="57" customWidth="1"/>
    <col min="1539" max="1783" width="9.1796875" style="57"/>
    <col min="1784" max="1784" width="8.7265625" style="57" customWidth="1"/>
    <col min="1785" max="1785" width="9.81640625" style="57" customWidth="1"/>
    <col min="1786" max="1786" width="14.453125" style="57" customWidth="1"/>
    <col min="1787" max="1787" width="7.26953125" style="57" customWidth="1"/>
    <col min="1788" max="1788" width="5.54296875" style="57" customWidth="1"/>
    <col min="1789" max="1789" width="9" style="57" customWidth="1"/>
    <col min="1790" max="1791" width="9.81640625" style="57" customWidth="1"/>
    <col min="1792" max="1792" width="11.1796875" style="57" customWidth="1"/>
    <col min="1793" max="1793" width="2.81640625" style="57" customWidth="1"/>
    <col min="1794" max="1794" width="3.54296875" style="57" customWidth="1"/>
    <col min="1795" max="2039" width="9.1796875" style="57"/>
    <col min="2040" max="2040" width="8.7265625" style="57" customWidth="1"/>
    <col min="2041" max="2041" width="9.81640625" style="57" customWidth="1"/>
    <col min="2042" max="2042" width="14.453125" style="57" customWidth="1"/>
    <col min="2043" max="2043" width="7.26953125" style="57" customWidth="1"/>
    <col min="2044" max="2044" width="5.54296875" style="57" customWidth="1"/>
    <col min="2045" max="2045" width="9" style="57" customWidth="1"/>
    <col min="2046" max="2047" width="9.81640625" style="57" customWidth="1"/>
    <col min="2048" max="2048" width="11.1796875" style="57" customWidth="1"/>
    <col min="2049" max="2049" width="2.81640625" style="57" customWidth="1"/>
    <col min="2050" max="2050" width="3.54296875" style="57" customWidth="1"/>
    <col min="2051" max="2295" width="9.1796875" style="57"/>
    <col min="2296" max="2296" width="8.7265625" style="57" customWidth="1"/>
    <col min="2297" max="2297" width="9.81640625" style="57" customWidth="1"/>
    <col min="2298" max="2298" width="14.453125" style="57" customWidth="1"/>
    <col min="2299" max="2299" width="7.26953125" style="57" customWidth="1"/>
    <col min="2300" max="2300" width="5.54296875" style="57" customWidth="1"/>
    <col min="2301" max="2301" width="9" style="57" customWidth="1"/>
    <col min="2302" max="2303" width="9.81640625" style="57" customWidth="1"/>
    <col min="2304" max="2304" width="11.1796875" style="57" customWidth="1"/>
    <col min="2305" max="2305" width="2.81640625" style="57" customWidth="1"/>
    <col min="2306" max="2306" width="3.54296875" style="57" customWidth="1"/>
    <col min="2307" max="2551" width="9.1796875" style="57"/>
    <col min="2552" max="2552" width="8.7265625" style="57" customWidth="1"/>
    <col min="2553" max="2553" width="9.81640625" style="57" customWidth="1"/>
    <col min="2554" max="2554" width="14.453125" style="57" customWidth="1"/>
    <col min="2555" max="2555" width="7.26953125" style="57" customWidth="1"/>
    <col min="2556" max="2556" width="5.54296875" style="57" customWidth="1"/>
    <col min="2557" max="2557" width="9" style="57" customWidth="1"/>
    <col min="2558" max="2559" width="9.81640625" style="57" customWidth="1"/>
    <col min="2560" max="2560" width="11.1796875" style="57" customWidth="1"/>
    <col min="2561" max="2561" width="2.81640625" style="57" customWidth="1"/>
    <col min="2562" max="2562" width="3.54296875" style="57" customWidth="1"/>
    <col min="2563" max="2807" width="9.1796875" style="57"/>
    <col min="2808" max="2808" width="8.7265625" style="57" customWidth="1"/>
    <col min="2809" max="2809" width="9.81640625" style="57" customWidth="1"/>
    <col min="2810" max="2810" width="14.453125" style="57" customWidth="1"/>
    <col min="2811" max="2811" width="7.26953125" style="57" customWidth="1"/>
    <col min="2812" max="2812" width="5.54296875" style="57" customWidth="1"/>
    <col min="2813" max="2813" width="9" style="57" customWidth="1"/>
    <col min="2814" max="2815" width="9.81640625" style="57" customWidth="1"/>
    <col min="2816" max="2816" width="11.1796875" style="57" customWidth="1"/>
    <col min="2817" max="2817" width="2.81640625" style="57" customWidth="1"/>
    <col min="2818" max="2818" width="3.54296875" style="57" customWidth="1"/>
    <col min="2819" max="3063" width="9.1796875" style="57"/>
    <col min="3064" max="3064" width="8.7265625" style="57" customWidth="1"/>
    <col min="3065" max="3065" width="9.81640625" style="57" customWidth="1"/>
    <col min="3066" max="3066" width="14.453125" style="57" customWidth="1"/>
    <col min="3067" max="3067" width="7.26953125" style="57" customWidth="1"/>
    <col min="3068" max="3068" width="5.54296875" style="57" customWidth="1"/>
    <col min="3069" max="3069" width="9" style="57" customWidth="1"/>
    <col min="3070" max="3071" width="9.81640625" style="57" customWidth="1"/>
    <col min="3072" max="3072" width="11.1796875" style="57" customWidth="1"/>
    <col min="3073" max="3073" width="2.81640625" style="57" customWidth="1"/>
    <col min="3074" max="3074" width="3.54296875" style="57" customWidth="1"/>
    <col min="3075" max="3319" width="9.1796875" style="57"/>
    <col min="3320" max="3320" width="8.7265625" style="57" customWidth="1"/>
    <col min="3321" max="3321" width="9.81640625" style="57" customWidth="1"/>
    <col min="3322" max="3322" width="14.453125" style="57" customWidth="1"/>
    <col min="3323" max="3323" width="7.26953125" style="57" customWidth="1"/>
    <col min="3324" max="3324" width="5.54296875" style="57" customWidth="1"/>
    <col min="3325" max="3325" width="9" style="57" customWidth="1"/>
    <col min="3326" max="3327" width="9.81640625" style="57" customWidth="1"/>
    <col min="3328" max="3328" width="11.1796875" style="57" customWidth="1"/>
    <col min="3329" max="3329" width="2.81640625" style="57" customWidth="1"/>
    <col min="3330" max="3330" width="3.54296875" style="57" customWidth="1"/>
    <col min="3331" max="3575" width="9.1796875" style="57"/>
    <col min="3576" max="3576" width="8.7265625" style="57" customWidth="1"/>
    <col min="3577" max="3577" width="9.81640625" style="57" customWidth="1"/>
    <col min="3578" max="3578" width="14.453125" style="57" customWidth="1"/>
    <col min="3579" max="3579" width="7.26953125" style="57" customWidth="1"/>
    <col min="3580" max="3580" width="5.54296875" style="57" customWidth="1"/>
    <col min="3581" max="3581" width="9" style="57" customWidth="1"/>
    <col min="3582" max="3583" width="9.81640625" style="57" customWidth="1"/>
    <col min="3584" max="3584" width="11.1796875" style="57" customWidth="1"/>
    <col min="3585" max="3585" width="2.81640625" style="57" customWidth="1"/>
    <col min="3586" max="3586" width="3.54296875" style="57" customWidth="1"/>
    <col min="3587" max="3831" width="9.1796875" style="57"/>
    <col min="3832" max="3832" width="8.7265625" style="57" customWidth="1"/>
    <col min="3833" max="3833" width="9.81640625" style="57" customWidth="1"/>
    <col min="3834" max="3834" width="14.453125" style="57" customWidth="1"/>
    <col min="3835" max="3835" width="7.26953125" style="57" customWidth="1"/>
    <col min="3836" max="3836" width="5.54296875" style="57" customWidth="1"/>
    <col min="3837" max="3837" width="9" style="57" customWidth="1"/>
    <col min="3838" max="3839" width="9.81640625" style="57" customWidth="1"/>
    <col min="3840" max="3840" width="11.1796875" style="57" customWidth="1"/>
    <col min="3841" max="3841" width="2.81640625" style="57" customWidth="1"/>
    <col min="3842" max="3842" width="3.54296875" style="57" customWidth="1"/>
    <col min="3843" max="4087" width="9.1796875" style="57"/>
    <col min="4088" max="4088" width="8.7265625" style="57" customWidth="1"/>
    <col min="4089" max="4089" width="9.81640625" style="57" customWidth="1"/>
    <col min="4090" max="4090" width="14.453125" style="57" customWidth="1"/>
    <col min="4091" max="4091" width="7.26953125" style="57" customWidth="1"/>
    <col min="4092" max="4092" width="5.54296875" style="57" customWidth="1"/>
    <col min="4093" max="4093" width="9" style="57" customWidth="1"/>
    <col min="4094" max="4095" width="9.81640625" style="57" customWidth="1"/>
    <col min="4096" max="4096" width="11.1796875" style="57" customWidth="1"/>
    <col min="4097" max="4097" width="2.81640625" style="57" customWidth="1"/>
    <col min="4098" max="4098" width="3.54296875" style="57" customWidth="1"/>
    <col min="4099" max="4343" width="9.1796875" style="57"/>
    <col min="4344" max="4344" width="8.7265625" style="57" customWidth="1"/>
    <col min="4345" max="4345" width="9.81640625" style="57" customWidth="1"/>
    <col min="4346" max="4346" width="14.453125" style="57" customWidth="1"/>
    <col min="4347" max="4347" width="7.26953125" style="57" customWidth="1"/>
    <col min="4348" max="4348" width="5.54296875" style="57" customWidth="1"/>
    <col min="4349" max="4349" width="9" style="57" customWidth="1"/>
    <col min="4350" max="4351" width="9.81640625" style="57" customWidth="1"/>
    <col min="4352" max="4352" width="11.1796875" style="57" customWidth="1"/>
    <col min="4353" max="4353" width="2.81640625" style="57" customWidth="1"/>
    <col min="4354" max="4354" width="3.54296875" style="57" customWidth="1"/>
    <col min="4355" max="4599" width="9.1796875" style="57"/>
    <col min="4600" max="4600" width="8.7265625" style="57" customWidth="1"/>
    <col min="4601" max="4601" width="9.81640625" style="57" customWidth="1"/>
    <col min="4602" max="4602" width="14.453125" style="57" customWidth="1"/>
    <col min="4603" max="4603" width="7.26953125" style="57" customWidth="1"/>
    <col min="4604" max="4604" width="5.54296875" style="57" customWidth="1"/>
    <col min="4605" max="4605" width="9" style="57" customWidth="1"/>
    <col min="4606" max="4607" width="9.81640625" style="57" customWidth="1"/>
    <col min="4608" max="4608" width="11.1796875" style="57" customWidth="1"/>
    <col min="4609" max="4609" width="2.81640625" style="57" customWidth="1"/>
    <col min="4610" max="4610" width="3.54296875" style="57" customWidth="1"/>
    <col min="4611" max="4855" width="9.1796875" style="57"/>
    <col min="4856" max="4856" width="8.7265625" style="57" customWidth="1"/>
    <col min="4857" max="4857" width="9.81640625" style="57" customWidth="1"/>
    <col min="4858" max="4858" width="14.453125" style="57" customWidth="1"/>
    <col min="4859" max="4859" width="7.26953125" style="57" customWidth="1"/>
    <col min="4860" max="4860" width="5.54296875" style="57" customWidth="1"/>
    <col min="4861" max="4861" width="9" style="57" customWidth="1"/>
    <col min="4862" max="4863" width="9.81640625" style="57" customWidth="1"/>
    <col min="4864" max="4864" width="11.1796875" style="57" customWidth="1"/>
    <col min="4865" max="4865" width="2.81640625" style="57" customWidth="1"/>
    <col min="4866" max="4866" width="3.54296875" style="57" customWidth="1"/>
    <col min="4867" max="5111" width="9.1796875" style="57"/>
    <col min="5112" max="5112" width="8.7265625" style="57" customWidth="1"/>
    <col min="5113" max="5113" width="9.81640625" style="57" customWidth="1"/>
    <col min="5114" max="5114" width="14.453125" style="57" customWidth="1"/>
    <col min="5115" max="5115" width="7.26953125" style="57" customWidth="1"/>
    <col min="5116" max="5116" width="5.54296875" style="57" customWidth="1"/>
    <col min="5117" max="5117" width="9" style="57" customWidth="1"/>
    <col min="5118" max="5119" width="9.81640625" style="57" customWidth="1"/>
    <col min="5120" max="5120" width="11.1796875" style="57" customWidth="1"/>
    <col min="5121" max="5121" width="2.81640625" style="57" customWidth="1"/>
    <col min="5122" max="5122" width="3.54296875" style="57" customWidth="1"/>
    <col min="5123" max="5367" width="9.1796875" style="57"/>
    <col min="5368" max="5368" width="8.7265625" style="57" customWidth="1"/>
    <col min="5369" max="5369" width="9.81640625" style="57" customWidth="1"/>
    <col min="5370" max="5370" width="14.453125" style="57" customWidth="1"/>
    <col min="5371" max="5371" width="7.26953125" style="57" customWidth="1"/>
    <col min="5372" max="5372" width="5.54296875" style="57" customWidth="1"/>
    <col min="5373" max="5373" width="9" style="57" customWidth="1"/>
    <col min="5374" max="5375" width="9.81640625" style="57" customWidth="1"/>
    <col min="5376" max="5376" width="11.1796875" style="57" customWidth="1"/>
    <col min="5377" max="5377" width="2.81640625" style="57" customWidth="1"/>
    <col min="5378" max="5378" width="3.54296875" style="57" customWidth="1"/>
    <col min="5379" max="5623" width="9.1796875" style="57"/>
    <col min="5624" max="5624" width="8.7265625" style="57" customWidth="1"/>
    <col min="5625" max="5625" width="9.81640625" style="57" customWidth="1"/>
    <col min="5626" max="5626" width="14.453125" style="57" customWidth="1"/>
    <col min="5627" max="5627" width="7.26953125" style="57" customWidth="1"/>
    <col min="5628" max="5628" width="5.54296875" style="57" customWidth="1"/>
    <col min="5629" max="5629" width="9" style="57" customWidth="1"/>
    <col min="5630" max="5631" width="9.81640625" style="57" customWidth="1"/>
    <col min="5632" max="5632" width="11.1796875" style="57" customWidth="1"/>
    <col min="5633" max="5633" width="2.81640625" style="57" customWidth="1"/>
    <col min="5634" max="5634" width="3.54296875" style="57" customWidth="1"/>
    <col min="5635" max="5879" width="9.1796875" style="57"/>
    <col min="5880" max="5880" width="8.7265625" style="57" customWidth="1"/>
    <col min="5881" max="5881" width="9.81640625" style="57" customWidth="1"/>
    <col min="5882" max="5882" width="14.453125" style="57" customWidth="1"/>
    <col min="5883" max="5883" width="7.26953125" style="57" customWidth="1"/>
    <col min="5884" max="5884" width="5.54296875" style="57" customWidth="1"/>
    <col min="5885" max="5885" width="9" style="57" customWidth="1"/>
    <col min="5886" max="5887" width="9.81640625" style="57" customWidth="1"/>
    <col min="5888" max="5888" width="11.1796875" style="57" customWidth="1"/>
    <col min="5889" max="5889" width="2.81640625" style="57" customWidth="1"/>
    <col min="5890" max="5890" width="3.54296875" style="57" customWidth="1"/>
    <col min="5891" max="6135" width="9.1796875" style="57"/>
    <col min="6136" max="6136" width="8.7265625" style="57" customWidth="1"/>
    <col min="6137" max="6137" width="9.81640625" style="57" customWidth="1"/>
    <col min="6138" max="6138" width="14.453125" style="57" customWidth="1"/>
    <col min="6139" max="6139" width="7.26953125" style="57" customWidth="1"/>
    <col min="6140" max="6140" width="5.54296875" style="57" customWidth="1"/>
    <col min="6141" max="6141" width="9" style="57" customWidth="1"/>
    <col min="6142" max="6143" width="9.81640625" style="57" customWidth="1"/>
    <col min="6144" max="6144" width="11.1796875" style="57" customWidth="1"/>
    <col min="6145" max="6145" width="2.81640625" style="57" customWidth="1"/>
    <col min="6146" max="6146" width="3.54296875" style="57" customWidth="1"/>
    <col min="6147" max="6391" width="9.1796875" style="57"/>
    <col min="6392" max="6392" width="8.7265625" style="57" customWidth="1"/>
    <col min="6393" max="6393" width="9.81640625" style="57" customWidth="1"/>
    <col min="6394" max="6394" width="14.453125" style="57" customWidth="1"/>
    <col min="6395" max="6395" width="7.26953125" style="57" customWidth="1"/>
    <col min="6396" max="6396" width="5.54296875" style="57" customWidth="1"/>
    <col min="6397" max="6397" width="9" style="57" customWidth="1"/>
    <col min="6398" max="6399" width="9.81640625" style="57" customWidth="1"/>
    <col min="6400" max="6400" width="11.1796875" style="57" customWidth="1"/>
    <col min="6401" max="6401" width="2.81640625" style="57" customWidth="1"/>
    <col min="6402" max="6402" width="3.54296875" style="57" customWidth="1"/>
    <col min="6403" max="6647" width="9.1796875" style="57"/>
    <col min="6648" max="6648" width="8.7265625" style="57" customWidth="1"/>
    <col min="6649" max="6649" width="9.81640625" style="57" customWidth="1"/>
    <col min="6650" max="6650" width="14.453125" style="57" customWidth="1"/>
    <col min="6651" max="6651" width="7.26953125" style="57" customWidth="1"/>
    <col min="6652" max="6652" width="5.54296875" style="57" customWidth="1"/>
    <col min="6653" max="6653" width="9" style="57" customWidth="1"/>
    <col min="6654" max="6655" width="9.81640625" style="57" customWidth="1"/>
    <col min="6656" max="6656" width="11.1796875" style="57" customWidth="1"/>
    <col min="6657" max="6657" width="2.81640625" style="57" customWidth="1"/>
    <col min="6658" max="6658" width="3.54296875" style="57" customWidth="1"/>
    <col min="6659" max="6903" width="9.1796875" style="57"/>
    <col min="6904" max="6904" width="8.7265625" style="57" customWidth="1"/>
    <col min="6905" max="6905" width="9.81640625" style="57" customWidth="1"/>
    <col min="6906" max="6906" width="14.453125" style="57" customWidth="1"/>
    <col min="6907" max="6907" width="7.26953125" style="57" customWidth="1"/>
    <col min="6908" max="6908" width="5.54296875" style="57" customWidth="1"/>
    <col min="6909" max="6909" width="9" style="57" customWidth="1"/>
    <col min="6910" max="6911" width="9.81640625" style="57" customWidth="1"/>
    <col min="6912" max="6912" width="11.1796875" style="57" customWidth="1"/>
    <col min="6913" max="6913" width="2.81640625" style="57" customWidth="1"/>
    <col min="6914" max="6914" width="3.54296875" style="57" customWidth="1"/>
    <col min="6915" max="7159" width="9.1796875" style="57"/>
    <col min="7160" max="7160" width="8.7265625" style="57" customWidth="1"/>
    <col min="7161" max="7161" width="9.81640625" style="57" customWidth="1"/>
    <col min="7162" max="7162" width="14.453125" style="57" customWidth="1"/>
    <col min="7163" max="7163" width="7.26953125" style="57" customWidth="1"/>
    <col min="7164" max="7164" width="5.54296875" style="57" customWidth="1"/>
    <col min="7165" max="7165" width="9" style="57" customWidth="1"/>
    <col min="7166" max="7167" width="9.81640625" style="57" customWidth="1"/>
    <col min="7168" max="7168" width="11.1796875" style="57" customWidth="1"/>
    <col min="7169" max="7169" width="2.81640625" style="57" customWidth="1"/>
    <col min="7170" max="7170" width="3.54296875" style="57" customWidth="1"/>
    <col min="7171" max="7415" width="9.1796875" style="57"/>
    <col min="7416" max="7416" width="8.7265625" style="57" customWidth="1"/>
    <col min="7417" max="7417" width="9.81640625" style="57" customWidth="1"/>
    <col min="7418" max="7418" width="14.453125" style="57" customWidth="1"/>
    <col min="7419" max="7419" width="7.26953125" style="57" customWidth="1"/>
    <col min="7420" max="7420" width="5.54296875" style="57" customWidth="1"/>
    <col min="7421" max="7421" width="9" style="57" customWidth="1"/>
    <col min="7422" max="7423" width="9.81640625" style="57" customWidth="1"/>
    <col min="7424" max="7424" width="11.1796875" style="57" customWidth="1"/>
    <col min="7425" max="7425" width="2.81640625" style="57" customWidth="1"/>
    <col min="7426" max="7426" width="3.54296875" style="57" customWidth="1"/>
    <col min="7427" max="7671" width="9.1796875" style="57"/>
    <col min="7672" max="7672" width="8.7265625" style="57" customWidth="1"/>
    <col min="7673" max="7673" width="9.81640625" style="57" customWidth="1"/>
    <col min="7674" max="7674" width="14.453125" style="57" customWidth="1"/>
    <col min="7675" max="7675" width="7.26953125" style="57" customWidth="1"/>
    <col min="7676" max="7676" width="5.54296875" style="57" customWidth="1"/>
    <col min="7677" max="7677" width="9" style="57" customWidth="1"/>
    <col min="7678" max="7679" width="9.81640625" style="57" customWidth="1"/>
    <col min="7680" max="7680" width="11.1796875" style="57" customWidth="1"/>
    <col min="7681" max="7681" width="2.81640625" style="57" customWidth="1"/>
    <col min="7682" max="7682" width="3.54296875" style="57" customWidth="1"/>
    <col min="7683" max="7927" width="9.1796875" style="57"/>
    <col min="7928" max="7928" width="8.7265625" style="57" customWidth="1"/>
    <col min="7929" max="7929" width="9.81640625" style="57" customWidth="1"/>
    <col min="7930" max="7930" width="14.453125" style="57" customWidth="1"/>
    <col min="7931" max="7931" width="7.26953125" style="57" customWidth="1"/>
    <col min="7932" max="7932" width="5.54296875" style="57" customWidth="1"/>
    <col min="7933" max="7933" width="9" style="57" customWidth="1"/>
    <col min="7934" max="7935" width="9.81640625" style="57" customWidth="1"/>
    <col min="7936" max="7936" width="11.1796875" style="57" customWidth="1"/>
    <col min="7937" max="7937" width="2.81640625" style="57" customWidth="1"/>
    <col min="7938" max="7938" width="3.54296875" style="57" customWidth="1"/>
    <col min="7939" max="8183" width="9.1796875" style="57"/>
    <col min="8184" max="8184" width="8.7265625" style="57" customWidth="1"/>
    <col min="8185" max="8185" width="9.81640625" style="57" customWidth="1"/>
    <col min="8186" max="8186" width="14.453125" style="57" customWidth="1"/>
    <col min="8187" max="8187" width="7.26953125" style="57" customWidth="1"/>
    <col min="8188" max="8188" width="5.54296875" style="57" customWidth="1"/>
    <col min="8189" max="8189" width="9" style="57" customWidth="1"/>
    <col min="8190" max="8191" width="9.81640625" style="57" customWidth="1"/>
    <col min="8192" max="8192" width="11.1796875" style="57" customWidth="1"/>
    <col min="8193" max="8193" width="2.81640625" style="57" customWidth="1"/>
    <col min="8194" max="8194" width="3.54296875" style="57" customWidth="1"/>
    <col min="8195" max="8439" width="9.1796875" style="57"/>
    <col min="8440" max="8440" width="8.7265625" style="57" customWidth="1"/>
    <col min="8441" max="8441" width="9.81640625" style="57" customWidth="1"/>
    <col min="8442" max="8442" width="14.453125" style="57" customWidth="1"/>
    <col min="8443" max="8443" width="7.26953125" style="57" customWidth="1"/>
    <col min="8444" max="8444" width="5.54296875" style="57" customWidth="1"/>
    <col min="8445" max="8445" width="9" style="57" customWidth="1"/>
    <col min="8446" max="8447" width="9.81640625" style="57" customWidth="1"/>
    <col min="8448" max="8448" width="11.1796875" style="57" customWidth="1"/>
    <col min="8449" max="8449" width="2.81640625" style="57" customWidth="1"/>
    <col min="8450" max="8450" width="3.54296875" style="57" customWidth="1"/>
    <col min="8451" max="8695" width="9.1796875" style="57"/>
    <col min="8696" max="8696" width="8.7265625" style="57" customWidth="1"/>
    <col min="8697" max="8697" width="9.81640625" style="57" customWidth="1"/>
    <col min="8698" max="8698" width="14.453125" style="57" customWidth="1"/>
    <col min="8699" max="8699" width="7.26953125" style="57" customWidth="1"/>
    <col min="8700" max="8700" width="5.54296875" style="57" customWidth="1"/>
    <col min="8701" max="8701" width="9" style="57" customWidth="1"/>
    <col min="8702" max="8703" width="9.81640625" style="57" customWidth="1"/>
    <col min="8704" max="8704" width="11.1796875" style="57" customWidth="1"/>
    <col min="8705" max="8705" width="2.81640625" style="57" customWidth="1"/>
    <col min="8706" max="8706" width="3.54296875" style="57" customWidth="1"/>
    <col min="8707" max="8951" width="9.1796875" style="57"/>
    <col min="8952" max="8952" width="8.7265625" style="57" customWidth="1"/>
    <col min="8953" max="8953" width="9.81640625" style="57" customWidth="1"/>
    <col min="8954" max="8954" width="14.453125" style="57" customWidth="1"/>
    <col min="8955" max="8955" width="7.26953125" style="57" customWidth="1"/>
    <col min="8956" max="8956" width="5.54296875" style="57" customWidth="1"/>
    <col min="8957" max="8957" width="9" style="57" customWidth="1"/>
    <col min="8958" max="8959" width="9.81640625" style="57" customWidth="1"/>
    <col min="8960" max="8960" width="11.1796875" style="57" customWidth="1"/>
    <col min="8961" max="8961" width="2.81640625" style="57" customWidth="1"/>
    <col min="8962" max="8962" width="3.54296875" style="57" customWidth="1"/>
    <col min="8963" max="9207" width="9.1796875" style="57"/>
    <col min="9208" max="9208" width="8.7265625" style="57" customWidth="1"/>
    <col min="9209" max="9209" width="9.81640625" style="57" customWidth="1"/>
    <col min="9210" max="9210" width="14.453125" style="57" customWidth="1"/>
    <col min="9211" max="9211" width="7.26953125" style="57" customWidth="1"/>
    <col min="9212" max="9212" width="5.54296875" style="57" customWidth="1"/>
    <col min="9213" max="9213" width="9" style="57" customWidth="1"/>
    <col min="9214" max="9215" width="9.81640625" style="57" customWidth="1"/>
    <col min="9216" max="9216" width="11.1796875" style="57" customWidth="1"/>
    <col min="9217" max="9217" width="2.81640625" style="57" customWidth="1"/>
    <col min="9218" max="9218" width="3.54296875" style="57" customWidth="1"/>
    <col min="9219" max="9463" width="9.1796875" style="57"/>
    <col min="9464" max="9464" width="8.7265625" style="57" customWidth="1"/>
    <col min="9465" max="9465" width="9.81640625" style="57" customWidth="1"/>
    <col min="9466" max="9466" width="14.453125" style="57" customWidth="1"/>
    <col min="9467" max="9467" width="7.26953125" style="57" customWidth="1"/>
    <col min="9468" max="9468" width="5.54296875" style="57" customWidth="1"/>
    <col min="9469" max="9469" width="9" style="57" customWidth="1"/>
    <col min="9470" max="9471" width="9.81640625" style="57" customWidth="1"/>
    <col min="9472" max="9472" width="11.1796875" style="57" customWidth="1"/>
    <col min="9473" max="9473" width="2.81640625" style="57" customWidth="1"/>
    <col min="9474" max="9474" width="3.54296875" style="57" customWidth="1"/>
    <col min="9475" max="9719" width="9.1796875" style="57"/>
    <col min="9720" max="9720" width="8.7265625" style="57" customWidth="1"/>
    <col min="9721" max="9721" width="9.81640625" style="57" customWidth="1"/>
    <col min="9722" max="9722" width="14.453125" style="57" customWidth="1"/>
    <col min="9723" max="9723" width="7.26953125" style="57" customWidth="1"/>
    <col min="9724" max="9724" width="5.54296875" style="57" customWidth="1"/>
    <col min="9725" max="9725" width="9" style="57" customWidth="1"/>
    <col min="9726" max="9727" width="9.81640625" style="57" customWidth="1"/>
    <col min="9728" max="9728" width="11.1796875" style="57" customWidth="1"/>
    <col min="9729" max="9729" width="2.81640625" style="57" customWidth="1"/>
    <col min="9730" max="9730" width="3.54296875" style="57" customWidth="1"/>
    <col min="9731" max="9975" width="9.1796875" style="57"/>
    <col min="9976" max="9976" width="8.7265625" style="57" customWidth="1"/>
    <col min="9977" max="9977" width="9.81640625" style="57" customWidth="1"/>
    <col min="9978" max="9978" width="14.453125" style="57" customWidth="1"/>
    <col min="9979" max="9979" width="7.26953125" style="57" customWidth="1"/>
    <col min="9980" max="9980" width="5.54296875" style="57" customWidth="1"/>
    <col min="9981" max="9981" width="9" style="57" customWidth="1"/>
    <col min="9982" max="9983" width="9.81640625" style="57" customWidth="1"/>
    <col min="9984" max="9984" width="11.1796875" style="57" customWidth="1"/>
    <col min="9985" max="9985" width="2.81640625" style="57" customWidth="1"/>
    <col min="9986" max="9986" width="3.54296875" style="57" customWidth="1"/>
    <col min="9987" max="10231" width="9.1796875" style="57"/>
    <col min="10232" max="10232" width="8.7265625" style="57" customWidth="1"/>
    <col min="10233" max="10233" width="9.81640625" style="57" customWidth="1"/>
    <col min="10234" max="10234" width="14.453125" style="57" customWidth="1"/>
    <col min="10235" max="10235" width="7.26953125" style="57" customWidth="1"/>
    <col min="10236" max="10236" width="5.54296875" style="57" customWidth="1"/>
    <col min="10237" max="10237" width="9" style="57" customWidth="1"/>
    <col min="10238" max="10239" width="9.81640625" style="57" customWidth="1"/>
    <col min="10240" max="10240" width="11.1796875" style="57" customWidth="1"/>
    <col min="10241" max="10241" width="2.81640625" style="57" customWidth="1"/>
    <col min="10242" max="10242" width="3.54296875" style="57" customWidth="1"/>
    <col min="10243" max="10487" width="9.1796875" style="57"/>
    <col min="10488" max="10488" width="8.7265625" style="57" customWidth="1"/>
    <col min="10489" max="10489" width="9.81640625" style="57" customWidth="1"/>
    <col min="10490" max="10490" width="14.453125" style="57" customWidth="1"/>
    <col min="10491" max="10491" width="7.26953125" style="57" customWidth="1"/>
    <col min="10492" max="10492" width="5.54296875" style="57" customWidth="1"/>
    <col min="10493" max="10493" width="9" style="57" customWidth="1"/>
    <col min="10494" max="10495" width="9.81640625" style="57" customWidth="1"/>
    <col min="10496" max="10496" width="11.1796875" style="57" customWidth="1"/>
    <col min="10497" max="10497" width="2.81640625" style="57" customWidth="1"/>
    <col min="10498" max="10498" width="3.54296875" style="57" customWidth="1"/>
    <col min="10499" max="10743" width="9.1796875" style="57"/>
    <col min="10744" max="10744" width="8.7265625" style="57" customWidth="1"/>
    <col min="10745" max="10745" width="9.81640625" style="57" customWidth="1"/>
    <col min="10746" max="10746" width="14.453125" style="57" customWidth="1"/>
    <col min="10747" max="10747" width="7.26953125" style="57" customWidth="1"/>
    <col min="10748" max="10748" width="5.54296875" style="57" customWidth="1"/>
    <col min="10749" max="10749" width="9" style="57" customWidth="1"/>
    <col min="10750" max="10751" width="9.81640625" style="57" customWidth="1"/>
    <col min="10752" max="10752" width="11.1796875" style="57" customWidth="1"/>
    <col min="10753" max="10753" width="2.81640625" style="57" customWidth="1"/>
    <col min="10754" max="10754" width="3.54296875" style="57" customWidth="1"/>
    <col min="10755" max="10999" width="9.1796875" style="57"/>
    <col min="11000" max="11000" width="8.7265625" style="57" customWidth="1"/>
    <col min="11001" max="11001" width="9.81640625" style="57" customWidth="1"/>
    <col min="11002" max="11002" width="14.453125" style="57" customWidth="1"/>
    <col min="11003" max="11003" width="7.26953125" style="57" customWidth="1"/>
    <col min="11004" max="11004" width="5.54296875" style="57" customWidth="1"/>
    <col min="11005" max="11005" width="9" style="57" customWidth="1"/>
    <col min="11006" max="11007" width="9.81640625" style="57" customWidth="1"/>
    <col min="11008" max="11008" width="11.1796875" style="57" customWidth="1"/>
    <col min="11009" max="11009" width="2.81640625" style="57" customWidth="1"/>
    <col min="11010" max="11010" width="3.54296875" style="57" customWidth="1"/>
    <col min="11011" max="11255" width="9.1796875" style="57"/>
    <col min="11256" max="11256" width="8.7265625" style="57" customWidth="1"/>
    <col min="11257" max="11257" width="9.81640625" style="57" customWidth="1"/>
    <col min="11258" max="11258" width="14.453125" style="57" customWidth="1"/>
    <col min="11259" max="11259" width="7.26953125" style="57" customWidth="1"/>
    <col min="11260" max="11260" width="5.54296875" style="57" customWidth="1"/>
    <col min="11261" max="11261" width="9" style="57" customWidth="1"/>
    <col min="11262" max="11263" width="9.81640625" style="57" customWidth="1"/>
    <col min="11264" max="11264" width="11.1796875" style="57" customWidth="1"/>
    <col min="11265" max="11265" width="2.81640625" style="57" customWidth="1"/>
    <col min="11266" max="11266" width="3.54296875" style="57" customWidth="1"/>
    <col min="11267" max="11511" width="9.1796875" style="57"/>
    <col min="11512" max="11512" width="8.7265625" style="57" customWidth="1"/>
    <col min="11513" max="11513" width="9.81640625" style="57" customWidth="1"/>
    <col min="11514" max="11514" width="14.453125" style="57" customWidth="1"/>
    <col min="11515" max="11515" width="7.26953125" style="57" customWidth="1"/>
    <col min="11516" max="11516" width="5.54296875" style="57" customWidth="1"/>
    <col min="11517" max="11517" width="9" style="57" customWidth="1"/>
    <col min="11518" max="11519" width="9.81640625" style="57" customWidth="1"/>
    <col min="11520" max="11520" width="11.1796875" style="57" customWidth="1"/>
    <col min="11521" max="11521" width="2.81640625" style="57" customWidth="1"/>
    <col min="11522" max="11522" width="3.54296875" style="57" customWidth="1"/>
    <col min="11523" max="11767" width="9.1796875" style="57"/>
    <col min="11768" max="11768" width="8.7265625" style="57" customWidth="1"/>
    <col min="11769" max="11769" width="9.81640625" style="57" customWidth="1"/>
    <col min="11770" max="11770" width="14.453125" style="57" customWidth="1"/>
    <col min="11771" max="11771" width="7.26953125" style="57" customWidth="1"/>
    <col min="11772" max="11772" width="5.54296875" style="57" customWidth="1"/>
    <col min="11773" max="11773" width="9" style="57" customWidth="1"/>
    <col min="11774" max="11775" width="9.81640625" style="57" customWidth="1"/>
    <col min="11776" max="11776" width="11.1796875" style="57" customWidth="1"/>
    <col min="11777" max="11777" width="2.81640625" style="57" customWidth="1"/>
    <col min="11778" max="11778" width="3.54296875" style="57" customWidth="1"/>
    <col min="11779" max="12023" width="9.1796875" style="57"/>
    <col min="12024" max="12024" width="8.7265625" style="57" customWidth="1"/>
    <col min="12025" max="12025" width="9.81640625" style="57" customWidth="1"/>
    <col min="12026" max="12026" width="14.453125" style="57" customWidth="1"/>
    <col min="12027" max="12027" width="7.26953125" style="57" customWidth="1"/>
    <col min="12028" max="12028" width="5.54296875" style="57" customWidth="1"/>
    <col min="12029" max="12029" width="9" style="57" customWidth="1"/>
    <col min="12030" max="12031" width="9.81640625" style="57" customWidth="1"/>
    <col min="12032" max="12032" width="11.1796875" style="57" customWidth="1"/>
    <col min="12033" max="12033" width="2.81640625" style="57" customWidth="1"/>
    <col min="12034" max="12034" width="3.54296875" style="57" customWidth="1"/>
    <col min="12035" max="12279" width="9.1796875" style="57"/>
    <col min="12280" max="12280" width="8.7265625" style="57" customWidth="1"/>
    <col min="12281" max="12281" width="9.81640625" style="57" customWidth="1"/>
    <col min="12282" max="12282" width="14.453125" style="57" customWidth="1"/>
    <col min="12283" max="12283" width="7.26953125" style="57" customWidth="1"/>
    <col min="12284" max="12284" width="5.54296875" style="57" customWidth="1"/>
    <col min="12285" max="12285" width="9" style="57" customWidth="1"/>
    <col min="12286" max="12287" width="9.81640625" style="57" customWidth="1"/>
    <col min="12288" max="12288" width="11.1796875" style="57" customWidth="1"/>
    <col min="12289" max="12289" width="2.81640625" style="57" customWidth="1"/>
    <col min="12290" max="12290" width="3.54296875" style="57" customWidth="1"/>
    <col min="12291" max="12535" width="9.1796875" style="57"/>
    <col min="12536" max="12536" width="8.7265625" style="57" customWidth="1"/>
    <col min="12537" max="12537" width="9.81640625" style="57" customWidth="1"/>
    <col min="12538" max="12538" width="14.453125" style="57" customWidth="1"/>
    <col min="12539" max="12539" width="7.26953125" style="57" customWidth="1"/>
    <col min="12540" max="12540" width="5.54296875" style="57" customWidth="1"/>
    <col min="12541" max="12541" width="9" style="57" customWidth="1"/>
    <col min="12542" max="12543" width="9.81640625" style="57" customWidth="1"/>
    <col min="12544" max="12544" width="11.1796875" style="57" customWidth="1"/>
    <col min="12545" max="12545" width="2.81640625" style="57" customWidth="1"/>
    <col min="12546" max="12546" width="3.54296875" style="57" customWidth="1"/>
    <col min="12547" max="12791" width="9.1796875" style="57"/>
    <col min="12792" max="12792" width="8.7265625" style="57" customWidth="1"/>
    <col min="12793" max="12793" width="9.81640625" style="57" customWidth="1"/>
    <col min="12794" max="12794" width="14.453125" style="57" customWidth="1"/>
    <col min="12795" max="12795" width="7.26953125" style="57" customWidth="1"/>
    <col min="12796" max="12796" width="5.54296875" style="57" customWidth="1"/>
    <col min="12797" max="12797" width="9" style="57" customWidth="1"/>
    <col min="12798" max="12799" width="9.81640625" style="57" customWidth="1"/>
    <col min="12800" max="12800" width="11.1796875" style="57" customWidth="1"/>
    <col min="12801" max="12801" width="2.81640625" style="57" customWidth="1"/>
    <col min="12802" max="12802" width="3.54296875" style="57" customWidth="1"/>
    <col min="12803" max="13047" width="9.1796875" style="57"/>
    <col min="13048" max="13048" width="8.7265625" style="57" customWidth="1"/>
    <col min="13049" max="13049" width="9.81640625" style="57" customWidth="1"/>
    <col min="13050" max="13050" width="14.453125" style="57" customWidth="1"/>
    <col min="13051" max="13051" width="7.26953125" style="57" customWidth="1"/>
    <col min="13052" max="13052" width="5.54296875" style="57" customWidth="1"/>
    <col min="13053" max="13053" width="9" style="57" customWidth="1"/>
    <col min="13054" max="13055" width="9.81640625" style="57" customWidth="1"/>
    <col min="13056" max="13056" width="11.1796875" style="57" customWidth="1"/>
    <col min="13057" max="13057" width="2.81640625" style="57" customWidth="1"/>
    <col min="13058" max="13058" width="3.54296875" style="57" customWidth="1"/>
    <col min="13059" max="13303" width="9.1796875" style="57"/>
    <col min="13304" max="13304" width="8.7265625" style="57" customWidth="1"/>
    <col min="13305" max="13305" width="9.81640625" style="57" customWidth="1"/>
    <col min="13306" max="13306" width="14.453125" style="57" customWidth="1"/>
    <col min="13307" max="13307" width="7.26953125" style="57" customWidth="1"/>
    <col min="13308" max="13308" width="5.54296875" style="57" customWidth="1"/>
    <col min="13309" max="13309" width="9" style="57" customWidth="1"/>
    <col min="13310" max="13311" width="9.81640625" style="57" customWidth="1"/>
    <col min="13312" max="13312" width="11.1796875" style="57" customWidth="1"/>
    <col min="13313" max="13313" width="2.81640625" style="57" customWidth="1"/>
    <col min="13314" max="13314" width="3.54296875" style="57" customWidth="1"/>
    <col min="13315" max="13559" width="9.1796875" style="57"/>
    <col min="13560" max="13560" width="8.7265625" style="57" customWidth="1"/>
    <col min="13561" max="13561" width="9.81640625" style="57" customWidth="1"/>
    <col min="13562" max="13562" width="14.453125" style="57" customWidth="1"/>
    <col min="13563" max="13563" width="7.26953125" style="57" customWidth="1"/>
    <col min="13564" max="13564" width="5.54296875" style="57" customWidth="1"/>
    <col min="13565" max="13565" width="9" style="57" customWidth="1"/>
    <col min="13566" max="13567" width="9.81640625" style="57" customWidth="1"/>
    <col min="13568" max="13568" width="11.1796875" style="57" customWidth="1"/>
    <col min="13569" max="13569" width="2.81640625" style="57" customWidth="1"/>
    <col min="13570" max="13570" width="3.54296875" style="57" customWidth="1"/>
    <col min="13571" max="13815" width="9.1796875" style="57"/>
    <col min="13816" max="13816" width="8.7265625" style="57" customWidth="1"/>
    <col min="13817" max="13817" width="9.81640625" style="57" customWidth="1"/>
    <col min="13818" max="13818" width="14.453125" style="57" customWidth="1"/>
    <col min="13819" max="13819" width="7.26953125" style="57" customWidth="1"/>
    <col min="13820" max="13820" width="5.54296875" style="57" customWidth="1"/>
    <col min="13821" max="13821" width="9" style="57" customWidth="1"/>
    <col min="13822" max="13823" width="9.81640625" style="57" customWidth="1"/>
    <col min="13824" max="13824" width="11.1796875" style="57" customWidth="1"/>
    <col min="13825" max="13825" width="2.81640625" style="57" customWidth="1"/>
    <col min="13826" max="13826" width="3.54296875" style="57" customWidth="1"/>
    <col min="13827" max="14071" width="9.1796875" style="57"/>
    <col min="14072" max="14072" width="8.7265625" style="57" customWidth="1"/>
    <col min="14073" max="14073" width="9.81640625" style="57" customWidth="1"/>
    <col min="14074" max="14074" width="14.453125" style="57" customWidth="1"/>
    <col min="14075" max="14075" width="7.26953125" style="57" customWidth="1"/>
    <col min="14076" max="14076" width="5.54296875" style="57" customWidth="1"/>
    <col min="14077" max="14077" width="9" style="57" customWidth="1"/>
    <col min="14078" max="14079" width="9.81640625" style="57" customWidth="1"/>
    <col min="14080" max="14080" width="11.1796875" style="57" customWidth="1"/>
    <col min="14081" max="14081" width="2.81640625" style="57" customWidth="1"/>
    <col min="14082" max="14082" width="3.54296875" style="57" customWidth="1"/>
    <col min="14083" max="14327" width="9.1796875" style="57"/>
    <col min="14328" max="14328" width="8.7265625" style="57" customWidth="1"/>
    <col min="14329" max="14329" width="9.81640625" style="57" customWidth="1"/>
    <col min="14330" max="14330" width="14.453125" style="57" customWidth="1"/>
    <col min="14331" max="14331" width="7.26953125" style="57" customWidth="1"/>
    <col min="14332" max="14332" width="5.54296875" style="57" customWidth="1"/>
    <col min="14333" max="14333" width="9" style="57" customWidth="1"/>
    <col min="14334" max="14335" width="9.81640625" style="57" customWidth="1"/>
    <col min="14336" max="14336" width="11.1796875" style="57" customWidth="1"/>
    <col min="14337" max="14337" width="2.81640625" style="57" customWidth="1"/>
    <col min="14338" max="14338" width="3.54296875" style="57" customWidth="1"/>
    <col min="14339" max="14583" width="9.1796875" style="57"/>
    <col min="14584" max="14584" width="8.7265625" style="57" customWidth="1"/>
    <col min="14585" max="14585" width="9.81640625" style="57" customWidth="1"/>
    <col min="14586" max="14586" width="14.453125" style="57" customWidth="1"/>
    <col min="14587" max="14587" width="7.26953125" style="57" customWidth="1"/>
    <col min="14588" max="14588" width="5.54296875" style="57" customWidth="1"/>
    <col min="14589" max="14589" width="9" style="57" customWidth="1"/>
    <col min="14590" max="14591" width="9.81640625" style="57" customWidth="1"/>
    <col min="14592" max="14592" width="11.1796875" style="57" customWidth="1"/>
    <col min="14593" max="14593" width="2.81640625" style="57" customWidth="1"/>
    <col min="14594" max="14594" width="3.54296875" style="57" customWidth="1"/>
    <col min="14595" max="14839" width="9.1796875" style="57"/>
    <col min="14840" max="14840" width="8.7265625" style="57" customWidth="1"/>
    <col min="14841" max="14841" width="9.81640625" style="57" customWidth="1"/>
    <col min="14842" max="14842" width="14.453125" style="57" customWidth="1"/>
    <col min="14843" max="14843" width="7.26953125" style="57" customWidth="1"/>
    <col min="14844" max="14844" width="5.54296875" style="57" customWidth="1"/>
    <col min="14845" max="14845" width="9" style="57" customWidth="1"/>
    <col min="14846" max="14847" width="9.81640625" style="57" customWidth="1"/>
    <col min="14848" max="14848" width="11.1796875" style="57" customWidth="1"/>
    <col min="14849" max="14849" width="2.81640625" style="57" customWidth="1"/>
    <col min="14850" max="14850" width="3.54296875" style="57" customWidth="1"/>
    <col min="14851" max="15095" width="9.1796875" style="57"/>
    <col min="15096" max="15096" width="8.7265625" style="57" customWidth="1"/>
    <col min="15097" max="15097" width="9.81640625" style="57" customWidth="1"/>
    <col min="15098" max="15098" width="14.453125" style="57" customWidth="1"/>
    <col min="15099" max="15099" width="7.26953125" style="57" customWidth="1"/>
    <col min="15100" max="15100" width="5.54296875" style="57" customWidth="1"/>
    <col min="15101" max="15101" width="9" style="57" customWidth="1"/>
    <col min="15102" max="15103" width="9.81640625" style="57" customWidth="1"/>
    <col min="15104" max="15104" width="11.1796875" style="57" customWidth="1"/>
    <col min="15105" max="15105" width="2.81640625" style="57" customWidth="1"/>
    <col min="15106" max="15106" width="3.54296875" style="57" customWidth="1"/>
    <col min="15107" max="15351" width="9.1796875" style="57"/>
    <col min="15352" max="15352" width="8.7265625" style="57" customWidth="1"/>
    <col min="15353" max="15353" width="9.81640625" style="57" customWidth="1"/>
    <col min="15354" max="15354" width="14.453125" style="57" customWidth="1"/>
    <col min="15355" max="15355" width="7.26953125" style="57" customWidth="1"/>
    <col min="15356" max="15356" width="5.54296875" style="57" customWidth="1"/>
    <col min="15357" max="15357" width="9" style="57" customWidth="1"/>
    <col min="15358" max="15359" width="9.81640625" style="57" customWidth="1"/>
    <col min="15360" max="15360" width="11.1796875" style="57" customWidth="1"/>
    <col min="15361" max="15361" width="2.81640625" style="57" customWidth="1"/>
    <col min="15362" max="15362" width="3.54296875" style="57" customWidth="1"/>
    <col min="15363" max="15607" width="9.1796875" style="57"/>
    <col min="15608" max="15608" width="8.7265625" style="57" customWidth="1"/>
    <col min="15609" max="15609" width="9.81640625" style="57" customWidth="1"/>
    <col min="15610" max="15610" width="14.453125" style="57" customWidth="1"/>
    <col min="15611" max="15611" width="7.26953125" style="57" customWidth="1"/>
    <col min="15612" max="15612" width="5.54296875" style="57" customWidth="1"/>
    <col min="15613" max="15613" width="9" style="57" customWidth="1"/>
    <col min="15614" max="15615" width="9.81640625" style="57" customWidth="1"/>
    <col min="15616" max="15616" width="11.1796875" style="57" customWidth="1"/>
    <col min="15617" max="15617" width="2.81640625" style="57" customWidth="1"/>
    <col min="15618" max="15618" width="3.54296875" style="57" customWidth="1"/>
    <col min="15619" max="15863" width="9.1796875" style="57"/>
    <col min="15864" max="15864" width="8.7265625" style="57" customWidth="1"/>
    <col min="15865" max="15865" width="9.81640625" style="57" customWidth="1"/>
    <col min="15866" max="15866" width="14.453125" style="57" customWidth="1"/>
    <col min="15867" max="15867" width="7.26953125" style="57" customWidth="1"/>
    <col min="15868" max="15868" width="5.54296875" style="57" customWidth="1"/>
    <col min="15869" max="15869" width="9" style="57" customWidth="1"/>
    <col min="15870" max="15871" width="9.81640625" style="57" customWidth="1"/>
    <col min="15872" max="15872" width="11.1796875" style="57" customWidth="1"/>
    <col min="15873" max="15873" width="2.81640625" style="57" customWidth="1"/>
    <col min="15874" max="15874" width="3.54296875" style="57" customWidth="1"/>
    <col min="15875" max="16119" width="9.1796875" style="57"/>
    <col min="16120" max="16120" width="8.7265625" style="57" customWidth="1"/>
    <col min="16121" max="16121" width="9.81640625" style="57" customWidth="1"/>
    <col min="16122" max="16122" width="14.453125" style="57" customWidth="1"/>
    <col min="16123" max="16123" width="7.26953125" style="57" customWidth="1"/>
    <col min="16124" max="16124" width="5.54296875" style="57" customWidth="1"/>
    <col min="16125" max="16125" width="9" style="57" customWidth="1"/>
    <col min="16126" max="16127" width="9.81640625" style="57" customWidth="1"/>
    <col min="16128" max="16128" width="11.1796875" style="57" customWidth="1"/>
    <col min="16129" max="16129" width="2.81640625" style="57" customWidth="1"/>
    <col min="16130" max="16130" width="3.54296875" style="57" customWidth="1"/>
    <col min="16131" max="16384" width="9.1796875" style="57"/>
  </cols>
  <sheetData>
    <row r="1" spans="1:8" ht="46.5" customHeight="1" x14ac:dyDescent="0.35">
      <c r="A1" s="190" t="s">
        <v>253</v>
      </c>
      <c r="B1" s="190"/>
      <c r="C1" s="190"/>
      <c r="D1" s="190"/>
      <c r="E1" s="190"/>
      <c r="F1" s="190"/>
      <c r="G1" s="190"/>
      <c r="H1" s="190"/>
    </row>
    <row r="2" spans="1:8" ht="16.5" customHeight="1" x14ac:dyDescent="0.35">
      <c r="A2" s="114" t="s">
        <v>0</v>
      </c>
      <c r="B2" s="114"/>
      <c r="C2" s="114"/>
      <c r="D2" s="114"/>
      <c r="E2" s="114"/>
      <c r="F2" s="114"/>
      <c r="G2" s="114"/>
      <c r="H2" s="114"/>
    </row>
    <row r="3" spans="1:8" x14ac:dyDescent="0.35">
      <c r="A3" s="122" t="s">
        <v>1</v>
      </c>
      <c r="B3" s="122"/>
      <c r="C3" s="122"/>
      <c r="D3" s="122"/>
      <c r="E3" s="191" t="str">
        <f ca="1">TEXT(TODAY(),"DD/MM/YYYY")</f>
        <v>14/07/2025</v>
      </c>
      <c r="F3" s="191"/>
      <c r="G3" s="191"/>
      <c r="H3" s="191"/>
    </row>
    <row r="4" spans="1:8" ht="15" customHeight="1" x14ac:dyDescent="0.35">
      <c r="A4" s="122" t="s">
        <v>2</v>
      </c>
      <c r="B4" s="122"/>
      <c r="C4" s="122"/>
      <c r="D4" s="122"/>
      <c r="E4" s="192" t="s">
        <v>202</v>
      </c>
      <c r="F4" s="192"/>
      <c r="G4" s="192"/>
      <c r="H4" s="192"/>
    </row>
    <row r="5" spans="1:8" x14ac:dyDescent="0.35">
      <c r="A5" s="122" t="s">
        <v>3</v>
      </c>
      <c r="B5" s="122"/>
      <c r="C5" s="122"/>
      <c r="D5" s="122"/>
      <c r="E5" s="191">
        <v>45848</v>
      </c>
      <c r="F5" s="191"/>
      <c r="G5" s="191"/>
      <c r="H5" s="191"/>
    </row>
    <row r="6" spans="1:8" ht="16.5" customHeight="1" x14ac:dyDescent="0.35">
      <c r="A6" s="122" t="s">
        <v>4</v>
      </c>
      <c r="B6" s="122"/>
      <c r="C6" s="122"/>
      <c r="D6" s="122"/>
      <c r="E6" s="165" t="s">
        <v>244</v>
      </c>
      <c r="F6" s="165"/>
      <c r="G6" s="165"/>
      <c r="H6" s="165"/>
    </row>
    <row r="7" spans="1:8" ht="15" customHeight="1" x14ac:dyDescent="0.35">
      <c r="A7" s="122" t="s">
        <v>5</v>
      </c>
      <c r="B7" s="122"/>
      <c r="C7" s="122"/>
      <c r="D7" s="122"/>
      <c r="E7" s="165" t="str">
        <f>E6</f>
        <v>M/s. T. L. Realities</v>
      </c>
      <c r="F7" s="165"/>
      <c r="G7" s="165"/>
      <c r="H7" s="165"/>
    </row>
    <row r="8" spans="1:8" x14ac:dyDescent="0.35">
      <c r="A8" s="122" t="s">
        <v>6</v>
      </c>
      <c r="B8" s="122"/>
      <c r="C8" s="122"/>
      <c r="D8" s="122"/>
      <c r="E8" s="166" t="s">
        <v>201</v>
      </c>
      <c r="F8" s="166"/>
      <c r="G8" s="166"/>
      <c r="H8" s="166"/>
    </row>
    <row r="9" spans="1:8" x14ac:dyDescent="0.35">
      <c r="A9" s="122" t="s">
        <v>162</v>
      </c>
      <c r="B9" s="122"/>
      <c r="C9" s="122"/>
      <c r="D9" s="122"/>
      <c r="E9" s="130">
        <v>9892713565</v>
      </c>
      <c r="F9" s="130"/>
      <c r="G9" s="130"/>
      <c r="H9" s="130"/>
    </row>
    <row r="10" spans="1:8" hidden="1" x14ac:dyDescent="0.35">
      <c r="A10" s="122" t="s">
        <v>258</v>
      </c>
      <c r="B10" s="122"/>
      <c r="C10" s="122"/>
      <c r="D10" s="122"/>
      <c r="E10" s="130" t="s">
        <v>259</v>
      </c>
      <c r="F10" s="130"/>
      <c r="G10" s="130"/>
      <c r="H10" s="130"/>
    </row>
    <row r="11" spans="1:8" ht="65.25" customHeight="1" x14ac:dyDescent="0.35">
      <c r="A11" s="130" t="s">
        <v>7</v>
      </c>
      <c r="B11" s="130"/>
      <c r="C11" s="130"/>
      <c r="D11" s="130"/>
      <c r="E11" s="165" t="s">
        <v>238</v>
      </c>
      <c r="F11" s="130"/>
      <c r="G11" s="130"/>
      <c r="H11" s="130"/>
    </row>
    <row r="12" spans="1:8" x14ac:dyDescent="0.35">
      <c r="A12" s="122" t="s">
        <v>8</v>
      </c>
      <c r="B12" s="122"/>
      <c r="C12" s="122"/>
      <c r="D12" s="122"/>
      <c r="E12" s="165" t="s">
        <v>228</v>
      </c>
      <c r="F12" s="165"/>
      <c r="G12" s="165"/>
      <c r="H12" s="165"/>
    </row>
    <row r="13" spans="1:8" x14ac:dyDescent="0.35">
      <c r="A13" s="122" t="s">
        <v>9</v>
      </c>
      <c r="B13" s="122"/>
      <c r="C13" s="122"/>
      <c r="D13" s="122"/>
      <c r="E13" s="165" t="s">
        <v>261</v>
      </c>
      <c r="F13" s="130"/>
      <c r="G13" s="130"/>
      <c r="H13" s="130"/>
    </row>
    <row r="14" spans="1:8" ht="34.5" customHeight="1" x14ac:dyDescent="0.35">
      <c r="A14" s="153" t="s">
        <v>10</v>
      </c>
      <c r="B14" s="153"/>
      <c r="C14" s="153" t="str">
        <f>CONCATENATE((IF(OR(E8="",E8="NA"),"",E8)),", ",(IF(OR(A15="",A15="NA"),"",A15)),".",(IF(OR(C15="",C15="NA"),"",C15)),", near ",(IF(OR(C19="",C19="NA"),"",C19)),", ",(IF(OR(C16="",C16="NA"),"",C16)),", ",(IF(OR(G16="",G16="NA"),"",G16)),", ",(IF(OR(C17="",C17="NA"),"",C17)),", ",(IF(OR(C18="",C18="NA"),"",C18)),", ",(IF(OR(G17="",G17="NA"),"",G17)),".")</f>
        <v>Ideal Enclave, Gut No.232/A/2, near Soham Garden Buildings, Padghe Road, Umroli, Palghar, Palghar, Palghar.</v>
      </c>
      <c r="D14" s="153"/>
      <c r="E14" s="153"/>
      <c r="F14" s="153"/>
      <c r="G14" s="153"/>
      <c r="H14" s="153"/>
    </row>
    <row r="15" spans="1:8" x14ac:dyDescent="0.35">
      <c r="A15" s="153" t="s">
        <v>205</v>
      </c>
      <c r="B15" s="153"/>
      <c r="C15" s="165" t="s">
        <v>235</v>
      </c>
      <c r="D15" s="165"/>
      <c r="E15" s="165"/>
      <c r="F15" s="165"/>
      <c r="G15" s="165"/>
      <c r="H15" s="165"/>
    </row>
    <row r="16" spans="1:8" ht="15.75" customHeight="1" x14ac:dyDescent="0.35">
      <c r="A16" s="153" t="s">
        <v>11</v>
      </c>
      <c r="B16" s="153"/>
      <c r="C16" s="130" t="s">
        <v>230</v>
      </c>
      <c r="D16" s="130"/>
      <c r="E16" s="153" t="s">
        <v>104</v>
      </c>
      <c r="F16" s="153"/>
      <c r="G16" s="165" t="s">
        <v>206</v>
      </c>
      <c r="H16" s="165"/>
    </row>
    <row r="17" spans="1:8" x14ac:dyDescent="0.35">
      <c r="A17" s="130" t="s">
        <v>13</v>
      </c>
      <c r="B17" s="130"/>
      <c r="C17" s="116" t="s">
        <v>207</v>
      </c>
      <c r="D17" s="116"/>
      <c r="E17" s="165" t="s">
        <v>12</v>
      </c>
      <c r="F17" s="165"/>
      <c r="G17" s="116" t="s">
        <v>207</v>
      </c>
      <c r="H17" s="116"/>
    </row>
    <row r="18" spans="1:8" x14ac:dyDescent="0.35">
      <c r="A18" s="130" t="s">
        <v>105</v>
      </c>
      <c r="B18" s="130"/>
      <c r="C18" s="116" t="s">
        <v>207</v>
      </c>
      <c r="D18" s="116"/>
      <c r="E18" s="165" t="s">
        <v>14</v>
      </c>
      <c r="F18" s="165"/>
      <c r="G18" s="165">
        <v>401404</v>
      </c>
      <c r="H18" s="165"/>
    </row>
    <row r="19" spans="1:8" ht="32.25" customHeight="1" x14ac:dyDescent="0.35">
      <c r="A19" s="130" t="s">
        <v>163</v>
      </c>
      <c r="B19" s="130"/>
      <c r="C19" s="165" t="s">
        <v>229</v>
      </c>
      <c r="D19" s="165"/>
      <c r="E19" s="165" t="s">
        <v>15</v>
      </c>
      <c r="F19" s="165"/>
      <c r="G19" s="165" t="s">
        <v>267</v>
      </c>
      <c r="H19" s="165"/>
    </row>
    <row r="20" spans="1:8" ht="15" customHeight="1" x14ac:dyDescent="0.35">
      <c r="A20" s="165" t="s">
        <v>110</v>
      </c>
      <c r="B20" s="165"/>
      <c r="C20" s="165"/>
      <c r="D20" s="165"/>
      <c r="E20" s="130" t="s">
        <v>16</v>
      </c>
      <c r="F20" s="130"/>
      <c r="G20" s="130"/>
      <c r="H20" s="130"/>
    </row>
    <row r="21" spans="1:8" ht="18.75" customHeight="1" x14ac:dyDescent="0.35">
      <c r="A21" s="165"/>
      <c r="B21" s="165"/>
      <c r="C21" s="165"/>
      <c r="D21" s="165"/>
      <c r="E21" s="130"/>
      <c r="F21" s="130"/>
      <c r="G21" s="130"/>
      <c r="H21" s="130"/>
    </row>
    <row r="22" spans="1:8" ht="15" customHeight="1" x14ac:dyDescent="0.35">
      <c r="A22" s="165" t="s">
        <v>17</v>
      </c>
      <c r="B22" s="165"/>
      <c r="C22" s="165"/>
      <c r="D22" s="165"/>
      <c r="E22" s="165" t="s">
        <v>18</v>
      </c>
      <c r="F22" s="165"/>
      <c r="G22" s="165"/>
      <c r="H22" s="165"/>
    </row>
    <row r="23" spans="1:8" ht="15" customHeight="1" x14ac:dyDescent="0.35">
      <c r="A23" s="130" t="s">
        <v>19</v>
      </c>
      <c r="B23" s="130"/>
      <c r="C23" s="130"/>
      <c r="D23" s="130"/>
      <c r="E23" s="165" t="str">
        <f>IF(AND(G17="Mumbai"),"Upper Class","Middle Class")</f>
        <v>Middle Class</v>
      </c>
      <c r="F23" s="165"/>
      <c r="G23" s="165"/>
      <c r="H23" s="165"/>
    </row>
    <row r="24" spans="1:8" x14ac:dyDescent="0.35">
      <c r="A24" s="130" t="s">
        <v>20</v>
      </c>
      <c r="B24" s="130"/>
      <c r="C24" s="130"/>
      <c r="D24" s="130"/>
      <c r="E24" s="165" t="s">
        <v>21</v>
      </c>
      <c r="F24" s="165"/>
      <c r="G24" s="165"/>
      <c r="H24" s="165"/>
    </row>
    <row r="25" spans="1:8" ht="15.75" customHeight="1" x14ac:dyDescent="0.35">
      <c r="A25" s="130" t="s">
        <v>22</v>
      </c>
      <c r="B25" s="130"/>
      <c r="C25" s="130"/>
      <c r="D25" s="130"/>
      <c r="E25" s="165" t="str">
        <f>IF(AND(G17="Mumbai"),"Developed","Developing")</f>
        <v>Developing</v>
      </c>
      <c r="F25" s="165"/>
      <c r="G25" s="165"/>
      <c r="H25" s="165"/>
    </row>
    <row r="26" spans="1:8" x14ac:dyDescent="0.35">
      <c r="A26" s="130" t="s">
        <v>23</v>
      </c>
      <c r="B26" s="130"/>
      <c r="C26" s="130"/>
      <c r="D26" s="130"/>
      <c r="E26" s="165" t="s">
        <v>24</v>
      </c>
      <c r="F26" s="165"/>
      <c r="G26" s="165"/>
      <c r="H26" s="165"/>
    </row>
    <row r="27" spans="1:8" x14ac:dyDescent="0.35">
      <c r="A27" s="130" t="s">
        <v>117</v>
      </c>
      <c r="B27" s="130"/>
      <c r="C27" s="130"/>
      <c r="D27" s="130"/>
      <c r="E27" s="165" t="s">
        <v>118</v>
      </c>
      <c r="F27" s="165"/>
      <c r="G27" s="165"/>
      <c r="H27" s="165"/>
    </row>
    <row r="28" spans="1:8" ht="15" customHeight="1" x14ac:dyDescent="0.35">
      <c r="A28" s="165" t="s">
        <v>35</v>
      </c>
      <c r="B28" s="165"/>
      <c r="C28" s="165"/>
      <c r="D28" s="165"/>
      <c r="E28" s="192" t="s">
        <v>114</v>
      </c>
      <c r="F28" s="192"/>
      <c r="G28" s="192"/>
      <c r="H28" s="192"/>
    </row>
    <row r="29" spans="1:8" x14ac:dyDescent="0.35">
      <c r="A29" s="165" t="s">
        <v>129</v>
      </c>
      <c r="B29" s="165"/>
      <c r="C29" s="165"/>
      <c r="D29" s="165"/>
      <c r="E29" s="165" t="s">
        <v>36</v>
      </c>
      <c r="F29" s="165"/>
      <c r="G29" s="165"/>
      <c r="H29" s="165"/>
    </row>
    <row r="30" spans="1:8" s="58" customFormat="1" x14ac:dyDescent="0.35">
      <c r="A30" s="198" t="s">
        <v>130</v>
      </c>
      <c r="B30" s="198"/>
      <c r="C30" s="197" t="s">
        <v>29</v>
      </c>
      <c r="D30" s="197"/>
      <c r="E30" s="197"/>
      <c r="F30" s="197" t="s">
        <v>31</v>
      </c>
      <c r="G30" s="197"/>
      <c r="H30" s="197"/>
    </row>
    <row r="31" spans="1:8" s="58" customFormat="1" x14ac:dyDescent="0.35">
      <c r="A31" s="194" t="s">
        <v>25</v>
      </c>
      <c r="B31" s="194" t="s">
        <v>30</v>
      </c>
      <c r="C31" s="176" t="s">
        <v>30</v>
      </c>
      <c r="D31" s="176"/>
      <c r="E31" s="176"/>
      <c r="F31" s="176" t="s">
        <v>231</v>
      </c>
      <c r="G31" s="176"/>
      <c r="H31" s="176"/>
    </row>
    <row r="32" spans="1:8" x14ac:dyDescent="0.35">
      <c r="A32" s="194" t="s">
        <v>26</v>
      </c>
      <c r="B32" s="194" t="s">
        <v>30</v>
      </c>
      <c r="C32" s="176" t="s">
        <v>30</v>
      </c>
      <c r="D32" s="176"/>
      <c r="E32" s="176"/>
      <c r="F32" s="176" t="s">
        <v>232</v>
      </c>
      <c r="G32" s="176"/>
      <c r="H32" s="176"/>
    </row>
    <row r="33" spans="1:8" s="58" customFormat="1" x14ac:dyDescent="0.35">
      <c r="A33" s="194" t="s">
        <v>28</v>
      </c>
      <c r="B33" s="194" t="s">
        <v>30</v>
      </c>
      <c r="C33" s="176" t="s">
        <v>30</v>
      </c>
      <c r="D33" s="176"/>
      <c r="E33" s="176"/>
      <c r="F33" s="176" t="s">
        <v>233</v>
      </c>
      <c r="G33" s="176"/>
      <c r="H33" s="176"/>
    </row>
    <row r="34" spans="1:8" x14ac:dyDescent="0.35">
      <c r="A34" s="194" t="s">
        <v>27</v>
      </c>
      <c r="B34" s="194" t="s">
        <v>30</v>
      </c>
      <c r="C34" s="176" t="s">
        <v>30</v>
      </c>
      <c r="D34" s="176"/>
      <c r="E34" s="176"/>
      <c r="F34" s="176" t="s">
        <v>234</v>
      </c>
      <c r="G34" s="176"/>
      <c r="H34" s="176"/>
    </row>
    <row r="35" spans="1:8" x14ac:dyDescent="0.35">
      <c r="A35" s="122" t="s">
        <v>32</v>
      </c>
      <c r="B35" s="122"/>
      <c r="C35" s="122"/>
      <c r="D35" s="122"/>
      <c r="E35" s="122"/>
      <c r="F35" s="122"/>
      <c r="G35" s="122"/>
      <c r="H35" s="122"/>
    </row>
    <row r="36" spans="1:8" ht="15.75" customHeight="1" x14ac:dyDescent="0.35">
      <c r="A36" s="114" t="s">
        <v>33</v>
      </c>
      <c r="B36" s="114"/>
      <c r="C36" s="194">
        <v>19.756521899999999</v>
      </c>
      <c r="D36" s="194"/>
      <c r="E36" s="114" t="s">
        <v>34</v>
      </c>
      <c r="F36" s="114"/>
      <c r="G36" s="176">
        <v>72.7646929</v>
      </c>
      <c r="H36" s="176"/>
    </row>
    <row r="37" spans="1:8" ht="15.75" customHeight="1" x14ac:dyDescent="0.35">
      <c r="A37" s="114" t="s">
        <v>252</v>
      </c>
      <c r="B37" s="114"/>
      <c r="C37" s="115" t="s">
        <v>266</v>
      </c>
      <c r="D37" s="116"/>
      <c r="E37" s="116"/>
      <c r="F37" s="116"/>
      <c r="G37" s="116"/>
      <c r="H37" s="116"/>
    </row>
    <row r="38" spans="1:8" x14ac:dyDescent="0.35">
      <c r="A38" s="195" t="s">
        <v>37</v>
      </c>
      <c r="B38" s="195"/>
      <c r="C38" s="195"/>
      <c r="D38" s="195"/>
      <c r="E38" s="195"/>
      <c r="F38" s="195"/>
      <c r="G38" s="195"/>
      <c r="H38" s="195"/>
    </row>
    <row r="39" spans="1:8" x14ac:dyDescent="0.35">
      <c r="A39" s="122" t="s">
        <v>38</v>
      </c>
      <c r="B39" s="122"/>
      <c r="C39" s="122"/>
      <c r="D39" s="122"/>
      <c r="E39" s="196">
        <v>2500</v>
      </c>
      <c r="F39" s="196"/>
      <c r="G39" s="196"/>
      <c r="H39" s="196"/>
    </row>
    <row r="40" spans="1:8" x14ac:dyDescent="0.35">
      <c r="A40" s="122" t="s">
        <v>39</v>
      </c>
      <c r="B40" s="122"/>
      <c r="C40" s="122"/>
      <c r="D40" s="122"/>
      <c r="E40" s="121">
        <v>0.9</v>
      </c>
      <c r="F40" s="121"/>
      <c r="G40" s="121"/>
      <c r="H40" s="121"/>
    </row>
    <row r="41" spans="1:8" x14ac:dyDescent="0.35">
      <c r="A41" s="122" t="s">
        <v>40</v>
      </c>
      <c r="B41" s="122"/>
      <c r="C41" s="122"/>
      <c r="D41" s="122"/>
      <c r="E41" s="121">
        <f>E43/E39-E40</f>
        <v>0</v>
      </c>
      <c r="F41" s="121"/>
      <c r="G41" s="121"/>
      <c r="H41" s="121"/>
    </row>
    <row r="42" spans="1:8" x14ac:dyDescent="0.35">
      <c r="A42" s="122" t="s">
        <v>41</v>
      </c>
      <c r="B42" s="122"/>
      <c r="C42" s="122"/>
      <c r="D42" s="122"/>
      <c r="E42" s="121">
        <f>E40+E41</f>
        <v>0.9</v>
      </c>
      <c r="F42" s="121"/>
      <c r="G42" s="121"/>
      <c r="H42" s="121"/>
    </row>
    <row r="43" spans="1:8" x14ac:dyDescent="0.35">
      <c r="A43" s="130" t="s">
        <v>128</v>
      </c>
      <c r="B43" s="130"/>
      <c r="C43" s="130"/>
      <c r="D43" s="130"/>
      <c r="E43" s="189">
        <v>2250</v>
      </c>
      <c r="F43" s="189"/>
      <c r="G43" s="189"/>
      <c r="H43" s="189"/>
    </row>
    <row r="44" spans="1:8" x14ac:dyDescent="0.35">
      <c r="A44" s="130" t="s">
        <v>42</v>
      </c>
      <c r="B44" s="130"/>
      <c r="C44" s="130"/>
      <c r="D44" s="130"/>
      <c r="E44" s="130" t="s">
        <v>251</v>
      </c>
      <c r="F44" s="130"/>
      <c r="G44" s="130"/>
      <c r="H44" s="130"/>
    </row>
    <row r="45" spans="1:8" x14ac:dyDescent="0.35">
      <c r="A45" s="166" t="s">
        <v>43</v>
      </c>
      <c r="B45" s="166"/>
      <c r="C45" s="166"/>
      <c r="D45" s="166"/>
      <c r="E45" s="166"/>
      <c r="F45" s="166"/>
      <c r="G45" s="166"/>
      <c r="H45" s="166"/>
    </row>
    <row r="46" spans="1:8" ht="32.25" customHeight="1" x14ac:dyDescent="0.35">
      <c r="A46" s="165" t="s">
        <v>44</v>
      </c>
      <c r="B46" s="165"/>
      <c r="C46" s="165" t="s">
        <v>204</v>
      </c>
      <c r="D46" s="165"/>
      <c r="E46" s="165"/>
      <c r="F46" s="53" t="s">
        <v>45</v>
      </c>
      <c r="G46" s="185">
        <v>43623</v>
      </c>
      <c r="H46" s="185"/>
    </row>
    <row r="47" spans="1:8" ht="33.75" customHeight="1" x14ac:dyDescent="0.35">
      <c r="A47" s="130" t="s">
        <v>46</v>
      </c>
      <c r="B47" s="130"/>
      <c r="C47" s="165" t="str">
        <f>C46</f>
        <v>MAHSUL/KAKSH.1/MEJ1/NAP/SR/189/18</v>
      </c>
      <c r="D47" s="165"/>
      <c r="E47" s="165"/>
      <c r="F47" s="53" t="s">
        <v>45</v>
      </c>
      <c r="G47" s="185">
        <f>G46</f>
        <v>43623</v>
      </c>
      <c r="H47" s="185"/>
    </row>
    <row r="48" spans="1:8" s="60" customFormat="1" ht="32.25" customHeight="1" x14ac:dyDescent="0.35">
      <c r="A48" s="165" t="s">
        <v>47</v>
      </c>
      <c r="B48" s="165"/>
      <c r="C48" s="165" t="s">
        <v>203</v>
      </c>
      <c r="D48" s="130"/>
      <c r="E48" s="130"/>
      <c r="F48" s="59" t="s">
        <v>45</v>
      </c>
      <c r="G48" s="185">
        <v>43623</v>
      </c>
      <c r="H48" s="185"/>
    </row>
    <row r="49" spans="1:14" s="60" customFormat="1" ht="33.65" customHeight="1" x14ac:dyDescent="0.35">
      <c r="A49" s="165"/>
      <c r="B49" s="165"/>
      <c r="C49" s="186" t="s">
        <v>254</v>
      </c>
      <c r="D49" s="187"/>
      <c r="E49" s="187"/>
      <c r="F49" s="187"/>
      <c r="G49" s="187"/>
      <c r="H49" s="188"/>
    </row>
    <row r="50" spans="1:14" x14ac:dyDescent="0.35">
      <c r="A50" s="168" t="s">
        <v>48</v>
      </c>
      <c r="B50" s="168"/>
      <c r="C50" s="168" t="s">
        <v>141</v>
      </c>
      <c r="D50" s="166"/>
      <c r="E50" s="166" t="s">
        <v>49</v>
      </c>
      <c r="F50" s="52" t="s">
        <v>45</v>
      </c>
      <c r="G50" s="193" t="s">
        <v>30</v>
      </c>
      <c r="H50" s="193"/>
    </row>
    <row r="51" spans="1:14" x14ac:dyDescent="0.35">
      <c r="A51" s="155" t="s">
        <v>51</v>
      </c>
      <c r="B51" s="155"/>
      <c r="C51" s="155"/>
      <c r="D51" s="155"/>
      <c r="E51" s="155"/>
      <c r="F51" s="155"/>
      <c r="G51" s="155"/>
      <c r="H51" s="155"/>
    </row>
    <row r="52" spans="1:14" x14ac:dyDescent="0.35">
      <c r="A52" s="165" t="s">
        <v>127</v>
      </c>
      <c r="B52" s="165"/>
      <c r="C52" s="165"/>
      <c r="D52" s="130">
        <f>E43</f>
        <v>2250</v>
      </c>
      <c r="E52" s="130"/>
      <c r="F52" s="130"/>
      <c r="G52" s="130"/>
      <c r="H52" s="130"/>
    </row>
    <row r="53" spans="1:14" x14ac:dyDescent="0.35">
      <c r="A53" s="165" t="s">
        <v>52</v>
      </c>
      <c r="B53" s="130"/>
      <c r="C53" s="130"/>
      <c r="D53" s="130" t="s">
        <v>220</v>
      </c>
      <c r="E53" s="130"/>
      <c r="F53" s="130"/>
      <c r="G53" s="130"/>
      <c r="H53" s="130"/>
      <c r="I53" s="61"/>
    </row>
    <row r="54" spans="1:14" ht="48" customHeight="1" x14ac:dyDescent="0.35">
      <c r="A54" s="182" t="s">
        <v>53</v>
      </c>
      <c r="B54" s="183"/>
      <c r="C54" s="184"/>
      <c r="D54" s="180" t="s">
        <v>239</v>
      </c>
      <c r="E54" s="181"/>
      <c r="F54" s="181"/>
      <c r="G54" s="181"/>
      <c r="H54" s="181"/>
      <c r="I54" s="62"/>
    </row>
    <row r="55" spans="1:14" ht="15.75" customHeight="1" x14ac:dyDescent="0.35">
      <c r="A55" s="165" t="s">
        <v>125</v>
      </c>
      <c r="B55" s="165"/>
      <c r="C55" s="165"/>
      <c r="D55" s="130" t="s">
        <v>241</v>
      </c>
      <c r="E55" s="130"/>
      <c r="F55" s="130"/>
      <c r="G55" s="130"/>
      <c r="H55" s="130"/>
      <c r="I55" s="62"/>
    </row>
    <row r="56" spans="1:14" ht="32.25" customHeight="1" x14ac:dyDescent="0.35">
      <c r="A56" s="165"/>
      <c r="B56" s="165"/>
      <c r="C56" s="165"/>
      <c r="D56" s="165" t="s">
        <v>240</v>
      </c>
      <c r="E56" s="165"/>
      <c r="F56" s="165"/>
      <c r="G56" s="165"/>
      <c r="H56" s="165"/>
      <c r="I56" s="62"/>
    </row>
    <row r="57" spans="1:14" ht="15.75" customHeight="1" x14ac:dyDescent="0.35">
      <c r="A57" s="130" t="s">
        <v>50</v>
      </c>
      <c r="B57" s="130"/>
      <c r="C57" s="130"/>
      <c r="D57" s="165" t="s">
        <v>264</v>
      </c>
      <c r="E57" s="165"/>
      <c r="F57" s="165"/>
      <c r="G57" s="165"/>
      <c r="H57" s="165"/>
      <c r="J57" s="63"/>
      <c r="K57" s="61"/>
      <c r="N57" s="61"/>
    </row>
    <row r="58" spans="1:14" ht="15.75" customHeight="1" x14ac:dyDescent="0.35">
      <c r="A58" s="130" t="s">
        <v>123</v>
      </c>
      <c r="B58" s="130"/>
      <c r="C58" s="130"/>
      <c r="D58" s="167" t="str">
        <f>(IF(G50="NA","60 Years After Completion",IF(G50&lt;&gt;"NA",""&amp;ROUNDDOWN((E3-G50)/360,0)&amp;" Years"," ")))</f>
        <v>60 Years After Completion</v>
      </c>
      <c r="E58" s="167"/>
      <c r="F58" s="167"/>
      <c r="G58" s="167"/>
      <c r="H58" s="167"/>
      <c r="N58" s="61"/>
    </row>
    <row r="59" spans="1:14" ht="15.75" customHeight="1" x14ac:dyDescent="0.35">
      <c r="A59" s="130" t="s">
        <v>124</v>
      </c>
      <c r="B59" s="130"/>
      <c r="C59" s="130"/>
      <c r="D59" s="165" t="s">
        <v>24</v>
      </c>
      <c r="E59" s="165"/>
      <c r="F59" s="165"/>
      <c r="G59" s="165"/>
      <c r="H59" s="165"/>
      <c r="J59" s="64"/>
      <c r="K59" s="64"/>
    </row>
    <row r="60" spans="1:14" ht="15.75" customHeight="1" thickBot="1" x14ac:dyDescent="0.4">
      <c r="A60" s="130" t="s">
        <v>122</v>
      </c>
      <c r="B60" s="130"/>
      <c r="C60" s="130"/>
      <c r="D60" s="165" t="str">
        <f ca="1">(IF(G65&gt;95%,"Nothing",IF(G65&gt;0%,"Cement, Aggregate, Steel, etc",IF(G65=0%,"Work not yet Started"))))</f>
        <v>Cement, Aggregate, Steel, etc</v>
      </c>
      <c r="E60" s="165"/>
      <c r="F60" s="165"/>
      <c r="G60" s="165"/>
      <c r="H60" s="165"/>
      <c r="J60" s="64"/>
      <c r="K60" s="64"/>
    </row>
    <row r="61" spans="1:14" ht="15.75" customHeight="1" x14ac:dyDescent="0.35">
      <c r="A61" s="163" t="s">
        <v>193</v>
      </c>
      <c r="B61" s="163"/>
      <c r="C61" s="168" t="str">
        <f>D55</f>
        <v>Building No.1 (Type A1 - A Wing) = Gr + 1st to 2nd Floor</v>
      </c>
      <c r="D61" s="168"/>
      <c r="E61" s="168"/>
      <c r="F61" s="168"/>
      <c r="G61" s="168"/>
      <c r="H61" s="168"/>
      <c r="I61" s="36" t="str">
        <f ca="1">(IF(C65=0,"Work not yet Started.",IF(D65=25%,"Piling work in process",IF(D65=50%,"Excavation work in process",IF(D65=100%,"Excavation work completed, ","0")))&amp;(IF(C66=0%,"",IF(C66=K67,"Footing work is process",IF(C66=K68,"Footing work Completed",IF(C66=K69,"1st Basement Completed",IF(C66=K70,"1st &amp; 2nd Basement Completed",IF(C66=K71,"1st to 3rd Basement Completed",IF(C66=K72,"1st to 4th Basement Completed",IF(C66=K73,"Plinth work is process",IF(C66=K74,"Plinth work completed","0")))))))))))&amp;(IF(C67&gt;0,", RCC upto "&amp;C67&amp;" Slab completed",""))&amp;(IF(C68&gt;0,", Brickwork upto "&amp;C68&amp;" Floor completed"," "))&amp;(IF(C69&gt;0,", Internal Plaster upto "&amp;C69&amp;" Floor completed"," "))&amp;(IF(C70&gt;0,", External Plaster upto "&amp;C70&amp;" Floor completed"," "))&amp;(IF(C71&gt;0,", Flooring upto "&amp;C71&amp;" Floor completed"," "))&amp;(IF(C72&gt;0,", Painting upto "&amp;C72&amp;" Floor completed"," "))&amp;(IF(C73&gt;0,", Finishing upto "&amp;C73&amp;" Floor completed"," ")))</f>
        <v xml:space="preserve">Excavation work completed, Plinth work completed, RCC upto 3 Slab completed, Brickwork upto 2 Floor completed     </v>
      </c>
      <c r="J61" s="36"/>
      <c r="K61" s="65"/>
    </row>
    <row r="62" spans="1:14" x14ac:dyDescent="0.35">
      <c r="A62" s="110" t="s">
        <v>195</v>
      </c>
      <c r="B62" s="110">
        <v>0</v>
      </c>
      <c r="C62" s="110" t="s">
        <v>103</v>
      </c>
      <c r="D62" s="110">
        <v>1</v>
      </c>
      <c r="E62" s="110" t="s">
        <v>102</v>
      </c>
      <c r="F62" s="110">
        <v>0</v>
      </c>
      <c r="G62" s="110" t="s">
        <v>116</v>
      </c>
      <c r="H62" s="110">
        <f ca="1">--TRIM(RIGHT(SUBSTITUTE(LEFT(C61,_xlfn.AGGREGATE(16,6,FIND({0,1,2,3,4,5,6,7,8,9},C61,ROW(INDIRECT("1:"&amp;LEN(C61)))),1))," ",REPT(" ",LEN(C61))),LEN(C61)))</f>
        <v>2</v>
      </c>
      <c r="I62" s="37" t="s">
        <v>155</v>
      </c>
      <c r="J62" s="37"/>
      <c r="K62" s="66"/>
    </row>
    <row r="63" spans="1:14" ht="32.5" customHeight="1" x14ac:dyDescent="0.35">
      <c r="A63" s="166" t="s">
        <v>126</v>
      </c>
      <c r="B63" s="166"/>
      <c r="C63" s="168" t="str">
        <f ca="1">I61</f>
        <v xml:space="preserve">Excavation work completed, Plinth work completed, RCC upto 3 Slab completed, Brickwork upto 2 Floor completed     </v>
      </c>
      <c r="D63" s="168"/>
      <c r="E63" s="168"/>
      <c r="F63" s="168"/>
      <c r="G63" s="168"/>
      <c r="H63" s="168"/>
      <c r="I63" s="37" t="s">
        <v>140</v>
      </c>
      <c r="J63" s="37"/>
      <c r="K63" s="66"/>
    </row>
    <row r="64" spans="1:14" x14ac:dyDescent="0.35">
      <c r="A64" s="118" t="s">
        <v>54</v>
      </c>
      <c r="B64" s="118"/>
      <c r="C64" s="108" t="s">
        <v>192</v>
      </c>
      <c r="D64" s="108" t="s">
        <v>119</v>
      </c>
      <c r="E64" s="118" t="s">
        <v>121</v>
      </c>
      <c r="F64" s="118"/>
      <c r="G64" s="118" t="s">
        <v>120</v>
      </c>
      <c r="H64" s="118"/>
      <c r="I64" s="24" t="s">
        <v>194</v>
      </c>
      <c r="J64" s="67"/>
      <c r="K64" s="68">
        <f ca="1">H62*25%</f>
        <v>0.5</v>
      </c>
    </row>
    <row r="65" spans="1:11" x14ac:dyDescent="0.35">
      <c r="A65" s="118" t="s">
        <v>177</v>
      </c>
      <c r="B65" s="118"/>
      <c r="C65" s="69">
        <f ca="1">K66</f>
        <v>2</v>
      </c>
      <c r="D65" s="109">
        <f ca="1">((100/H62)*C65)/100</f>
        <v>1</v>
      </c>
      <c r="E65" s="175">
        <f ca="1">(IF(C63=I62,"100%",IF(C63=I63,"100%",(((C66/H62*10)+(40/(D62+F62+H62)*C67)+(7.5/(H62)*C68)+(7.5/(H62)*C69)+(10/H62*C70)+(10/H62*C71)+(5/H62*C72)+(5/H62*C73)+(5/H62*C74))/100))))</f>
        <v>0.57499999999999996</v>
      </c>
      <c r="F65" s="175"/>
      <c r="G65" s="175">
        <f ca="1">((((C65/H62)*20)+((C66/H62)*25)+(30/(H62+F62+D62)*C67)+(5/H62*C68)+(5/H62*C69)+(5/H62*C70)+(5/H62*C71)+(0/H62*C72)+(0/H62*C73)+(5/H62*C74))/100)</f>
        <v>0.8</v>
      </c>
      <c r="H65" s="175"/>
      <c r="I65" s="24" t="s">
        <v>134</v>
      </c>
      <c r="J65" s="71"/>
      <c r="K65" s="72">
        <f ca="1">H62*50%</f>
        <v>1</v>
      </c>
    </row>
    <row r="66" spans="1:11" x14ac:dyDescent="0.35">
      <c r="A66" s="118" t="s">
        <v>55</v>
      </c>
      <c r="B66" s="118"/>
      <c r="C66" s="73">
        <f ca="1">K74</f>
        <v>2</v>
      </c>
      <c r="D66" s="109">
        <f ca="1">((100/H62)*C66)/100</f>
        <v>1</v>
      </c>
      <c r="E66" s="175"/>
      <c r="F66" s="175"/>
      <c r="G66" s="175"/>
      <c r="H66" s="175"/>
      <c r="I66" s="24" t="s">
        <v>135</v>
      </c>
      <c r="J66" s="71"/>
      <c r="K66" s="72">
        <f ca="1">H62</f>
        <v>2</v>
      </c>
    </row>
    <row r="67" spans="1:11" ht="15.75" customHeight="1" x14ac:dyDescent="0.35">
      <c r="A67" s="176" t="s">
        <v>178</v>
      </c>
      <c r="B67" s="176"/>
      <c r="C67" s="73">
        <v>3</v>
      </c>
      <c r="D67" s="109">
        <f ca="1">((100/(D62+F62+H62))*C67)/100</f>
        <v>1</v>
      </c>
      <c r="E67" s="175"/>
      <c r="F67" s="175"/>
      <c r="G67" s="175"/>
      <c r="H67" s="175"/>
      <c r="I67" s="24" t="s">
        <v>136</v>
      </c>
      <c r="J67" s="71"/>
      <c r="K67" s="74">
        <f ca="1">(IF(B62=0,H62/4,(H62/(B62+4))))</f>
        <v>0.5</v>
      </c>
    </row>
    <row r="68" spans="1:11" ht="15.75" customHeight="1" x14ac:dyDescent="0.35">
      <c r="A68" s="118" t="s">
        <v>186</v>
      </c>
      <c r="B68" s="118" t="s">
        <v>179</v>
      </c>
      <c r="C68" s="69">
        <v>2</v>
      </c>
      <c r="D68" s="109">
        <f ca="1">((100/H62)*C68)/100</f>
        <v>1</v>
      </c>
      <c r="E68" s="175"/>
      <c r="F68" s="175"/>
      <c r="G68" s="175"/>
      <c r="H68" s="175"/>
      <c r="I68" s="24" t="s">
        <v>137</v>
      </c>
      <c r="J68" s="71"/>
      <c r="K68" s="74">
        <f ca="1">(IF(B62=0,H62/4+K67,(H62/(B62+4)+K67)))</f>
        <v>1</v>
      </c>
    </row>
    <row r="69" spans="1:11" ht="15.75" customHeight="1" x14ac:dyDescent="0.35">
      <c r="A69" s="118" t="s">
        <v>187</v>
      </c>
      <c r="B69" s="118" t="s">
        <v>179</v>
      </c>
      <c r="C69" s="69">
        <v>0</v>
      </c>
      <c r="D69" s="109">
        <f ca="1">((100/H62)*C69)/100</f>
        <v>0</v>
      </c>
      <c r="E69" s="175"/>
      <c r="F69" s="175"/>
      <c r="G69" s="175"/>
      <c r="H69" s="175"/>
      <c r="I69" s="24" t="s">
        <v>196</v>
      </c>
      <c r="J69" s="75"/>
      <c r="K69" s="74">
        <f>(IF(B62=0,0,(H62/(B62+4)+K68)))</f>
        <v>0</v>
      </c>
    </row>
    <row r="70" spans="1:11" ht="15" customHeight="1" x14ac:dyDescent="0.35">
      <c r="A70" s="118" t="s">
        <v>185</v>
      </c>
      <c r="B70" s="118" t="s">
        <v>181</v>
      </c>
      <c r="C70" s="69">
        <v>0</v>
      </c>
      <c r="D70" s="109">
        <f ca="1">((100/(H62))*C70)/100</f>
        <v>0</v>
      </c>
      <c r="E70" s="175"/>
      <c r="F70" s="175"/>
      <c r="G70" s="175"/>
      <c r="H70" s="175"/>
      <c r="I70" s="24" t="s">
        <v>197</v>
      </c>
      <c r="J70" s="75"/>
      <c r="K70" s="74">
        <f>(IF(B62&gt;1,(H62/(B62+4)+K69),0))</f>
        <v>0</v>
      </c>
    </row>
    <row r="71" spans="1:11" ht="15.75" customHeight="1" x14ac:dyDescent="0.35">
      <c r="A71" s="118" t="s">
        <v>180</v>
      </c>
      <c r="B71" s="118" t="s">
        <v>180</v>
      </c>
      <c r="C71" s="69">
        <v>0</v>
      </c>
      <c r="D71" s="109">
        <f ca="1">((100/H62)*C71)/100</f>
        <v>0</v>
      </c>
      <c r="E71" s="175"/>
      <c r="F71" s="175"/>
      <c r="G71" s="175"/>
      <c r="H71" s="175"/>
      <c r="I71" s="24" t="s">
        <v>198</v>
      </c>
      <c r="J71" s="76"/>
      <c r="K71" s="77">
        <f>(IF(B62&gt;2,(H62/(B62+4)+K70),0))</f>
        <v>0</v>
      </c>
    </row>
    <row r="72" spans="1:11" ht="15.75" customHeight="1" x14ac:dyDescent="0.35">
      <c r="A72" s="118" t="s">
        <v>188</v>
      </c>
      <c r="B72" s="118"/>
      <c r="C72" s="69">
        <v>0</v>
      </c>
      <c r="D72" s="109">
        <f ca="1">((100/H62)*C72)/100</f>
        <v>0</v>
      </c>
      <c r="E72" s="175"/>
      <c r="F72" s="175"/>
      <c r="G72" s="175"/>
      <c r="H72" s="175"/>
      <c r="I72" s="24" t="s">
        <v>200</v>
      </c>
      <c r="J72" s="78"/>
      <c r="K72" s="79">
        <f>(IF(B62&gt;3,(H62/(B62+4)+K71),0))</f>
        <v>0</v>
      </c>
    </row>
    <row r="73" spans="1:11" ht="15.75" customHeight="1" x14ac:dyDescent="0.35">
      <c r="A73" s="118" t="s">
        <v>182</v>
      </c>
      <c r="B73" s="118" t="s">
        <v>182</v>
      </c>
      <c r="C73" s="69">
        <v>0</v>
      </c>
      <c r="D73" s="109">
        <f ca="1">((100/(H62))*C73)/100</f>
        <v>0</v>
      </c>
      <c r="E73" s="175"/>
      <c r="F73" s="175"/>
      <c r="G73" s="175"/>
      <c r="H73" s="175"/>
      <c r="I73" s="24" t="s">
        <v>138</v>
      </c>
      <c r="J73" s="71"/>
      <c r="K73" s="74">
        <f ca="1">(IF(B62=0,H62/4+K68,(H62/(B62+4)+K68+MAX(0,K69-K68)+MAX(0,K70-K69)+MAX(0,K71-K70)+MAX(0,K72-K71))))</f>
        <v>1.5</v>
      </c>
    </row>
    <row r="74" spans="1:11" ht="16" thickBot="1" x14ac:dyDescent="0.4">
      <c r="A74" s="118" t="s">
        <v>183</v>
      </c>
      <c r="B74" s="118"/>
      <c r="C74" s="69">
        <v>0</v>
      </c>
      <c r="D74" s="109">
        <f ca="1">((100/(H62))*C74)/100</f>
        <v>0</v>
      </c>
      <c r="E74" s="175"/>
      <c r="F74" s="175"/>
      <c r="G74" s="175"/>
      <c r="H74" s="175"/>
      <c r="I74" s="45" t="s">
        <v>139</v>
      </c>
      <c r="J74" s="82"/>
      <c r="K74" s="83">
        <f ca="1">(IF(B62=0,H62/4+K73,(H62/(B62+4)+K73)))</f>
        <v>2</v>
      </c>
    </row>
    <row r="75" spans="1:11" customFormat="1" x14ac:dyDescent="0.35">
      <c r="A75" s="123" t="s">
        <v>193</v>
      </c>
      <c r="B75" s="124"/>
      <c r="C75" s="125" t="s">
        <v>246</v>
      </c>
      <c r="D75" s="126"/>
      <c r="E75" s="126"/>
      <c r="F75" s="126"/>
      <c r="G75" s="126"/>
      <c r="H75" s="127"/>
      <c r="I75" s="36" t="str">
        <f ca="1">(IF(G79&gt;99%,"All work completed. Please provide OC.",IF(G79&gt;89.8%,"Plinth, RCC, Brick, Plaster, Flooring, Painting work Completed. Finishing work is in process.",IF(G79&lt;94%,(IF(E79=0,"Work not yet Started.",IF(F79=25%,"Piling work in process",IF(F79=50%,"Excavation work in process",IF(F79=100%,"Excavation work Completed. ","0")))&amp;(IF(E80=0%,"",IF(E80=J81,"Footing work is process",IF(E80=J82,"Footing work Completed",IF(E80=J83,"1st Basement Completed",IF(E80=J84,"1st &amp; 2nd Basement Completed",IF(E80=J85,"1st to 3rd Basement Completed",IF(E80=J86,"1st to 4th Basement Completed",IF(E80=J87,"Plinth work is process",IF(E80=J88,"Plinth work completed","0")))))))))))&amp;(IF(E81=(D76+F76+H76),", RCC Slab",IF(E81&gt;0,", RCC upto "&amp;E81&amp;" Slab",""))&amp;(IF(E82=H76,", Brickwork",IF(E82&gt;0,", Brickwork upto "&amp;E82&amp;" Floor",""))&amp;(IF(E83=H76,", Internal Plaster",IF(E83&gt;0,", Internal Plaster upto "&amp;E83&amp;" Floor",""))&amp;(IF(E84=H76,", External Plaster",IF(E84&gt;0,", External Plaster upto "&amp;E84&amp;" Floor",""))&amp;(IF(E85=H76,", Flooring",IF(E85&gt;0,", Flooring upto "&amp;E85&amp;" Floor",""))&amp;(IF(E86=H76,", Painting",IF(E86&gt;0,", Painting upto "&amp;E86&amp;" Floor",""))&amp;(IF(E87&gt;0,", Finishing upto "&amp;E87&amp;" Floor","")&amp;(IF(E81&gt;0.5," Completed",""))))))))))))))</f>
        <v>Excavation work Completed. Plinth work completed, RCC upto 4 Slab, Brickwork upto 2 Floor, Internal Plaster upto 1.75 Floor, External Plaster upto 1.5 Floor Completed</v>
      </c>
      <c r="J75" s="6"/>
    </row>
    <row r="76" spans="1:11" customFormat="1" x14ac:dyDescent="0.35">
      <c r="A76" s="94" t="s">
        <v>195</v>
      </c>
      <c r="B76" s="54">
        <v>0</v>
      </c>
      <c r="C76" s="54" t="s">
        <v>103</v>
      </c>
      <c r="D76" s="54">
        <v>1</v>
      </c>
      <c r="E76" s="54" t="s">
        <v>102</v>
      </c>
      <c r="F76" s="54">
        <v>0</v>
      </c>
      <c r="G76" s="54" t="s">
        <v>116</v>
      </c>
      <c r="H76" s="56">
        <f ca="1">--TRIM(RIGHT(SUBSTITUTE(LEFT(C75,_xlfn.AGGREGATE(16,6,FIND({0,1,2,3,4,5,6,7,8,9},C75,ROW(INDIRECT("1:"&amp;LEN(C75)))),1))," ",REPT(" ",LEN(C75))),LEN(C75)))</f>
        <v>4</v>
      </c>
      <c r="I76" s="37"/>
      <c r="J76" s="7"/>
    </row>
    <row r="77" spans="1:11" customFormat="1" ht="47.5" customHeight="1" x14ac:dyDescent="0.35">
      <c r="A77" s="174" t="s">
        <v>126</v>
      </c>
      <c r="B77" s="166"/>
      <c r="C77" s="168" t="str">
        <f ca="1">I75</f>
        <v>Excavation work Completed. Plinth work completed, RCC upto 4 Slab, Brickwork upto 2 Floor, Internal Plaster upto 1.75 Floor, External Plaster upto 1.5 Floor Completed</v>
      </c>
      <c r="D77" s="168"/>
      <c r="E77" s="168"/>
      <c r="F77" s="168"/>
      <c r="G77" s="168"/>
      <c r="H77" s="178"/>
      <c r="I77" s="37" t="s">
        <v>140</v>
      </c>
      <c r="J77" s="7"/>
    </row>
    <row r="78" spans="1:11" customFormat="1" ht="53.5" customHeight="1" x14ac:dyDescent="0.35">
      <c r="A78" s="179" t="s">
        <v>54</v>
      </c>
      <c r="B78" s="163"/>
      <c r="C78" s="99" t="s">
        <v>249</v>
      </c>
      <c r="D78" s="99" t="s">
        <v>248</v>
      </c>
      <c r="E78" s="100" t="s">
        <v>250</v>
      </c>
      <c r="F78" s="95" t="s">
        <v>119</v>
      </c>
      <c r="G78" s="101" t="s">
        <v>121</v>
      </c>
      <c r="H78" s="102" t="s">
        <v>120</v>
      </c>
      <c r="I78" s="24" t="s">
        <v>194</v>
      </c>
      <c r="J78" s="8">
        <f ca="1">H76*25%</f>
        <v>1</v>
      </c>
    </row>
    <row r="79" spans="1:11" customFormat="1" x14ac:dyDescent="0.35">
      <c r="A79" s="117" t="s">
        <v>177</v>
      </c>
      <c r="B79" s="118"/>
      <c r="C79" s="96">
        <v>4</v>
      </c>
      <c r="D79" s="96">
        <v>4</v>
      </c>
      <c r="E79" s="97">
        <f>(C79+D79)/2</f>
        <v>4</v>
      </c>
      <c r="F79" s="98">
        <f ca="1">((100/H76)*E79)/100</f>
        <v>1</v>
      </c>
      <c r="G79" s="199">
        <f ca="1">(((E80/H76*10)+(40/(D76+F76+H76)*E81)+(7.5/(H76)*E82)+(7.5/(H76)*E83)+(10/H76*E84)+(10/H76*E85)+(5/H76*E86)+(5/H76*E87)+(5/H76*E88))/100)</f>
        <v>0.52781250000000002</v>
      </c>
      <c r="H79" s="202">
        <f ca="1">((((E79/H76)*20)+((E80/H76)*25)+(30/(H76+F76+D76)*E81)+(5/H76*E82)+(5/H76*E83)+(5/H76*E84)+(5/H76*E85)+(0/H76*E86)+(0/H76*E87)+(5/H76*E88))/100)</f>
        <v>0.75562499999999999</v>
      </c>
      <c r="I79" s="24" t="s">
        <v>134</v>
      </c>
      <c r="J79" s="35">
        <f ca="1">H76*50%</f>
        <v>2</v>
      </c>
    </row>
    <row r="80" spans="1:11" customFormat="1" x14ac:dyDescent="0.35">
      <c r="A80" s="117" t="s">
        <v>55</v>
      </c>
      <c r="B80" s="118"/>
      <c r="C80" s="96">
        <v>4</v>
      </c>
      <c r="D80" s="96">
        <v>4</v>
      </c>
      <c r="E80" s="97">
        <f>(C80+D80)/2</f>
        <v>4</v>
      </c>
      <c r="F80" s="98">
        <f ca="1">((100/H76)*E80)/100</f>
        <v>1</v>
      </c>
      <c r="G80" s="200"/>
      <c r="H80" s="203"/>
      <c r="I80" s="24" t="s">
        <v>135</v>
      </c>
      <c r="J80" s="35">
        <f ca="1">H76</f>
        <v>4</v>
      </c>
    </row>
    <row r="81" spans="1:11" customFormat="1" x14ac:dyDescent="0.35">
      <c r="A81" s="177" t="s">
        <v>178</v>
      </c>
      <c r="B81" s="176"/>
      <c r="C81" s="96">
        <v>5</v>
      </c>
      <c r="D81" s="96">
        <v>3</v>
      </c>
      <c r="E81" s="97">
        <f t="shared" ref="E81:E88" si="0">(C81+D81)/2</f>
        <v>4</v>
      </c>
      <c r="F81" s="98">
        <f ca="1">((100/(D76+F76+H76))*E81)/100</f>
        <v>0.8</v>
      </c>
      <c r="G81" s="200"/>
      <c r="H81" s="203"/>
      <c r="I81" s="24" t="s">
        <v>136</v>
      </c>
      <c r="J81" s="46">
        <f ca="1">(IF(B76&gt;1,(H76/(B76+2)),H76/4))</f>
        <v>1</v>
      </c>
    </row>
    <row r="82" spans="1:11" customFormat="1" x14ac:dyDescent="0.35">
      <c r="A82" s="117" t="s">
        <v>186</v>
      </c>
      <c r="B82" s="118" t="s">
        <v>179</v>
      </c>
      <c r="C82" s="96">
        <v>4</v>
      </c>
      <c r="D82" s="96">
        <v>0</v>
      </c>
      <c r="E82" s="97">
        <f t="shared" si="0"/>
        <v>2</v>
      </c>
      <c r="F82" s="98">
        <f ca="1">((100/H76)*E82)/100</f>
        <v>0.5</v>
      </c>
      <c r="G82" s="200"/>
      <c r="H82" s="203"/>
      <c r="I82" s="24" t="s">
        <v>137</v>
      </c>
      <c r="J82" s="46">
        <f ca="1">(IF(B76&gt;1,(H76/(B76+2)+J81),H76/4+J81))</f>
        <v>2</v>
      </c>
    </row>
    <row r="83" spans="1:11" customFormat="1" x14ac:dyDescent="0.35">
      <c r="A83" s="117" t="s">
        <v>187</v>
      </c>
      <c r="B83" s="118" t="s">
        <v>179</v>
      </c>
      <c r="C83" s="96">
        <v>3.5</v>
      </c>
      <c r="D83" s="96">
        <v>0</v>
      </c>
      <c r="E83" s="97">
        <f t="shared" si="0"/>
        <v>1.75</v>
      </c>
      <c r="F83" s="98">
        <f ca="1">((100/H76)*E83)/100</f>
        <v>0.4375</v>
      </c>
      <c r="G83" s="200"/>
      <c r="H83" s="203"/>
      <c r="I83" s="24" t="s">
        <v>196</v>
      </c>
      <c r="J83" s="46">
        <f>(IF(B76&gt;1,(H76/(B76+2)+J82),0))</f>
        <v>0</v>
      </c>
    </row>
    <row r="84" spans="1:11" customFormat="1" x14ac:dyDescent="0.35">
      <c r="A84" s="117" t="s">
        <v>185</v>
      </c>
      <c r="B84" s="118" t="s">
        <v>181</v>
      </c>
      <c r="C84" s="96">
        <v>3</v>
      </c>
      <c r="D84" s="96">
        <v>0</v>
      </c>
      <c r="E84" s="97">
        <f t="shared" si="0"/>
        <v>1.5</v>
      </c>
      <c r="F84" s="98">
        <f ca="1">((100/(H76))*E84)/100</f>
        <v>0.375</v>
      </c>
      <c r="G84" s="200"/>
      <c r="H84" s="203"/>
      <c r="I84" s="24" t="s">
        <v>197</v>
      </c>
      <c r="J84" s="46">
        <f>(IF(B76&gt;2,(H76/(B76+2)+J83),0))</f>
        <v>0</v>
      </c>
    </row>
    <row r="85" spans="1:11" customFormat="1" x14ac:dyDescent="0.35">
      <c r="A85" s="117" t="s">
        <v>180</v>
      </c>
      <c r="B85" s="118" t="s">
        <v>180</v>
      </c>
      <c r="C85" s="96">
        <v>0</v>
      </c>
      <c r="D85" s="96">
        <v>0</v>
      </c>
      <c r="E85" s="97">
        <f t="shared" si="0"/>
        <v>0</v>
      </c>
      <c r="F85" s="98">
        <f ca="1">((100/H76)*E85)/100</f>
        <v>0</v>
      </c>
      <c r="G85" s="200"/>
      <c r="H85" s="203"/>
      <c r="I85" s="24" t="s">
        <v>198</v>
      </c>
      <c r="J85" s="47">
        <f>(IF(B76&gt;3,(H76/(B76+2)+J84),0))</f>
        <v>0</v>
      </c>
    </row>
    <row r="86" spans="1:11" customFormat="1" x14ac:dyDescent="0.35">
      <c r="A86" s="117" t="s">
        <v>188</v>
      </c>
      <c r="B86" s="118"/>
      <c r="C86" s="96">
        <v>0</v>
      </c>
      <c r="D86" s="96">
        <v>0</v>
      </c>
      <c r="E86" s="97">
        <f t="shared" si="0"/>
        <v>0</v>
      </c>
      <c r="F86" s="98">
        <f ca="1">((100/H76)*E86)/100</f>
        <v>0</v>
      </c>
      <c r="G86" s="200"/>
      <c r="H86" s="203"/>
      <c r="I86" s="24" t="s">
        <v>200</v>
      </c>
      <c r="J86" s="46">
        <f>(IF(B76&gt;4,(H76/(B76+2)+J85),0))</f>
        <v>0</v>
      </c>
    </row>
    <row r="87" spans="1:11" customFormat="1" x14ac:dyDescent="0.35">
      <c r="A87" s="117" t="s">
        <v>182</v>
      </c>
      <c r="B87" s="118" t="s">
        <v>182</v>
      </c>
      <c r="C87" s="96">
        <v>0</v>
      </c>
      <c r="D87" s="96">
        <v>0</v>
      </c>
      <c r="E87" s="97">
        <f>(C87+D87)/2</f>
        <v>0</v>
      </c>
      <c r="F87" s="98">
        <f ca="1">((100/(H76))*E87)/100</f>
        <v>0</v>
      </c>
      <c r="G87" s="200"/>
      <c r="H87" s="203"/>
      <c r="I87" s="24" t="s">
        <v>138</v>
      </c>
      <c r="J87" s="46">
        <f ca="1">(IF(B76=1,(H76/(B76+3)+J82),IF(B76=0,(H76/4+J82),IF(B76&gt;1,0))))</f>
        <v>3</v>
      </c>
    </row>
    <row r="88" spans="1:11" customFormat="1" ht="16" thickBot="1" x14ac:dyDescent="0.4">
      <c r="A88" s="117" t="s">
        <v>183</v>
      </c>
      <c r="B88" s="118"/>
      <c r="C88" s="96">
        <v>0</v>
      </c>
      <c r="D88" s="96">
        <v>0</v>
      </c>
      <c r="E88" s="97">
        <f t="shared" si="0"/>
        <v>0</v>
      </c>
      <c r="F88" s="98">
        <f ca="1">((100/(H76))*E88)/100</f>
        <v>0</v>
      </c>
      <c r="G88" s="201"/>
      <c r="H88" s="204"/>
      <c r="I88" s="45" t="s">
        <v>139</v>
      </c>
      <c r="J88" s="48">
        <f ca="1">(IF(B76&gt;1.5,(H76/(B76+2)+J82+MAX(0,J83-J82)+MAX(0,J84-J83)+MAX(0,J85-J84)+MAX(0,J86-J85)+MAX(0,J87-J86)),IF(B76=1,(H76/(B76+3)+J87),IF(B76=0,H76/4+J87))))</f>
        <v>4</v>
      </c>
    </row>
    <row r="89" spans="1:11" ht="15.75" customHeight="1" x14ac:dyDescent="0.35">
      <c r="A89" s="169" t="s">
        <v>193</v>
      </c>
      <c r="B89" s="170"/>
      <c r="C89" s="171" t="s">
        <v>245</v>
      </c>
      <c r="D89" s="172"/>
      <c r="E89" s="172"/>
      <c r="F89" s="172"/>
      <c r="G89" s="172"/>
      <c r="H89" s="173"/>
      <c r="I89" s="36" t="str">
        <f ca="1">(IF(C93=0,"Work not yet Started.",IF(D93=25%,"Piling work in process",IF(D93=50%,"Excavation work in process",IF(D93=100%,"Excavation work completed, ","0")))&amp;(IF(C94=0%,"",IF(C94=K95,"Footing work is process",IF(C94=K96,"Footing work Completed",IF(C94=K97,"1st Basement Completed",IF(C94=K98,"1st &amp; 2nd Basement Completed",IF(C94=K99,"1st to 3rd Basement Completed",IF(C94=K100,"1st to 4th Basement Completed",IF(C94=K101,"Plinth work is process",IF(C94=K102,"Plinth work completed","0")))))))))))&amp;(IF(C95&gt;0,", RCC upto "&amp;C95&amp;" Slab completed",""))&amp;(IF(C96&gt;0,", Brickwork upto "&amp;C96&amp;" Floor completed"," "))&amp;(IF(C97&gt;0,", Internal Plaster upto "&amp;C97&amp;" Floor completed"," "))&amp;(IF(C98&gt;0,", External Plaster upto "&amp;C98&amp;" Floor completed"," "))&amp;(IF(C99&gt;0,", Flooring upto "&amp;C99&amp;" Floor completed"," "))&amp;(IF(C100&gt;0,", Painting upto "&amp;C100&amp;" Floor completed"," "))&amp;(IF(C101&gt;0,", Finishing upto "&amp;C101&amp;" Floor completed"," ")))</f>
        <v xml:space="preserve">Excavation work completed, Plinth work completed, RCC upto 5 Slab completed, Brickwork upto 4 Floor completed, Internal Plaster upto 4 Floor completed, External Plaster upto 2 Floor completed, Flooring upto 2 Floor completed  </v>
      </c>
      <c r="J89" s="36"/>
      <c r="K89" s="65"/>
    </row>
    <row r="90" spans="1:11" x14ac:dyDescent="0.35">
      <c r="A90" s="94" t="s">
        <v>195</v>
      </c>
      <c r="B90" s="54">
        <v>0</v>
      </c>
      <c r="C90" s="54" t="s">
        <v>103</v>
      </c>
      <c r="D90" s="54">
        <v>1</v>
      </c>
      <c r="E90" s="54" t="s">
        <v>102</v>
      </c>
      <c r="F90" s="54">
        <v>0</v>
      </c>
      <c r="G90" s="54" t="s">
        <v>116</v>
      </c>
      <c r="H90" s="56">
        <f ca="1">--TRIM(RIGHT(SUBSTITUTE(LEFT(C89,_xlfn.AGGREGATE(16,6,FIND({0,1,2,3,4,5,6,7,8,9},C89,ROW(INDIRECT("1:"&amp;LEN(C89)))),1))," ",REPT(" ",LEN(C89))),LEN(C89)))</f>
        <v>4</v>
      </c>
      <c r="I90" s="37" t="s">
        <v>155</v>
      </c>
      <c r="J90" s="37"/>
      <c r="K90" s="66"/>
    </row>
    <row r="91" spans="1:11" ht="47.5" customHeight="1" x14ac:dyDescent="0.35">
      <c r="A91" s="174" t="s">
        <v>126</v>
      </c>
      <c r="B91" s="166"/>
      <c r="C91" s="168" t="str">
        <f ca="1">I89</f>
        <v xml:space="preserve">Excavation work completed, Plinth work completed, RCC upto 5 Slab completed, Brickwork upto 4 Floor completed, Internal Plaster upto 4 Floor completed, External Plaster upto 2 Floor completed, Flooring upto 2 Floor completed  </v>
      </c>
      <c r="D91" s="168"/>
      <c r="E91" s="168"/>
      <c r="F91" s="168"/>
      <c r="G91" s="168"/>
      <c r="H91" s="178"/>
      <c r="I91" s="37" t="s">
        <v>140</v>
      </c>
      <c r="J91" s="37"/>
      <c r="K91" s="66"/>
    </row>
    <row r="92" spans="1:11" x14ac:dyDescent="0.35">
      <c r="A92" s="117" t="s">
        <v>54</v>
      </c>
      <c r="B92" s="118"/>
      <c r="C92" s="50" t="s">
        <v>192</v>
      </c>
      <c r="D92" s="50" t="s">
        <v>119</v>
      </c>
      <c r="E92" s="118" t="s">
        <v>121</v>
      </c>
      <c r="F92" s="118"/>
      <c r="G92" s="118" t="s">
        <v>120</v>
      </c>
      <c r="H92" s="208"/>
      <c r="I92" s="24" t="s">
        <v>194</v>
      </c>
      <c r="J92" s="67"/>
      <c r="K92" s="68">
        <f ca="1">H90*25%</f>
        <v>1</v>
      </c>
    </row>
    <row r="93" spans="1:11" x14ac:dyDescent="0.35">
      <c r="A93" s="117" t="s">
        <v>177</v>
      </c>
      <c r="B93" s="118"/>
      <c r="C93" s="69">
        <f ca="1">K94</f>
        <v>4</v>
      </c>
      <c r="D93" s="70">
        <f ca="1">((100/H90)*C93)/100</f>
        <v>1</v>
      </c>
      <c r="E93" s="175">
        <f ca="1">(IF(C91=I90,"100%",IF(C91=I91,"100%",(((C94/H90*10)+(40/(D90+F90+H90)*C95)+(7.5/(H90)*C96)+(7.5/(H90)*C97)+(10/H90*C98)+(10/H90*C99)+(5/H90*C100)+(5/H90*C101)+(5/H90*C102))/100))))</f>
        <v>0.75</v>
      </c>
      <c r="F93" s="175"/>
      <c r="G93" s="175">
        <f ca="1">((((C93/H90)*20)+((C94/H90)*25)+(30/(H90+F90+D90)*C95)+(5/H90*C96)+(5/H90*C97)+(5/H90*C98)+(5/H90*C99)+(0/H90*C100)+(0/H90*C101)+(5/H90*C102))/100)</f>
        <v>0.9</v>
      </c>
      <c r="H93" s="205"/>
      <c r="I93" s="24" t="s">
        <v>134</v>
      </c>
      <c r="J93" s="71"/>
      <c r="K93" s="72">
        <f ca="1">H90*50%</f>
        <v>2</v>
      </c>
    </row>
    <row r="94" spans="1:11" x14ac:dyDescent="0.35">
      <c r="A94" s="117" t="s">
        <v>55</v>
      </c>
      <c r="B94" s="118"/>
      <c r="C94" s="73">
        <f ca="1">K102</f>
        <v>4</v>
      </c>
      <c r="D94" s="70">
        <f ca="1">((100/H90)*C94)/100</f>
        <v>1</v>
      </c>
      <c r="E94" s="175"/>
      <c r="F94" s="175"/>
      <c r="G94" s="175"/>
      <c r="H94" s="205"/>
      <c r="I94" s="24" t="s">
        <v>135</v>
      </c>
      <c r="J94" s="71"/>
      <c r="K94" s="72">
        <f ca="1">H90</f>
        <v>4</v>
      </c>
    </row>
    <row r="95" spans="1:11" ht="15.75" customHeight="1" x14ac:dyDescent="0.35">
      <c r="A95" s="177" t="s">
        <v>178</v>
      </c>
      <c r="B95" s="176"/>
      <c r="C95" s="73">
        <v>5</v>
      </c>
      <c r="D95" s="70">
        <f ca="1">((100/(D90+F90+H90))*C95)/100</f>
        <v>1</v>
      </c>
      <c r="E95" s="175"/>
      <c r="F95" s="175"/>
      <c r="G95" s="175"/>
      <c r="H95" s="205"/>
      <c r="I95" s="24" t="s">
        <v>136</v>
      </c>
      <c r="J95" s="71"/>
      <c r="K95" s="74">
        <f ca="1">(IF(B90=0,H90/4,(H90/(B90+4))))</f>
        <v>1</v>
      </c>
    </row>
    <row r="96" spans="1:11" ht="15.75" customHeight="1" x14ac:dyDescent="0.35">
      <c r="A96" s="117" t="s">
        <v>186</v>
      </c>
      <c r="B96" s="118" t="s">
        <v>179</v>
      </c>
      <c r="C96" s="69">
        <v>4</v>
      </c>
      <c r="D96" s="70">
        <f ca="1">((100/H90)*C96)/100</f>
        <v>1</v>
      </c>
      <c r="E96" s="175"/>
      <c r="F96" s="175"/>
      <c r="G96" s="175"/>
      <c r="H96" s="205"/>
      <c r="I96" s="24" t="s">
        <v>137</v>
      </c>
      <c r="J96" s="71"/>
      <c r="K96" s="74">
        <f ca="1">(IF(B90=0,H90/4+K95,(H90/(B90+4)+K95)))</f>
        <v>2</v>
      </c>
    </row>
    <row r="97" spans="1:11" ht="15.75" customHeight="1" x14ac:dyDescent="0.35">
      <c r="A97" s="117" t="s">
        <v>187</v>
      </c>
      <c r="B97" s="118" t="s">
        <v>179</v>
      </c>
      <c r="C97" s="69">
        <v>4</v>
      </c>
      <c r="D97" s="70">
        <f ca="1">((100/H90)*C97)/100</f>
        <v>1</v>
      </c>
      <c r="E97" s="175"/>
      <c r="F97" s="175"/>
      <c r="G97" s="175"/>
      <c r="H97" s="205"/>
      <c r="I97" s="24" t="s">
        <v>196</v>
      </c>
      <c r="J97" s="75"/>
      <c r="K97" s="74">
        <f>(IF(B90=0,0,(H90/(B90+4)+K96)))</f>
        <v>0</v>
      </c>
    </row>
    <row r="98" spans="1:11" ht="15" customHeight="1" x14ac:dyDescent="0.35">
      <c r="A98" s="117" t="s">
        <v>185</v>
      </c>
      <c r="B98" s="118" t="s">
        <v>181</v>
      </c>
      <c r="C98" s="69">
        <v>2</v>
      </c>
      <c r="D98" s="70">
        <f ca="1">((100/(H90))*C98)/100</f>
        <v>0.5</v>
      </c>
      <c r="E98" s="175"/>
      <c r="F98" s="175"/>
      <c r="G98" s="175"/>
      <c r="H98" s="205"/>
      <c r="I98" s="24" t="s">
        <v>197</v>
      </c>
      <c r="J98" s="75"/>
      <c r="K98" s="74">
        <f>(IF(B90&gt;1,(H90/(B90+4)+K97),0))</f>
        <v>0</v>
      </c>
    </row>
    <row r="99" spans="1:11" ht="15.75" customHeight="1" x14ac:dyDescent="0.35">
      <c r="A99" s="117" t="s">
        <v>180</v>
      </c>
      <c r="B99" s="118" t="s">
        <v>180</v>
      </c>
      <c r="C99" s="69">
        <v>2</v>
      </c>
      <c r="D99" s="70">
        <f ca="1">((100/H90)*C99)/100</f>
        <v>0.5</v>
      </c>
      <c r="E99" s="175"/>
      <c r="F99" s="175"/>
      <c r="G99" s="175"/>
      <c r="H99" s="205"/>
      <c r="I99" s="24" t="s">
        <v>198</v>
      </c>
      <c r="J99" s="76"/>
      <c r="K99" s="77">
        <f>(IF(B90&gt;2,(H90/(B90+4)+K98),0))</f>
        <v>0</v>
      </c>
    </row>
    <row r="100" spans="1:11" ht="15.75" customHeight="1" x14ac:dyDescent="0.35">
      <c r="A100" s="117" t="s">
        <v>188</v>
      </c>
      <c r="B100" s="118"/>
      <c r="C100" s="69">
        <v>0</v>
      </c>
      <c r="D100" s="70">
        <f ca="1">((100/H90)*C100)/100</f>
        <v>0</v>
      </c>
      <c r="E100" s="175"/>
      <c r="F100" s="175"/>
      <c r="G100" s="175"/>
      <c r="H100" s="205"/>
      <c r="I100" s="24" t="s">
        <v>200</v>
      </c>
      <c r="J100" s="78"/>
      <c r="K100" s="79">
        <f>(IF(B90&gt;3,(H90/(B90+4)+K99),0))</f>
        <v>0</v>
      </c>
    </row>
    <row r="101" spans="1:11" ht="15.75" customHeight="1" x14ac:dyDescent="0.35">
      <c r="A101" s="117" t="s">
        <v>182</v>
      </c>
      <c r="B101" s="118" t="s">
        <v>182</v>
      </c>
      <c r="C101" s="69">
        <v>0</v>
      </c>
      <c r="D101" s="70">
        <f ca="1">((100/(H90))*C101)/100</f>
        <v>0</v>
      </c>
      <c r="E101" s="175"/>
      <c r="F101" s="175"/>
      <c r="G101" s="175"/>
      <c r="H101" s="205"/>
      <c r="I101" s="24" t="s">
        <v>138</v>
      </c>
      <c r="J101" s="71"/>
      <c r="K101" s="74">
        <f ca="1">(IF(B90=0,H90/4+K96,(H90/(B90+4)+K96+MAX(0,K97-K96)+MAX(0,K98-K97)+MAX(0,K99-K98)+MAX(0,K100-K99))))</f>
        <v>3</v>
      </c>
    </row>
    <row r="102" spans="1:11" ht="16" thickBot="1" x14ac:dyDescent="0.4">
      <c r="A102" s="119" t="s">
        <v>183</v>
      </c>
      <c r="B102" s="120"/>
      <c r="C102" s="80">
        <v>0</v>
      </c>
      <c r="D102" s="81">
        <f ca="1">((100/(H90))*C102)/100</f>
        <v>0</v>
      </c>
      <c r="E102" s="206"/>
      <c r="F102" s="206"/>
      <c r="G102" s="206"/>
      <c r="H102" s="207"/>
      <c r="I102" s="45" t="s">
        <v>139</v>
      </c>
      <c r="J102" s="82"/>
      <c r="K102" s="83">
        <f ca="1">(IF(B90=0,H90/4+K101,(H90/(B90+4)+K101)))</f>
        <v>4</v>
      </c>
    </row>
    <row r="103" spans="1:11" x14ac:dyDescent="0.35">
      <c r="A103" s="209" t="s">
        <v>156</v>
      </c>
      <c r="B103" s="210"/>
      <c r="C103" s="210"/>
      <c r="D103" s="210"/>
      <c r="E103" s="211"/>
      <c r="F103" s="209" t="str">
        <f ca="1">(IF(G65="100%","Yes",IF(G65&gt;0%,"Under Construction",IF(G65=0%,"Work not yet Started"))))</f>
        <v>Under Construction</v>
      </c>
      <c r="G103" s="210"/>
      <c r="H103" s="211"/>
    </row>
    <row r="104" spans="1:11" x14ac:dyDescent="0.35">
      <c r="A104" s="130" t="s">
        <v>56</v>
      </c>
      <c r="B104" s="130"/>
      <c r="C104" s="130"/>
      <c r="D104" s="130"/>
      <c r="E104" s="130"/>
      <c r="F104" s="130"/>
      <c r="G104" s="130"/>
      <c r="H104" s="130"/>
    </row>
    <row r="105" spans="1:11" ht="15" customHeight="1" x14ac:dyDescent="0.35">
      <c r="A105" s="166" t="s">
        <v>106</v>
      </c>
      <c r="B105" s="166"/>
      <c r="C105" s="168" t="s">
        <v>107</v>
      </c>
      <c r="D105" s="168"/>
      <c r="E105" s="168"/>
      <c r="F105" s="168"/>
      <c r="G105" s="168"/>
      <c r="H105" s="168"/>
    </row>
    <row r="106" spans="1:11" x14ac:dyDescent="0.35">
      <c r="A106" s="166" t="s">
        <v>57</v>
      </c>
      <c r="B106" s="166"/>
      <c r="C106" s="166"/>
      <c r="D106" s="166"/>
      <c r="E106" s="166"/>
      <c r="F106" s="166"/>
      <c r="G106" s="166"/>
      <c r="H106" s="166"/>
    </row>
    <row r="107" spans="1:11" x14ac:dyDescent="0.35">
      <c r="A107" s="130" t="s">
        <v>108</v>
      </c>
      <c r="B107" s="130"/>
      <c r="C107" s="130"/>
      <c r="D107" s="130"/>
      <c r="E107" s="130"/>
      <c r="F107" s="130">
        <v>3000</v>
      </c>
      <c r="G107" s="130"/>
      <c r="H107" s="130"/>
    </row>
    <row r="108" spans="1:11" x14ac:dyDescent="0.35">
      <c r="A108" s="130" t="s">
        <v>115</v>
      </c>
      <c r="B108" s="130"/>
      <c r="C108" s="130"/>
      <c r="D108" s="130"/>
      <c r="E108" s="130"/>
      <c r="F108" s="130">
        <v>5500</v>
      </c>
      <c r="G108" s="130"/>
      <c r="H108" s="130"/>
    </row>
    <row r="109" spans="1:11" s="84" customFormat="1" hidden="1" x14ac:dyDescent="0.3">
      <c r="A109" s="130" t="s">
        <v>222</v>
      </c>
      <c r="B109" s="130"/>
      <c r="C109" s="130"/>
      <c r="D109" s="130"/>
      <c r="E109" s="130"/>
      <c r="F109" s="130" t="s">
        <v>223</v>
      </c>
      <c r="G109" s="130"/>
      <c r="H109" s="130"/>
    </row>
    <row r="110" spans="1:11" s="84" customFormat="1" x14ac:dyDescent="0.3">
      <c r="A110" s="130" t="s">
        <v>224</v>
      </c>
      <c r="B110" s="130"/>
      <c r="C110" s="130"/>
      <c r="D110" s="130"/>
      <c r="E110" s="130"/>
      <c r="F110" s="130" t="s">
        <v>225</v>
      </c>
      <c r="G110" s="130"/>
      <c r="H110" s="130"/>
    </row>
    <row r="111" spans="1:11" s="84" customFormat="1" hidden="1" x14ac:dyDescent="0.3">
      <c r="A111" s="130" t="s">
        <v>131</v>
      </c>
      <c r="B111" s="130"/>
      <c r="C111" s="130"/>
      <c r="D111" s="130"/>
      <c r="E111" s="130"/>
      <c r="F111" s="130" t="s">
        <v>30</v>
      </c>
      <c r="G111" s="130"/>
      <c r="H111" s="130"/>
    </row>
    <row r="112" spans="1:11" s="84" customFormat="1" hidden="1" x14ac:dyDescent="0.3">
      <c r="A112" s="130" t="s">
        <v>132</v>
      </c>
      <c r="B112" s="130"/>
      <c r="C112" s="130"/>
      <c r="D112" s="130"/>
      <c r="E112" s="130"/>
      <c r="F112" s="130" t="s">
        <v>30</v>
      </c>
      <c r="G112" s="130"/>
      <c r="H112" s="130"/>
    </row>
    <row r="113" spans="1:8" s="84" customFormat="1" hidden="1" x14ac:dyDescent="0.3">
      <c r="A113" s="130" t="s">
        <v>133</v>
      </c>
      <c r="B113" s="130"/>
      <c r="C113" s="130"/>
      <c r="D113" s="130"/>
      <c r="E113" s="130"/>
      <c r="F113" s="130" t="s">
        <v>30</v>
      </c>
      <c r="G113" s="130"/>
      <c r="H113" s="130"/>
    </row>
    <row r="114" spans="1:8" x14ac:dyDescent="0.35">
      <c r="A114" s="130" t="s">
        <v>58</v>
      </c>
      <c r="B114" s="130"/>
      <c r="C114" s="130"/>
      <c r="D114" s="130"/>
      <c r="E114" s="130"/>
      <c r="F114" s="165" t="s">
        <v>225</v>
      </c>
      <c r="G114" s="165"/>
      <c r="H114" s="165"/>
    </row>
    <row r="115" spans="1:8" s="85" customFormat="1" x14ac:dyDescent="0.35">
      <c r="A115" s="166" t="s">
        <v>59</v>
      </c>
      <c r="B115" s="166"/>
      <c r="C115" s="166"/>
      <c r="D115" s="166"/>
      <c r="E115" s="166"/>
      <c r="F115" s="130">
        <f>F107*0.8</f>
        <v>2400</v>
      </c>
      <c r="G115" s="130"/>
      <c r="H115" s="130"/>
    </row>
    <row r="116" spans="1:8" s="86" customFormat="1" ht="15.75" customHeight="1" x14ac:dyDescent="0.35">
      <c r="A116" s="152" t="s">
        <v>109</v>
      </c>
      <c r="B116" s="152"/>
      <c r="C116" s="152"/>
      <c r="D116" s="152"/>
      <c r="E116" s="152"/>
      <c r="F116" s="152"/>
      <c r="G116" s="152"/>
      <c r="H116" s="152"/>
    </row>
    <row r="117" spans="1:8" s="86" customFormat="1" ht="15.75" customHeight="1" x14ac:dyDescent="0.35">
      <c r="A117" s="151" t="s">
        <v>60</v>
      </c>
      <c r="B117" s="151"/>
      <c r="C117" s="147" t="s">
        <v>112</v>
      </c>
      <c r="D117" s="147"/>
      <c r="E117" s="150" t="s">
        <v>61</v>
      </c>
      <c r="F117" s="150"/>
      <c r="G117" s="151" t="s">
        <v>62</v>
      </c>
      <c r="H117" s="151"/>
    </row>
    <row r="118" spans="1:8" s="86" customFormat="1" ht="15.75" customHeight="1" x14ac:dyDescent="0.35">
      <c r="A118" s="217" t="s">
        <v>208</v>
      </c>
      <c r="B118" s="217"/>
      <c r="C118" s="218">
        <f>COUNT(D134:D141)</f>
        <v>8</v>
      </c>
      <c r="D118" s="218"/>
      <c r="E118" s="219">
        <f>SUM(D134:D141)</f>
        <v>1092.3307200000002</v>
      </c>
      <c r="F118" s="220"/>
      <c r="G118" s="219">
        <f>SUM(F134:F141)</f>
        <v>1693.1126160000001</v>
      </c>
      <c r="H118" s="220"/>
    </row>
    <row r="119" spans="1:8" s="86" customFormat="1" ht="15.75" customHeight="1" x14ac:dyDescent="0.35">
      <c r="A119" s="217" t="s">
        <v>211</v>
      </c>
      <c r="B119" s="217"/>
      <c r="C119" s="218">
        <f>COUNT(D144:D150)</f>
        <v>7</v>
      </c>
      <c r="D119" s="218"/>
      <c r="E119" s="219">
        <f>SUM(D144:D150)</f>
        <v>911.71079999999984</v>
      </c>
      <c r="F119" s="220"/>
      <c r="G119" s="219">
        <f>SUM(F144:F150)</f>
        <v>1413.1517399999998</v>
      </c>
      <c r="H119" s="220"/>
    </row>
    <row r="120" spans="1:8" s="86" customFormat="1" x14ac:dyDescent="0.35">
      <c r="A120" s="146" t="s">
        <v>64</v>
      </c>
      <c r="B120" s="146"/>
      <c r="C120" s="156">
        <f>SUM(C118:D119)</f>
        <v>15</v>
      </c>
      <c r="D120" s="156"/>
      <c r="E120" s="148">
        <f>SUM(E118:F119)</f>
        <v>2004.04152</v>
      </c>
      <c r="F120" s="149"/>
      <c r="G120" s="132">
        <f>SUM(G118:H119)</f>
        <v>3106.2643559999997</v>
      </c>
      <c r="H120" s="132"/>
    </row>
    <row r="121" spans="1:8" s="86" customFormat="1" x14ac:dyDescent="0.35">
      <c r="A121" s="146" t="s">
        <v>101</v>
      </c>
      <c r="B121" s="146"/>
      <c r="C121" s="146"/>
      <c r="D121" s="146"/>
      <c r="E121" s="146"/>
      <c r="F121" s="146"/>
      <c r="G121" s="146"/>
      <c r="H121" s="146"/>
    </row>
    <row r="122" spans="1:8" s="86" customFormat="1" ht="15.75" customHeight="1" x14ac:dyDescent="0.35">
      <c r="A122" s="132" t="s">
        <v>60</v>
      </c>
      <c r="B122" s="132"/>
      <c r="C122" s="156" t="s">
        <v>112</v>
      </c>
      <c r="D122" s="156"/>
      <c r="E122" s="149" t="s">
        <v>61</v>
      </c>
      <c r="F122" s="149"/>
      <c r="G122" s="132" t="s">
        <v>62</v>
      </c>
      <c r="H122" s="132"/>
    </row>
    <row r="123" spans="1:8" s="86" customFormat="1" ht="15.75" customHeight="1" x14ac:dyDescent="0.35">
      <c r="A123" s="159" t="s">
        <v>208</v>
      </c>
      <c r="B123" s="159"/>
      <c r="C123" s="141">
        <f>COUNT(D157:D160)*2</f>
        <v>8</v>
      </c>
      <c r="D123" s="141"/>
      <c r="E123" s="142">
        <f>SUM(D157:D160)*2</f>
        <v>3091.6360799999998</v>
      </c>
      <c r="F123" s="143"/>
      <c r="G123" s="142">
        <f>SUM(F157:F160)*2</f>
        <v>4637.4541199999994</v>
      </c>
      <c r="H123" s="143"/>
    </row>
    <row r="124" spans="1:8" s="86" customFormat="1" ht="15.75" customHeight="1" x14ac:dyDescent="0.35">
      <c r="A124" s="159" t="s">
        <v>211</v>
      </c>
      <c r="B124" s="159"/>
      <c r="C124" s="141">
        <f>COUNT(D163:D164)+COUNT(D166:D171)*4</f>
        <v>26</v>
      </c>
      <c r="D124" s="141"/>
      <c r="E124" s="142">
        <f>SUM(D163:D164)+SUM(D166:D171)*4</f>
        <v>9138.0977999999977</v>
      </c>
      <c r="F124" s="143"/>
      <c r="G124" s="142">
        <f>SUM(F163:F164)+SUM(F166:F171)*4</f>
        <v>13707.146700000001</v>
      </c>
      <c r="H124" s="143"/>
    </row>
    <row r="125" spans="1:8" s="86" customFormat="1" ht="15.75" customHeight="1" x14ac:dyDescent="0.35">
      <c r="A125" s="159" t="s">
        <v>212</v>
      </c>
      <c r="B125" s="159"/>
      <c r="C125" s="141">
        <f>COUNT(D174:D176)+COUNT(D178:D181)*4</f>
        <v>19</v>
      </c>
      <c r="D125" s="141"/>
      <c r="E125" s="142">
        <f>SUM(D174:D176)+SUM(D178:D181)*4</f>
        <v>6104.8026</v>
      </c>
      <c r="F125" s="143"/>
      <c r="G125" s="142">
        <f>SUM(F174:F176)+SUM(F178:F181)*4</f>
        <v>9157.2039000000004</v>
      </c>
      <c r="H125" s="143"/>
    </row>
    <row r="126" spans="1:8" s="86" customFormat="1" x14ac:dyDescent="0.35">
      <c r="A126" s="146" t="s">
        <v>64</v>
      </c>
      <c r="B126" s="146"/>
      <c r="C126" s="156">
        <f>SUM(C123:D125)</f>
        <v>53</v>
      </c>
      <c r="D126" s="156"/>
      <c r="E126" s="148">
        <f>SUM(E123:F125)</f>
        <v>18334.536479999999</v>
      </c>
      <c r="F126" s="149"/>
      <c r="G126" s="132">
        <f>SUM(G123:H125)</f>
        <v>27501.80472</v>
      </c>
      <c r="H126" s="132"/>
    </row>
    <row r="127" spans="1:8" s="85" customFormat="1" x14ac:dyDescent="0.35">
      <c r="A127" s="114" t="s">
        <v>65</v>
      </c>
      <c r="B127" s="114"/>
      <c r="C127" s="114"/>
      <c r="D127" s="114"/>
      <c r="E127" s="114"/>
      <c r="F127" s="114"/>
      <c r="G127" s="114"/>
      <c r="H127" s="114"/>
    </row>
    <row r="128" spans="1:8" x14ac:dyDescent="0.35">
      <c r="A128" s="114" t="s">
        <v>66</v>
      </c>
      <c r="B128" s="114"/>
      <c r="C128" s="114"/>
      <c r="D128" s="114"/>
      <c r="E128" s="114"/>
      <c r="F128" s="114"/>
      <c r="G128" s="114"/>
      <c r="H128" s="114"/>
    </row>
    <row r="129" spans="1:14" ht="47.25" customHeight="1" x14ac:dyDescent="0.35">
      <c r="A129" s="158" t="s">
        <v>159</v>
      </c>
      <c r="B129" s="158" t="s">
        <v>158</v>
      </c>
      <c r="C129" s="158" t="s">
        <v>67</v>
      </c>
      <c r="D129" s="158" t="s">
        <v>68</v>
      </c>
      <c r="E129" s="157" t="s">
        <v>69</v>
      </c>
      <c r="F129" s="106" t="s">
        <v>157</v>
      </c>
      <c r="G129" s="158" t="s">
        <v>70</v>
      </c>
      <c r="H129" s="158"/>
    </row>
    <row r="130" spans="1:14" s="88" customFormat="1" x14ac:dyDescent="0.35">
      <c r="A130" s="158"/>
      <c r="B130" s="158"/>
      <c r="C130" s="158"/>
      <c r="D130" s="158"/>
      <c r="E130" s="157"/>
      <c r="F130" s="107">
        <v>0.55000000000000004</v>
      </c>
      <c r="G130" s="158"/>
      <c r="H130" s="158"/>
    </row>
    <row r="131" spans="1:14" s="88" customFormat="1" x14ac:dyDescent="0.35">
      <c r="A131" s="144" t="s">
        <v>236</v>
      </c>
      <c r="B131" s="144"/>
      <c r="C131" s="144"/>
      <c r="D131" s="144"/>
      <c r="E131" s="144"/>
      <c r="F131" s="144"/>
      <c r="G131" s="144"/>
      <c r="H131" s="144"/>
    </row>
    <row r="132" spans="1:14" s="88" customFormat="1" x14ac:dyDescent="0.35">
      <c r="A132" s="144" t="s">
        <v>237</v>
      </c>
      <c r="B132" s="144"/>
      <c r="C132" s="144"/>
      <c r="D132" s="144"/>
      <c r="E132" s="144"/>
      <c r="F132" s="144"/>
      <c r="G132" s="144"/>
      <c r="H132" s="144"/>
    </row>
    <row r="133" spans="1:14" s="88" customFormat="1" x14ac:dyDescent="0.35">
      <c r="A133" s="144" t="s">
        <v>210</v>
      </c>
      <c r="B133" s="144"/>
      <c r="C133" s="144"/>
      <c r="D133" s="144"/>
      <c r="E133" s="144"/>
      <c r="F133" s="144"/>
      <c r="G133" s="144"/>
      <c r="H133" s="144"/>
    </row>
    <row r="134" spans="1:14" s="88" customFormat="1" x14ac:dyDescent="0.35">
      <c r="A134" s="145">
        <v>1</v>
      </c>
      <c r="B134" s="145"/>
      <c r="C134" s="105" t="s">
        <v>209</v>
      </c>
      <c r="D134" s="105">
        <f>10.88*10.764</f>
        <v>117.11232</v>
      </c>
      <c r="E134" s="105">
        <v>0</v>
      </c>
      <c r="F134" s="105">
        <f>D134*(($F$130)+1)+E134</f>
        <v>181.52409600000001</v>
      </c>
      <c r="G134" s="145" t="str">
        <f>A133</f>
        <v>Ground Floor for Commercial &amp; Parking</v>
      </c>
      <c r="H134" s="145"/>
      <c r="I134" s="87"/>
      <c r="L134" s="212"/>
      <c r="M134" s="212"/>
      <c r="N134" s="87"/>
    </row>
    <row r="135" spans="1:14" s="88" customFormat="1" x14ac:dyDescent="0.35">
      <c r="A135" s="128">
        <f>A134+1</f>
        <v>2</v>
      </c>
      <c r="B135" s="129"/>
      <c r="C135" s="49" t="s">
        <v>209</v>
      </c>
      <c r="D135" s="49">
        <f>14.58*10.764</f>
        <v>156.93912</v>
      </c>
      <c r="E135" s="49">
        <v>0</v>
      </c>
      <c r="F135" s="49">
        <f t="shared" ref="F135:F136" si="1">D135*(($F$130)+1)+E135</f>
        <v>243.25563600000001</v>
      </c>
      <c r="G135" s="128" t="str">
        <f t="shared" ref="G135:G141" si="2">G134</f>
        <v>Ground Floor for Commercial &amp; Parking</v>
      </c>
      <c r="H135" s="129"/>
      <c r="I135" s="87"/>
      <c r="L135" s="212"/>
      <c r="M135" s="212"/>
      <c r="N135" s="87"/>
    </row>
    <row r="136" spans="1:14" s="88" customFormat="1" x14ac:dyDescent="0.35">
      <c r="A136" s="128">
        <f t="shared" ref="A136:A138" si="3">A135+1</f>
        <v>3</v>
      </c>
      <c r="B136" s="129"/>
      <c r="C136" s="49" t="s">
        <v>209</v>
      </c>
      <c r="D136" s="49">
        <f>12.2*10.764</f>
        <v>131.32079999999999</v>
      </c>
      <c r="E136" s="49">
        <v>0</v>
      </c>
      <c r="F136" s="49">
        <f t="shared" si="1"/>
        <v>203.54723999999999</v>
      </c>
      <c r="G136" s="128" t="str">
        <f t="shared" si="2"/>
        <v>Ground Floor for Commercial &amp; Parking</v>
      </c>
      <c r="H136" s="129"/>
      <c r="I136" s="87"/>
      <c r="L136" s="212"/>
      <c r="M136" s="212"/>
      <c r="N136" s="87"/>
    </row>
    <row r="137" spans="1:14" s="88" customFormat="1" x14ac:dyDescent="0.35">
      <c r="A137" s="128">
        <f t="shared" si="3"/>
        <v>4</v>
      </c>
      <c r="B137" s="129"/>
      <c r="C137" s="49" t="s">
        <v>209</v>
      </c>
      <c r="D137" s="49">
        <f>16.78*10.764</f>
        <v>180.61992000000001</v>
      </c>
      <c r="E137" s="49">
        <v>0</v>
      </c>
      <c r="F137" s="49">
        <f t="shared" ref="F137:F138" si="4">D137*(($F$130)+1)+E137</f>
        <v>279.96087600000004</v>
      </c>
      <c r="G137" s="128" t="str">
        <f t="shared" si="2"/>
        <v>Ground Floor for Commercial &amp; Parking</v>
      </c>
      <c r="H137" s="129"/>
      <c r="I137" s="87"/>
      <c r="L137" s="212"/>
      <c r="M137" s="212"/>
      <c r="N137" s="87"/>
    </row>
    <row r="138" spans="1:14" s="88" customFormat="1" x14ac:dyDescent="0.35">
      <c r="A138" s="128">
        <f t="shared" si="3"/>
        <v>5</v>
      </c>
      <c r="B138" s="129"/>
      <c r="C138" s="49" t="s">
        <v>209</v>
      </c>
      <c r="D138" s="49">
        <f>7.14*10.764</f>
        <v>76.854959999999991</v>
      </c>
      <c r="E138" s="49">
        <v>0</v>
      </c>
      <c r="F138" s="49">
        <f t="shared" si="4"/>
        <v>119.12518799999999</v>
      </c>
      <c r="G138" s="128" t="str">
        <f t="shared" si="2"/>
        <v>Ground Floor for Commercial &amp; Parking</v>
      </c>
      <c r="H138" s="129"/>
      <c r="I138" s="87"/>
      <c r="L138" s="212"/>
      <c r="M138" s="212"/>
      <c r="N138" s="87"/>
    </row>
    <row r="139" spans="1:14" s="88" customFormat="1" x14ac:dyDescent="0.35">
      <c r="A139" s="128">
        <f t="shared" ref="A139:A141" si="5">A138+1</f>
        <v>6</v>
      </c>
      <c r="B139" s="129"/>
      <c r="C139" s="49" t="s">
        <v>209</v>
      </c>
      <c r="D139" s="49">
        <f>15.4*10.764</f>
        <v>165.76560000000001</v>
      </c>
      <c r="E139" s="49">
        <v>0</v>
      </c>
      <c r="F139" s="49">
        <f t="shared" ref="F139:F140" si="6">D139*(($F$130)+1)+E139</f>
        <v>256.93668000000002</v>
      </c>
      <c r="G139" s="128" t="str">
        <f t="shared" si="2"/>
        <v>Ground Floor for Commercial &amp; Parking</v>
      </c>
      <c r="H139" s="129"/>
      <c r="I139" s="87"/>
      <c r="L139" s="212"/>
      <c r="M139" s="212"/>
      <c r="N139" s="87"/>
    </row>
    <row r="140" spans="1:14" s="88" customFormat="1" x14ac:dyDescent="0.35">
      <c r="A140" s="128">
        <f t="shared" si="5"/>
        <v>7</v>
      </c>
      <c r="B140" s="129"/>
      <c r="C140" s="49" t="s">
        <v>209</v>
      </c>
      <c r="D140" s="49">
        <f>10.61*10.764</f>
        <v>114.20603999999999</v>
      </c>
      <c r="E140" s="49">
        <v>0</v>
      </c>
      <c r="F140" s="49">
        <f t="shared" si="6"/>
        <v>177.01936199999997</v>
      </c>
      <c r="G140" s="128" t="str">
        <f t="shared" si="2"/>
        <v>Ground Floor for Commercial &amp; Parking</v>
      </c>
      <c r="H140" s="129"/>
      <c r="I140" s="87"/>
      <c r="L140" s="212"/>
      <c r="M140" s="212"/>
      <c r="N140" s="87"/>
    </row>
    <row r="141" spans="1:14" s="88" customFormat="1" x14ac:dyDescent="0.35">
      <c r="A141" s="128">
        <f t="shared" si="5"/>
        <v>8</v>
      </c>
      <c r="B141" s="129"/>
      <c r="C141" s="49" t="s">
        <v>209</v>
      </c>
      <c r="D141" s="49">
        <f>13.89*10.764</f>
        <v>149.51195999999999</v>
      </c>
      <c r="E141" s="49">
        <v>0</v>
      </c>
      <c r="F141" s="49">
        <f t="shared" ref="F141" si="7">D141*(($F$130)+1)+E141</f>
        <v>231.743538</v>
      </c>
      <c r="G141" s="128" t="str">
        <f t="shared" si="2"/>
        <v>Ground Floor for Commercial &amp; Parking</v>
      </c>
      <c r="H141" s="129"/>
      <c r="I141" s="87"/>
      <c r="L141" s="212"/>
      <c r="M141" s="212"/>
      <c r="N141" s="87"/>
    </row>
    <row r="142" spans="1:14" s="88" customFormat="1" x14ac:dyDescent="0.35">
      <c r="A142" s="213" t="s">
        <v>242</v>
      </c>
      <c r="B142" s="214"/>
      <c r="C142" s="214"/>
      <c r="D142" s="214"/>
      <c r="E142" s="214"/>
      <c r="F142" s="214"/>
      <c r="G142" s="214"/>
      <c r="H142" s="215"/>
    </row>
    <row r="143" spans="1:14" s="88" customFormat="1" x14ac:dyDescent="0.35">
      <c r="A143" s="213" t="s">
        <v>210</v>
      </c>
      <c r="B143" s="214"/>
      <c r="C143" s="214"/>
      <c r="D143" s="214"/>
      <c r="E143" s="214"/>
      <c r="F143" s="214"/>
      <c r="G143" s="214"/>
      <c r="H143" s="215"/>
    </row>
    <row r="144" spans="1:14" s="88" customFormat="1" x14ac:dyDescent="0.35">
      <c r="A144" s="128">
        <v>1</v>
      </c>
      <c r="B144" s="129"/>
      <c r="C144" s="49" t="s">
        <v>209</v>
      </c>
      <c r="D144" s="49">
        <f>13.48*10.764</f>
        <v>145.09871999999999</v>
      </c>
      <c r="E144" s="49">
        <v>0</v>
      </c>
      <c r="F144" s="49">
        <f>D144*(($F$130)+1)+E144</f>
        <v>224.90301599999998</v>
      </c>
      <c r="G144" s="128" t="str">
        <f>A143</f>
        <v>Ground Floor for Commercial &amp; Parking</v>
      </c>
      <c r="H144" s="129"/>
      <c r="I144" s="87"/>
      <c r="L144" s="212"/>
      <c r="M144" s="212"/>
      <c r="N144" s="87"/>
    </row>
    <row r="145" spans="1:16" s="88" customFormat="1" x14ac:dyDescent="0.35">
      <c r="A145" s="128">
        <f>A144+1</f>
        <v>2</v>
      </c>
      <c r="B145" s="129"/>
      <c r="C145" s="49" t="s">
        <v>209</v>
      </c>
      <c r="D145" s="49">
        <f>10.29*10.764</f>
        <v>110.76155999999999</v>
      </c>
      <c r="E145" s="49">
        <v>0</v>
      </c>
      <c r="F145" s="49">
        <f t="shared" ref="F145:F150" si="8">D145*(($F$130)+1)+E145</f>
        <v>171.68041799999997</v>
      </c>
      <c r="G145" s="128" t="str">
        <f t="shared" ref="G145:G150" si="9">G144</f>
        <v>Ground Floor for Commercial &amp; Parking</v>
      </c>
      <c r="H145" s="129"/>
      <c r="I145" s="87"/>
      <c r="L145" s="212"/>
      <c r="M145" s="212"/>
      <c r="N145" s="87"/>
    </row>
    <row r="146" spans="1:16" s="88" customFormat="1" x14ac:dyDescent="0.35">
      <c r="A146" s="128">
        <f t="shared" ref="A146:A150" si="10">A145+1</f>
        <v>3</v>
      </c>
      <c r="B146" s="129"/>
      <c r="C146" s="49" t="s">
        <v>209</v>
      </c>
      <c r="D146" s="49">
        <f>14.99*10.764</f>
        <v>161.35236</v>
      </c>
      <c r="E146" s="49">
        <v>0</v>
      </c>
      <c r="F146" s="49">
        <f t="shared" si="8"/>
        <v>250.096158</v>
      </c>
      <c r="G146" s="128" t="str">
        <f t="shared" si="9"/>
        <v>Ground Floor for Commercial &amp; Parking</v>
      </c>
      <c r="H146" s="129"/>
      <c r="I146" s="87"/>
      <c r="L146" s="212"/>
      <c r="M146" s="212"/>
      <c r="N146" s="87"/>
    </row>
    <row r="147" spans="1:16" s="88" customFormat="1" x14ac:dyDescent="0.35">
      <c r="A147" s="128">
        <f t="shared" si="10"/>
        <v>4</v>
      </c>
      <c r="B147" s="129"/>
      <c r="C147" s="49" t="s">
        <v>209</v>
      </c>
      <c r="D147" s="49">
        <f>14.48*10.764</f>
        <v>155.86272</v>
      </c>
      <c r="E147" s="49">
        <v>0</v>
      </c>
      <c r="F147" s="49">
        <f t="shared" si="8"/>
        <v>241.58721600000001</v>
      </c>
      <c r="G147" s="128" t="str">
        <f t="shared" si="9"/>
        <v>Ground Floor for Commercial &amp; Parking</v>
      </c>
      <c r="H147" s="129"/>
      <c r="I147" s="87"/>
      <c r="L147" s="212"/>
      <c r="M147" s="212"/>
      <c r="N147" s="87"/>
    </row>
    <row r="148" spans="1:16" s="88" customFormat="1" x14ac:dyDescent="0.35">
      <c r="A148" s="128">
        <f t="shared" si="10"/>
        <v>5</v>
      </c>
      <c r="B148" s="129"/>
      <c r="C148" s="49" t="s">
        <v>209</v>
      </c>
      <c r="D148" s="49">
        <f>10.56*10.764</f>
        <v>113.66784</v>
      </c>
      <c r="E148" s="49">
        <v>0</v>
      </c>
      <c r="F148" s="49">
        <f t="shared" si="8"/>
        <v>176.18515200000002</v>
      </c>
      <c r="G148" s="128" t="str">
        <f t="shared" si="9"/>
        <v>Ground Floor for Commercial &amp; Parking</v>
      </c>
      <c r="H148" s="129"/>
      <c r="I148" s="87"/>
      <c r="L148" s="212"/>
      <c r="M148" s="212"/>
      <c r="N148" s="87"/>
    </row>
    <row r="149" spans="1:16" s="88" customFormat="1" x14ac:dyDescent="0.35">
      <c r="A149" s="128">
        <f t="shared" si="10"/>
        <v>6</v>
      </c>
      <c r="B149" s="129"/>
      <c r="C149" s="49" t="s">
        <v>209</v>
      </c>
      <c r="D149" s="49">
        <f>14.16*10.764</f>
        <v>152.41824</v>
      </c>
      <c r="E149" s="49">
        <v>0</v>
      </c>
      <c r="F149" s="49">
        <f t="shared" si="8"/>
        <v>236.24827200000001</v>
      </c>
      <c r="G149" s="128" t="str">
        <f t="shared" si="9"/>
        <v>Ground Floor for Commercial &amp; Parking</v>
      </c>
      <c r="H149" s="129"/>
      <c r="I149" s="87"/>
      <c r="L149" s="212"/>
      <c r="M149" s="212"/>
      <c r="N149" s="87"/>
    </row>
    <row r="150" spans="1:16" s="88" customFormat="1" x14ac:dyDescent="0.35">
      <c r="A150" s="128">
        <f t="shared" si="10"/>
        <v>7</v>
      </c>
      <c r="B150" s="129"/>
      <c r="C150" s="49" t="s">
        <v>209</v>
      </c>
      <c r="D150" s="49">
        <f>6.74*10.764</f>
        <v>72.549359999999993</v>
      </c>
      <c r="E150" s="49">
        <v>0</v>
      </c>
      <c r="F150" s="49">
        <f t="shared" si="8"/>
        <v>112.45150799999999</v>
      </c>
      <c r="G150" s="128" t="str">
        <f t="shared" si="9"/>
        <v>Ground Floor for Commercial &amp; Parking</v>
      </c>
      <c r="H150" s="129"/>
      <c r="I150" s="87"/>
      <c r="L150" s="212"/>
      <c r="M150" s="212"/>
      <c r="N150" s="87"/>
    </row>
    <row r="151" spans="1:16" s="88" customFormat="1" x14ac:dyDescent="0.35">
      <c r="A151" s="128"/>
      <c r="B151" s="216"/>
      <c r="C151" s="216"/>
      <c r="D151" s="216"/>
      <c r="E151" s="216"/>
      <c r="F151" s="216"/>
      <c r="G151" s="216"/>
      <c r="H151" s="129"/>
      <c r="I151" s="87"/>
      <c r="N151" s="87"/>
    </row>
    <row r="152" spans="1:16" ht="47.25" customHeight="1" x14ac:dyDescent="0.35">
      <c r="A152" s="137" t="s">
        <v>160</v>
      </c>
      <c r="B152" s="137" t="s">
        <v>161</v>
      </c>
      <c r="C152" s="133" t="s">
        <v>67</v>
      </c>
      <c r="D152" s="133" t="s">
        <v>68</v>
      </c>
      <c r="E152" s="135" t="s">
        <v>69</v>
      </c>
      <c r="F152" s="51" t="s">
        <v>157</v>
      </c>
      <c r="G152" s="137" t="s">
        <v>70</v>
      </c>
      <c r="H152" s="138"/>
      <c r="I152" s="87"/>
    </row>
    <row r="153" spans="1:16" s="88" customFormat="1" x14ac:dyDescent="0.35">
      <c r="A153" s="139"/>
      <c r="B153" s="139"/>
      <c r="C153" s="134"/>
      <c r="D153" s="134"/>
      <c r="E153" s="136"/>
      <c r="F153" s="23">
        <v>0.5</v>
      </c>
      <c r="G153" s="139"/>
      <c r="H153" s="140"/>
      <c r="I153" s="87"/>
    </row>
    <row r="154" spans="1:16" s="88" customFormat="1" x14ac:dyDescent="0.35">
      <c r="A154" s="213" t="s">
        <v>236</v>
      </c>
      <c r="B154" s="214"/>
      <c r="C154" s="214"/>
      <c r="D154" s="214"/>
      <c r="E154" s="214"/>
      <c r="F154" s="214"/>
      <c r="G154" s="214"/>
      <c r="H154" s="215"/>
    </row>
    <row r="155" spans="1:16" s="88" customFormat="1" x14ac:dyDescent="0.35">
      <c r="A155" s="213" t="s">
        <v>237</v>
      </c>
      <c r="B155" s="214"/>
      <c r="C155" s="214"/>
      <c r="D155" s="214"/>
      <c r="E155" s="214"/>
      <c r="F155" s="214"/>
      <c r="G155" s="214"/>
      <c r="H155" s="215"/>
      <c r="I155" s="87"/>
    </row>
    <row r="156" spans="1:16" s="88" customFormat="1" x14ac:dyDescent="0.35">
      <c r="A156" s="213" t="s">
        <v>216</v>
      </c>
      <c r="B156" s="214"/>
      <c r="C156" s="214"/>
      <c r="D156" s="214"/>
      <c r="E156" s="214"/>
      <c r="F156" s="214"/>
      <c r="G156" s="214"/>
      <c r="H156" s="215"/>
      <c r="I156" s="87"/>
      <c r="P156" s="89"/>
    </row>
    <row r="157" spans="1:16" s="88" customFormat="1" x14ac:dyDescent="0.35">
      <c r="A157" s="128" t="str">
        <f t="shared" ref="A157:A160" ca="1" si="11">N157</f>
        <v>101 &amp; 201</v>
      </c>
      <c r="B157" s="129"/>
      <c r="C157" s="49" t="s">
        <v>213</v>
      </c>
      <c r="D157" s="49">
        <f>30.19*10.764</f>
        <v>324.96515999999997</v>
      </c>
      <c r="E157" s="49">
        <v>0</v>
      </c>
      <c r="F157" s="49">
        <f t="shared" ref="F157:F160" si="12">D157*(($F$153)+1)+E157</f>
        <v>487.44773999999995</v>
      </c>
      <c r="G157" s="128" t="str">
        <f>A156</f>
        <v>1st &amp; 2nd Floor for Residential</v>
      </c>
      <c r="H157" s="129"/>
      <c r="I157" s="87"/>
      <c r="N157" s="88" t="str">
        <f t="shared" ref="N157:N160" ca="1" si="13">O157&amp;""&amp;" &amp; "&amp;""&amp;P157</f>
        <v>101 &amp; 201</v>
      </c>
      <c r="O157" s="88">
        <f ca="1">(SUMPRODUCT(MID(0&amp;(LEFT(A156,SUM(LEN(A156)-LEN(SUBSTITUTE(A156,{"0","1","2"},""))))), LARGE(INDEX(ISNUMBER(--MID((LEFT(A156,SUM(LEN(A156)-LEN(SUBSTITUTE(A156,{"0","1","2"},""))))), ROW(INDIRECT("1:"&amp;LEN((LEFT(A156,SUM(LEN(A156)-LEN(SUBSTITUTE(A156,{"0","1","2"},"")))))))), 1)) * ROW(INDIRECT("1:"&amp;LEN((LEFT(A156,SUM(LEN(A156)-LEN(SUBSTITUTE(A156,{"0","1","2"},"")))))))), 0), ROW(INDIRECT("1:"&amp;LEN((LEFT(A156,SUM(LEN(A156)-LEN(SUBSTITUTE(A156,{"0","1","2"},"")))))))))+1, 1) * 10^ROW(INDIRECT("1:"&amp;LEN((LEFT(A156,SUM(LEN(A156)-LEN(SUBSTITUTE(A156,{"0","1","2"},""))))))))/10))*100+1</f>
        <v>101</v>
      </c>
      <c r="P157" s="88">
        <f ca="1">(SUMPRODUCT(MID(0&amp;(--TRIM(RIGHT(SUBSTITUTE(LEFT(A156,_xlfn.AGGREGATE(16,6,FIND({0,1,2,3,4,5,6,7,8,9},A156,ROW(INDIRECT("1:"&amp;LEN(A156)))),1))," ",REPT(" ",LEN(A156))),LEN(A156)))), LARGE(INDEX(ISNUMBER(--MID((--TRIM(RIGHT(SUBSTITUTE(LEFT(A156,_xlfn.AGGREGATE(16,6,FIND({0,1,2,3,4,5,6,7,8,9},A156,ROW(INDIRECT("1:"&amp;LEN(A156)))),1))," ",REPT(" ",LEN(A156))),LEN(A156)))), ROW(INDIRECT("1:"&amp;LEN((--TRIM(RIGHT(SUBSTITUTE(LEFT(A156,_xlfn.AGGREGATE(16,6,FIND({0,1,2,3,4,5,6,7,8,9},A156,ROW(INDIRECT("1:"&amp;LEN(A156)))),1))," ",REPT(" ",LEN(A156))),LEN(A156))))))), 1)) * ROW(INDIRECT("1:"&amp;LEN((--TRIM(RIGHT(SUBSTITUTE(LEFT(A156,_xlfn.AGGREGATE(16,6,FIND({0,1,2,3,4,5,6,7,8,9},A156,ROW(INDIRECT("1:"&amp;LEN(A156)))),1))," ",REPT(" ",LEN(A156))),LEN(A156))))))), 0), ROW(INDIRECT("1:"&amp;LEN((--TRIM(RIGHT(SUBSTITUTE(LEFT(A156,_xlfn.AGGREGATE(16,6,FIND({0,1,2,3,4,5,6,7,8,9},A156,ROW(INDIRECT("1:"&amp;LEN(A156)))),1))," ",REPT(" ",LEN(A156))),LEN(A156))))))))+1, 1) * 10^ROW(INDIRECT("1:"&amp;LEN((--TRIM(RIGHT(SUBSTITUTE(LEFT(A156,_xlfn.AGGREGATE(16,6,FIND({0,1,2,3,4,5,6,7,8,9},A156,ROW(INDIRECT("1:"&amp;LEN(A156)))),1))," ",REPT(" ",LEN(A156))),LEN(A156)))))))/10))*100+1</f>
        <v>201</v>
      </c>
    </row>
    <row r="158" spans="1:16" s="88" customFormat="1" x14ac:dyDescent="0.35">
      <c r="A158" s="128" t="str">
        <f t="shared" ca="1" si="11"/>
        <v>102 &amp; 202</v>
      </c>
      <c r="B158" s="129"/>
      <c r="C158" s="49" t="s">
        <v>214</v>
      </c>
      <c r="D158" s="49">
        <f>46.52*10.764</f>
        <v>500.74128000000002</v>
      </c>
      <c r="E158" s="49">
        <v>0</v>
      </c>
      <c r="F158" s="49">
        <f t="shared" si="12"/>
        <v>751.11192000000005</v>
      </c>
      <c r="G158" s="128" t="str">
        <f t="shared" ref="G158:G160" si="14">G157</f>
        <v>1st &amp; 2nd Floor for Residential</v>
      </c>
      <c r="H158" s="129"/>
      <c r="I158" s="87"/>
      <c r="N158" s="88" t="str">
        <f t="shared" ca="1" si="13"/>
        <v>102 &amp; 202</v>
      </c>
      <c r="O158" s="88">
        <f t="shared" ref="O158:P158" ca="1" si="15">O157+1</f>
        <v>102</v>
      </c>
      <c r="P158" s="88">
        <f t="shared" ca="1" si="15"/>
        <v>202</v>
      </c>
    </row>
    <row r="159" spans="1:16" s="88" customFormat="1" x14ac:dyDescent="0.35">
      <c r="A159" s="128" t="str">
        <f t="shared" ca="1" si="11"/>
        <v>103 &amp; 203</v>
      </c>
      <c r="B159" s="129"/>
      <c r="C159" s="49" t="s">
        <v>215</v>
      </c>
      <c r="D159" s="49">
        <f>36.83*10.764</f>
        <v>396.43811999999997</v>
      </c>
      <c r="E159" s="49">
        <v>0</v>
      </c>
      <c r="F159" s="49">
        <f t="shared" si="12"/>
        <v>594.65717999999993</v>
      </c>
      <c r="G159" s="128" t="str">
        <f t="shared" si="14"/>
        <v>1st &amp; 2nd Floor for Residential</v>
      </c>
      <c r="H159" s="129"/>
      <c r="I159" s="87"/>
      <c r="N159" s="88" t="str">
        <f t="shared" ca="1" si="13"/>
        <v>103 &amp; 203</v>
      </c>
      <c r="O159" s="88">
        <f t="shared" ref="O159:P159" ca="1" si="16">O158+1</f>
        <v>103</v>
      </c>
      <c r="P159" s="88">
        <f t="shared" ca="1" si="16"/>
        <v>203</v>
      </c>
    </row>
    <row r="160" spans="1:16" s="88" customFormat="1" x14ac:dyDescent="0.35">
      <c r="A160" s="128" t="str">
        <f t="shared" ca="1" si="11"/>
        <v>104 &amp; 204</v>
      </c>
      <c r="B160" s="129"/>
      <c r="C160" s="49" t="s">
        <v>213</v>
      </c>
      <c r="D160" s="49">
        <f>30.07*10.764</f>
        <v>323.67347999999998</v>
      </c>
      <c r="E160" s="49">
        <v>0</v>
      </c>
      <c r="F160" s="49">
        <f t="shared" si="12"/>
        <v>485.51022</v>
      </c>
      <c r="G160" s="128" t="str">
        <f t="shared" si="14"/>
        <v>1st &amp; 2nd Floor for Residential</v>
      </c>
      <c r="H160" s="129"/>
      <c r="I160" s="87"/>
      <c r="N160" s="88" t="str">
        <f t="shared" ca="1" si="13"/>
        <v>104 &amp; 204</v>
      </c>
      <c r="O160" s="88">
        <f t="shared" ref="O160:P160" ca="1" si="17">O159+1</f>
        <v>104</v>
      </c>
      <c r="P160" s="88">
        <f t="shared" ca="1" si="17"/>
        <v>204</v>
      </c>
    </row>
    <row r="161" spans="1:16" s="88" customFormat="1" x14ac:dyDescent="0.35">
      <c r="A161" s="213" t="s">
        <v>242</v>
      </c>
      <c r="B161" s="214"/>
      <c r="C161" s="214"/>
      <c r="D161" s="214"/>
      <c r="E161" s="214"/>
      <c r="F161" s="214"/>
      <c r="G161" s="214"/>
      <c r="H161" s="215"/>
      <c r="I161" s="87"/>
    </row>
    <row r="162" spans="1:16" s="88" customFormat="1" x14ac:dyDescent="0.35">
      <c r="A162" s="144" t="s">
        <v>217</v>
      </c>
      <c r="B162" s="144"/>
      <c r="C162" s="144"/>
      <c r="D162" s="144"/>
      <c r="E162" s="144"/>
      <c r="F162" s="144"/>
      <c r="G162" s="144"/>
      <c r="H162" s="144"/>
      <c r="I162" s="87"/>
      <c r="L162" s="212"/>
      <c r="M162" s="212"/>
    </row>
    <row r="163" spans="1:16" s="88" customFormat="1" x14ac:dyDescent="0.35">
      <c r="A163" s="145">
        <v>1</v>
      </c>
      <c r="B163" s="145"/>
      <c r="C163" s="49" t="s">
        <v>213</v>
      </c>
      <c r="D163" s="49">
        <f>29.56*10.764</f>
        <v>318.18383999999998</v>
      </c>
      <c r="E163" s="49">
        <v>0</v>
      </c>
      <c r="F163" s="49">
        <f>D163*(($F$153)+1)+E163</f>
        <v>477.27575999999999</v>
      </c>
      <c r="G163" s="145" t="str">
        <f>A162</f>
        <v>Ground Floor for Residential &amp; Parking</v>
      </c>
      <c r="H163" s="145"/>
      <c r="I163" s="87"/>
      <c r="N163" s="87"/>
    </row>
    <row r="164" spans="1:16" s="88" customFormat="1" x14ac:dyDescent="0.35">
      <c r="A164" s="145">
        <v>2</v>
      </c>
      <c r="B164" s="145"/>
      <c r="C164" s="49" t="s">
        <v>213</v>
      </c>
      <c r="D164" s="49">
        <f>30.19*10.764</f>
        <v>324.96515999999997</v>
      </c>
      <c r="E164" s="49">
        <v>0</v>
      </c>
      <c r="F164" s="49">
        <f>D164*(($F$153)+1)+E164</f>
        <v>487.44773999999995</v>
      </c>
      <c r="G164" s="145" t="str">
        <f t="shared" ref="G164" si="18">G163</f>
        <v>Ground Floor for Residential &amp; Parking</v>
      </c>
      <c r="H164" s="145"/>
      <c r="I164" s="87"/>
      <c r="N164" s="87"/>
    </row>
    <row r="165" spans="1:16" s="88" customFormat="1" x14ac:dyDescent="0.35">
      <c r="A165" s="213" t="s">
        <v>218</v>
      </c>
      <c r="B165" s="214"/>
      <c r="C165" s="214"/>
      <c r="D165" s="214"/>
      <c r="E165" s="214"/>
      <c r="F165" s="214"/>
      <c r="G165" s="214"/>
      <c r="H165" s="215"/>
      <c r="I165" s="87"/>
      <c r="P165" s="89"/>
    </row>
    <row r="166" spans="1:16" s="88" customFormat="1" x14ac:dyDescent="0.35">
      <c r="A166" s="128" t="str">
        <f t="shared" ref="A166:A171" ca="1" si="19">N166</f>
        <v>101 to 401</v>
      </c>
      <c r="B166" s="129"/>
      <c r="C166" s="49" t="s">
        <v>213</v>
      </c>
      <c r="D166" s="49">
        <f>30.07*10.764</f>
        <v>323.67347999999998</v>
      </c>
      <c r="E166" s="49">
        <v>0</v>
      </c>
      <c r="F166" s="49">
        <f>D166*(($F$153)+1)+E166</f>
        <v>485.51022</v>
      </c>
      <c r="G166" s="128" t="str">
        <f>A165</f>
        <v>1st to 4th Floor</v>
      </c>
      <c r="H166" s="129"/>
      <c r="I166" s="87"/>
      <c r="N166" s="88" t="str">
        <f t="shared" ref="N166:N171" ca="1" si="20">O166&amp;""&amp;" to "&amp;""&amp;P166</f>
        <v>101 to 401</v>
      </c>
      <c r="O166" s="88">
        <f ca="1">(SUMPRODUCT(MID(0&amp;(LEFT(A165,SUM(LEN(A165)-LEN(SUBSTITUTE(A165,{"0","1","2"},""))))), LARGE(INDEX(ISNUMBER(--MID((LEFT(A165,SUM(LEN(A165)-LEN(SUBSTITUTE(A165,{"0","1","2"},""))))), ROW(INDIRECT("1:"&amp;LEN((LEFT(A165,SUM(LEN(A165)-LEN(SUBSTITUTE(A165,{"0","1","2"},"")))))))), 1)) * ROW(INDIRECT("1:"&amp;LEN((LEFT(A165,SUM(LEN(A165)-LEN(SUBSTITUTE(A165,{"0","1","2"},"")))))))), 0), ROW(INDIRECT("1:"&amp;LEN((LEFT(A165,SUM(LEN(A165)-LEN(SUBSTITUTE(A165,{"0","1","2"},"")))))))))+1, 1) * 10^ROW(INDIRECT("1:"&amp;LEN((LEFT(A165,SUM(LEN(A165)-LEN(SUBSTITUTE(A165,{"0","1","2"},""))))))))/10))*100+1</f>
        <v>101</v>
      </c>
      <c r="P166" s="88">
        <f ca="1">(SUMPRODUCT(MID(0&amp;(--TRIM(RIGHT(SUBSTITUTE(LEFT(A165,_xlfn.AGGREGATE(16,6,FIND({0,1,2,3,4,5,6,7,8,9},A165,ROW(INDIRECT("1:"&amp;LEN(A165)))),1))," ",REPT(" ",LEN(A165))),LEN(A165)))), LARGE(INDEX(ISNUMBER(--MID((--TRIM(RIGHT(SUBSTITUTE(LEFT(A165,_xlfn.AGGREGATE(16,6,FIND({0,1,2,3,4,5,6,7,8,9},A165,ROW(INDIRECT("1:"&amp;LEN(A165)))),1))," ",REPT(" ",LEN(A165))),LEN(A165)))), ROW(INDIRECT("1:"&amp;LEN((--TRIM(RIGHT(SUBSTITUTE(LEFT(A165,_xlfn.AGGREGATE(16,6,FIND({0,1,2,3,4,5,6,7,8,9},A165,ROW(INDIRECT("1:"&amp;LEN(A165)))),1))," ",REPT(" ",LEN(A165))),LEN(A165))))))), 1)) * ROW(INDIRECT("1:"&amp;LEN((--TRIM(RIGHT(SUBSTITUTE(LEFT(A165,_xlfn.AGGREGATE(16,6,FIND({0,1,2,3,4,5,6,7,8,9},A165,ROW(INDIRECT("1:"&amp;LEN(A165)))),1))," ",REPT(" ",LEN(A165))),LEN(A165))))))), 0), ROW(INDIRECT("1:"&amp;LEN((--TRIM(RIGHT(SUBSTITUTE(LEFT(A165,_xlfn.AGGREGATE(16,6,FIND({0,1,2,3,4,5,6,7,8,9},A165,ROW(INDIRECT("1:"&amp;LEN(A165)))),1))," ",REPT(" ",LEN(A165))),LEN(A165))))))))+1, 1) * 10^ROW(INDIRECT("1:"&amp;LEN((--TRIM(RIGHT(SUBSTITUTE(LEFT(A165,_xlfn.AGGREGATE(16,6,FIND({0,1,2,3,4,5,6,7,8,9},A165,ROW(INDIRECT("1:"&amp;LEN(A165)))),1))," ",REPT(" ",LEN(A165))),LEN(A165)))))))/10))*100+1</f>
        <v>401</v>
      </c>
    </row>
    <row r="167" spans="1:16" s="88" customFormat="1" x14ac:dyDescent="0.35">
      <c r="A167" s="128" t="str">
        <f t="shared" ca="1" si="19"/>
        <v>102 to 402</v>
      </c>
      <c r="B167" s="129"/>
      <c r="C167" s="49" t="s">
        <v>213</v>
      </c>
      <c r="D167" s="49">
        <f>30.07*10.764</f>
        <v>323.67347999999998</v>
      </c>
      <c r="E167" s="49">
        <v>0</v>
      </c>
      <c r="F167" s="49">
        <f>D167*(($F$153)+1)+E167</f>
        <v>485.51022</v>
      </c>
      <c r="G167" s="128" t="str">
        <f t="shared" ref="G167:G171" si="21">G166</f>
        <v>1st to 4th Floor</v>
      </c>
      <c r="H167" s="129"/>
      <c r="I167" s="87"/>
      <c r="N167" s="88" t="str">
        <f t="shared" ca="1" si="20"/>
        <v>102 to 402</v>
      </c>
      <c r="O167" s="88">
        <f t="shared" ref="O167:P167" ca="1" si="22">O166+1</f>
        <v>102</v>
      </c>
      <c r="P167" s="88">
        <f t="shared" ca="1" si="22"/>
        <v>402</v>
      </c>
    </row>
    <row r="168" spans="1:16" s="88" customFormat="1" x14ac:dyDescent="0.35">
      <c r="A168" s="128" t="str">
        <f t="shared" ca="1" si="19"/>
        <v>103 to 403</v>
      </c>
      <c r="B168" s="129"/>
      <c r="C168" s="49" t="s">
        <v>214</v>
      </c>
      <c r="D168" s="49">
        <f>47.22*10.764</f>
        <v>508.27607999999998</v>
      </c>
      <c r="E168" s="49">
        <v>0</v>
      </c>
      <c r="F168" s="49">
        <f>D168*(($F$153)+1)+E168</f>
        <v>762.41411999999991</v>
      </c>
      <c r="G168" s="128" t="str">
        <f t="shared" si="21"/>
        <v>1st to 4th Floor</v>
      </c>
      <c r="H168" s="129"/>
      <c r="I168" s="87"/>
      <c r="N168" s="88" t="str">
        <f t="shared" ca="1" si="20"/>
        <v>103 to 403</v>
      </c>
      <c r="O168" s="88">
        <f t="shared" ref="O168:P168" ca="1" si="23">O167+1</f>
        <v>103</v>
      </c>
      <c r="P168" s="88">
        <f t="shared" ca="1" si="23"/>
        <v>403</v>
      </c>
    </row>
    <row r="169" spans="1:16" s="88" customFormat="1" x14ac:dyDescent="0.35">
      <c r="A169" s="128" t="str">
        <f t="shared" ca="1" si="19"/>
        <v>104 to 404</v>
      </c>
      <c r="B169" s="129"/>
      <c r="C169" s="49" t="s">
        <v>213</v>
      </c>
      <c r="D169" s="49">
        <f>29.56*10.764</f>
        <v>318.18383999999998</v>
      </c>
      <c r="E169" s="49">
        <v>0</v>
      </c>
      <c r="F169" s="49">
        <f>D169*(($F$153)+1)+E169</f>
        <v>477.27575999999999</v>
      </c>
      <c r="G169" s="128" t="str">
        <f t="shared" si="21"/>
        <v>1st to 4th Floor</v>
      </c>
      <c r="H169" s="129"/>
      <c r="I169" s="87"/>
      <c r="N169" s="88" t="str">
        <f t="shared" ca="1" si="20"/>
        <v>104 to 404</v>
      </c>
      <c r="O169" s="88">
        <f t="shared" ref="O169:P169" ca="1" si="24">O168+1</f>
        <v>104</v>
      </c>
      <c r="P169" s="88">
        <f t="shared" ca="1" si="24"/>
        <v>404</v>
      </c>
    </row>
    <row r="170" spans="1:16" s="88" customFormat="1" x14ac:dyDescent="0.35">
      <c r="A170" s="128" t="str">
        <f t="shared" ca="1" si="19"/>
        <v>105 to 405</v>
      </c>
      <c r="B170" s="129"/>
      <c r="C170" s="49" t="s">
        <v>213</v>
      </c>
      <c r="D170" s="49">
        <f>30.19*10.764</f>
        <v>324.96515999999997</v>
      </c>
      <c r="E170" s="49">
        <v>0</v>
      </c>
      <c r="F170" s="49">
        <f t="shared" ref="F170:F171" si="25">D170*(($F$153)+1)+E170</f>
        <v>487.44773999999995</v>
      </c>
      <c r="G170" s="128" t="str">
        <f t="shared" si="21"/>
        <v>1st to 4th Floor</v>
      </c>
      <c r="H170" s="129"/>
      <c r="I170" s="87"/>
      <c r="N170" s="88" t="str">
        <f t="shared" ca="1" si="20"/>
        <v>105 to 405</v>
      </c>
      <c r="O170" s="88">
        <f t="shared" ref="O170:P170" ca="1" si="26">O169+1</f>
        <v>105</v>
      </c>
      <c r="P170" s="88">
        <f t="shared" ca="1" si="26"/>
        <v>405</v>
      </c>
    </row>
    <row r="171" spans="1:16" s="88" customFormat="1" x14ac:dyDescent="0.35">
      <c r="A171" s="128" t="str">
        <f t="shared" ca="1" si="19"/>
        <v>106 to 406</v>
      </c>
      <c r="B171" s="129"/>
      <c r="C171" s="49" t="s">
        <v>213</v>
      </c>
      <c r="D171" s="49">
        <f>30.19*10.764</f>
        <v>324.96515999999997</v>
      </c>
      <c r="E171" s="49">
        <v>0</v>
      </c>
      <c r="F171" s="49">
        <f t="shared" si="25"/>
        <v>487.44773999999995</v>
      </c>
      <c r="G171" s="128" t="str">
        <f t="shared" si="21"/>
        <v>1st to 4th Floor</v>
      </c>
      <c r="H171" s="129"/>
      <c r="I171" s="87"/>
      <c r="N171" s="88" t="str">
        <f t="shared" ca="1" si="20"/>
        <v>106 to 406</v>
      </c>
      <c r="O171" s="88">
        <f t="shared" ref="O171:P171" ca="1" si="27">O170+1</f>
        <v>106</v>
      </c>
      <c r="P171" s="88">
        <f t="shared" ca="1" si="27"/>
        <v>406</v>
      </c>
    </row>
    <row r="172" spans="1:16" s="88" customFormat="1" x14ac:dyDescent="0.35">
      <c r="A172" s="144" t="s">
        <v>243</v>
      </c>
      <c r="B172" s="144"/>
      <c r="C172" s="144"/>
      <c r="D172" s="144"/>
      <c r="E172" s="144"/>
      <c r="F172" s="144"/>
      <c r="G172" s="144"/>
      <c r="H172" s="144"/>
      <c r="I172" s="87"/>
    </row>
    <row r="173" spans="1:16" s="88" customFormat="1" x14ac:dyDescent="0.35">
      <c r="A173" s="144" t="s">
        <v>217</v>
      </c>
      <c r="B173" s="144"/>
      <c r="C173" s="144"/>
      <c r="D173" s="144"/>
      <c r="E173" s="144"/>
      <c r="F173" s="144"/>
      <c r="G173" s="144"/>
      <c r="H173" s="144"/>
      <c r="I173" s="87"/>
      <c r="L173" s="212"/>
      <c r="M173" s="212"/>
    </row>
    <row r="174" spans="1:16" s="88" customFormat="1" x14ac:dyDescent="0.35">
      <c r="A174" s="145">
        <v>1</v>
      </c>
      <c r="B174" s="145"/>
      <c r="C174" s="105" t="s">
        <v>213</v>
      </c>
      <c r="D174" s="105">
        <f>30.19*10.764</f>
        <v>324.96515999999997</v>
      </c>
      <c r="E174" s="105">
        <v>0</v>
      </c>
      <c r="F174" s="105">
        <f>D174*(($F$153)+1)+E174</f>
        <v>487.44773999999995</v>
      </c>
      <c r="G174" s="145" t="str">
        <f>A173</f>
        <v>Ground Floor for Residential &amp; Parking</v>
      </c>
      <c r="H174" s="145"/>
      <c r="I174" s="87"/>
      <c r="N174" s="87"/>
    </row>
    <row r="175" spans="1:16" s="88" customFormat="1" x14ac:dyDescent="0.35">
      <c r="A175" s="145">
        <v>2</v>
      </c>
      <c r="B175" s="145"/>
      <c r="C175" s="105" t="s">
        <v>213</v>
      </c>
      <c r="D175" s="105">
        <f>28.93*10.764</f>
        <v>311.40251999999998</v>
      </c>
      <c r="E175" s="105">
        <v>0</v>
      </c>
      <c r="F175" s="105">
        <f t="shared" ref="F175:F176" si="28">D175*(($F$153)+1)+E175</f>
        <v>467.10377999999997</v>
      </c>
      <c r="G175" s="145" t="str">
        <f t="shared" ref="G175:G176" si="29">G174</f>
        <v>Ground Floor for Residential &amp; Parking</v>
      </c>
      <c r="H175" s="145"/>
      <c r="I175" s="87"/>
      <c r="N175" s="87"/>
    </row>
    <row r="176" spans="1:16" s="88" customFormat="1" x14ac:dyDescent="0.35">
      <c r="A176" s="145">
        <v>3</v>
      </c>
      <c r="B176" s="145"/>
      <c r="C176" s="105" t="s">
        <v>213</v>
      </c>
      <c r="D176" s="105">
        <f>30.19*10.764</f>
        <v>324.96515999999997</v>
      </c>
      <c r="E176" s="105">
        <v>0</v>
      </c>
      <c r="F176" s="105">
        <f t="shared" si="28"/>
        <v>487.44773999999995</v>
      </c>
      <c r="G176" s="145" t="str">
        <f t="shared" si="29"/>
        <v>Ground Floor for Residential &amp; Parking</v>
      </c>
      <c r="H176" s="145"/>
      <c r="I176" s="87"/>
      <c r="N176" s="87"/>
    </row>
    <row r="177" spans="1:16" s="88" customFormat="1" x14ac:dyDescent="0.35">
      <c r="A177" s="144" t="s">
        <v>219</v>
      </c>
      <c r="B177" s="144"/>
      <c r="C177" s="144"/>
      <c r="D177" s="144"/>
      <c r="E177" s="144"/>
      <c r="F177" s="144"/>
      <c r="G177" s="144"/>
      <c r="H177" s="144"/>
      <c r="I177" s="87"/>
      <c r="P177" s="89"/>
    </row>
    <row r="178" spans="1:16" s="88" customFormat="1" x14ac:dyDescent="0.35">
      <c r="A178" s="128" t="str">
        <f t="shared" ref="A178:A181" ca="1" si="30">N178</f>
        <v>101 to 401</v>
      </c>
      <c r="B178" s="129"/>
      <c r="C178" s="49" t="s">
        <v>213</v>
      </c>
      <c r="D178" s="49">
        <f>30.15*10.764</f>
        <v>324.53459999999995</v>
      </c>
      <c r="E178" s="49">
        <v>0</v>
      </c>
      <c r="F178" s="49">
        <f t="shared" ref="F178:F180" si="31">D178*(($F$153)+1)+E178</f>
        <v>486.80189999999993</v>
      </c>
      <c r="G178" s="128" t="str">
        <f>A177</f>
        <v>1st to 4th Floor for Residential</v>
      </c>
      <c r="H178" s="129"/>
      <c r="I178" s="87"/>
      <c r="N178" s="88" t="str">
        <f t="shared" ref="N178:N181" ca="1" si="32">O178&amp;""&amp;" to "&amp;""&amp;P178</f>
        <v>101 to 401</v>
      </c>
      <c r="O178" s="88">
        <f ca="1">(SUMPRODUCT(MID(0&amp;(LEFT(A177,SUM(LEN(A177)-LEN(SUBSTITUTE(A177,{"0","1","2"},""))))), LARGE(INDEX(ISNUMBER(--MID((LEFT(A177,SUM(LEN(A177)-LEN(SUBSTITUTE(A177,{"0","1","2"},""))))), ROW(INDIRECT("1:"&amp;LEN((LEFT(A177,SUM(LEN(A177)-LEN(SUBSTITUTE(A177,{"0","1","2"},"")))))))), 1)) * ROW(INDIRECT("1:"&amp;LEN((LEFT(A177,SUM(LEN(A177)-LEN(SUBSTITUTE(A177,{"0","1","2"},"")))))))), 0), ROW(INDIRECT("1:"&amp;LEN((LEFT(A177,SUM(LEN(A177)-LEN(SUBSTITUTE(A177,{"0","1","2"},"")))))))))+1, 1) * 10^ROW(INDIRECT("1:"&amp;LEN((LEFT(A177,SUM(LEN(A177)-LEN(SUBSTITUTE(A177,{"0","1","2"},""))))))))/10))*100+1</f>
        <v>101</v>
      </c>
      <c r="P178" s="88">
        <f ca="1">(SUMPRODUCT(MID(0&amp;(--TRIM(RIGHT(SUBSTITUTE(LEFT(A177,_xlfn.AGGREGATE(16,6,FIND({0,1,2,3,4,5,6,7,8,9},A177,ROW(INDIRECT("1:"&amp;LEN(A177)))),1))," ",REPT(" ",LEN(A177))),LEN(A177)))), LARGE(INDEX(ISNUMBER(--MID((--TRIM(RIGHT(SUBSTITUTE(LEFT(A177,_xlfn.AGGREGATE(16,6,FIND({0,1,2,3,4,5,6,7,8,9},A177,ROW(INDIRECT("1:"&amp;LEN(A177)))),1))," ",REPT(" ",LEN(A177))),LEN(A177)))), ROW(INDIRECT("1:"&amp;LEN((--TRIM(RIGHT(SUBSTITUTE(LEFT(A177,_xlfn.AGGREGATE(16,6,FIND({0,1,2,3,4,5,6,7,8,9},A177,ROW(INDIRECT("1:"&amp;LEN(A177)))),1))," ",REPT(" ",LEN(A177))),LEN(A177))))))), 1)) * ROW(INDIRECT("1:"&amp;LEN((--TRIM(RIGHT(SUBSTITUTE(LEFT(A177,_xlfn.AGGREGATE(16,6,FIND({0,1,2,3,4,5,6,7,8,9},A177,ROW(INDIRECT("1:"&amp;LEN(A177)))),1))," ",REPT(" ",LEN(A177))),LEN(A177))))))), 0), ROW(INDIRECT("1:"&amp;LEN((--TRIM(RIGHT(SUBSTITUTE(LEFT(A177,_xlfn.AGGREGATE(16,6,FIND({0,1,2,3,4,5,6,7,8,9},A177,ROW(INDIRECT("1:"&amp;LEN(A177)))),1))," ",REPT(" ",LEN(A177))),LEN(A177))))))))+1, 1) * 10^ROW(INDIRECT("1:"&amp;LEN((--TRIM(RIGHT(SUBSTITUTE(LEFT(A177,_xlfn.AGGREGATE(16,6,FIND({0,1,2,3,4,5,6,7,8,9},A177,ROW(INDIRECT("1:"&amp;LEN(A177)))),1))," ",REPT(" ",LEN(A177))),LEN(A177)))))))/10))*100+1</f>
        <v>401</v>
      </c>
    </row>
    <row r="179" spans="1:16" s="88" customFormat="1" x14ac:dyDescent="0.35">
      <c r="A179" s="128" t="str">
        <f t="shared" ca="1" si="30"/>
        <v>102 to 402</v>
      </c>
      <c r="B179" s="129"/>
      <c r="C179" s="49" t="s">
        <v>213</v>
      </c>
      <c r="D179" s="49">
        <f>28.93*10.764</f>
        <v>311.40251999999998</v>
      </c>
      <c r="E179" s="49">
        <v>0</v>
      </c>
      <c r="F179" s="49">
        <f t="shared" si="31"/>
        <v>467.10377999999997</v>
      </c>
      <c r="G179" s="128" t="str">
        <f t="shared" ref="G179:G181" si="33">G178</f>
        <v>1st to 4th Floor for Residential</v>
      </c>
      <c r="H179" s="129"/>
      <c r="I179" s="87"/>
      <c r="N179" s="88" t="str">
        <f t="shared" ca="1" si="32"/>
        <v>102 to 402</v>
      </c>
      <c r="O179" s="88">
        <f t="shared" ref="O179:P179" ca="1" si="34">O178+1</f>
        <v>102</v>
      </c>
      <c r="P179" s="88">
        <f t="shared" ca="1" si="34"/>
        <v>402</v>
      </c>
    </row>
    <row r="180" spans="1:16" s="88" customFormat="1" x14ac:dyDescent="0.35">
      <c r="A180" s="128" t="str">
        <f t="shared" ca="1" si="30"/>
        <v>103 to 403</v>
      </c>
      <c r="B180" s="129"/>
      <c r="C180" s="49" t="s">
        <v>213</v>
      </c>
      <c r="D180" s="49">
        <f>30.19*10.764</f>
        <v>324.96515999999997</v>
      </c>
      <c r="E180" s="49">
        <v>0</v>
      </c>
      <c r="F180" s="49">
        <f t="shared" si="31"/>
        <v>487.44773999999995</v>
      </c>
      <c r="G180" s="128" t="str">
        <f t="shared" si="33"/>
        <v>1st to 4th Floor for Residential</v>
      </c>
      <c r="H180" s="129"/>
      <c r="I180" s="87"/>
      <c r="N180" s="88" t="str">
        <f t="shared" ca="1" si="32"/>
        <v>103 to 403</v>
      </c>
      <c r="O180" s="88">
        <f t="shared" ref="O180:P180" ca="1" si="35">O179+1</f>
        <v>103</v>
      </c>
      <c r="P180" s="88">
        <f t="shared" ca="1" si="35"/>
        <v>403</v>
      </c>
    </row>
    <row r="181" spans="1:16" s="88" customFormat="1" x14ac:dyDescent="0.35">
      <c r="A181" s="128" t="str">
        <f t="shared" ca="1" si="30"/>
        <v>104 to 404</v>
      </c>
      <c r="B181" s="129"/>
      <c r="C181" s="49" t="s">
        <v>213</v>
      </c>
      <c r="D181" s="49">
        <f>30.19*10.764</f>
        <v>324.96515999999997</v>
      </c>
      <c r="E181" s="49">
        <v>0</v>
      </c>
      <c r="F181" s="49">
        <f>D181*(($F$153)+1)+E181</f>
        <v>487.44773999999995</v>
      </c>
      <c r="G181" s="128" t="str">
        <f t="shared" si="33"/>
        <v>1st to 4th Floor for Residential</v>
      </c>
      <c r="H181" s="129"/>
      <c r="I181" s="87"/>
      <c r="N181" s="88" t="str">
        <f t="shared" ca="1" si="32"/>
        <v>104 to 404</v>
      </c>
      <c r="O181" s="88">
        <f t="shared" ref="O181:P181" ca="1" si="36">O180+1</f>
        <v>104</v>
      </c>
      <c r="P181" s="88">
        <f t="shared" ca="1" si="36"/>
        <v>404</v>
      </c>
    </row>
    <row r="182" spans="1:16" s="86" customFormat="1" x14ac:dyDescent="0.35">
      <c r="A182" s="154" t="s">
        <v>78</v>
      </c>
      <c r="B182" s="154"/>
      <c r="C182" s="154"/>
      <c r="D182" s="154"/>
      <c r="E182" s="154"/>
      <c r="F182" s="154"/>
      <c r="G182" s="154"/>
      <c r="H182" s="154"/>
    </row>
    <row r="183" spans="1:16" s="86" customFormat="1" ht="47.5" customHeight="1" x14ac:dyDescent="0.35">
      <c r="A183" s="55">
        <v>1</v>
      </c>
      <c r="B183" s="111" t="s">
        <v>265</v>
      </c>
      <c r="C183" s="112"/>
      <c r="D183" s="112"/>
      <c r="E183" s="112"/>
      <c r="F183" s="112"/>
      <c r="G183" s="112"/>
      <c r="H183" s="113"/>
      <c r="I183" s="111" t="s">
        <v>257</v>
      </c>
      <c r="J183" s="112"/>
      <c r="K183" s="112"/>
      <c r="L183" s="112"/>
      <c r="M183" s="112"/>
      <c r="N183" s="112"/>
      <c r="O183" s="113"/>
    </row>
    <row r="184" spans="1:16" s="86" customFormat="1" x14ac:dyDescent="0.35">
      <c r="A184" s="55">
        <f>A183+1</f>
        <v>2</v>
      </c>
      <c r="B184" s="111" t="s">
        <v>226</v>
      </c>
      <c r="C184" s="112"/>
      <c r="D184" s="112"/>
      <c r="E184" s="112"/>
      <c r="F184" s="112"/>
      <c r="G184" s="112"/>
      <c r="H184" s="113"/>
    </row>
    <row r="185" spans="1:16" s="86" customFormat="1" x14ac:dyDescent="0.35">
      <c r="A185" s="55">
        <f t="shared" ref="A185:A190" si="37">A184+1</f>
        <v>3</v>
      </c>
      <c r="B185" s="111" t="s">
        <v>164</v>
      </c>
      <c r="C185" s="112"/>
      <c r="D185" s="112"/>
      <c r="E185" s="112"/>
      <c r="F185" s="112"/>
      <c r="G185" s="112"/>
      <c r="H185" s="113"/>
    </row>
    <row r="186" spans="1:16" s="86" customFormat="1" x14ac:dyDescent="0.35">
      <c r="A186" s="55">
        <f t="shared" si="37"/>
        <v>4</v>
      </c>
      <c r="B186" s="111" t="s">
        <v>221</v>
      </c>
      <c r="C186" s="112"/>
      <c r="D186" s="112"/>
      <c r="E186" s="112"/>
      <c r="F186" s="112"/>
      <c r="G186" s="112"/>
      <c r="H186" s="113"/>
    </row>
    <row r="187" spans="1:16" s="86" customFormat="1" x14ac:dyDescent="0.35">
      <c r="A187" s="55">
        <v>5</v>
      </c>
      <c r="B187" s="111" t="s">
        <v>165</v>
      </c>
      <c r="C187" s="112"/>
      <c r="D187" s="112"/>
      <c r="E187" s="112"/>
      <c r="F187" s="112"/>
      <c r="G187" s="112"/>
      <c r="H187" s="113"/>
    </row>
    <row r="188" spans="1:16" s="86" customFormat="1" ht="31.5" customHeight="1" x14ac:dyDescent="0.35">
      <c r="A188" s="55">
        <v>6</v>
      </c>
      <c r="B188" s="111" t="s">
        <v>247</v>
      </c>
      <c r="C188" s="112"/>
      <c r="D188" s="112"/>
      <c r="E188" s="112"/>
      <c r="F188" s="112"/>
      <c r="G188" s="112"/>
      <c r="H188" s="113"/>
    </row>
    <row r="189" spans="1:16" s="86" customFormat="1" x14ac:dyDescent="0.35">
      <c r="A189" s="55">
        <f t="shared" si="37"/>
        <v>7</v>
      </c>
      <c r="B189" s="111" t="s">
        <v>255</v>
      </c>
      <c r="C189" s="112"/>
      <c r="D189" s="112"/>
      <c r="E189" s="112"/>
      <c r="F189" s="112"/>
      <c r="G189" s="112"/>
      <c r="H189" s="113"/>
    </row>
    <row r="190" spans="1:16" s="86" customFormat="1" hidden="1" x14ac:dyDescent="0.35">
      <c r="A190" s="55">
        <f t="shared" si="37"/>
        <v>8</v>
      </c>
      <c r="B190" s="111" t="s">
        <v>227</v>
      </c>
      <c r="C190" s="112"/>
      <c r="D190" s="112"/>
      <c r="E190" s="112"/>
      <c r="F190" s="112"/>
      <c r="G190" s="112"/>
      <c r="H190" s="113"/>
    </row>
    <row r="191" spans="1:16" s="86" customFormat="1" x14ac:dyDescent="0.35">
      <c r="A191" s="103">
        <v>8</v>
      </c>
      <c r="B191" s="111" t="s">
        <v>256</v>
      </c>
      <c r="C191" s="112"/>
      <c r="D191" s="112"/>
      <c r="E191" s="112"/>
      <c r="F191" s="112"/>
      <c r="G191" s="112"/>
      <c r="H191" s="113"/>
    </row>
    <row r="192" spans="1:16" s="86" customFormat="1" ht="34.5" hidden="1" customHeight="1" x14ac:dyDescent="0.35">
      <c r="A192" s="104">
        <v>9</v>
      </c>
      <c r="B192" s="160" t="s">
        <v>262</v>
      </c>
      <c r="C192" s="161"/>
      <c r="D192" s="161"/>
      <c r="E192" s="161"/>
      <c r="F192" s="161"/>
      <c r="G192" s="161"/>
      <c r="H192" s="162"/>
    </row>
    <row r="193" spans="1:8" x14ac:dyDescent="0.35">
      <c r="A193" s="155" t="s">
        <v>71</v>
      </c>
      <c r="B193" s="155"/>
      <c r="C193" s="155"/>
      <c r="D193" s="155"/>
      <c r="E193" s="155"/>
      <c r="F193" s="155"/>
      <c r="G193" s="155"/>
      <c r="H193" s="155"/>
    </row>
    <row r="194" spans="1:8" x14ac:dyDescent="0.35">
      <c r="A194" s="122" t="s">
        <v>72</v>
      </c>
      <c r="B194" s="122"/>
      <c r="C194" s="122"/>
      <c r="D194" s="122"/>
      <c r="E194" s="122"/>
      <c r="F194" s="122"/>
      <c r="G194" s="122"/>
      <c r="H194" s="122"/>
    </row>
    <row r="195" spans="1:8" ht="15.75" customHeight="1" x14ac:dyDescent="0.35">
      <c r="A195" s="131" t="s">
        <v>73</v>
      </c>
      <c r="B195" s="131"/>
      <c r="C195" s="131"/>
      <c r="D195" s="131"/>
      <c r="E195" s="131"/>
      <c r="F195" s="131"/>
      <c r="G195" s="131"/>
      <c r="H195" s="131"/>
    </row>
    <row r="196" spans="1:8" x14ac:dyDescent="0.35">
      <c r="A196" s="122" t="s">
        <v>74</v>
      </c>
      <c r="B196" s="122"/>
      <c r="C196" s="122"/>
      <c r="D196" s="122"/>
      <c r="E196" s="122"/>
      <c r="F196" s="122"/>
      <c r="G196" s="122"/>
      <c r="H196" s="122"/>
    </row>
    <row r="197" spans="1:8" x14ac:dyDescent="0.35">
      <c r="A197" s="122" t="s">
        <v>75</v>
      </c>
      <c r="B197" s="122"/>
      <c r="C197" s="122"/>
      <c r="D197" s="122"/>
      <c r="E197" s="122"/>
      <c r="F197" s="122"/>
      <c r="G197" s="122"/>
      <c r="H197" s="122"/>
    </row>
    <row r="198" spans="1:8" x14ac:dyDescent="0.35">
      <c r="A198" s="122" t="s">
        <v>166</v>
      </c>
      <c r="B198" s="122"/>
      <c r="C198" s="122"/>
      <c r="D198" s="122"/>
      <c r="E198" s="122"/>
      <c r="F198" s="122"/>
      <c r="G198" s="122"/>
      <c r="H198" s="122"/>
    </row>
    <row r="199" spans="1:8" ht="35.25" customHeight="1" x14ac:dyDescent="0.35">
      <c r="A199" s="153" t="s">
        <v>167</v>
      </c>
      <c r="B199" s="153"/>
      <c r="C199" s="153"/>
      <c r="D199" s="153"/>
      <c r="E199" s="153"/>
      <c r="F199" s="153"/>
      <c r="G199" s="153"/>
      <c r="H199" s="153"/>
    </row>
    <row r="200" spans="1:8" x14ac:dyDescent="0.35">
      <c r="A200" s="164" t="s">
        <v>111</v>
      </c>
      <c r="B200" s="164"/>
      <c r="C200" s="164" t="s">
        <v>260</v>
      </c>
      <c r="D200" s="164"/>
      <c r="E200" s="164" t="s">
        <v>142</v>
      </c>
      <c r="F200" s="164"/>
      <c r="G200" s="164" t="s">
        <v>263</v>
      </c>
      <c r="H200" s="164"/>
    </row>
    <row r="201" spans="1:8" x14ac:dyDescent="0.35">
      <c r="A201" s="163" t="s">
        <v>113</v>
      </c>
      <c r="B201" s="163"/>
      <c r="C201" s="163"/>
      <c r="D201" s="163"/>
      <c r="E201" s="163"/>
      <c r="F201" s="163"/>
      <c r="G201" s="163"/>
      <c r="H201" s="163"/>
    </row>
    <row r="202" spans="1:8" x14ac:dyDescent="0.35">
      <c r="A202" s="163"/>
      <c r="B202" s="163"/>
      <c r="C202" s="163"/>
      <c r="D202" s="163"/>
      <c r="E202" s="163"/>
      <c r="F202" s="163"/>
      <c r="G202" s="163"/>
      <c r="H202" s="163"/>
    </row>
    <row r="203" spans="1:8" x14ac:dyDescent="0.35">
      <c r="A203" s="163"/>
      <c r="B203" s="163"/>
      <c r="C203" s="163"/>
      <c r="D203" s="163"/>
      <c r="E203" s="163"/>
      <c r="F203" s="163"/>
      <c r="G203" s="163"/>
      <c r="H203" s="163"/>
    </row>
    <row r="204" spans="1:8" x14ac:dyDescent="0.35">
      <c r="A204" s="163"/>
      <c r="B204" s="163"/>
      <c r="C204" s="163"/>
      <c r="D204" s="163"/>
      <c r="E204" s="163"/>
      <c r="F204" s="163"/>
      <c r="G204" s="163"/>
      <c r="H204" s="163"/>
    </row>
    <row r="205" spans="1:8" x14ac:dyDescent="0.35">
      <c r="A205" s="90" t="s">
        <v>76</v>
      </c>
      <c r="B205" s="91"/>
      <c r="C205" s="91"/>
      <c r="D205" s="90" t="str">
        <f>E8</f>
        <v>Ideal Enclave</v>
      </c>
      <c r="F205" s="91"/>
      <c r="G205" s="91"/>
      <c r="H205" s="91"/>
    </row>
    <row r="206" spans="1:8" x14ac:dyDescent="0.35">
      <c r="A206" s="91"/>
      <c r="B206" s="91"/>
      <c r="C206" s="91"/>
      <c r="D206" s="91"/>
      <c r="E206" s="91"/>
      <c r="F206" s="91"/>
      <c r="G206" s="91"/>
      <c r="H206" s="91"/>
    </row>
    <row r="207" spans="1:8" x14ac:dyDescent="0.35">
      <c r="A207" s="91"/>
      <c r="B207" s="91"/>
      <c r="C207" s="91"/>
      <c r="D207" s="91"/>
      <c r="E207" s="91"/>
      <c r="F207" s="91"/>
      <c r="G207" s="91"/>
      <c r="H207" s="91"/>
    </row>
    <row r="208" spans="1:8" ht="15" customHeight="1" x14ac:dyDescent="0.35"/>
    <row r="248" spans="1:1" x14ac:dyDescent="0.35">
      <c r="A248" s="93" t="s">
        <v>77</v>
      </c>
    </row>
  </sheetData>
  <mergeCells count="384">
    <mergeCell ref="A119:B119"/>
    <mergeCell ref="G135:H135"/>
    <mergeCell ref="G138:H138"/>
    <mergeCell ref="G137:H137"/>
    <mergeCell ref="A139:B139"/>
    <mergeCell ref="A127:H127"/>
    <mergeCell ref="A135:B135"/>
    <mergeCell ref="A136:B136"/>
    <mergeCell ref="C119:D119"/>
    <mergeCell ref="E119:F119"/>
    <mergeCell ref="G119:H119"/>
    <mergeCell ref="A123:B123"/>
    <mergeCell ref="C123:D123"/>
    <mergeCell ref="E123:F123"/>
    <mergeCell ref="G123:H123"/>
    <mergeCell ref="A124:B124"/>
    <mergeCell ref="C124:D124"/>
    <mergeCell ref="E124:F124"/>
    <mergeCell ref="L136:M136"/>
    <mergeCell ref="A167:B167"/>
    <mergeCell ref="G167:H167"/>
    <mergeCell ref="A168:B168"/>
    <mergeCell ref="G168:H168"/>
    <mergeCell ref="A172:H172"/>
    <mergeCell ref="A169:B169"/>
    <mergeCell ref="G169:H169"/>
    <mergeCell ref="A170:B170"/>
    <mergeCell ref="G170:H170"/>
    <mergeCell ref="A171:B171"/>
    <mergeCell ref="G171:H171"/>
    <mergeCell ref="L162:M162"/>
    <mergeCell ref="L140:M140"/>
    <mergeCell ref="L139:M139"/>
    <mergeCell ref="A156:H156"/>
    <mergeCell ref="A155:H155"/>
    <mergeCell ref="C152:C153"/>
    <mergeCell ref="A150:B150"/>
    <mergeCell ref="A141:B141"/>
    <mergeCell ref="G141:H141"/>
    <mergeCell ref="G140:H140"/>
    <mergeCell ref="G139:H139"/>
    <mergeCell ref="A140:B140"/>
    <mergeCell ref="L137:M137"/>
    <mergeCell ref="A175:B175"/>
    <mergeCell ref="B187:H187"/>
    <mergeCell ref="A163:B163"/>
    <mergeCell ref="G163:H163"/>
    <mergeCell ref="A164:B164"/>
    <mergeCell ref="G164:H164"/>
    <mergeCell ref="A161:H161"/>
    <mergeCell ref="G180:H180"/>
    <mergeCell ref="A181:B181"/>
    <mergeCell ref="G181:H181"/>
    <mergeCell ref="A174:B174"/>
    <mergeCell ref="G174:H174"/>
    <mergeCell ref="A165:H165"/>
    <mergeCell ref="A166:B166"/>
    <mergeCell ref="B186:H186"/>
    <mergeCell ref="A173:H173"/>
    <mergeCell ref="L173:M173"/>
    <mergeCell ref="A144:B144"/>
    <mergeCell ref="G144:H144"/>
    <mergeCell ref="L144:M144"/>
    <mergeCell ref="A145:B145"/>
    <mergeCell ref="G145:H145"/>
    <mergeCell ref="L145:M145"/>
    <mergeCell ref="A146:B146"/>
    <mergeCell ref="G146:H146"/>
    <mergeCell ref="L146:M146"/>
    <mergeCell ref="L135:M135"/>
    <mergeCell ref="L134:M134"/>
    <mergeCell ref="D129:D130"/>
    <mergeCell ref="G150:H150"/>
    <mergeCell ref="L150:M150"/>
    <mergeCell ref="A154:H154"/>
    <mergeCell ref="G136:H136"/>
    <mergeCell ref="G134:H134"/>
    <mergeCell ref="L147:M147"/>
    <mergeCell ref="A148:B148"/>
    <mergeCell ref="G148:H148"/>
    <mergeCell ref="L148:M148"/>
    <mergeCell ref="A149:B149"/>
    <mergeCell ref="G149:H149"/>
    <mergeCell ref="L149:M149"/>
    <mergeCell ref="L141:M141"/>
    <mergeCell ref="A142:H142"/>
    <mergeCell ref="A143:H143"/>
    <mergeCell ref="A151:H151"/>
    <mergeCell ref="A152:A153"/>
    <mergeCell ref="B152:B153"/>
    <mergeCell ref="A137:B137"/>
    <mergeCell ref="L138:M138"/>
    <mergeCell ref="A147:B147"/>
    <mergeCell ref="A92:B92"/>
    <mergeCell ref="E92:F92"/>
    <mergeCell ref="G92:H92"/>
    <mergeCell ref="A93:B93"/>
    <mergeCell ref="E93:F102"/>
    <mergeCell ref="F112:H112"/>
    <mergeCell ref="A109:E109"/>
    <mergeCell ref="F111:H111"/>
    <mergeCell ref="F109:H109"/>
    <mergeCell ref="A107:E107"/>
    <mergeCell ref="A112:E112"/>
    <mergeCell ref="A103:E103"/>
    <mergeCell ref="F103:H103"/>
    <mergeCell ref="A99:B99"/>
    <mergeCell ref="A108:E108"/>
    <mergeCell ref="A110:E110"/>
    <mergeCell ref="F110:H110"/>
    <mergeCell ref="A105:B105"/>
    <mergeCell ref="C105:H105"/>
    <mergeCell ref="F108:H108"/>
    <mergeCell ref="A86:B86"/>
    <mergeCell ref="A87:B87"/>
    <mergeCell ref="A88:B88"/>
    <mergeCell ref="G79:G88"/>
    <mergeCell ref="H79:H88"/>
    <mergeCell ref="C126:D126"/>
    <mergeCell ref="E126:F126"/>
    <mergeCell ref="G126:H126"/>
    <mergeCell ref="C129:C130"/>
    <mergeCell ref="A128:H128"/>
    <mergeCell ref="F114:H114"/>
    <mergeCell ref="A115:E115"/>
    <mergeCell ref="F115:H115"/>
    <mergeCell ref="F113:H113"/>
    <mergeCell ref="G117:H117"/>
    <mergeCell ref="C120:D120"/>
    <mergeCell ref="A126:B126"/>
    <mergeCell ref="A120:B120"/>
    <mergeCell ref="G93:H102"/>
    <mergeCell ref="A94:B94"/>
    <mergeCell ref="A95:B95"/>
    <mergeCell ref="A96:B96"/>
    <mergeCell ref="A97:B97"/>
    <mergeCell ref="A98:B98"/>
    <mergeCell ref="F33:H33"/>
    <mergeCell ref="F34:H34"/>
    <mergeCell ref="A25:D25"/>
    <mergeCell ref="E25:H25"/>
    <mergeCell ref="E24:H24"/>
    <mergeCell ref="A26:D26"/>
    <mergeCell ref="E26:H26"/>
    <mergeCell ref="A36:B36"/>
    <mergeCell ref="E36:F36"/>
    <mergeCell ref="C36:D36"/>
    <mergeCell ref="G36:H36"/>
    <mergeCell ref="F30:H30"/>
    <mergeCell ref="A31:B31"/>
    <mergeCell ref="A30:B30"/>
    <mergeCell ref="C31:E31"/>
    <mergeCell ref="A32:B32"/>
    <mergeCell ref="C32:E32"/>
    <mergeCell ref="A33:B33"/>
    <mergeCell ref="C33:E33"/>
    <mergeCell ref="C34:E34"/>
    <mergeCell ref="E19:F19"/>
    <mergeCell ref="G19:H19"/>
    <mergeCell ref="A23:D23"/>
    <mergeCell ref="E23:H23"/>
    <mergeCell ref="A27:D27"/>
    <mergeCell ref="E27:H27"/>
    <mergeCell ref="A24:D24"/>
    <mergeCell ref="D53:H53"/>
    <mergeCell ref="G50:H50"/>
    <mergeCell ref="A46:B46"/>
    <mergeCell ref="C46:E46"/>
    <mergeCell ref="G46:H46"/>
    <mergeCell ref="A28:D28"/>
    <mergeCell ref="E28:H28"/>
    <mergeCell ref="A35:H35"/>
    <mergeCell ref="A34:B34"/>
    <mergeCell ref="A29:D29"/>
    <mergeCell ref="E29:H29"/>
    <mergeCell ref="A38:H38"/>
    <mergeCell ref="A39:D39"/>
    <mergeCell ref="E39:H39"/>
    <mergeCell ref="F31:H31"/>
    <mergeCell ref="F32:H32"/>
    <mergeCell ref="C30:E30"/>
    <mergeCell ref="A10:D10"/>
    <mergeCell ref="E10:H10"/>
    <mergeCell ref="A20:D21"/>
    <mergeCell ref="E20:H21"/>
    <mergeCell ref="E13:H13"/>
    <mergeCell ref="A14:B14"/>
    <mergeCell ref="C14:H14"/>
    <mergeCell ref="C15:H15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A47:B47"/>
    <mergeCell ref="A53:C53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78:B78"/>
    <mergeCell ref="A80:B80"/>
    <mergeCell ref="D54:H54"/>
    <mergeCell ref="A54:C54"/>
    <mergeCell ref="G47:H47"/>
    <mergeCell ref="A48:B49"/>
    <mergeCell ref="C49:H49"/>
    <mergeCell ref="A41:D41"/>
    <mergeCell ref="E41:H41"/>
    <mergeCell ref="E42:H42"/>
    <mergeCell ref="E43:H43"/>
    <mergeCell ref="E44:H44"/>
    <mergeCell ref="A42:D42"/>
    <mergeCell ref="A43:D43"/>
    <mergeCell ref="A44:D44"/>
    <mergeCell ref="A45:H45"/>
    <mergeCell ref="G48:H48"/>
    <mergeCell ref="D52:H52"/>
    <mergeCell ref="C48:E48"/>
    <mergeCell ref="A50:B50"/>
    <mergeCell ref="C50:E50"/>
    <mergeCell ref="A51:H51"/>
    <mergeCell ref="A52:C52"/>
    <mergeCell ref="C47:E47"/>
    <mergeCell ref="D59:H59"/>
    <mergeCell ref="C63:H63"/>
    <mergeCell ref="A57:C57"/>
    <mergeCell ref="A58:C58"/>
    <mergeCell ref="A89:B89"/>
    <mergeCell ref="C89:H89"/>
    <mergeCell ref="A91:B91"/>
    <mergeCell ref="D57:H57"/>
    <mergeCell ref="E65:F74"/>
    <mergeCell ref="G65:H74"/>
    <mergeCell ref="A73:B73"/>
    <mergeCell ref="A74:B74"/>
    <mergeCell ref="A64:B64"/>
    <mergeCell ref="A67:B67"/>
    <mergeCell ref="A66:B66"/>
    <mergeCell ref="A68:B68"/>
    <mergeCell ref="E64:F64"/>
    <mergeCell ref="A79:B79"/>
    <mergeCell ref="A81:B81"/>
    <mergeCell ref="A82:B82"/>
    <mergeCell ref="C91:H91"/>
    <mergeCell ref="A72:B72"/>
    <mergeCell ref="A77:B77"/>
    <mergeCell ref="C77:H77"/>
    <mergeCell ref="A198:H198"/>
    <mergeCell ref="A179:B179"/>
    <mergeCell ref="A201:H204"/>
    <mergeCell ref="A200:B200"/>
    <mergeCell ref="E200:F200"/>
    <mergeCell ref="C200:D200"/>
    <mergeCell ref="G200:H200"/>
    <mergeCell ref="A55:C56"/>
    <mergeCell ref="D55:H55"/>
    <mergeCell ref="D56:H56"/>
    <mergeCell ref="A71:B71"/>
    <mergeCell ref="A111:E111"/>
    <mergeCell ref="A113:E113"/>
    <mergeCell ref="A106:H106"/>
    <mergeCell ref="D58:H58"/>
    <mergeCell ref="A60:C60"/>
    <mergeCell ref="D60:H60"/>
    <mergeCell ref="A65:B65"/>
    <mergeCell ref="G64:H64"/>
    <mergeCell ref="A63:B63"/>
    <mergeCell ref="A61:B61"/>
    <mergeCell ref="C61:H61"/>
    <mergeCell ref="A69:B69"/>
    <mergeCell ref="A59:C59"/>
    <mergeCell ref="A199:H199"/>
    <mergeCell ref="A197:H197"/>
    <mergeCell ref="A182:H182"/>
    <mergeCell ref="A193:H193"/>
    <mergeCell ref="A194:H194"/>
    <mergeCell ref="C122:D122"/>
    <mergeCell ref="E122:F122"/>
    <mergeCell ref="G122:H122"/>
    <mergeCell ref="A138:B138"/>
    <mergeCell ref="A133:H133"/>
    <mergeCell ref="E129:E130"/>
    <mergeCell ref="G129:H130"/>
    <mergeCell ref="B129:B130"/>
    <mergeCell ref="A129:A130"/>
    <mergeCell ref="A131:H131"/>
    <mergeCell ref="B189:H189"/>
    <mergeCell ref="B190:H190"/>
    <mergeCell ref="B183:H183"/>
    <mergeCell ref="A132:H132"/>
    <mergeCell ref="A125:B125"/>
    <mergeCell ref="A196:H196"/>
    <mergeCell ref="B192:H192"/>
    <mergeCell ref="B184:H184"/>
    <mergeCell ref="B185:H185"/>
    <mergeCell ref="A121:H121"/>
    <mergeCell ref="G120:H120"/>
    <mergeCell ref="C117:D117"/>
    <mergeCell ref="E120:F120"/>
    <mergeCell ref="E117:F117"/>
    <mergeCell ref="A117:B117"/>
    <mergeCell ref="A116:H116"/>
    <mergeCell ref="A114:E114"/>
    <mergeCell ref="G179:H179"/>
    <mergeCell ref="G124:H124"/>
    <mergeCell ref="G125:H125"/>
    <mergeCell ref="G166:H166"/>
    <mergeCell ref="A159:B159"/>
    <mergeCell ref="G175:H175"/>
    <mergeCell ref="A176:B176"/>
    <mergeCell ref="G176:H176"/>
    <mergeCell ref="A177:H177"/>
    <mergeCell ref="A178:B178"/>
    <mergeCell ref="G178:H178"/>
    <mergeCell ref="G147:H147"/>
    <mergeCell ref="A118:B118"/>
    <mergeCell ref="C118:D118"/>
    <mergeCell ref="E118:F118"/>
    <mergeCell ref="G118:H118"/>
    <mergeCell ref="B188:H188"/>
    <mergeCell ref="A195:H195"/>
    <mergeCell ref="A122:B122"/>
    <mergeCell ref="D152:D153"/>
    <mergeCell ref="E152:E153"/>
    <mergeCell ref="G152:H153"/>
    <mergeCell ref="C125:D125"/>
    <mergeCell ref="E125:F125"/>
    <mergeCell ref="A162:H162"/>
    <mergeCell ref="A134:B134"/>
    <mergeCell ref="B191:H191"/>
    <mergeCell ref="I183:O183"/>
    <mergeCell ref="A37:B37"/>
    <mergeCell ref="C37:H37"/>
    <mergeCell ref="A100:B100"/>
    <mergeCell ref="A101:B101"/>
    <mergeCell ref="A102:B102"/>
    <mergeCell ref="E40:H40"/>
    <mergeCell ref="A40:D40"/>
    <mergeCell ref="A75:B75"/>
    <mergeCell ref="C75:H75"/>
    <mergeCell ref="A70:B70"/>
    <mergeCell ref="A180:B180"/>
    <mergeCell ref="A157:B157"/>
    <mergeCell ref="G157:H157"/>
    <mergeCell ref="A158:B158"/>
    <mergeCell ref="G158:H158"/>
    <mergeCell ref="G159:H159"/>
    <mergeCell ref="A160:B160"/>
    <mergeCell ref="G160:H160"/>
    <mergeCell ref="A83:B83"/>
    <mergeCell ref="A84:B84"/>
    <mergeCell ref="A85:B85"/>
    <mergeCell ref="F107:H107"/>
    <mergeCell ref="A104:H104"/>
  </mergeCells>
  <hyperlinks>
    <hyperlink ref="C37" r:id="rId1"/>
  </hyperlinks>
  <printOptions horizontalCentered="1"/>
  <pageMargins left="0.39370078740157483" right="0.39370078740157483" top="0.86614173228346458" bottom="0.78740157480314965" header="0.19685039370078741" footer="0.19685039370078741"/>
  <pageSetup fitToHeight="0" orientation="portrait" r:id="rId2"/>
  <headerFooter>
    <oddHeader>&amp;C&amp;G</oddHeader>
    <oddFooter>&amp;L&amp;"Times New Roman,Bold"&amp;12Ref No: &amp;F&amp;C&amp;G&amp;R&amp;"Times New Roman,Bold"&amp;12                                                           &amp;P</oddFooter>
  </headerFooter>
  <rowBreaks count="4" manualBreakCount="4">
    <brk id="60" max="7" man="1"/>
    <brk id="88" max="7" man="1"/>
    <brk id="204" max="16383" man="1"/>
    <brk id="247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4"/>
  <sheetViews>
    <sheetView zoomScale="85" zoomScaleNormal="85" workbookViewId="0">
      <selection activeCell="A13" sqref="A13"/>
    </sheetView>
  </sheetViews>
  <sheetFormatPr defaultRowHeight="14.5" x14ac:dyDescent="0.35"/>
  <cols>
    <col min="1" max="1" width="23.7265625" bestFit="1" customWidth="1"/>
    <col min="2" max="2" width="13.54296875" customWidth="1"/>
    <col min="3" max="3" width="14.26953125" bestFit="1" customWidth="1"/>
    <col min="4" max="4" width="16.7265625" customWidth="1"/>
    <col min="5" max="5" width="20.1796875" customWidth="1"/>
    <col min="6" max="6" width="22" bestFit="1" customWidth="1"/>
    <col min="7" max="7" width="23.81640625" customWidth="1"/>
    <col min="8" max="8" width="15.1796875" customWidth="1"/>
    <col min="9" max="9" width="20" customWidth="1"/>
  </cols>
  <sheetData>
    <row r="1" spans="1:9" ht="19.5" x14ac:dyDescent="0.45">
      <c r="A1" s="223" t="s">
        <v>190</v>
      </c>
      <c r="B1" s="223"/>
      <c r="C1" s="223"/>
      <c r="D1" s="223"/>
      <c r="E1" s="223"/>
      <c r="F1" s="223"/>
      <c r="G1" s="223"/>
      <c r="H1" s="223"/>
      <c r="I1" s="223"/>
    </row>
    <row r="2" spans="1:9" ht="15" customHeight="1" x14ac:dyDescent="0.35">
      <c r="A2" s="221" t="s">
        <v>168</v>
      </c>
      <c r="B2" s="221"/>
      <c r="C2" s="221"/>
      <c r="D2" s="221"/>
      <c r="E2" s="221"/>
      <c r="F2" s="221"/>
      <c r="G2" s="221"/>
      <c r="H2" s="221"/>
      <c r="I2" s="221"/>
    </row>
    <row r="3" spans="1:9" x14ac:dyDescent="0.35">
      <c r="A3" s="39"/>
      <c r="B3" s="40" t="s">
        <v>169</v>
      </c>
      <c r="C3" s="40" t="s">
        <v>170</v>
      </c>
      <c r="D3" s="40" t="s">
        <v>171</v>
      </c>
      <c r="E3" s="40" t="s">
        <v>172</v>
      </c>
      <c r="F3" s="41" t="s">
        <v>173</v>
      </c>
      <c r="G3" s="41" t="s">
        <v>174</v>
      </c>
      <c r="H3" s="40" t="s">
        <v>175</v>
      </c>
      <c r="I3" s="42" t="s">
        <v>176</v>
      </c>
    </row>
    <row r="4" spans="1:9" x14ac:dyDescent="0.35">
      <c r="A4" s="25" t="s">
        <v>177</v>
      </c>
      <c r="B4" s="26">
        <v>0</v>
      </c>
      <c r="C4" s="26">
        <v>0</v>
      </c>
      <c r="D4" s="26">
        <v>20</v>
      </c>
      <c r="E4" s="26">
        <v>20</v>
      </c>
      <c r="F4" s="29">
        <v>20</v>
      </c>
      <c r="G4" s="30">
        <v>20</v>
      </c>
      <c r="H4" s="28">
        <v>0</v>
      </c>
      <c r="I4" s="28">
        <f t="shared" ref="I4:I11" si="0">G4/F4*E4</f>
        <v>20</v>
      </c>
    </row>
    <row r="5" spans="1:9" x14ac:dyDescent="0.35">
      <c r="A5" s="25" t="s">
        <v>55</v>
      </c>
      <c r="B5" s="26">
        <v>10</v>
      </c>
      <c r="C5" s="26">
        <v>10</v>
      </c>
      <c r="D5" s="26">
        <v>45</v>
      </c>
      <c r="E5" s="26">
        <v>25</v>
      </c>
      <c r="F5" s="31">
        <f>F4</f>
        <v>20</v>
      </c>
      <c r="G5" s="30">
        <v>20</v>
      </c>
      <c r="H5" s="28">
        <f t="shared" ref="H5:H11" si="1">G5/F5*C5</f>
        <v>10</v>
      </c>
      <c r="I5" s="28">
        <f t="shared" si="0"/>
        <v>25</v>
      </c>
    </row>
    <row r="6" spans="1:9" x14ac:dyDescent="0.35">
      <c r="A6" s="25" t="s">
        <v>178</v>
      </c>
      <c r="B6" s="26">
        <v>50</v>
      </c>
      <c r="C6" s="26">
        <v>40</v>
      </c>
      <c r="D6" s="26">
        <v>75</v>
      </c>
      <c r="E6" s="26">
        <v>30</v>
      </c>
      <c r="F6" s="31">
        <v>25</v>
      </c>
      <c r="G6" s="30">
        <v>25</v>
      </c>
      <c r="H6" s="28">
        <f t="shared" si="1"/>
        <v>40</v>
      </c>
      <c r="I6" s="28">
        <f t="shared" si="0"/>
        <v>30</v>
      </c>
    </row>
    <row r="7" spans="1:9" ht="26" x14ac:dyDescent="0.35">
      <c r="A7" s="43" t="s">
        <v>179</v>
      </c>
      <c r="B7" s="26">
        <v>65</v>
      </c>
      <c r="C7" s="26">
        <v>15</v>
      </c>
      <c r="D7" s="26">
        <v>85</v>
      </c>
      <c r="E7" s="26">
        <v>10</v>
      </c>
      <c r="F7" s="31">
        <f>F4</f>
        <v>20</v>
      </c>
      <c r="G7" s="30">
        <v>20</v>
      </c>
      <c r="H7" s="28">
        <f t="shared" si="1"/>
        <v>15</v>
      </c>
      <c r="I7" s="28">
        <f t="shared" si="0"/>
        <v>10</v>
      </c>
    </row>
    <row r="8" spans="1:9" x14ac:dyDescent="0.35">
      <c r="A8" s="25" t="s">
        <v>180</v>
      </c>
      <c r="B8" s="26">
        <v>75</v>
      </c>
      <c r="C8" s="26">
        <v>10</v>
      </c>
      <c r="D8" s="26">
        <v>90</v>
      </c>
      <c r="E8" s="26">
        <v>5</v>
      </c>
      <c r="F8" s="31">
        <f>F4</f>
        <v>20</v>
      </c>
      <c r="G8" s="30">
        <v>20</v>
      </c>
      <c r="H8" s="28">
        <f t="shared" si="1"/>
        <v>10</v>
      </c>
      <c r="I8" s="28">
        <f t="shared" si="0"/>
        <v>5</v>
      </c>
    </row>
    <row r="9" spans="1:9" ht="26" x14ac:dyDescent="0.35">
      <c r="A9" s="25" t="s">
        <v>181</v>
      </c>
      <c r="B9" s="26">
        <v>85</v>
      </c>
      <c r="C9" s="26">
        <v>10</v>
      </c>
      <c r="D9" s="26">
        <v>95</v>
      </c>
      <c r="E9" s="26">
        <v>5</v>
      </c>
      <c r="F9" s="31">
        <f>F5</f>
        <v>20</v>
      </c>
      <c r="G9" s="30">
        <v>20</v>
      </c>
      <c r="H9" s="28">
        <f t="shared" si="1"/>
        <v>10</v>
      </c>
      <c r="I9" s="28">
        <f t="shared" si="0"/>
        <v>5</v>
      </c>
    </row>
    <row r="10" spans="1:9" ht="26" x14ac:dyDescent="0.35">
      <c r="A10" s="43" t="s">
        <v>199</v>
      </c>
      <c r="B10" s="26">
        <v>95</v>
      </c>
      <c r="C10" s="26">
        <v>10</v>
      </c>
      <c r="D10" s="26">
        <v>95</v>
      </c>
      <c r="E10" s="26">
        <v>0</v>
      </c>
      <c r="F10" s="31">
        <f>F4</f>
        <v>20</v>
      </c>
      <c r="G10" s="30">
        <v>0</v>
      </c>
      <c r="H10" s="28">
        <f t="shared" si="1"/>
        <v>0</v>
      </c>
      <c r="I10" s="28">
        <f t="shared" si="0"/>
        <v>0</v>
      </c>
    </row>
    <row r="11" spans="1:9" x14ac:dyDescent="0.35">
      <c r="A11" s="25" t="s">
        <v>183</v>
      </c>
      <c r="B11" s="26">
        <v>100</v>
      </c>
      <c r="C11" s="26">
        <v>5</v>
      </c>
      <c r="D11" s="26">
        <v>100</v>
      </c>
      <c r="E11" s="26">
        <v>5</v>
      </c>
      <c r="F11" s="31">
        <f>F4</f>
        <v>20</v>
      </c>
      <c r="G11" s="30">
        <v>0</v>
      </c>
      <c r="H11" s="28">
        <f t="shared" si="1"/>
        <v>0</v>
      </c>
      <c r="I11" s="28">
        <f t="shared" si="0"/>
        <v>0</v>
      </c>
    </row>
    <row r="12" spans="1:9" x14ac:dyDescent="0.35">
      <c r="A12" s="32"/>
      <c r="B12" s="32"/>
      <c r="C12" s="32">
        <f>SUM(C4:C11)</f>
        <v>100</v>
      </c>
      <c r="D12" s="32"/>
      <c r="E12" s="32">
        <f>SUM(E4:E11)</f>
        <v>100</v>
      </c>
      <c r="F12" s="32"/>
      <c r="G12" s="33" t="s">
        <v>184</v>
      </c>
      <c r="H12" s="34">
        <f>SUM(H4:H11)</f>
        <v>85</v>
      </c>
      <c r="I12" s="34">
        <f>SUM(I4:I11)</f>
        <v>95</v>
      </c>
    </row>
    <row r="14" spans="1:9" ht="19.5" x14ac:dyDescent="0.45">
      <c r="A14" s="224" t="s">
        <v>191</v>
      </c>
      <c r="B14" s="225"/>
      <c r="C14" s="225"/>
      <c r="D14" s="225"/>
      <c r="E14" s="225"/>
      <c r="F14" s="225"/>
      <c r="G14" s="225"/>
      <c r="H14" s="225"/>
      <c r="I14" s="226"/>
    </row>
    <row r="15" spans="1:9" x14ac:dyDescent="0.35">
      <c r="A15" s="222" t="s">
        <v>168</v>
      </c>
      <c r="B15" s="222"/>
      <c r="C15" s="222"/>
      <c r="D15" s="222"/>
      <c r="E15" s="222"/>
      <c r="F15" s="222"/>
      <c r="G15" s="222"/>
      <c r="H15" s="222"/>
      <c r="I15" s="222"/>
    </row>
    <row r="16" spans="1:9" x14ac:dyDescent="0.35">
      <c r="A16" s="25"/>
      <c r="B16" s="26" t="s">
        <v>169</v>
      </c>
      <c r="C16" s="26" t="s">
        <v>170</v>
      </c>
      <c r="D16" s="26" t="s">
        <v>171</v>
      </c>
      <c r="E16" s="26" t="s">
        <v>172</v>
      </c>
      <c r="F16" s="27" t="s">
        <v>173</v>
      </c>
      <c r="G16" s="27" t="s">
        <v>174</v>
      </c>
      <c r="H16" s="26" t="s">
        <v>175</v>
      </c>
      <c r="I16" s="28" t="s">
        <v>176</v>
      </c>
    </row>
    <row r="17" spans="1:9" x14ac:dyDescent="0.35">
      <c r="A17" s="25" t="s">
        <v>177</v>
      </c>
      <c r="B17" s="26">
        <v>0</v>
      </c>
      <c r="C17" s="26">
        <v>0</v>
      </c>
      <c r="D17" s="26">
        <v>20</v>
      </c>
      <c r="E17" s="26">
        <v>20</v>
      </c>
      <c r="F17" s="29">
        <v>30</v>
      </c>
      <c r="G17" s="30">
        <v>30</v>
      </c>
      <c r="H17" s="28">
        <v>0</v>
      </c>
      <c r="I17" s="28">
        <f t="shared" ref="I17:I26" si="2">G17/F17*E17</f>
        <v>20</v>
      </c>
    </row>
    <row r="18" spans="1:9" x14ac:dyDescent="0.35">
      <c r="A18" s="25" t="s">
        <v>55</v>
      </c>
      <c r="B18" s="26">
        <v>10</v>
      </c>
      <c r="C18" s="26">
        <v>10</v>
      </c>
      <c r="D18" s="38">
        <f>D17+I18</f>
        <v>45</v>
      </c>
      <c r="E18" s="26">
        <v>25</v>
      </c>
      <c r="F18" s="31">
        <f>F17</f>
        <v>30</v>
      </c>
      <c r="G18" s="30">
        <v>30</v>
      </c>
      <c r="H18" s="28">
        <f>G18/F18*C18</f>
        <v>10</v>
      </c>
      <c r="I18" s="28">
        <f t="shared" si="2"/>
        <v>25</v>
      </c>
    </row>
    <row r="19" spans="1:9" x14ac:dyDescent="0.35">
      <c r="A19" s="25" t="s">
        <v>178</v>
      </c>
      <c r="B19" s="38">
        <f>B18+H19</f>
        <v>50</v>
      </c>
      <c r="C19" s="26">
        <v>40</v>
      </c>
      <c r="D19" s="38">
        <f>D18+I19</f>
        <v>75</v>
      </c>
      <c r="E19" s="26">
        <v>30</v>
      </c>
      <c r="F19" s="31">
        <v>35</v>
      </c>
      <c r="G19" s="30">
        <v>35</v>
      </c>
      <c r="H19" s="28">
        <f>G19/F19*C19</f>
        <v>40</v>
      </c>
      <c r="I19" s="28">
        <f t="shared" si="2"/>
        <v>30</v>
      </c>
    </row>
    <row r="20" spans="1:9" x14ac:dyDescent="0.35">
      <c r="A20" s="43" t="s">
        <v>186</v>
      </c>
      <c r="B20" s="38">
        <f t="shared" ref="B20:B25" si="3">B19+H20</f>
        <v>57.5</v>
      </c>
      <c r="C20" s="26">
        <v>7.5</v>
      </c>
      <c r="D20" s="38">
        <f t="shared" ref="D20:D25" si="4">D19+I20</f>
        <v>80</v>
      </c>
      <c r="E20" s="26">
        <v>5</v>
      </c>
      <c r="F20" s="31">
        <f>F17</f>
        <v>30</v>
      </c>
      <c r="G20" s="30">
        <v>30</v>
      </c>
      <c r="H20" s="28">
        <f>G20/F20*7.5</f>
        <v>7.5</v>
      </c>
      <c r="I20" s="28">
        <f t="shared" si="2"/>
        <v>5</v>
      </c>
    </row>
    <row r="21" spans="1:9" x14ac:dyDescent="0.35">
      <c r="A21" s="43" t="s">
        <v>187</v>
      </c>
      <c r="B21" s="38">
        <f t="shared" si="3"/>
        <v>65</v>
      </c>
      <c r="C21" s="26">
        <v>7.5</v>
      </c>
      <c r="D21" s="38">
        <f t="shared" si="4"/>
        <v>85</v>
      </c>
      <c r="E21" s="26">
        <v>5</v>
      </c>
      <c r="F21" s="31">
        <f>F18</f>
        <v>30</v>
      </c>
      <c r="G21" s="30">
        <v>30</v>
      </c>
      <c r="H21" s="28">
        <f>G21/F21*C21</f>
        <v>7.5</v>
      </c>
      <c r="I21" s="28">
        <f>G21/F21*E21</f>
        <v>5</v>
      </c>
    </row>
    <row r="22" spans="1:9" ht="26" x14ac:dyDescent="0.35">
      <c r="A22" s="25" t="s">
        <v>181</v>
      </c>
      <c r="B22" s="38">
        <f t="shared" si="3"/>
        <v>75</v>
      </c>
      <c r="C22" s="26">
        <v>10</v>
      </c>
      <c r="D22" s="38">
        <f t="shared" si="4"/>
        <v>90</v>
      </c>
      <c r="E22" s="26">
        <v>5</v>
      </c>
      <c r="F22" s="31">
        <f>F17</f>
        <v>30</v>
      </c>
      <c r="G22" s="30">
        <v>30</v>
      </c>
      <c r="H22" s="28">
        <f>G22/F22*C22</f>
        <v>10</v>
      </c>
      <c r="I22" s="28">
        <f>G22/F22*E22</f>
        <v>5</v>
      </c>
    </row>
    <row r="23" spans="1:9" x14ac:dyDescent="0.35">
      <c r="A23" s="25" t="s">
        <v>180</v>
      </c>
      <c r="B23" s="38">
        <f t="shared" si="3"/>
        <v>85</v>
      </c>
      <c r="C23" s="26">
        <v>10</v>
      </c>
      <c r="D23" s="38">
        <f t="shared" si="4"/>
        <v>95</v>
      </c>
      <c r="E23" s="26">
        <v>5</v>
      </c>
      <c r="F23" s="31">
        <f>F17</f>
        <v>30</v>
      </c>
      <c r="G23" s="30">
        <v>30</v>
      </c>
      <c r="H23" s="28">
        <f>G23/F23*C23</f>
        <v>10</v>
      </c>
      <c r="I23" s="28">
        <f>G23/F23*E23</f>
        <v>5</v>
      </c>
    </row>
    <row r="24" spans="1:9" x14ac:dyDescent="0.35">
      <c r="A24" s="43" t="s">
        <v>188</v>
      </c>
      <c r="B24" s="38">
        <f t="shared" si="3"/>
        <v>90</v>
      </c>
      <c r="C24" s="26">
        <v>5</v>
      </c>
      <c r="D24" s="38">
        <f t="shared" si="4"/>
        <v>95</v>
      </c>
      <c r="E24" s="26">
        <v>0</v>
      </c>
      <c r="F24" s="31">
        <f>F18</f>
        <v>30</v>
      </c>
      <c r="G24" s="30">
        <v>30</v>
      </c>
      <c r="H24" s="28">
        <f t="shared" ref="H24:H26" si="5">G24/F24*C24</f>
        <v>5</v>
      </c>
      <c r="I24" s="28">
        <f t="shared" si="2"/>
        <v>0</v>
      </c>
    </row>
    <row r="25" spans="1:9" ht="26" x14ac:dyDescent="0.35">
      <c r="A25" s="43" t="s">
        <v>182</v>
      </c>
      <c r="B25" s="38">
        <f t="shared" si="3"/>
        <v>95</v>
      </c>
      <c r="C25" s="26">
        <v>5</v>
      </c>
      <c r="D25" s="38">
        <f t="shared" si="4"/>
        <v>95</v>
      </c>
      <c r="E25" s="26">
        <v>0</v>
      </c>
      <c r="F25" s="31">
        <f>F17</f>
        <v>30</v>
      </c>
      <c r="G25" s="30">
        <v>30</v>
      </c>
      <c r="H25" s="28">
        <f t="shared" si="5"/>
        <v>5</v>
      </c>
      <c r="I25" s="28">
        <f t="shared" si="2"/>
        <v>0</v>
      </c>
    </row>
    <row r="26" spans="1:9" x14ac:dyDescent="0.35">
      <c r="A26" s="25" t="s">
        <v>183</v>
      </c>
      <c r="B26" s="26">
        <v>100</v>
      </c>
      <c r="C26" s="26">
        <v>5</v>
      </c>
      <c r="D26" s="26">
        <v>100</v>
      </c>
      <c r="E26" s="26">
        <v>5</v>
      </c>
      <c r="F26" s="31">
        <f>F17</f>
        <v>30</v>
      </c>
      <c r="G26" s="30">
        <v>30</v>
      </c>
      <c r="H26" s="28">
        <f t="shared" si="5"/>
        <v>5</v>
      </c>
      <c r="I26" s="28">
        <f t="shared" si="2"/>
        <v>5</v>
      </c>
    </row>
    <row r="27" spans="1:9" x14ac:dyDescent="0.35">
      <c r="A27" s="32"/>
      <c r="B27" s="32"/>
      <c r="C27" s="32">
        <f>SUM(C17:C26)</f>
        <v>100</v>
      </c>
      <c r="D27" s="32"/>
      <c r="E27" s="32">
        <f>SUM(E17:E26)</f>
        <v>100</v>
      </c>
      <c r="F27" s="32"/>
      <c r="G27" s="33" t="s">
        <v>184</v>
      </c>
      <c r="H27" s="34">
        <f>SUM(H17:H26)</f>
        <v>100</v>
      </c>
      <c r="I27" s="34">
        <f>SUM(I17:I26)</f>
        <v>100</v>
      </c>
    </row>
    <row r="30" spans="1:9" hidden="1" x14ac:dyDescent="0.35">
      <c r="C30" s="44" t="s">
        <v>189</v>
      </c>
      <c r="D30" s="44"/>
    </row>
    <row r="31" spans="1:9" hidden="1" x14ac:dyDescent="0.35"/>
    <row r="32" spans="1:9" hidden="1" x14ac:dyDescent="0.35">
      <c r="A32" s="221" t="s">
        <v>168</v>
      </c>
      <c r="B32" s="221"/>
      <c r="C32" s="221"/>
      <c r="D32" s="221"/>
      <c r="E32" s="221"/>
      <c r="F32" s="221"/>
      <c r="G32" s="221"/>
      <c r="H32" s="221"/>
      <c r="I32" s="221"/>
    </row>
    <row r="33" spans="1:9" hidden="1" x14ac:dyDescent="0.35">
      <c r="A33" s="25"/>
      <c r="B33" s="26" t="s">
        <v>169</v>
      </c>
      <c r="C33" s="26" t="s">
        <v>170</v>
      </c>
      <c r="D33" s="26" t="s">
        <v>171</v>
      </c>
      <c r="E33" s="26" t="s">
        <v>172</v>
      </c>
      <c r="F33" s="27" t="s">
        <v>173</v>
      </c>
      <c r="G33" s="27" t="s">
        <v>174</v>
      </c>
      <c r="H33" s="26" t="s">
        <v>175</v>
      </c>
      <c r="I33" s="28" t="s">
        <v>176</v>
      </c>
    </row>
    <row r="34" spans="1:9" hidden="1" x14ac:dyDescent="0.35">
      <c r="A34" s="25" t="s">
        <v>177</v>
      </c>
      <c r="B34" s="26">
        <v>0</v>
      </c>
      <c r="C34" s="26">
        <v>0</v>
      </c>
      <c r="D34" s="26">
        <v>20</v>
      </c>
      <c r="E34" s="26">
        <v>20</v>
      </c>
      <c r="F34" s="29">
        <v>30</v>
      </c>
      <c r="G34" s="30">
        <v>30</v>
      </c>
      <c r="H34" s="28">
        <v>0</v>
      </c>
      <c r="I34" s="28">
        <f t="shared" ref="I34:I37" si="6">G34/F34*E34</f>
        <v>20</v>
      </c>
    </row>
    <row r="35" spans="1:9" hidden="1" x14ac:dyDescent="0.35">
      <c r="A35" s="25" t="s">
        <v>55</v>
      </c>
      <c r="B35" s="26">
        <v>10</v>
      </c>
      <c r="C35" s="26">
        <v>10</v>
      </c>
      <c r="D35" s="38">
        <f>D34+I35</f>
        <v>45</v>
      </c>
      <c r="E35" s="26">
        <v>25</v>
      </c>
      <c r="F35" s="31">
        <f>F34</f>
        <v>30</v>
      </c>
      <c r="G35" s="30">
        <v>30</v>
      </c>
      <c r="H35" s="28">
        <f>G35/F35*C35</f>
        <v>10</v>
      </c>
      <c r="I35" s="28">
        <f t="shared" si="6"/>
        <v>25</v>
      </c>
    </row>
    <row r="36" spans="1:9" hidden="1" x14ac:dyDescent="0.35">
      <c r="A36" s="25" t="s">
        <v>178</v>
      </c>
      <c r="B36" s="38">
        <f>B35+H36</f>
        <v>50</v>
      </c>
      <c r="C36" s="26">
        <v>40</v>
      </c>
      <c r="D36" s="38">
        <f>D35+I36</f>
        <v>75</v>
      </c>
      <c r="E36" s="26">
        <v>30</v>
      </c>
      <c r="F36" s="31">
        <v>35</v>
      </c>
      <c r="G36" s="30">
        <v>35</v>
      </c>
      <c r="H36" s="28">
        <f>G36/F36*C36</f>
        <v>40</v>
      </c>
      <c r="I36" s="28">
        <f t="shared" si="6"/>
        <v>30</v>
      </c>
    </row>
    <row r="37" spans="1:9" hidden="1" x14ac:dyDescent="0.35">
      <c r="A37" s="25" t="s">
        <v>186</v>
      </c>
      <c r="B37" s="38">
        <f t="shared" ref="B37:B42" si="7">B36+H37</f>
        <v>57.5</v>
      </c>
      <c r="C37" s="26">
        <v>10</v>
      </c>
      <c r="D37" s="38">
        <f t="shared" ref="D37:D42" si="8">D36+I37</f>
        <v>82.5</v>
      </c>
      <c r="E37" s="26">
        <v>7.5</v>
      </c>
      <c r="F37" s="31">
        <f>F34</f>
        <v>30</v>
      </c>
      <c r="G37" s="30">
        <v>30</v>
      </c>
      <c r="H37" s="28">
        <f>G37/F37*7.5</f>
        <v>7.5</v>
      </c>
      <c r="I37" s="28">
        <f t="shared" si="6"/>
        <v>7.5</v>
      </c>
    </row>
    <row r="38" spans="1:9" ht="26" hidden="1" x14ac:dyDescent="0.35">
      <c r="A38" s="25" t="s">
        <v>181</v>
      </c>
      <c r="B38" s="38">
        <f t="shared" si="7"/>
        <v>62.5</v>
      </c>
      <c r="C38" s="26">
        <v>5</v>
      </c>
      <c r="D38" s="38">
        <f t="shared" si="8"/>
        <v>85</v>
      </c>
      <c r="E38" s="26">
        <v>2.5</v>
      </c>
      <c r="F38" s="31">
        <f>F34</f>
        <v>30</v>
      </c>
      <c r="G38" s="30">
        <v>30</v>
      </c>
      <c r="H38" s="28">
        <f>G38/F38*C38</f>
        <v>5</v>
      </c>
      <c r="I38" s="28">
        <f>G38/F38*E38</f>
        <v>2.5</v>
      </c>
    </row>
    <row r="39" spans="1:9" hidden="1" x14ac:dyDescent="0.35">
      <c r="A39" s="25" t="s">
        <v>187</v>
      </c>
      <c r="B39" s="38">
        <f t="shared" si="7"/>
        <v>67.5</v>
      </c>
      <c r="C39" s="26">
        <v>5</v>
      </c>
      <c r="D39" s="38">
        <f t="shared" si="8"/>
        <v>87.5</v>
      </c>
      <c r="E39" s="26">
        <v>2.5</v>
      </c>
      <c r="F39" s="31">
        <f>F35</f>
        <v>30</v>
      </c>
      <c r="G39" s="30">
        <v>30</v>
      </c>
      <c r="H39" s="28">
        <f t="shared" ref="H39" si="9">G39/F39*C39</f>
        <v>5</v>
      </c>
      <c r="I39" s="28">
        <f t="shared" ref="I39" si="10">G39/F39*E39</f>
        <v>2.5</v>
      </c>
    </row>
    <row r="40" spans="1:9" hidden="1" x14ac:dyDescent="0.35">
      <c r="A40" s="25" t="s">
        <v>180</v>
      </c>
      <c r="B40" s="38">
        <f t="shared" si="7"/>
        <v>77.5</v>
      </c>
      <c r="C40" s="26">
        <v>10</v>
      </c>
      <c r="D40" s="38">
        <f t="shared" si="8"/>
        <v>90</v>
      </c>
      <c r="E40" s="26">
        <v>2.5</v>
      </c>
      <c r="F40" s="31">
        <f>F34</f>
        <v>30</v>
      </c>
      <c r="G40" s="30">
        <v>30</v>
      </c>
      <c r="H40" s="28">
        <f>G40/F40*C40</f>
        <v>10</v>
      </c>
      <c r="I40" s="28">
        <f>G40/F40*E40</f>
        <v>2.5</v>
      </c>
    </row>
    <row r="41" spans="1:9" hidden="1" x14ac:dyDescent="0.35">
      <c r="A41" s="25" t="s">
        <v>188</v>
      </c>
      <c r="B41" s="38">
        <f t="shared" si="7"/>
        <v>87.5</v>
      </c>
      <c r="C41" s="26">
        <v>10</v>
      </c>
      <c r="D41" s="38">
        <f t="shared" si="8"/>
        <v>95</v>
      </c>
      <c r="E41" s="26">
        <v>5</v>
      </c>
      <c r="F41" s="31">
        <f>F35</f>
        <v>30</v>
      </c>
      <c r="G41" s="30">
        <v>30</v>
      </c>
      <c r="H41" s="28">
        <f t="shared" ref="H41:H43" si="11">G41/F41*C41</f>
        <v>10</v>
      </c>
      <c r="I41" s="28">
        <f t="shared" ref="I41:I43" si="12">G41/F41*E41</f>
        <v>5</v>
      </c>
    </row>
    <row r="42" spans="1:9" ht="26" hidden="1" x14ac:dyDescent="0.35">
      <c r="A42" s="25" t="s">
        <v>182</v>
      </c>
      <c r="B42" s="38">
        <f t="shared" si="7"/>
        <v>92.5</v>
      </c>
      <c r="C42" s="26">
        <v>5</v>
      </c>
      <c r="D42" s="38">
        <f t="shared" si="8"/>
        <v>97.5</v>
      </c>
      <c r="E42" s="26">
        <v>2.5</v>
      </c>
      <c r="F42" s="31">
        <f>F34</f>
        <v>30</v>
      </c>
      <c r="G42" s="30">
        <v>30</v>
      </c>
      <c r="H42" s="28">
        <f t="shared" si="11"/>
        <v>5</v>
      </c>
      <c r="I42" s="28">
        <f t="shared" si="12"/>
        <v>2.5</v>
      </c>
    </row>
    <row r="43" spans="1:9" hidden="1" x14ac:dyDescent="0.35">
      <c r="A43" s="25" t="s">
        <v>183</v>
      </c>
      <c r="B43" s="26">
        <v>100</v>
      </c>
      <c r="C43" s="26">
        <v>5</v>
      </c>
      <c r="D43" s="26">
        <v>100</v>
      </c>
      <c r="E43" s="26">
        <v>2.5</v>
      </c>
      <c r="F43" s="31">
        <f>F34</f>
        <v>30</v>
      </c>
      <c r="G43" s="30">
        <v>30</v>
      </c>
      <c r="H43" s="28">
        <f t="shared" si="11"/>
        <v>5</v>
      </c>
      <c r="I43" s="28">
        <f t="shared" si="12"/>
        <v>2.5</v>
      </c>
    </row>
    <row r="44" spans="1:9" hidden="1" x14ac:dyDescent="0.35">
      <c r="A44" s="32"/>
      <c r="B44" s="32"/>
      <c r="C44" s="32">
        <f>SUM(C34:C43)</f>
        <v>100</v>
      </c>
      <c r="D44" s="32"/>
      <c r="E44" s="32">
        <f>SUM(E34:E43)</f>
        <v>100</v>
      </c>
      <c r="F44" s="32"/>
      <c r="G44" s="33" t="s">
        <v>184</v>
      </c>
      <c r="H44" s="34">
        <f>SUM(H34:H43)</f>
        <v>97.5</v>
      </c>
      <c r="I44" s="34">
        <f>SUM(I34:I43)</f>
        <v>100</v>
      </c>
    </row>
  </sheetData>
  <mergeCells count="5">
    <mergeCell ref="A2:I2"/>
    <mergeCell ref="A15:I15"/>
    <mergeCell ref="A32:I32"/>
    <mergeCell ref="A1:I1"/>
    <mergeCell ref="A14:I14"/>
  </mergeCells>
  <pageMargins left="0.7" right="0.7" top="0.75" bottom="0.75" header="0.3" footer="0.3"/>
  <pageSetup paperSize="9" orientation="portrait" horizontalDpi="300" verticalDpi="0" copies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L36"/>
  <sheetViews>
    <sheetView topLeftCell="A7" workbookViewId="0">
      <selection activeCell="C21" sqref="C21:D25"/>
    </sheetView>
  </sheetViews>
  <sheetFormatPr defaultRowHeight="14.5" x14ac:dyDescent="0.35"/>
  <cols>
    <col min="2" max="2" width="12.26953125" customWidth="1"/>
  </cols>
  <sheetData>
    <row r="2" spans="1:12" x14ac:dyDescent="0.35">
      <c r="B2" s="1" t="s">
        <v>79</v>
      </c>
      <c r="C2" s="227"/>
      <c r="D2" s="227"/>
    </row>
    <row r="3" spans="1:12" x14ac:dyDescent="0.35">
      <c r="D3" s="2"/>
      <c r="E3" s="2"/>
      <c r="F3" s="2"/>
      <c r="G3" s="2"/>
      <c r="H3" s="2"/>
      <c r="I3" s="2"/>
    </row>
    <row r="4" spans="1:12" x14ac:dyDescent="0.35">
      <c r="A4" s="1" t="s">
        <v>80</v>
      </c>
      <c r="B4" s="3" t="s">
        <v>81</v>
      </c>
      <c r="C4" s="228" t="s">
        <v>82</v>
      </c>
      <c r="D4" s="228"/>
      <c r="E4" s="228"/>
      <c r="F4" s="4"/>
      <c r="G4" s="228" t="s">
        <v>83</v>
      </c>
      <c r="H4" s="228"/>
      <c r="I4" s="228"/>
      <c r="J4" s="228" t="s">
        <v>84</v>
      </c>
      <c r="K4" s="228"/>
      <c r="L4" s="228"/>
    </row>
    <row r="5" spans="1:12" x14ac:dyDescent="0.35">
      <c r="A5" s="1">
        <v>202</v>
      </c>
      <c r="B5" s="3"/>
      <c r="C5" s="3" t="s">
        <v>85</v>
      </c>
      <c r="D5" s="3" t="s">
        <v>86</v>
      </c>
      <c r="E5" s="3" t="s">
        <v>63</v>
      </c>
      <c r="F5" s="3"/>
      <c r="G5" s="3" t="s">
        <v>85</v>
      </c>
      <c r="H5" s="3" t="s">
        <v>86</v>
      </c>
      <c r="I5" s="3" t="s">
        <v>63</v>
      </c>
      <c r="J5" s="3" t="s">
        <v>85</v>
      </c>
      <c r="K5" s="3" t="s">
        <v>86</v>
      </c>
      <c r="L5" s="3" t="s">
        <v>63</v>
      </c>
    </row>
    <row r="6" spans="1:12" x14ac:dyDescent="0.35">
      <c r="B6" s="5" t="s">
        <v>87</v>
      </c>
      <c r="C6" s="5"/>
      <c r="D6" s="5"/>
      <c r="E6" s="5">
        <f>C6*D6</f>
        <v>0</v>
      </c>
      <c r="F6" s="5" t="s">
        <v>88</v>
      </c>
      <c r="G6" s="5"/>
      <c r="H6" s="5"/>
      <c r="I6" s="5">
        <f>G6*H6</f>
        <v>0</v>
      </c>
      <c r="J6" s="5"/>
      <c r="K6" s="5"/>
      <c r="L6" s="5">
        <f>J6*K6</f>
        <v>0</v>
      </c>
    </row>
    <row r="7" spans="1:12" x14ac:dyDescent="0.35">
      <c r="B7" s="5"/>
      <c r="C7" s="5"/>
      <c r="D7" s="5"/>
      <c r="E7" s="5">
        <f t="shared" ref="E7:E33" si="0">C7*D7</f>
        <v>0</v>
      </c>
      <c r="F7" s="5" t="s">
        <v>89</v>
      </c>
      <c r="G7" s="5"/>
      <c r="H7" s="5"/>
      <c r="I7" s="5">
        <f t="shared" ref="I7:I29" si="1">G7*H7</f>
        <v>0</v>
      </c>
      <c r="J7" s="5"/>
      <c r="K7" s="5"/>
      <c r="L7" s="5">
        <f t="shared" ref="L7:L29" si="2">J7*K7</f>
        <v>0</v>
      </c>
    </row>
    <row r="8" spans="1:12" x14ac:dyDescent="0.35">
      <c r="B8" s="5"/>
      <c r="C8" s="5"/>
      <c r="D8" s="5"/>
      <c r="E8" s="5">
        <f t="shared" si="0"/>
        <v>0</v>
      </c>
      <c r="F8" s="5"/>
      <c r="G8" s="5"/>
      <c r="H8" s="5"/>
      <c r="I8" s="5">
        <f t="shared" si="1"/>
        <v>0</v>
      </c>
      <c r="J8" s="5"/>
      <c r="K8" s="5"/>
      <c r="L8" s="5">
        <f t="shared" si="2"/>
        <v>0</v>
      </c>
    </row>
    <row r="9" spans="1:12" x14ac:dyDescent="0.35">
      <c r="B9" s="5" t="s">
        <v>90</v>
      </c>
      <c r="C9" s="5"/>
      <c r="D9" s="5"/>
      <c r="E9" s="5">
        <f t="shared" si="0"/>
        <v>0</v>
      </c>
      <c r="F9" s="5" t="s">
        <v>88</v>
      </c>
      <c r="G9" s="5"/>
      <c r="H9" s="5"/>
      <c r="I9" s="5">
        <f t="shared" si="1"/>
        <v>0</v>
      </c>
      <c r="J9" s="5"/>
      <c r="K9" s="5"/>
      <c r="L9" s="5">
        <f t="shared" si="2"/>
        <v>0</v>
      </c>
    </row>
    <row r="10" spans="1:12" x14ac:dyDescent="0.35">
      <c r="B10" s="5"/>
      <c r="C10" s="5"/>
      <c r="D10" s="5"/>
      <c r="E10" s="5">
        <f t="shared" si="0"/>
        <v>0</v>
      </c>
      <c r="F10" s="5" t="s">
        <v>89</v>
      </c>
      <c r="G10" s="5"/>
      <c r="H10" s="5"/>
      <c r="I10" s="5">
        <f t="shared" si="1"/>
        <v>0</v>
      </c>
      <c r="J10" s="5"/>
      <c r="K10" s="5"/>
      <c r="L10" s="5">
        <f t="shared" si="2"/>
        <v>0</v>
      </c>
    </row>
    <row r="11" spans="1:12" x14ac:dyDescent="0.35">
      <c r="B11" s="5"/>
      <c r="C11" s="5"/>
      <c r="D11" s="5"/>
      <c r="E11" s="5">
        <f t="shared" si="0"/>
        <v>0</v>
      </c>
      <c r="F11" s="5"/>
      <c r="G11" s="5"/>
      <c r="H11" s="5"/>
      <c r="I11" s="5">
        <f t="shared" si="1"/>
        <v>0</v>
      </c>
      <c r="J11" s="5"/>
      <c r="K11" s="5"/>
      <c r="L11" s="5">
        <f t="shared" si="2"/>
        <v>0</v>
      </c>
    </row>
    <row r="12" spans="1:12" x14ac:dyDescent="0.35">
      <c r="B12" s="5"/>
      <c r="C12" s="5"/>
      <c r="D12" s="5"/>
      <c r="E12" s="5">
        <f t="shared" si="0"/>
        <v>0</v>
      </c>
      <c r="F12" s="5"/>
      <c r="G12" s="5"/>
      <c r="H12" s="5"/>
      <c r="I12" s="5">
        <f t="shared" si="1"/>
        <v>0</v>
      </c>
      <c r="J12" s="5"/>
      <c r="K12" s="5"/>
      <c r="L12" s="5">
        <f t="shared" si="2"/>
        <v>0</v>
      </c>
    </row>
    <row r="13" spans="1:12" x14ac:dyDescent="0.35">
      <c r="B13" s="5" t="s">
        <v>91</v>
      </c>
      <c r="C13" s="5"/>
      <c r="D13" s="5"/>
      <c r="E13" s="5">
        <f t="shared" si="0"/>
        <v>0</v>
      </c>
      <c r="F13" s="5" t="s">
        <v>88</v>
      </c>
      <c r="G13" s="5"/>
      <c r="H13" s="5"/>
      <c r="I13" s="5">
        <f t="shared" si="1"/>
        <v>0</v>
      </c>
      <c r="J13" s="5"/>
      <c r="K13" s="5"/>
      <c r="L13" s="5">
        <f t="shared" si="2"/>
        <v>0</v>
      </c>
    </row>
    <row r="14" spans="1:12" x14ac:dyDescent="0.35">
      <c r="B14" s="5"/>
      <c r="C14" s="5"/>
      <c r="D14" s="5"/>
      <c r="E14" s="5">
        <f t="shared" si="0"/>
        <v>0</v>
      </c>
      <c r="F14" s="5" t="s">
        <v>89</v>
      </c>
      <c r="G14" s="5"/>
      <c r="H14" s="5"/>
      <c r="I14" s="5">
        <f t="shared" si="1"/>
        <v>0</v>
      </c>
      <c r="J14" s="5"/>
      <c r="K14" s="5"/>
      <c r="L14" s="5">
        <f t="shared" si="2"/>
        <v>0</v>
      </c>
    </row>
    <row r="15" spans="1:12" x14ac:dyDescent="0.35">
      <c r="B15" s="5"/>
      <c r="C15" s="5"/>
      <c r="D15" s="5"/>
      <c r="E15" s="5">
        <f t="shared" si="0"/>
        <v>0</v>
      </c>
      <c r="F15" s="5"/>
      <c r="G15" s="5"/>
      <c r="H15" s="5"/>
      <c r="I15" s="5">
        <f t="shared" si="1"/>
        <v>0</v>
      </c>
      <c r="J15" s="5"/>
      <c r="K15" s="5"/>
      <c r="L15" s="5">
        <f t="shared" si="2"/>
        <v>0</v>
      </c>
    </row>
    <row r="16" spans="1:12" x14ac:dyDescent="0.35">
      <c r="B16" s="5"/>
      <c r="C16" s="5"/>
      <c r="D16" s="5"/>
      <c r="E16" s="5">
        <f t="shared" si="0"/>
        <v>0</v>
      </c>
      <c r="F16" s="5"/>
      <c r="G16" s="5"/>
      <c r="H16" s="5"/>
      <c r="I16" s="5">
        <f t="shared" si="1"/>
        <v>0</v>
      </c>
      <c r="J16" s="5"/>
      <c r="K16" s="5"/>
      <c r="L16" s="5">
        <f t="shared" si="2"/>
        <v>0</v>
      </c>
    </row>
    <row r="17" spans="2:12" x14ac:dyDescent="0.35">
      <c r="B17" s="5" t="s">
        <v>92</v>
      </c>
      <c r="C17" s="5"/>
      <c r="D17" s="5"/>
      <c r="E17" s="5">
        <f t="shared" si="0"/>
        <v>0</v>
      </c>
      <c r="F17" s="5" t="s">
        <v>88</v>
      </c>
      <c r="G17" s="5"/>
      <c r="H17" s="5"/>
      <c r="I17" s="5">
        <f t="shared" si="1"/>
        <v>0</v>
      </c>
      <c r="J17" s="5"/>
      <c r="K17" s="5"/>
      <c r="L17" s="5">
        <f t="shared" si="2"/>
        <v>0</v>
      </c>
    </row>
    <row r="18" spans="2:12" x14ac:dyDescent="0.35">
      <c r="B18" s="5"/>
      <c r="C18" s="5"/>
      <c r="D18" s="5"/>
      <c r="E18" s="5">
        <f t="shared" si="0"/>
        <v>0</v>
      </c>
      <c r="F18" s="5" t="s">
        <v>89</v>
      </c>
      <c r="G18" s="5"/>
      <c r="H18" s="5"/>
      <c r="I18" s="5">
        <f t="shared" si="1"/>
        <v>0</v>
      </c>
      <c r="J18" s="5"/>
      <c r="K18" s="5"/>
      <c r="L18" s="5">
        <f t="shared" si="2"/>
        <v>0</v>
      </c>
    </row>
    <row r="19" spans="2:12" x14ac:dyDescent="0.35">
      <c r="B19" s="5"/>
      <c r="C19" s="5"/>
      <c r="D19" s="5"/>
      <c r="E19" s="5">
        <f t="shared" si="0"/>
        <v>0</v>
      </c>
      <c r="F19" s="5"/>
      <c r="G19" s="5"/>
      <c r="H19" s="5"/>
      <c r="I19" s="5">
        <f t="shared" si="1"/>
        <v>0</v>
      </c>
      <c r="J19" s="5"/>
      <c r="K19" s="5"/>
      <c r="L19" s="5">
        <f t="shared" si="2"/>
        <v>0</v>
      </c>
    </row>
    <row r="20" spans="2:12" x14ac:dyDescent="0.35">
      <c r="B20" s="5" t="s">
        <v>92</v>
      </c>
      <c r="C20" s="5"/>
      <c r="D20" s="5"/>
      <c r="E20" s="5">
        <f t="shared" si="0"/>
        <v>0</v>
      </c>
      <c r="F20" s="5" t="s">
        <v>88</v>
      </c>
      <c r="G20" s="5"/>
      <c r="H20" s="5"/>
      <c r="I20" s="5">
        <f t="shared" si="1"/>
        <v>0</v>
      </c>
      <c r="J20" s="5"/>
      <c r="K20" s="5"/>
      <c r="L20" s="5">
        <f t="shared" si="2"/>
        <v>0</v>
      </c>
    </row>
    <row r="21" spans="2:12" x14ac:dyDescent="0.35">
      <c r="B21" s="5"/>
      <c r="C21" s="5"/>
      <c r="D21" s="5"/>
      <c r="E21" s="5">
        <f t="shared" si="0"/>
        <v>0</v>
      </c>
      <c r="F21" s="5" t="s">
        <v>89</v>
      </c>
      <c r="G21" s="5"/>
      <c r="H21" s="5"/>
      <c r="I21" s="5">
        <f t="shared" si="1"/>
        <v>0</v>
      </c>
      <c r="J21" s="5"/>
      <c r="K21" s="5"/>
      <c r="L21" s="5">
        <f t="shared" si="2"/>
        <v>0</v>
      </c>
    </row>
    <row r="22" spans="2:12" x14ac:dyDescent="0.35">
      <c r="B22" s="5"/>
      <c r="C22" s="5"/>
      <c r="D22" s="5"/>
      <c r="E22" s="5">
        <f t="shared" si="0"/>
        <v>0</v>
      </c>
      <c r="F22" s="5"/>
      <c r="G22" s="5"/>
      <c r="H22" s="5"/>
      <c r="I22" s="5">
        <f t="shared" si="1"/>
        <v>0</v>
      </c>
      <c r="J22" s="5"/>
      <c r="K22" s="5"/>
      <c r="L22" s="5">
        <f t="shared" si="2"/>
        <v>0</v>
      </c>
    </row>
    <row r="23" spans="2:12" x14ac:dyDescent="0.35">
      <c r="B23" s="5" t="s">
        <v>93</v>
      </c>
      <c r="C23" s="5"/>
      <c r="D23" s="5"/>
      <c r="E23" s="5">
        <f t="shared" si="0"/>
        <v>0</v>
      </c>
      <c r="F23" s="5" t="s">
        <v>94</v>
      </c>
      <c r="G23" s="5"/>
      <c r="H23" s="5"/>
      <c r="I23" s="5">
        <f t="shared" si="1"/>
        <v>0</v>
      </c>
      <c r="J23" s="5"/>
      <c r="K23" s="5"/>
      <c r="L23" s="5">
        <f t="shared" si="2"/>
        <v>0</v>
      </c>
    </row>
    <row r="24" spans="2:12" x14ac:dyDescent="0.35">
      <c r="B24" s="5" t="s">
        <v>95</v>
      </c>
      <c r="C24" s="5"/>
      <c r="D24" s="5"/>
      <c r="E24" s="5">
        <f t="shared" si="0"/>
        <v>0</v>
      </c>
      <c r="F24" s="5" t="s">
        <v>94</v>
      </c>
      <c r="G24" s="5"/>
      <c r="H24" s="5"/>
      <c r="I24" s="5">
        <f t="shared" si="1"/>
        <v>0</v>
      </c>
      <c r="J24" s="5"/>
      <c r="K24" s="5"/>
      <c r="L24" s="5">
        <f t="shared" si="2"/>
        <v>0</v>
      </c>
    </row>
    <row r="25" spans="2:12" x14ac:dyDescent="0.35">
      <c r="B25" s="5" t="s">
        <v>96</v>
      </c>
      <c r="C25" s="5"/>
      <c r="D25" s="5"/>
      <c r="E25" s="5">
        <f t="shared" si="0"/>
        <v>0</v>
      </c>
      <c r="F25" s="5" t="s">
        <v>94</v>
      </c>
      <c r="G25" s="5"/>
      <c r="H25" s="5"/>
      <c r="I25" s="5">
        <f t="shared" si="1"/>
        <v>0</v>
      </c>
      <c r="J25" s="5"/>
      <c r="K25" s="5"/>
      <c r="L25" s="5">
        <f t="shared" si="2"/>
        <v>0</v>
      </c>
    </row>
    <row r="26" spans="2:12" x14ac:dyDescent="0.35">
      <c r="B26" s="5"/>
      <c r="C26" s="5"/>
      <c r="D26" s="5"/>
      <c r="E26" s="5">
        <f t="shared" si="0"/>
        <v>0</v>
      </c>
      <c r="F26" s="5"/>
      <c r="G26" s="5"/>
      <c r="H26" s="5"/>
      <c r="I26" s="5">
        <f t="shared" si="1"/>
        <v>0</v>
      </c>
      <c r="J26" s="5"/>
      <c r="K26" s="5"/>
      <c r="L26" s="5">
        <f t="shared" si="2"/>
        <v>0</v>
      </c>
    </row>
    <row r="27" spans="2:12" x14ac:dyDescent="0.35">
      <c r="B27" s="5" t="s">
        <v>97</v>
      </c>
      <c r="C27" s="5"/>
      <c r="D27" s="5"/>
      <c r="E27" s="5">
        <f t="shared" si="0"/>
        <v>0</v>
      </c>
      <c r="F27" s="5"/>
      <c r="G27" s="5"/>
      <c r="H27" s="5"/>
      <c r="I27" s="5">
        <f t="shared" si="1"/>
        <v>0</v>
      </c>
      <c r="J27" s="5"/>
      <c r="K27" s="5"/>
      <c r="L27" s="5">
        <f t="shared" si="2"/>
        <v>0</v>
      </c>
    </row>
    <row r="28" spans="2:12" x14ac:dyDescent="0.35">
      <c r="B28" s="5" t="s">
        <v>98</v>
      </c>
      <c r="C28" s="5"/>
      <c r="D28" s="5"/>
      <c r="E28" s="5">
        <f t="shared" si="0"/>
        <v>0</v>
      </c>
      <c r="F28" s="5"/>
      <c r="G28" s="5"/>
      <c r="H28" s="5"/>
      <c r="I28" s="5">
        <f t="shared" si="1"/>
        <v>0</v>
      </c>
      <c r="J28" s="5"/>
      <c r="K28" s="5"/>
      <c r="L28" s="5">
        <f t="shared" si="2"/>
        <v>0</v>
      </c>
    </row>
    <row r="29" spans="2:12" x14ac:dyDescent="0.35">
      <c r="B29" s="5" t="s">
        <v>99</v>
      </c>
      <c r="C29" s="5"/>
      <c r="D29" s="5"/>
      <c r="E29" s="5">
        <f t="shared" si="0"/>
        <v>0</v>
      </c>
      <c r="F29" s="5"/>
      <c r="G29" s="5"/>
      <c r="H29" s="5"/>
      <c r="I29" s="5">
        <f t="shared" si="1"/>
        <v>0</v>
      </c>
      <c r="J29" s="5"/>
      <c r="K29" s="5"/>
      <c r="L29" s="5">
        <f t="shared" si="2"/>
        <v>0</v>
      </c>
    </row>
    <row r="30" spans="2:12" x14ac:dyDescent="0.35">
      <c r="B30" s="5" t="s">
        <v>100</v>
      </c>
      <c r="C30" s="5"/>
      <c r="D30" s="5"/>
      <c r="E30" s="5">
        <f t="shared" si="0"/>
        <v>0</v>
      </c>
      <c r="F30" s="5"/>
      <c r="G30" s="5"/>
      <c r="H30" s="5"/>
      <c r="I30" s="5">
        <f>G30*H30</f>
        <v>0</v>
      </c>
      <c r="J30" s="5"/>
      <c r="K30" s="5"/>
      <c r="L30" s="5">
        <f>J30*K30</f>
        <v>0</v>
      </c>
    </row>
    <row r="31" spans="2:12" x14ac:dyDescent="0.35">
      <c r="B31" s="5"/>
      <c r="C31" s="5"/>
      <c r="D31" s="5"/>
      <c r="E31" s="5">
        <f t="shared" si="0"/>
        <v>0</v>
      </c>
      <c r="F31" s="5"/>
      <c r="G31" s="5"/>
      <c r="H31" s="5"/>
      <c r="I31" s="5">
        <f>G31*H31</f>
        <v>0</v>
      </c>
      <c r="J31" s="5"/>
      <c r="K31" s="5"/>
      <c r="L31" s="5">
        <f>J31*K31</f>
        <v>0</v>
      </c>
    </row>
    <row r="32" spans="2:12" x14ac:dyDescent="0.35">
      <c r="B32" s="5"/>
      <c r="C32" s="5"/>
      <c r="D32" s="5"/>
      <c r="E32" s="5">
        <f t="shared" si="0"/>
        <v>0</v>
      </c>
      <c r="F32" s="5"/>
      <c r="G32" s="5"/>
      <c r="H32" s="5"/>
      <c r="I32" s="5">
        <f>G32*H32</f>
        <v>0</v>
      </c>
      <c r="J32" s="5"/>
      <c r="K32" s="5"/>
      <c r="L32" s="5">
        <f>J32*K32</f>
        <v>0</v>
      </c>
    </row>
    <row r="33" spans="2:12" x14ac:dyDescent="0.35">
      <c r="B33" s="5"/>
      <c r="C33" s="5"/>
      <c r="D33" s="5"/>
      <c r="E33" s="5">
        <f t="shared" si="0"/>
        <v>0</v>
      </c>
      <c r="F33" s="5"/>
      <c r="G33" s="5"/>
      <c r="H33" s="5"/>
      <c r="I33" s="5">
        <f>G33*H33</f>
        <v>0</v>
      </c>
      <c r="J33" s="5"/>
      <c r="K33" s="5"/>
      <c r="L33" s="5">
        <f>J33*K33</f>
        <v>0</v>
      </c>
    </row>
    <row r="34" spans="2:12" x14ac:dyDescent="0.35">
      <c r="B34" s="5" t="s">
        <v>64</v>
      </c>
      <c r="C34" s="5"/>
      <c r="D34" s="5">
        <f>E34*10.764</f>
        <v>0</v>
      </c>
      <c r="E34" s="5">
        <f>SUM(E6:E33)</f>
        <v>0</v>
      </c>
      <c r="F34" s="5"/>
      <c r="G34" s="5"/>
      <c r="H34" s="5">
        <f>I34*10.764</f>
        <v>0</v>
      </c>
      <c r="I34" s="5">
        <f>SUM(I6:I33)</f>
        <v>0</v>
      </c>
      <c r="J34" s="5"/>
      <c r="K34" s="5">
        <f>L34*10.764</f>
        <v>0</v>
      </c>
      <c r="L34" s="5">
        <f>SUM(L6:L33)</f>
        <v>0</v>
      </c>
    </row>
    <row r="36" spans="2:12" x14ac:dyDescent="0.35">
      <c r="D36">
        <f>D34+H34</f>
        <v>0</v>
      </c>
      <c r="E36">
        <f>E34+I34</f>
        <v>0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115" zoomScaleNormal="115" workbookViewId="0">
      <selection activeCell="D13" sqref="D13"/>
    </sheetView>
  </sheetViews>
  <sheetFormatPr defaultColWidth="8.7265625" defaultRowHeight="14.5" x14ac:dyDescent="0.35"/>
  <cols>
    <col min="1" max="1" width="8.7265625" style="10"/>
    <col min="2" max="2" width="22.1796875" style="10" customWidth="1"/>
    <col min="3" max="3" width="37" style="10" customWidth="1"/>
    <col min="4" max="5" width="11.453125" style="10" customWidth="1"/>
    <col min="6" max="6" width="14" style="10" customWidth="1"/>
    <col min="7" max="7" width="20" style="10" customWidth="1"/>
    <col min="8" max="8" width="16.453125" style="10" customWidth="1"/>
    <col min="9" max="16384" width="8.7265625" style="10"/>
  </cols>
  <sheetData>
    <row r="1" spans="1:9" ht="15" customHeight="1" x14ac:dyDescent="0.35">
      <c r="A1" s="9"/>
      <c r="B1" s="9"/>
      <c r="C1" s="9"/>
      <c r="D1" s="9"/>
      <c r="E1" s="9"/>
      <c r="F1" s="9"/>
      <c r="G1" s="9"/>
      <c r="H1" s="9"/>
    </row>
    <row r="2" spans="1:9" ht="15" customHeight="1" x14ac:dyDescent="0.35">
      <c r="A2" s="11"/>
      <c r="B2" s="11"/>
      <c r="C2" s="11"/>
      <c r="D2" s="11"/>
      <c r="E2" s="11"/>
      <c r="F2" s="11"/>
      <c r="G2" s="11"/>
      <c r="H2" s="11"/>
    </row>
    <row r="3" spans="1:9" ht="15.75" customHeight="1" x14ac:dyDescent="0.35">
      <c r="A3" s="11"/>
      <c r="B3" s="229" t="s">
        <v>143</v>
      </c>
      <c r="C3" s="229"/>
      <c r="D3" s="229"/>
      <c r="E3" s="229"/>
      <c r="F3" s="229"/>
      <c r="G3" s="229"/>
      <c r="H3" s="229"/>
    </row>
    <row r="4" spans="1:9" x14ac:dyDescent="0.35">
      <c r="A4" s="11"/>
      <c r="B4" s="12" t="s">
        <v>144</v>
      </c>
      <c r="C4" s="12" t="s">
        <v>145</v>
      </c>
      <c r="D4" s="12" t="s">
        <v>80</v>
      </c>
      <c r="E4" s="12" t="s">
        <v>146</v>
      </c>
      <c r="F4" s="12" t="s">
        <v>153</v>
      </c>
      <c r="G4" s="12" t="s">
        <v>154</v>
      </c>
      <c r="H4" s="12" t="s">
        <v>147</v>
      </c>
    </row>
    <row r="5" spans="1:9" ht="15" customHeight="1" x14ac:dyDescent="0.35">
      <c r="A5" s="11"/>
      <c r="B5" s="14" t="s">
        <v>148</v>
      </c>
      <c r="C5" s="15"/>
      <c r="D5" s="14" t="s">
        <v>149</v>
      </c>
      <c r="E5" s="14">
        <v>1106</v>
      </c>
      <c r="F5" s="16">
        <f>E5*1.6</f>
        <v>1769.6000000000001</v>
      </c>
      <c r="G5" s="16">
        <f>H5/F5</f>
        <v>31532.549728752259</v>
      </c>
      <c r="H5" s="17">
        <v>55800000</v>
      </c>
    </row>
    <row r="6" spans="1:9" x14ac:dyDescent="0.35">
      <c r="A6" s="11"/>
      <c r="B6" s="14" t="s">
        <v>148</v>
      </c>
      <c r="C6" s="18"/>
      <c r="D6" s="14"/>
      <c r="E6" s="14"/>
      <c r="F6" s="16">
        <f t="shared" ref="F6:F11" si="0">E6*1.6</f>
        <v>0</v>
      </c>
      <c r="G6" s="16" t="e">
        <f t="shared" ref="G6:G11" si="1">H6/F6</f>
        <v>#DIV/0!</v>
      </c>
      <c r="H6" s="17"/>
    </row>
    <row r="7" spans="1:9" ht="15" customHeight="1" x14ac:dyDescent="0.35">
      <c r="A7" s="11"/>
      <c r="B7" s="14" t="s">
        <v>148</v>
      </c>
      <c r="C7" s="15"/>
      <c r="D7" s="14"/>
      <c r="E7" s="14"/>
      <c r="F7" s="16">
        <f t="shared" si="0"/>
        <v>0</v>
      </c>
      <c r="G7" s="16" t="e">
        <f t="shared" si="1"/>
        <v>#DIV/0!</v>
      </c>
      <c r="H7" s="17"/>
    </row>
    <row r="8" spans="1:9" x14ac:dyDescent="0.35">
      <c r="A8" s="11"/>
      <c r="B8" s="14" t="s">
        <v>148</v>
      </c>
      <c r="C8" s="18"/>
      <c r="D8" s="14"/>
      <c r="E8" s="14"/>
      <c r="F8" s="16">
        <f t="shared" si="0"/>
        <v>0</v>
      </c>
      <c r="G8" s="16" t="e">
        <f t="shared" si="1"/>
        <v>#DIV/0!</v>
      </c>
      <c r="H8" s="17"/>
    </row>
    <row r="9" spans="1:9" ht="15" customHeight="1" x14ac:dyDescent="0.35">
      <c r="A9" s="11"/>
      <c r="B9" s="14" t="s">
        <v>148</v>
      </c>
      <c r="C9" s="18"/>
      <c r="D9" s="14"/>
      <c r="E9" s="14"/>
      <c r="F9" s="16">
        <f t="shared" si="0"/>
        <v>0</v>
      </c>
      <c r="G9" s="16" t="e">
        <f t="shared" si="1"/>
        <v>#DIV/0!</v>
      </c>
      <c r="H9" s="17"/>
    </row>
    <row r="10" spans="1:9" ht="15" customHeight="1" x14ac:dyDescent="0.35">
      <c r="A10" s="11"/>
      <c r="B10" s="14" t="s">
        <v>150</v>
      </c>
      <c r="C10" s="15"/>
      <c r="D10" s="14"/>
      <c r="E10" s="14"/>
      <c r="F10" s="16">
        <f t="shared" si="0"/>
        <v>0</v>
      </c>
      <c r="G10" s="16" t="e">
        <f t="shared" si="1"/>
        <v>#DIV/0!</v>
      </c>
      <c r="H10" s="17"/>
    </row>
    <row r="11" spans="1:9" ht="15" customHeight="1" x14ac:dyDescent="0.35">
      <c r="A11" s="11"/>
      <c r="B11" s="14" t="s">
        <v>150</v>
      </c>
      <c r="C11" s="15"/>
      <c r="D11" s="14"/>
      <c r="E11" s="14"/>
      <c r="F11" s="16">
        <f t="shared" si="0"/>
        <v>0</v>
      </c>
      <c r="G11" s="16" t="e">
        <f t="shared" si="1"/>
        <v>#DIV/0!</v>
      </c>
      <c r="H11" s="17"/>
    </row>
    <row r="12" spans="1:9" ht="15" customHeight="1" x14ac:dyDescent="0.35">
      <c r="A12" s="11"/>
      <c r="B12" s="19" t="s">
        <v>151</v>
      </c>
      <c r="C12" s="14"/>
      <c r="D12" s="14"/>
      <c r="E12" s="14"/>
      <c r="F12" s="14"/>
      <c r="G12" s="20" t="e">
        <f>AVERAGE(G5:G11)</f>
        <v>#DIV/0!</v>
      </c>
      <c r="H12" s="14"/>
    </row>
    <row r="13" spans="1:9" ht="15" customHeight="1" x14ac:dyDescent="0.35">
      <c r="A13" s="9"/>
      <c r="B13" s="19" t="s">
        <v>152</v>
      </c>
      <c r="C13" s="21"/>
      <c r="D13" s="21"/>
      <c r="E13" s="21"/>
      <c r="F13" s="22"/>
      <c r="G13" s="19"/>
      <c r="H13" s="19"/>
      <c r="I13" s="13"/>
    </row>
    <row r="14" spans="1:9" ht="15" customHeight="1" x14ac:dyDescent="0.35">
      <c r="B14" s="9"/>
      <c r="C14" s="9"/>
      <c r="D14" s="9"/>
      <c r="E14" s="9"/>
    </row>
    <row r="15" spans="1:9" ht="15" customHeight="1" x14ac:dyDescent="0.35">
      <c r="B15" s="9"/>
      <c r="C15" s="9"/>
      <c r="D15" s="9"/>
      <c r="E15" s="9"/>
    </row>
    <row r="16" spans="1:9" ht="15" customHeight="1" x14ac:dyDescent="0.35">
      <c r="B16" s="9"/>
      <c r="C16" s="9"/>
      <c r="D16" s="9"/>
      <c r="E16" s="9"/>
    </row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>
      <selection activeCell="G16" sqref="G16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Report</vt:lpstr>
      <vt:lpstr>AXIS</vt:lpstr>
      <vt:lpstr>Flat detail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2025-07-14T14:55:30Z</cp:lastPrinted>
  <dcterms:created xsi:type="dcterms:W3CDTF">2019-07-16T09:29:46Z</dcterms:created>
  <dcterms:modified xsi:type="dcterms:W3CDTF">2025-07-14T14:56:15Z</dcterms:modified>
</cp:coreProperties>
</file>