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5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4" i="1" l="1"/>
  <c r="G143" i="1"/>
  <c r="D168" i="1"/>
  <c r="D169" i="1"/>
  <c r="D167" i="1"/>
  <c r="D165" i="1"/>
  <c r="D166" i="1"/>
  <c r="D164" i="1"/>
  <c r="D162" i="1"/>
  <c r="D163" i="1"/>
  <c r="D161" i="1"/>
  <c r="D158" i="1"/>
  <c r="D159" i="1"/>
  <c r="D160" i="1"/>
  <c r="D157" i="1"/>
  <c r="E157" i="1"/>
  <c r="E158" i="1"/>
  <c r="E159" i="1"/>
  <c r="E160" i="1"/>
  <c r="E161" i="1"/>
  <c r="E162" i="1"/>
  <c r="E163" i="1"/>
  <c r="E167" i="1"/>
  <c r="E168" i="1"/>
  <c r="E169" i="1"/>
  <c r="D156" i="1"/>
  <c r="E156" i="1"/>
  <c r="G156" i="1"/>
  <c r="I126" i="1"/>
  <c r="E116" i="1"/>
  <c r="C111" i="1"/>
  <c r="B112" i="1" s="1"/>
  <c r="E143" i="1" l="1"/>
  <c r="J117" i="1"/>
  <c r="D116" i="1" s="1"/>
  <c r="J115" i="1"/>
  <c r="J111" i="1"/>
  <c r="J113" i="1" s="1"/>
  <c r="D125" i="1"/>
  <c r="D123" i="1"/>
  <c r="D121" i="1"/>
  <c r="D119" i="1"/>
  <c r="D124" i="1"/>
  <c r="D122" i="1"/>
  <c r="D120" i="1"/>
  <c r="J116" i="1"/>
  <c r="J120" i="1"/>
  <c r="J118" i="1"/>
  <c r="J119" i="1" s="1"/>
  <c r="J124" i="1" s="1"/>
  <c r="J125" i="1" s="1"/>
  <c r="J122" i="1"/>
  <c r="J121" i="1"/>
  <c r="J123" i="1"/>
  <c r="J126" i="1" s="1"/>
  <c r="D212" i="1"/>
  <c r="D202" i="1"/>
  <c r="D117" i="1" l="1"/>
  <c r="I112" i="1" s="1"/>
  <c r="I113" i="1" s="1"/>
  <c r="G116" i="1"/>
  <c r="J112" i="1"/>
  <c r="E180" i="1"/>
  <c r="E252" i="1"/>
  <c r="E251" i="1"/>
  <c r="I251" i="1"/>
  <c r="I219" i="1"/>
  <c r="I240" i="1"/>
  <c r="I241" i="1" s="1"/>
  <c r="I234" i="1"/>
  <c r="I235" i="1" s="1"/>
  <c r="I111" i="1" l="1"/>
  <c r="D176" i="1"/>
  <c r="I176" i="1"/>
  <c r="I178" i="1"/>
  <c r="I177" i="1"/>
  <c r="E176" i="1"/>
  <c r="C113" i="1" l="1"/>
  <c r="I114" i="1"/>
  <c r="E240" i="1"/>
  <c r="E219" i="1"/>
  <c r="D219" i="1"/>
  <c r="E274" i="1"/>
  <c r="D274" i="1"/>
  <c r="E273" i="1"/>
  <c r="D273" i="1"/>
  <c r="E272" i="1"/>
  <c r="D272" i="1"/>
  <c r="E271" i="1"/>
  <c r="D271" i="1"/>
  <c r="D270" i="1"/>
  <c r="F270" i="1" s="1"/>
  <c r="E260" i="1"/>
  <c r="D260" i="1"/>
  <c r="E259" i="1"/>
  <c r="D259" i="1"/>
  <c r="E258" i="1"/>
  <c r="D258" i="1"/>
  <c r="E257" i="1"/>
  <c r="D257" i="1"/>
  <c r="E255" i="1"/>
  <c r="D255" i="1"/>
  <c r="E267" i="1"/>
  <c r="D267" i="1"/>
  <c r="E266" i="1"/>
  <c r="D266" i="1"/>
  <c r="E265" i="1"/>
  <c r="D265" i="1"/>
  <c r="E264" i="1"/>
  <c r="D264" i="1"/>
  <c r="E263" i="1"/>
  <c r="D263" i="1"/>
  <c r="E253" i="1"/>
  <c r="D253" i="1"/>
  <c r="D252" i="1"/>
  <c r="D251" i="1"/>
  <c r="E250" i="1"/>
  <c r="D250" i="1"/>
  <c r="E249" i="1"/>
  <c r="D249" i="1"/>
  <c r="E243" i="1"/>
  <c r="D243" i="1"/>
  <c r="E242" i="1"/>
  <c r="D242" i="1"/>
  <c r="E241" i="1"/>
  <c r="D241" i="1"/>
  <c r="D240" i="1"/>
  <c r="D239" i="1"/>
  <c r="D236" i="1"/>
  <c r="E235" i="1"/>
  <c r="D235" i="1"/>
  <c r="E234" i="1"/>
  <c r="D234" i="1"/>
  <c r="E233" i="1"/>
  <c r="D233" i="1"/>
  <c r="E232" i="1"/>
  <c r="D232" i="1"/>
  <c r="E230" i="1"/>
  <c r="D230" i="1"/>
  <c r="E228" i="1"/>
  <c r="D228" i="1"/>
  <c r="E227" i="1"/>
  <c r="D227" i="1"/>
  <c r="E226" i="1"/>
  <c r="D226" i="1"/>
  <c r="E225" i="1"/>
  <c r="D225" i="1"/>
  <c r="E222" i="1"/>
  <c r="D222" i="1"/>
  <c r="E221" i="1"/>
  <c r="D221" i="1"/>
  <c r="E220" i="1"/>
  <c r="D220" i="1"/>
  <c r="E213" i="1"/>
  <c r="D213" i="1"/>
  <c r="E212" i="1"/>
  <c r="F212" i="1" s="1"/>
  <c r="E211" i="1"/>
  <c r="D211" i="1"/>
  <c r="F211" i="1" s="1"/>
  <c r="E210" i="1"/>
  <c r="D210" i="1"/>
  <c r="E209" i="1"/>
  <c r="D209" i="1"/>
  <c r="E208" i="1"/>
  <c r="D208" i="1"/>
  <c r="E207" i="1"/>
  <c r="D207" i="1"/>
  <c r="E206" i="1"/>
  <c r="D206" i="1"/>
  <c r="E203" i="1"/>
  <c r="D203" i="1"/>
  <c r="E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F176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4" i="1"/>
  <c r="D184" i="1"/>
  <c r="E183" i="1"/>
  <c r="D183" i="1"/>
  <c r="E182" i="1"/>
  <c r="D182" i="1"/>
  <c r="F182" i="1" s="1"/>
  <c r="E181" i="1"/>
  <c r="D181" i="1"/>
  <c r="D180" i="1"/>
  <c r="F180" i="1" s="1"/>
  <c r="E179" i="1"/>
  <c r="D179" i="1"/>
  <c r="E178" i="1"/>
  <c r="D178" i="1"/>
  <c r="E177" i="1"/>
  <c r="D177" i="1"/>
  <c r="F266" i="1" l="1"/>
  <c r="F184" i="1"/>
  <c r="F186" i="1"/>
  <c r="F206" i="1"/>
  <c r="F263" i="1"/>
  <c r="F264" i="1"/>
  <c r="F265" i="1"/>
  <c r="F273" i="1"/>
  <c r="F177" i="1"/>
  <c r="F181" i="1"/>
  <c r="F272" i="1"/>
  <c r="F210" i="1"/>
  <c r="F183" i="1"/>
  <c r="F178" i="1"/>
  <c r="F207" i="1"/>
  <c r="F179" i="1"/>
  <c r="F208" i="1"/>
  <c r="F271" i="1"/>
  <c r="F209" i="1"/>
  <c r="F213" i="1"/>
  <c r="F267" i="1"/>
  <c r="F274" i="1"/>
  <c r="F259" i="1" l="1"/>
  <c r="F258" i="1"/>
  <c r="F253" i="1"/>
  <c r="F251" i="1"/>
  <c r="F249" i="1"/>
  <c r="D248" i="1"/>
  <c r="F252" i="1"/>
  <c r="I45" i="1"/>
  <c r="G262" i="1"/>
  <c r="G269" i="1"/>
  <c r="F260" i="1"/>
  <c r="F257" i="1"/>
  <c r="D256" i="1"/>
  <c r="F256" i="1" s="1"/>
  <c r="F255" i="1"/>
  <c r="G255" i="1"/>
  <c r="F250" i="1"/>
  <c r="G248" i="1"/>
  <c r="F248" i="1" l="1"/>
  <c r="G148" i="1" s="1"/>
  <c r="C148" i="1"/>
  <c r="E148" i="1"/>
  <c r="B278" i="1"/>
  <c r="M242" i="1"/>
  <c r="M243" i="1"/>
  <c r="L235" i="1"/>
  <c r="L234" i="1"/>
  <c r="F243" i="1"/>
  <c r="F242" i="1"/>
  <c r="F241" i="1"/>
  <c r="F240" i="1"/>
  <c r="F239" i="1"/>
  <c r="F236" i="1"/>
  <c r="F235" i="1"/>
  <c r="F234" i="1"/>
  <c r="F233" i="1"/>
  <c r="F232" i="1"/>
  <c r="F230" i="1"/>
  <c r="D229" i="1"/>
  <c r="F229" i="1" s="1"/>
  <c r="F228" i="1"/>
  <c r="F227" i="1"/>
  <c r="F226" i="1"/>
  <c r="F225" i="1"/>
  <c r="F219" i="1"/>
  <c r="D218" i="1"/>
  <c r="L208" i="1"/>
  <c r="L207" i="1"/>
  <c r="L206" i="1"/>
  <c r="L205" i="1"/>
  <c r="G232" i="1"/>
  <c r="G239" i="1"/>
  <c r="G225" i="1"/>
  <c r="D223" i="1"/>
  <c r="F223" i="1" s="1"/>
  <c r="G206" i="1"/>
  <c r="F203" i="1"/>
  <c r="F202" i="1"/>
  <c r="F201" i="1"/>
  <c r="F200" i="1"/>
  <c r="F199" i="1"/>
  <c r="F198" i="1"/>
  <c r="F197" i="1"/>
  <c r="G196" i="1"/>
  <c r="F196" i="1"/>
  <c r="D194" i="1"/>
  <c r="E146" i="1" s="1"/>
  <c r="F193" i="1"/>
  <c r="F192" i="1"/>
  <c r="F191" i="1"/>
  <c r="F190" i="1"/>
  <c r="F189" i="1"/>
  <c r="F188" i="1"/>
  <c r="F187" i="1"/>
  <c r="M180" i="1"/>
  <c r="M179" i="1"/>
  <c r="M178" i="1"/>
  <c r="M177" i="1"/>
  <c r="M175" i="1"/>
  <c r="J194" i="1"/>
  <c r="J193" i="1"/>
  <c r="J192" i="1"/>
  <c r="J191" i="1"/>
  <c r="J190" i="1"/>
  <c r="J189" i="1"/>
  <c r="J188" i="1"/>
  <c r="J187" i="1"/>
  <c r="J186" i="1"/>
  <c r="G186" i="1"/>
  <c r="J184" i="1"/>
  <c r="J183" i="1"/>
  <c r="J182" i="1"/>
  <c r="J181" i="1"/>
  <c r="J180" i="1"/>
  <c r="J179" i="1"/>
  <c r="J178" i="1"/>
  <c r="J177" i="1"/>
  <c r="J176" i="1"/>
  <c r="E147" i="1" l="1"/>
  <c r="F218" i="1"/>
  <c r="F194" i="1"/>
  <c r="G146" i="1" s="1"/>
  <c r="C146" i="1"/>
  <c r="C147" i="1"/>
  <c r="G176" i="1"/>
  <c r="E149" i="1" l="1"/>
  <c r="C149" i="1"/>
  <c r="E43" i="1" l="1"/>
  <c r="E44" i="1" s="1"/>
  <c r="C15" i="1" l="1"/>
  <c r="E30" i="1" l="1"/>
  <c r="F140" i="1" l="1"/>
  <c r="B277" i="1" l="1"/>
  <c r="F222" i="1" l="1"/>
  <c r="F221" i="1"/>
  <c r="F220" i="1"/>
  <c r="G147" i="1" l="1"/>
  <c r="G149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00" i="1"/>
  <c r="G218" i="1"/>
  <c r="B84" i="1"/>
  <c r="C69" i="1"/>
  <c r="B70" i="1" s="1"/>
  <c r="G50" i="1"/>
  <c r="G52" i="1" s="1"/>
  <c r="C50" i="1"/>
  <c r="E27" i="1"/>
  <c r="E25" i="1"/>
  <c r="E3" i="1"/>
  <c r="H84" i="1"/>
  <c r="H70" i="1"/>
  <c r="J88" i="1" l="1"/>
  <c r="C87" i="1" s="1"/>
  <c r="D87" i="1" s="1"/>
  <c r="J86" i="1"/>
  <c r="J89" i="1"/>
  <c r="J83" i="1"/>
  <c r="J85" i="1" s="1"/>
  <c r="D91" i="1"/>
  <c r="D93" i="1"/>
  <c r="D96" i="1"/>
  <c r="D90" i="1"/>
  <c r="D94" i="1"/>
  <c r="D95" i="1"/>
  <c r="D92" i="1"/>
  <c r="J87" i="1"/>
  <c r="D82" i="1"/>
  <c r="D80" i="1"/>
  <c r="D79" i="1"/>
  <c r="D76" i="1"/>
  <c r="D78" i="1"/>
  <c r="J75" i="1"/>
  <c r="J76" i="1" s="1"/>
  <c r="J81" i="1" s="1"/>
  <c r="D81" i="1"/>
  <c r="J69" i="1"/>
  <c r="J71" i="1" s="1"/>
  <c r="D77" i="1"/>
  <c r="J73" i="1"/>
  <c r="J74" i="1"/>
  <c r="C73" i="1" s="1"/>
  <c r="J72" i="1"/>
  <c r="J91" i="1"/>
  <c r="J92" i="1" s="1"/>
  <c r="J93" i="1" s="1"/>
  <c r="J94" i="1" s="1"/>
  <c r="J77" i="1"/>
  <c r="J78" i="1" s="1"/>
  <c r="J79" i="1" s="1"/>
  <c r="J80" i="1" s="1"/>
  <c r="D89" i="1"/>
  <c r="D75" i="1"/>
  <c r="B98" i="1" l="1"/>
  <c r="J90" i="1"/>
  <c r="J95" i="1" s="1"/>
  <c r="J96" i="1" s="1"/>
  <c r="C88" i="1" s="1"/>
  <c r="D73" i="1"/>
  <c r="J82" i="1"/>
  <c r="H98" i="1"/>
  <c r="J102" i="1" l="1"/>
  <c r="C101" i="1" s="1"/>
  <c r="D101" i="1" s="1"/>
  <c r="J100" i="1"/>
  <c r="J97" i="1"/>
  <c r="J99" i="1" s="1"/>
  <c r="D110" i="1"/>
  <c r="D106" i="1"/>
  <c r="D104" i="1"/>
  <c r="D103" i="1"/>
  <c r="D109" i="1"/>
  <c r="D105" i="1"/>
  <c r="J101" i="1"/>
  <c r="D107" i="1"/>
  <c r="D108" i="1"/>
  <c r="J106" i="1"/>
  <c r="J105" i="1"/>
  <c r="J103" i="1"/>
  <c r="J104" i="1" s="1"/>
  <c r="J109" i="1" s="1"/>
  <c r="J110" i="1" s="1"/>
  <c r="J108" i="1"/>
  <c r="J107" i="1"/>
  <c r="C74" i="1"/>
  <c r="G73" i="1" s="1"/>
  <c r="D67" i="1" s="1"/>
  <c r="J84" i="1"/>
  <c r="E87" i="1"/>
  <c r="G87" i="1"/>
  <c r="D88" i="1"/>
  <c r="I84" i="1" s="1"/>
  <c r="I85" i="1" s="1"/>
  <c r="C102" i="1" l="1"/>
  <c r="E101" i="1" s="1"/>
  <c r="J114" i="1"/>
  <c r="E73" i="1"/>
  <c r="D74" i="1"/>
  <c r="I70" i="1" s="1"/>
  <c r="I71" i="1" s="1"/>
  <c r="J70" i="1"/>
  <c r="D68" i="1"/>
  <c r="F68" i="1"/>
  <c r="I83" i="1"/>
  <c r="C85" i="1" s="1"/>
  <c r="J98" i="1" l="1"/>
  <c r="G101" i="1"/>
  <c r="D102" i="1"/>
  <c r="I98" i="1" s="1"/>
  <c r="I99" i="1" s="1"/>
  <c r="I69" i="1"/>
  <c r="C71" i="1" s="1"/>
  <c r="I97" i="1" l="1"/>
  <c r="C99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</commentList>
</comments>
</file>

<file path=xl/sharedStrings.xml><?xml version="1.0" encoding="utf-8"?>
<sst xmlns="http://schemas.openxmlformats.org/spreadsheetml/2006/main" count="521" uniqueCount="259">
  <si>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</si>
  <si>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</si>
  <si>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</si>
  <si>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</si>
  <si>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</si>
  <si>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</si>
  <si>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</si>
  <si>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</si>
  <si>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</si>
  <si>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</si>
  <si>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</si>
  <si>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</si>
  <si>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</si>
  <si>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</si>
  <si>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</si>
  <si>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</si>
  <si>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</si>
  <si>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</si>
  <si>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</si>
  <si>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</si>
  <si>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</si>
  <si>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</si>
  <si>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</si>
  <si>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</si>
  <si>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</si>
  <si>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</si>
  <si>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</si>
  <si>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</si>
  <si>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</si>
  <si>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</si>
  <si>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</si>
  <si>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</si>
  <si>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</si>
  <si>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</si>
  <si>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</si>
  <si>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</si>
  <si>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</si>
  <si>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</si>
  <si>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</si>
  <si>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</si>
  <si>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</si>
  <si>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</si>
  <si>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</si>
  <si>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</si>
  <si>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</si>
  <si>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</si>
  <si>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</si>
  <si>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</si>
  <si>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</si>
  <si>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</si>
  <si>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</si>
  <si>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</si>
  <si>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</si>
  <si>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</si>
  <si>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</si>
  <si>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</si>
  <si>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</si>
  <si>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</si>
  <si>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</si>
  <si>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</si>
  <si>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</si>
  <si>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</si>
  <si>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</si>
  <si>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</si>
  <si>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</si>
  <si>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</si>
  <si>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</si>
  <si>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</si>
  <si>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</si>
  <si>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</si>
  <si>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</si>
  <si>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</si>
  <si>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</si>
  <si>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</si>
  <si>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</si>
  <si>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</si>
  <si>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</si>
  <si>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</si>
  <si>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</si>
  <si>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</si>
  <si>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</si>
  <si>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</si>
  <si>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</si>
  <si>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</si>
  <si>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</si>
  <si>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</si>
  <si>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</si>
  <si>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</si>
  <si>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</si>
  <si>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</si>
  <si>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</si>
  <si>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</si>
  <si>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</si>
  <si>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</si>
  <si>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</si>
  <si>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</si>
  <si>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</si>
  <si>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</si>
  <si>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</si>
  <si>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</si>
  <si>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</si>
  <si>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</si>
  <si>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</si>
  <si>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</si>
  <si>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</si>
  <si>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</si>
  <si>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</si>
  <si>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</si>
  <si>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</si>
  <si>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</si>
  <si>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</si>
  <si>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</si>
  <si>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</si>
  <si>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</si>
  <si>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</si>
  <si>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</si>
  <si>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</si>
  <si>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</si>
  <si>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</si>
  <si>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</si>
  <si>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</si>
  <si>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</si>
  <si>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</si>
  <si>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</si>
  <si>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</si>
  <si>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</si>
  <si>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</si>
  <si>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</si>
  <si>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</si>
  <si>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</si>
  <si>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</si>
  <si>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</si>
  <si>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</si>
  <si>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</si>
  <si>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</si>
  <si>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</si>
  <si>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</si>
  <si>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</si>
  <si>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</si>
  <si>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</si>
  <si>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</si>
  <si>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</si>
  <si>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</si>
  <si>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</si>
  <si>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</si>
  <si>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</si>
  <si>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</si>
  <si>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</si>
  <si>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</si>
  <si>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</si>
  <si>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</si>
  <si>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</si>
  <si>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</si>
  <si>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</si>
  <si>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</si>
  <si>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</si>
  <si>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</si>
  <si>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</si>
  <si>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</si>
  <si>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</si>
  <si>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</si>
  <si>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</si>
  <si>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>Commencement-CC No</t>
  </si>
  <si>
    <t>Axis Badlapur</t>
  </si>
  <si>
    <t>Mr. Ajay Dasi 8425877315</t>
  </si>
  <si>
    <t>Survey No</t>
  </si>
  <si>
    <t>Bhosale Nagar</t>
  </si>
  <si>
    <t>Shirgaon</t>
  </si>
  <si>
    <t>Thane</t>
  </si>
  <si>
    <t>Internal Road</t>
  </si>
  <si>
    <t>Open Plot</t>
  </si>
  <si>
    <t>Mohan Willows Phase 1</t>
  </si>
  <si>
    <t>12 M.W. Road</t>
  </si>
  <si>
    <t>K.B.N.P./NRV/B.P./9441-162/2017-2018</t>
  </si>
  <si>
    <t>As per RERA - 31/12/2027</t>
  </si>
  <si>
    <t xml:space="preserve">Details of Residential in Building   </t>
  </si>
  <si>
    <t xml:space="preserve">Wing G </t>
  </si>
  <si>
    <t>1BHK</t>
  </si>
  <si>
    <t>2BHK</t>
  </si>
  <si>
    <t>ODD T</t>
  </si>
  <si>
    <t>EVEN T</t>
  </si>
  <si>
    <t>Wing G</t>
  </si>
  <si>
    <t>2nd, 4th, 6th, 10th, 12th, 14th, 16th, 20th, 22th &amp; 24th Floor</t>
  </si>
  <si>
    <t>8th &amp; 18th Floor (Part Refuge area)</t>
  </si>
  <si>
    <t>Rufuge area</t>
  </si>
  <si>
    <t>13th &amp; 23rd Floor (Part Refuge area)</t>
  </si>
  <si>
    <t xml:space="preserve">Refuge area </t>
  </si>
  <si>
    <t>Wing H</t>
  </si>
  <si>
    <t>Wing I</t>
  </si>
  <si>
    <t xml:space="preserve">24th Floor Missing in Layout Plan </t>
  </si>
  <si>
    <t>Wing H Terrace area</t>
  </si>
  <si>
    <t>Wing I Terrace area</t>
  </si>
  <si>
    <t xml:space="preserve"> </t>
  </si>
  <si>
    <t>Badlapur East</t>
  </si>
  <si>
    <t>Approved Plans, CC, Sale Plans.</t>
  </si>
  <si>
    <t>Total  Project Land For Phase 1, 2 &amp; 3.</t>
  </si>
  <si>
    <t xml:space="preserve">Builtup Area for Phase 3 (Only For Wing G, H &amp; I). </t>
  </si>
  <si>
    <t>H &amp; I Wing = G + 1st to 24th Floor</t>
  </si>
  <si>
    <t>G Wing = G + 1st to 24th Floor</t>
  </si>
  <si>
    <t>24th floor of I wing missing in layout drawing.</t>
  </si>
  <si>
    <t xml:space="preserve">Valid Up to: </t>
  </si>
  <si>
    <t>19.150717,73.235993</t>
  </si>
  <si>
    <t>https://goo.gl/maps/Ywv6mjTQi3JqyY1g7</t>
  </si>
  <si>
    <t>S.No.65, H.No.2</t>
  </si>
  <si>
    <t>S.No. 40</t>
  </si>
  <si>
    <t>Vasant Springwood IVY &amp; MEPAL</t>
  </si>
  <si>
    <t>KBNP/NRV/BP/9441-162</t>
  </si>
  <si>
    <t xml:space="preserve">Wing G Terrace </t>
  </si>
  <si>
    <t>Residential Area Details : Flats</t>
  </si>
  <si>
    <t xml:space="preserve">*Measuremets of Balcony included in Attached Kitchen, S.Room area.* </t>
  </si>
  <si>
    <t>1st, 3rd, 5th, 7th, 9th, 11th, 15th, 17th, 19th &amp; 21th Floor For Residential</t>
  </si>
  <si>
    <t>1st, 3rd, 5th, 7th, 9th, 11th, 15th, 17th, 19th &amp; 21th Floor For residential</t>
  </si>
  <si>
    <t>Kulgaon Badlapur Nagarpalika Parishad</t>
  </si>
  <si>
    <t>Sudhir Bhosale</t>
  </si>
  <si>
    <t>64, S.No.65, H.No.1, S.No.66, S.No.67, H.No.1A&amp;1B</t>
  </si>
  <si>
    <t>Ambernath</t>
  </si>
  <si>
    <t>Flats - 486</t>
  </si>
  <si>
    <t>Swimming Pool, Gymnasium, Jogging Track, Game Center, Yoga Zone, Library, etc.</t>
  </si>
  <si>
    <t>Mohan Willows III</t>
  </si>
  <si>
    <t>Mohan Willows Phase II</t>
  </si>
  <si>
    <t xml:space="preserve">Name of the Project </t>
  </si>
  <si>
    <t>Ground Floor For Parking</t>
  </si>
  <si>
    <t>Total - 492 (Gr + 24)</t>
  </si>
  <si>
    <t>We considered Gross carpet area = Net carpet +  Balcony + A.P Area.</t>
  </si>
  <si>
    <t xml:space="preserve">Mohan Lifespaces Llp </t>
  </si>
  <si>
    <t>2.5KM from Badlapur Railway Station</t>
  </si>
  <si>
    <t>As per layout plan, Survey 64, S.No.65, H.No.1, S.No.66, S.No.67, H.No.1A&amp;1B consists of Wing A to J, A2 &amp; B2. Project Mohan Willows Phase III consists of Wings G, H &amp; I. The layout plan does not include survey No. bifercation for this project. Please check from your end in which survey no wing G, H, and I are located.</t>
  </si>
  <si>
    <t>2nd, 4th, 6th, 10th, 12th, 14th, 16th, 20th, 22nd &amp; 24th Floor</t>
  </si>
  <si>
    <t>H Wing = G + 1st to 24th Floor</t>
  </si>
  <si>
    <t>I Wing = G + 1st to 24th Floor</t>
  </si>
  <si>
    <t>Since the project has received first CC on 19/12/2017, Still project is under construction.</t>
  </si>
  <si>
    <t>Wing G, H &amp; I Phase III = P51700051132
Wing J = Not Registered on RERA.</t>
  </si>
  <si>
    <t>Wing G, H, I &amp; J</t>
  </si>
  <si>
    <t xml:space="preserve">Mohan Lifespaces LLP
</t>
  </si>
  <si>
    <t>G Wing = G + 1st to 24th Floor
H Wing = G + 1st to 24th Floor
I Wing = G + 1st to 24th Floor
J Wing = Ground Floor</t>
  </si>
  <si>
    <t>Wing G, H &amp; I  Stilt + 1st to 24th Floor
J Wing = Ground Floor</t>
  </si>
  <si>
    <t>J Wing = Ground Floor</t>
  </si>
  <si>
    <t xml:space="preserve">Progress % </t>
  </si>
  <si>
    <t xml:space="preserve">Approved Floor plan No.  
Wing G, H &amp; I </t>
  </si>
  <si>
    <t>Approved Floor plan No.  
Wing J</t>
  </si>
  <si>
    <t>KBNP/NRV/1513</t>
  </si>
  <si>
    <t>KBNP/NRV/1513/2022-2023
Approved upto : J Wing = Ground Floor Shops = 14</t>
  </si>
  <si>
    <t>Wing J</t>
  </si>
  <si>
    <t>Ground Floor For Commercial</t>
  </si>
  <si>
    <t>Loft  area</t>
  </si>
  <si>
    <t>Shop</t>
  </si>
  <si>
    <t>Builder Saleable area :</t>
  </si>
  <si>
    <t>Residential Area Details : Shop</t>
  </si>
  <si>
    <t>04 Buildings</t>
  </si>
  <si>
    <t xml:space="preserve">We have updated approved floor plan &amp; O.C of Wing J (on 26/10/2024).
</t>
  </si>
  <si>
    <t>rate 8500 to 12500 shop rushikesh index 2 30/10/2024</t>
  </si>
  <si>
    <t>Floor Rise Rate from 2nd Floor Per Sq. Ft.</t>
  </si>
  <si>
    <t>Development &amp; Club Charges</t>
  </si>
  <si>
    <t>Corpus Charges</t>
  </si>
  <si>
    <t xml:space="preserve">Recommended Rates/Other Charges of the Property have been revised on 30/10/2024 &amp; 13/12/2024.
</t>
  </si>
  <si>
    <t>Rate 4500 + FR 20 from 2nd Floor + (dev + club) = 250000 + Corpus 75000 + Maintainance 65000 13/12/2024
Bhargav Verbal and cost sheet</t>
  </si>
  <si>
    <t>Pooja Kawale</t>
  </si>
  <si>
    <t>60 Years After Completion</t>
  </si>
  <si>
    <t>Wing G, H &amp; I = Construction work is in process at the time of Visit. Internal photos was not allowed.
Wing J = All work Completed. OC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</si>
</sst>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"/>
  </numFmts>
  <fonts count="3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33333"/>
      <name val="Arial"/>
      <family val="2"/>
    </font>
    <font>
      <b/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6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/>
    </xf>
    <xf numFmtId="0" fontId="7" fillId="0" borderId="35" xfId="1" applyFont="1" applyBorder="1" applyAlignment="1">
      <alignment horizontal="center" vertical="center"/>
    </xf>
    <xf numFmtId="2" fontId="7" fillId="0" borderId="0" xfId="1" applyNumberFormat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0" fontId="7" fillId="0" borderId="0" xfId="1" applyFont="1" applyBorder="1" applyAlignment="1">
      <alignment horizontal="center" vertical="top"/>
    </xf>
    <xf numFmtId="2" fontId="7" fillId="0" borderId="9" xfId="1" applyNumberFormat="1" applyFont="1" applyBorder="1" applyAlignment="1">
      <alignment horizontal="center" vertical="top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top"/>
    </xf>
    <xf numFmtId="0" fontId="7" fillId="0" borderId="35" xfId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7" fillId="0" borderId="11" xfId="1" applyNumberFormat="1" applyFont="1" applyBorder="1" applyAlignment="1">
      <alignment horizontal="center" vertical="top"/>
    </xf>
    <xf numFmtId="0" fontId="7" fillId="0" borderId="1" xfId="1" applyFont="1" applyBorder="1" applyAlignment="1" applyProtection="1">
      <alignment horizontal="center" vertical="top"/>
      <protection locked="0"/>
    </xf>
    <xf numFmtId="0" fontId="15" fillId="0" borderId="24" xfId="1" applyFont="1" applyBorder="1" applyAlignment="1">
      <alignment vertical="top" wrapText="1"/>
    </xf>
    <xf numFmtId="0" fontId="15" fillId="0" borderId="0" xfId="1" applyFont="1" applyAlignment="1">
      <alignment vertical="top" wrapText="1"/>
    </xf>
    <xf numFmtId="2" fontId="6" fillId="0" borderId="0" xfId="1" applyNumberFormat="1" applyFont="1" applyBorder="1" applyAlignment="1" applyProtection="1">
      <alignment horizontal="center" vertical="center" wrapText="1"/>
      <protection locked="0"/>
    </xf>
    <xf numFmtId="2" fontId="12" fillId="0" borderId="0" xfId="1" applyNumberFormat="1" applyFont="1" applyBorder="1" applyAlignment="1" applyProtection="1">
      <alignment horizontal="center" vertical="center" wrapText="1"/>
      <protection locked="0"/>
    </xf>
    <xf numFmtId="0" fontId="10" fillId="0" borderId="0" xfId="1" applyFont="1"/>
    <xf numFmtId="0" fontId="12" fillId="0" borderId="0" xfId="1" applyFont="1" applyBorder="1" applyAlignment="1">
      <alignment horizont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wrapText="1"/>
    </xf>
    <xf numFmtId="0" fontId="30" fillId="0" borderId="0" xfId="0" applyFont="1" applyAlignment="1">
      <alignment wrapText="1"/>
    </xf>
    <xf numFmtId="2" fontId="7" fillId="0" borderId="0" xfId="1" applyNumberFormat="1" applyFont="1" applyBorder="1" applyAlignment="1">
      <alignment horizontal="center" vertical="center"/>
    </xf>
    <xf numFmtId="168" fontId="17" fillId="0" borderId="0" xfId="1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36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0" fontId="7" fillId="0" borderId="38" xfId="1" applyFont="1" applyBorder="1" applyAlignment="1">
      <alignment horizont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0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31" fillId="0" borderId="0" xfId="0" applyFont="1"/>
    <xf numFmtId="0" fontId="7" fillId="2" borderId="0" xfId="1" applyFont="1" applyFill="1"/>
    <xf numFmtId="0" fontId="7" fillId="2" borderId="0" xfId="0" applyFont="1" applyFill="1" applyAlignment="1">
      <alignment horizontal="center" vertical="center"/>
    </xf>
    <xf numFmtId="0" fontId="7" fillId="0" borderId="0" xfId="1" applyFont="1" applyAlignme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33" xfId="1" applyNumberFormat="1" applyFont="1" applyBorder="1" applyAlignment="1" applyProtection="1">
      <alignment horizontal="center" vertical="center" wrapText="1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>
      <alignment horizontal="left"/>
    </xf>
    <xf numFmtId="0" fontId="12" fillId="0" borderId="20" xfId="1" applyFont="1" applyBorder="1" applyAlignment="1">
      <alignment horizontal="left"/>
    </xf>
    <xf numFmtId="0" fontId="12" fillId="0" borderId="8" xfId="1" applyFont="1" applyBorder="1" applyAlignment="1">
      <alignment horizontal="left"/>
    </xf>
    <xf numFmtId="0" fontId="6" fillId="0" borderId="1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7" fillId="0" borderId="0" xfId="1" applyFont="1" applyAlignment="1">
      <alignment horizontal="left"/>
    </xf>
    <xf numFmtId="0" fontId="15" fillId="0" borderId="0" xfId="1" applyFont="1" applyBorder="1" applyAlignment="1">
      <alignment horizontal="center" vertical="center" wrapText="1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13" xfId="1" applyFont="1" applyBorder="1" applyAlignment="1" applyProtection="1">
      <alignment horizontal="center" vertical="top"/>
      <protection locked="0"/>
    </xf>
    <xf numFmtId="0" fontId="13" fillId="0" borderId="22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7" xfId="1" applyNumberFormat="1" applyFont="1" applyBorder="1" applyAlignment="1" applyProtection="1">
      <alignment horizontal="center" vertical="center" wrapText="1"/>
      <protection locked="0"/>
    </xf>
    <xf numFmtId="0" fontId="13" fillId="0" borderId="39" xfId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360</xdr:row>
      <xdr:rowOff>137483</xdr:rowOff>
    </xdr:from>
    <xdr:to>
      <xdr:col>6</xdr:col>
      <xdr:colOff>4207</xdr:colOff>
      <xdr:row>378</xdr:row>
      <xdr:rowOff>137035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2550" y="59217331"/>
          <a:ext cx="3563244" cy="35776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590550</xdr:colOff>
      <xdr:row>342</xdr:row>
      <xdr:rowOff>28575</xdr:rowOff>
    </xdr:from>
    <xdr:to>
      <xdr:col>6</xdr:col>
      <xdr:colOff>4207</xdr:colOff>
      <xdr:row>360</xdr:row>
      <xdr:rowOff>28126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09700" y="57635775"/>
          <a:ext cx="387135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163239</xdr:colOff>
      <xdr:row>383</xdr:row>
      <xdr:rowOff>20036</xdr:rowOff>
    </xdr:from>
    <xdr:to>
      <xdr:col>6</xdr:col>
      <xdr:colOff>582452</xdr:colOff>
      <xdr:row>402</xdr:row>
      <xdr:rowOff>179560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260" y="67359815"/>
          <a:ext cx="4717944" cy="39537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77932</xdr:colOff>
      <xdr:row>170</xdr:row>
      <xdr:rowOff>173180</xdr:rowOff>
    </xdr:from>
    <xdr:to>
      <xdr:col>10</xdr:col>
      <xdr:colOff>343939</xdr:colOff>
      <xdr:row>172</xdr:row>
      <xdr:rowOff>96546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51023" y="23656635"/>
          <a:ext cx="2777143" cy="720000"/>
        </a:xfrm>
        <a:prstGeom prst="rect">
          <a:avLst/>
        </a:prstGeom>
      </xdr:spPr>
    </xdr:pic>
    <xdr:clientData/>
  </xdr:twoCellAnchor>
  <xdr:twoCellAnchor>
    <xdr:from>
      <xdr:col>3</xdr:col>
      <xdr:colOff>25978</xdr:colOff>
      <xdr:row>365</xdr:row>
      <xdr:rowOff>112568</xdr:rowOff>
    </xdr:from>
    <xdr:to>
      <xdr:col>3</xdr:col>
      <xdr:colOff>857250</xdr:colOff>
      <xdr:row>369</xdr:row>
      <xdr:rowOff>86591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433205" y="60301909"/>
          <a:ext cx="831272" cy="77065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25978</xdr:colOff>
      <xdr:row>369</xdr:row>
      <xdr:rowOff>138546</xdr:rowOff>
    </xdr:from>
    <xdr:to>
      <xdr:col>3</xdr:col>
      <xdr:colOff>701387</xdr:colOff>
      <xdr:row>373</xdr:row>
      <xdr:rowOff>17318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433205" y="61124523"/>
          <a:ext cx="675409" cy="67540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108238</xdr:colOff>
      <xdr:row>367</xdr:row>
      <xdr:rowOff>73602</xdr:rowOff>
    </xdr:from>
    <xdr:to>
      <xdr:col>4</xdr:col>
      <xdr:colOff>623455</xdr:colOff>
      <xdr:row>367</xdr:row>
      <xdr:rowOff>103909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3463636" y="60656932"/>
          <a:ext cx="515217" cy="30307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614795</xdr:colOff>
      <xdr:row>367</xdr:row>
      <xdr:rowOff>99579</xdr:rowOff>
    </xdr:from>
    <xdr:to>
      <xdr:col>4</xdr:col>
      <xdr:colOff>614796</xdr:colOff>
      <xdr:row>373</xdr:row>
      <xdr:rowOff>138546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3970193" y="60682909"/>
          <a:ext cx="1" cy="123392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744682</xdr:colOff>
      <xdr:row>373</xdr:row>
      <xdr:rowOff>112568</xdr:rowOff>
    </xdr:from>
    <xdr:to>
      <xdr:col>4</xdr:col>
      <xdr:colOff>614796</xdr:colOff>
      <xdr:row>373</xdr:row>
      <xdr:rowOff>129886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 flipV="1">
          <a:off x="3151909" y="61895182"/>
          <a:ext cx="813955" cy="1731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753341</xdr:colOff>
      <xdr:row>369</xdr:row>
      <xdr:rowOff>181842</xdr:rowOff>
    </xdr:from>
    <xdr:to>
      <xdr:col>3</xdr:col>
      <xdr:colOff>762000</xdr:colOff>
      <xdr:row>373</xdr:row>
      <xdr:rowOff>116898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3164898" y="61163490"/>
          <a:ext cx="8659" cy="73169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762000</xdr:colOff>
      <xdr:row>369</xdr:row>
      <xdr:rowOff>181841</xdr:rowOff>
    </xdr:from>
    <xdr:to>
      <xdr:col>4</xdr:col>
      <xdr:colOff>34637</xdr:colOff>
      <xdr:row>369</xdr:row>
      <xdr:rowOff>185057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3173186" y="61805870"/>
          <a:ext cx="214251" cy="321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21771</xdr:colOff>
      <xdr:row>367</xdr:row>
      <xdr:rowOff>70757</xdr:rowOff>
    </xdr:from>
    <xdr:to>
      <xdr:col>4</xdr:col>
      <xdr:colOff>108857</xdr:colOff>
      <xdr:row>369</xdr:row>
      <xdr:rowOff>185058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3374571" y="61292014"/>
          <a:ext cx="87086" cy="51707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366</xdr:row>
      <xdr:rowOff>28576</xdr:rowOff>
    </xdr:from>
    <xdr:to>
      <xdr:col>4</xdr:col>
      <xdr:colOff>619125</xdr:colOff>
      <xdr:row>367</xdr:row>
      <xdr:rowOff>38101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467100" y="60655201"/>
          <a:ext cx="50482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/>
            <a:t>Wing G</a:t>
          </a:r>
        </a:p>
      </xdr:txBody>
    </xdr:sp>
    <xdr:clientData/>
  </xdr:twoCellAnchor>
  <xdr:twoCellAnchor>
    <xdr:from>
      <xdr:col>3</xdr:col>
      <xdr:colOff>32658</xdr:colOff>
      <xdr:row>373</xdr:row>
      <xdr:rowOff>82049</xdr:rowOff>
    </xdr:from>
    <xdr:to>
      <xdr:col>3</xdr:col>
      <xdr:colOff>540204</xdr:colOff>
      <xdr:row>374</xdr:row>
      <xdr:rowOff>95656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441122" y="63123942"/>
          <a:ext cx="507546" cy="217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/>
            <a:t>Wing H</a:t>
          </a:r>
        </a:p>
      </xdr:txBody>
    </xdr:sp>
    <xdr:clientData/>
  </xdr:twoCellAnchor>
  <xdr:twoCellAnchor>
    <xdr:from>
      <xdr:col>3</xdr:col>
      <xdr:colOff>242681</xdr:colOff>
      <xdr:row>364</xdr:row>
      <xdr:rowOff>79505</xdr:rowOff>
    </xdr:from>
    <xdr:to>
      <xdr:col>3</xdr:col>
      <xdr:colOff>750227</xdr:colOff>
      <xdr:row>365</xdr:row>
      <xdr:rowOff>93111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52920" y="59954483"/>
          <a:ext cx="507546" cy="2123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/>
            <a:t>Wing I</a:t>
          </a:r>
        </a:p>
      </xdr:txBody>
    </xdr:sp>
    <xdr:clientData/>
  </xdr:twoCellAnchor>
  <xdr:twoCellAnchor>
    <xdr:from>
      <xdr:col>1</xdr:col>
      <xdr:colOff>131709</xdr:colOff>
      <xdr:row>403</xdr:row>
      <xdr:rowOff>69342</xdr:rowOff>
    </xdr:from>
    <xdr:to>
      <xdr:col>6</xdr:col>
      <xdr:colOff>525518</xdr:colOff>
      <xdr:row>421</xdr:row>
      <xdr:rowOff>181510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BD2872C-EEFB-407C-A726-EF3DC8489A8E}"/>
            </a:ext>
          </a:extLst>
        </xdr:cNvPr>
        <xdr:cNvGrpSpPr/>
      </xdr:nvGrpSpPr>
      <xdr:grpSpPr>
        <a:xfrm>
          <a:off x="931809" y="83622642"/>
          <a:ext cx="4756259" cy="3655468"/>
          <a:chOff x="1019833" y="71686831"/>
          <a:chExt cx="4692540" cy="3706706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19833" y="71686831"/>
            <a:ext cx="4692540" cy="370670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 rot="17921814">
            <a:off x="2948309" y="73114539"/>
            <a:ext cx="736408" cy="780612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 rot="1894266">
            <a:off x="2622839" y="72175562"/>
            <a:ext cx="488880" cy="1048177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 rot="1591962">
            <a:off x="3640352" y="73561431"/>
            <a:ext cx="1200528" cy="951037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 rot="2027557">
            <a:off x="2113322" y="73164110"/>
            <a:ext cx="670549" cy="24939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/>
              <a:t>Phase II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 rot="1753784">
            <a:off x="2601294" y="74040488"/>
            <a:ext cx="674734" cy="24631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/>
              <a:t>Phase III</a:t>
            </a:r>
          </a:p>
        </xdr:txBody>
      </xdr:sp>
    </xdr:grpSp>
    <xdr:clientData/>
  </xdr:twoCellAnchor>
  <xdr:twoCellAnchor>
    <xdr:from>
      <xdr:col>4</xdr:col>
      <xdr:colOff>129374</xdr:colOff>
      <xdr:row>418</xdr:row>
      <xdr:rowOff>111978</xdr:rowOff>
    </xdr:from>
    <xdr:to>
      <xdr:col>4</xdr:col>
      <xdr:colOff>736393</xdr:colOff>
      <xdr:row>419</xdr:row>
      <xdr:rowOff>159599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rot="1603582">
          <a:off x="3592533" y="74441137"/>
          <a:ext cx="607019" cy="2473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Phase I</a:t>
          </a:r>
        </a:p>
      </xdr:txBody>
    </xdr:sp>
    <xdr:clientData/>
  </xdr:twoCellAnchor>
  <xdr:oneCellAnchor>
    <xdr:from>
      <xdr:col>8</xdr:col>
      <xdr:colOff>354965</xdr:colOff>
      <xdr:row>304</xdr:row>
      <xdr:rowOff>165735</xdr:rowOff>
    </xdr:from>
    <xdr:ext cx="874470" cy="32829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212965" y="63183135"/>
          <a:ext cx="874470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</a:t>
          </a:r>
          <a:r>
            <a:rPr lang="en-IN" sz="16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G</a:t>
          </a:r>
        </a:p>
      </xdr:txBody>
    </xdr:sp>
    <xdr:clientData/>
  </xdr:oneCellAnchor>
  <xdr:twoCellAnchor>
    <xdr:from>
      <xdr:col>2</xdr:col>
      <xdr:colOff>809625</xdr:colOff>
      <xdr:row>360</xdr:row>
      <xdr:rowOff>123825</xdr:rowOff>
    </xdr:from>
    <xdr:to>
      <xdr:col>3</xdr:col>
      <xdr:colOff>247650</xdr:colOff>
      <xdr:row>364</xdr:row>
      <xdr:rowOff>95250</xdr:rowOff>
    </xdr:to>
    <xdr:sp macro="" textlink="">
      <xdr:nvSpPr>
        <xdr:cNvPr id="4" name="Rectangle 3"/>
        <xdr:cNvSpPr/>
      </xdr:nvSpPr>
      <xdr:spPr>
        <a:xfrm>
          <a:off x="2486025" y="74542650"/>
          <a:ext cx="352425" cy="7715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3</xdr:col>
      <xdr:colOff>155468</xdr:colOff>
      <xdr:row>360</xdr:row>
      <xdr:rowOff>197363</xdr:rowOff>
    </xdr:from>
    <xdr:to>
      <xdr:col>3</xdr:col>
      <xdr:colOff>649287</xdr:colOff>
      <xdr:row>365</xdr:row>
      <xdr:rowOff>154393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2514600" y="74847856"/>
          <a:ext cx="957155" cy="493819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306</xdr:row>
      <xdr:rowOff>0</xdr:rowOff>
    </xdr:from>
    <xdr:to>
      <xdr:col>9</xdr:col>
      <xdr:colOff>794705</xdr:colOff>
      <xdr:row>307</xdr:row>
      <xdr:rowOff>131445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534400" y="64458850"/>
          <a:ext cx="794705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6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</a:t>
          </a:r>
          <a:r>
            <a:rPr lang="en-IN" sz="1600" b="1" baseline="0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</a:t>
          </a:r>
        </a:p>
      </xdr:txBody>
    </xdr:sp>
    <xdr:clientData/>
  </xdr:twoCellAnchor>
  <xdr:twoCellAnchor>
    <xdr:from>
      <xdr:col>0</xdr:col>
      <xdr:colOff>88900</xdr:colOff>
      <xdr:row>300</xdr:row>
      <xdr:rowOff>82550</xdr:rowOff>
    </xdr:from>
    <xdr:to>
      <xdr:col>7</xdr:col>
      <xdr:colOff>622672</xdr:colOff>
      <xdr:row>337</xdr:row>
      <xdr:rowOff>94966</xdr:rowOff>
    </xdr:to>
    <xdr:grpSp>
      <xdr:nvGrpSpPr>
        <xdr:cNvPr id="5" name="Group 4"/>
        <xdr:cNvGrpSpPr/>
      </xdr:nvGrpSpPr>
      <xdr:grpSpPr>
        <a:xfrm>
          <a:off x="88900" y="63360300"/>
          <a:ext cx="6496422" cy="7295866"/>
          <a:chOff x="88900" y="63360300"/>
          <a:chExt cx="6496422" cy="7295866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4850" y="68496166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3952" y="66216233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35750" y="66216233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27598" y="63360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00" y="63360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08249" y="63360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4417" y="66216233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5213398" y="65252600"/>
            <a:ext cx="794705" cy="328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IN" sz="1600" b="1" baseline="0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I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841649" y="65227200"/>
            <a:ext cx="794705" cy="328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IN" sz="1600" b="1" baseline="0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</a:t>
            </a: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457200" y="65392300"/>
            <a:ext cx="794705" cy="3282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IN" sz="1600" b="1" baseline="0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145675</xdr:colOff>
      <xdr:row>14</xdr:row>
      <xdr:rowOff>179294</xdr:rowOff>
    </xdr:from>
    <xdr:to>
      <xdr:col>5</xdr:col>
      <xdr:colOff>235387</xdr:colOff>
      <xdr:row>24</xdr:row>
      <xdr:rowOff>74294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381" y="2857500"/>
          <a:ext cx="5558182" cy="18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268942</xdr:colOff>
      <xdr:row>2</xdr:row>
      <xdr:rowOff>33618</xdr:rowOff>
    </xdr:from>
    <xdr:to>
      <xdr:col>15</xdr:col>
      <xdr:colOff>463351</xdr:colOff>
      <xdr:row>11</xdr:row>
      <xdr:rowOff>107912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1883" y="414618"/>
          <a:ext cx="4273350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wv6mjTQi3JqyY1g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384"/>
  <sheetViews>
    <sheetView tabSelected="1" view="pageBreakPreview" zoomScaleNormal="100" zoomScaleSheetLayoutView="100" workbookViewId="0">
      <selection activeCell="E9" sqref="E9:H9"/>
    </sheetView>
  </sheetViews>
  <sheetFormatPr defaultColWidth="9.2695312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26953125" style="40" customWidth="1"/>
    <col min="5" max="6" width="11.7265625" style="40" customWidth="1"/>
    <col min="7" max="7" width="11.453125" style="40" customWidth="1"/>
    <col min="8" max="8" width="10.54296875" style="40" customWidth="1"/>
    <col min="9" max="9" width="26.269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7265625" style="21" customWidth="1"/>
    <col min="14" max="14" width="12.54296875" style="21" customWidth="1"/>
    <col min="15" max="15" width="9.7265625" style="21" customWidth="1"/>
    <col min="16" max="16" width="11.7265625" style="21" customWidth="1"/>
    <col min="17" max="247" width="9.26953125" style="21"/>
    <col min="248" max="248" width="8.7265625" style="21" customWidth="1"/>
    <col min="249" max="249" width="9.7265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7265625" style="21" customWidth="1"/>
    <col min="256" max="256" width="11.26953125" style="21" customWidth="1"/>
    <col min="257" max="257" width="2.7265625" style="21" customWidth="1"/>
    <col min="258" max="258" width="3.54296875" style="21" customWidth="1"/>
    <col min="259" max="503" width="9.26953125" style="21"/>
    <col min="504" max="504" width="8.7265625" style="21" customWidth="1"/>
    <col min="505" max="505" width="9.7265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7265625" style="21" customWidth="1"/>
    <col min="512" max="512" width="11.26953125" style="21" customWidth="1"/>
    <col min="513" max="513" width="2.7265625" style="21" customWidth="1"/>
    <col min="514" max="514" width="3.54296875" style="21" customWidth="1"/>
    <col min="515" max="759" width="9.26953125" style="21"/>
    <col min="760" max="760" width="8.7265625" style="21" customWidth="1"/>
    <col min="761" max="761" width="9.7265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7265625" style="21" customWidth="1"/>
    <col min="768" max="768" width="11.26953125" style="21" customWidth="1"/>
    <col min="769" max="769" width="2.7265625" style="21" customWidth="1"/>
    <col min="770" max="770" width="3.54296875" style="21" customWidth="1"/>
    <col min="771" max="1015" width="9.26953125" style="21"/>
    <col min="1016" max="1016" width="8.7265625" style="21" customWidth="1"/>
    <col min="1017" max="1017" width="9.7265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7265625" style="21" customWidth="1"/>
    <col min="1024" max="1024" width="11.26953125" style="21" customWidth="1"/>
    <col min="1025" max="1025" width="2.7265625" style="21" customWidth="1"/>
    <col min="1026" max="1026" width="3.54296875" style="21" customWidth="1"/>
    <col min="1027" max="1271" width="9.26953125" style="21"/>
    <col min="1272" max="1272" width="8.7265625" style="21" customWidth="1"/>
    <col min="1273" max="1273" width="9.7265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7265625" style="21" customWidth="1"/>
    <col min="1280" max="1280" width="11.26953125" style="21" customWidth="1"/>
    <col min="1281" max="1281" width="2.7265625" style="21" customWidth="1"/>
    <col min="1282" max="1282" width="3.54296875" style="21" customWidth="1"/>
    <col min="1283" max="1527" width="9.26953125" style="21"/>
    <col min="1528" max="1528" width="8.7265625" style="21" customWidth="1"/>
    <col min="1529" max="1529" width="9.7265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7265625" style="21" customWidth="1"/>
    <col min="1536" max="1536" width="11.26953125" style="21" customWidth="1"/>
    <col min="1537" max="1537" width="2.7265625" style="21" customWidth="1"/>
    <col min="1538" max="1538" width="3.54296875" style="21" customWidth="1"/>
    <col min="1539" max="1783" width="9.26953125" style="21"/>
    <col min="1784" max="1784" width="8.7265625" style="21" customWidth="1"/>
    <col min="1785" max="1785" width="9.7265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7265625" style="21" customWidth="1"/>
    <col min="1792" max="1792" width="11.26953125" style="21" customWidth="1"/>
    <col min="1793" max="1793" width="2.7265625" style="21" customWidth="1"/>
    <col min="1794" max="1794" width="3.54296875" style="21" customWidth="1"/>
    <col min="1795" max="2039" width="9.26953125" style="21"/>
    <col min="2040" max="2040" width="8.7265625" style="21" customWidth="1"/>
    <col min="2041" max="2041" width="9.7265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7265625" style="21" customWidth="1"/>
    <col min="2048" max="2048" width="11.26953125" style="21" customWidth="1"/>
    <col min="2049" max="2049" width="2.7265625" style="21" customWidth="1"/>
    <col min="2050" max="2050" width="3.54296875" style="21" customWidth="1"/>
    <col min="2051" max="2295" width="9.26953125" style="21"/>
    <col min="2296" max="2296" width="8.7265625" style="21" customWidth="1"/>
    <col min="2297" max="2297" width="9.7265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7265625" style="21" customWidth="1"/>
    <col min="2304" max="2304" width="11.26953125" style="21" customWidth="1"/>
    <col min="2305" max="2305" width="2.7265625" style="21" customWidth="1"/>
    <col min="2306" max="2306" width="3.54296875" style="21" customWidth="1"/>
    <col min="2307" max="2551" width="9.26953125" style="21"/>
    <col min="2552" max="2552" width="8.7265625" style="21" customWidth="1"/>
    <col min="2553" max="2553" width="9.7265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7265625" style="21" customWidth="1"/>
    <col min="2560" max="2560" width="11.26953125" style="21" customWidth="1"/>
    <col min="2561" max="2561" width="2.7265625" style="21" customWidth="1"/>
    <col min="2562" max="2562" width="3.54296875" style="21" customWidth="1"/>
    <col min="2563" max="2807" width="9.26953125" style="21"/>
    <col min="2808" max="2808" width="8.7265625" style="21" customWidth="1"/>
    <col min="2809" max="2809" width="9.7265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7265625" style="21" customWidth="1"/>
    <col min="2816" max="2816" width="11.26953125" style="21" customWidth="1"/>
    <col min="2817" max="2817" width="2.7265625" style="21" customWidth="1"/>
    <col min="2818" max="2818" width="3.54296875" style="21" customWidth="1"/>
    <col min="2819" max="3063" width="9.26953125" style="21"/>
    <col min="3064" max="3064" width="8.7265625" style="21" customWidth="1"/>
    <col min="3065" max="3065" width="9.7265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7265625" style="21" customWidth="1"/>
    <col min="3072" max="3072" width="11.26953125" style="21" customWidth="1"/>
    <col min="3073" max="3073" width="2.7265625" style="21" customWidth="1"/>
    <col min="3074" max="3074" width="3.54296875" style="21" customWidth="1"/>
    <col min="3075" max="3319" width="9.26953125" style="21"/>
    <col min="3320" max="3320" width="8.7265625" style="21" customWidth="1"/>
    <col min="3321" max="3321" width="9.7265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7265625" style="21" customWidth="1"/>
    <col min="3328" max="3328" width="11.26953125" style="21" customWidth="1"/>
    <col min="3329" max="3329" width="2.7265625" style="21" customWidth="1"/>
    <col min="3330" max="3330" width="3.54296875" style="21" customWidth="1"/>
    <col min="3331" max="3575" width="9.26953125" style="21"/>
    <col min="3576" max="3576" width="8.7265625" style="21" customWidth="1"/>
    <col min="3577" max="3577" width="9.7265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7265625" style="21" customWidth="1"/>
    <col min="3584" max="3584" width="11.26953125" style="21" customWidth="1"/>
    <col min="3585" max="3585" width="2.7265625" style="21" customWidth="1"/>
    <col min="3586" max="3586" width="3.54296875" style="21" customWidth="1"/>
    <col min="3587" max="3831" width="9.26953125" style="21"/>
    <col min="3832" max="3832" width="8.7265625" style="21" customWidth="1"/>
    <col min="3833" max="3833" width="9.7265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7265625" style="21" customWidth="1"/>
    <col min="3840" max="3840" width="11.26953125" style="21" customWidth="1"/>
    <col min="3841" max="3841" width="2.7265625" style="21" customWidth="1"/>
    <col min="3842" max="3842" width="3.54296875" style="21" customWidth="1"/>
    <col min="3843" max="4087" width="9.26953125" style="21"/>
    <col min="4088" max="4088" width="8.7265625" style="21" customWidth="1"/>
    <col min="4089" max="4089" width="9.7265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7265625" style="21" customWidth="1"/>
    <col min="4096" max="4096" width="11.26953125" style="21" customWidth="1"/>
    <col min="4097" max="4097" width="2.7265625" style="21" customWidth="1"/>
    <col min="4098" max="4098" width="3.54296875" style="21" customWidth="1"/>
    <col min="4099" max="4343" width="9.26953125" style="21"/>
    <col min="4344" max="4344" width="8.7265625" style="21" customWidth="1"/>
    <col min="4345" max="4345" width="9.7265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7265625" style="21" customWidth="1"/>
    <col min="4352" max="4352" width="11.26953125" style="21" customWidth="1"/>
    <col min="4353" max="4353" width="2.7265625" style="21" customWidth="1"/>
    <col min="4354" max="4354" width="3.54296875" style="21" customWidth="1"/>
    <col min="4355" max="4599" width="9.26953125" style="21"/>
    <col min="4600" max="4600" width="8.7265625" style="21" customWidth="1"/>
    <col min="4601" max="4601" width="9.7265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7265625" style="21" customWidth="1"/>
    <col min="4608" max="4608" width="11.26953125" style="21" customWidth="1"/>
    <col min="4609" max="4609" width="2.7265625" style="21" customWidth="1"/>
    <col min="4610" max="4610" width="3.54296875" style="21" customWidth="1"/>
    <col min="4611" max="4855" width="9.26953125" style="21"/>
    <col min="4856" max="4856" width="8.7265625" style="21" customWidth="1"/>
    <col min="4857" max="4857" width="9.7265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7265625" style="21" customWidth="1"/>
    <col min="4864" max="4864" width="11.26953125" style="21" customWidth="1"/>
    <col min="4865" max="4865" width="2.7265625" style="21" customWidth="1"/>
    <col min="4866" max="4866" width="3.54296875" style="21" customWidth="1"/>
    <col min="4867" max="5111" width="9.26953125" style="21"/>
    <col min="5112" max="5112" width="8.7265625" style="21" customWidth="1"/>
    <col min="5113" max="5113" width="9.7265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7265625" style="21" customWidth="1"/>
    <col min="5120" max="5120" width="11.26953125" style="21" customWidth="1"/>
    <col min="5121" max="5121" width="2.7265625" style="21" customWidth="1"/>
    <col min="5122" max="5122" width="3.54296875" style="21" customWidth="1"/>
    <col min="5123" max="5367" width="9.26953125" style="21"/>
    <col min="5368" max="5368" width="8.7265625" style="21" customWidth="1"/>
    <col min="5369" max="5369" width="9.7265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7265625" style="21" customWidth="1"/>
    <col min="5376" max="5376" width="11.26953125" style="21" customWidth="1"/>
    <col min="5377" max="5377" width="2.7265625" style="21" customWidth="1"/>
    <col min="5378" max="5378" width="3.54296875" style="21" customWidth="1"/>
    <col min="5379" max="5623" width="9.26953125" style="21"/>
    <col min="5624" max="5624" width="8.7265625" style="21" customWidth="1"/>
    <col min="5625" max="5625" width="9.7265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7265625" style="21" customWidth="1"/>
    <col min="5632" max="5632" width="11.26953125" style="21" customWidth="1"/>
    <col min="5633" max="5633" width="2.7265625" style="21" customWidth="1"/>
    <col min="5634" max="5634" width="3.54296875" style="21" customWidth="1"/>
    <col min="5635" max="5879" width="9.26953125" style="21"/>
    <col min="5880" max="5880" width="8.7265625" style="21" customWidth="1"/>
    <col min="5881" max="5881" width="9.7265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7265625" style="21" customWidth="1"/>
    <col min="5888" max="5888" width="11.26953125" style="21" customWidth="1"/>
    <col min="5889" max="5889" width="2.7265625" style="21" customWidth="1"/>
    <col min="5890" max="5890" width="3.54296875" style="21" customWidth="1"/>
    <col min="5891" max="6135" width="9.26953125" style="21"/>
    <col min="6136" max="6136" width="8.7265625" style="21" customWidth="1"/>
    <col min="6137" max="6137" width="9.7265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7265625" style="21" customWidth="1"/>
    <col min="6144" max="6144" width="11.26953125" style="21" customWidth="1"/>
    <col min="6145" max="6145" width="2.7265625" style="21" customWidth="1"/>
    <col min="6146" max="6146" width="3.54296875" style="21" customWidth="1"/>
    <col min="6147" max="6391" width="9.26953125" style="21"/>
    <col min="6392" max="6392" width="8.7265625" style="21" customWidth="1"/>
    <col min="6393" max="6393" width="9.7265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7265625" style="21" customWidth="1"/>
    <col min="6400" max="6400" width="11.26953125" style="21" customWidth="1"/>
    <col min="6401" max="6401" width="2.7265625" style="21" customWidth="1"/>
    <col min="6402" max="6402" width="3.54296875" style="21" customWidth="1"/>
    <col min="6403" max="6647" width="9.26953125" style="21"/>
    <col min="6648" max="6648" width="8.7265625" style="21" customWidth="1"/>
    <col min="6649" max="6649" width="9.7265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7265625" style="21" customWidth="1"/>
    <col min="6656" max="6656" width="11.26953125" style="21" customWidth="1"/>
    <col min="6657" max="6657" width="2.7265625" style="21" customWidth="1"/>
    <col min="6658" max="6658" width="3.54296875" style="21" customWidth="1"/>
    <col min="6659" max="6903" width="9.26953125" style="21"/>
    <col min="6904" max="6904" width="8.7265625" style="21" customWidth="1"/>
    <col min="6905" max="6905" width="9.7265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7265625" style="21" customWidth="1"/>
    <col min="6912" max="6912" width="11.26953125" style="21" customWidth="1"/>
    <col min="6913" max="6913" width="2.7265625" style="21" customWidth="1"/>
    <col min="6914" max="6914" width="3.54296875" style="21" customWidth="1"/>
    <col min="6915" max="7159" width="9.26953125" style="21"/>
    <col min="7160" max="7160" width="8.7265625" style="21" customWidth="1"/>
    <col min="7161" max="7161" width="9.7265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7265625" style="21" customWidth="1"/>
    <col min="7168" max="7168" width="11.26953125" style="21" customWidth="1"/>
    <col min="7169" max="7169" width="2.7265625" style="21" customWidth="1"/>
    <col min="7170" max="7170" width="3.54296875" style="21" customWidth="1"/>
    <col min="7171" max="7415" width="9.26953125" style="21"/>
    <col min="7416" max="7416" width="8.7265625" style="21" customWidth="1"/>
    <col min="7417" max="7417" width="9.7265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7265625" style="21" customWidth="1"/>
    <col min="7424" max="7424" width="11.26953125" style="21" customWidth="1"/>
    <col min="7425" max="7425" width="2.7265625" style="21" customWidth="1"/>
    <col min="7426" max="7426" width="3.54296875" style="21" customWidth="1"/>
    <col min="7427" max="7671" width="9.26953125" style="21"/>
    <col min="7672" max="7672" width="8.7265625" style="21" customWidth="1"/>
    <col min="7673" max="7673" width="9.7265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7265625" style="21" customWidth="1"/>
    <col min="7680" max="7680" width="11.26953125" style="21" customWidth="1"/>
    <col min="7681" max="7681" width="2.7265625" style="21" customWidth="1"/>
    <col min="7682" max="7682" width="3.54296875" style="21" customWidth="1"/>
    <col min="7683" max="7927" width="9.26953125" style="21"/>
    <col min="7928" max="7928" width="8.7265625" style="21" customWidth="1"/>
    <col min="7929" max="7929" width="9.7265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7265625" style="21" customWidth="1"/>
    <col min="7936" max="7936" width="11.26953125" style="21" customWidth="1"/>
    <col min="7937" max="7937" width="2.7265625" style="21" customWidth="1"/>
    <col min="7938" max="7938" width="3.54296875" style="21" customWidth="1"/>
    <col min="7939" max="8183" width="9.26953125" style="21"/>
    <col min="8184" max="8184" width="8.7265625" style="21" customWidth="1"/>
    <col min="8185" max="8185" width="9.7265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7265625" style="21" customWidth="1"/>
    <col min="8192" max="8192" width="11.26953125" style="21" customWidth="1"/>
    <col min="8193" max="8193" width="2.7265625" style="21" customWidth="1"/>
    <col min="8194" max="8194" width="3.54296875" style="21" customWidth="1"/>
    <col min="8195" max="8439" width="9.26953125" style="21"/>
    <col min="8440" max="8440" width="8.7265625" style="21" customWidth="1"/>
    <col min="8441" max="8441" width="9.7265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7265625" style="21" customWidth="1"/>
    <col min="8448" max="8448" width="11.26953125" style="21" customWidth="1"/>
    <col min="8449" max="8449" width="2.7265625" style="21" customWidth="1"/>
    <col min="8450" max="8450" width="3.54296875" style="21" customWidth="1"/>
    <col min="8451" max="8695" width="9.26953125" style="21"/>
    <col min="8696" max="8696" width="8.7265625" style="21" customWidth="1"/>
    <col min="8697" max="8697" width="9.7265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7265625" style="21" customWidth="1"/>
    <col min="8704" max="8704" width="11.26953125" style="21" customWidth="1"/>
    <col min="8705" max="8705" width="2.7265625" style="21" customWidth="1"/>
    <col min="8706" max="8706" width="3.54296875" style="21" customWidth="1"/>
    <col min="8707" max="8951" width="9.26953125" style="21"/>
    <col min="8952" max="8952" width="8.7265625" style="21" customWidth="1"/>
    <col min="8953" max="8953" width="9.7265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7265625" style="21" customWidth="1"/>
    <col min="8960" max="8960" width="11.26953125" style="21" customWidth="1"/>
    <col min="8961" max="8961" width="2.7265625" style="21" customWidth="1"/>
    <col min="8962" max="8962" width="3.54296875" style="21" customWidth="1"/>
    <col min="8963" max="9207" width="9.26953125" style="21"/>
    <col min="9208" max="9208" width="8.7265625" style="21" customWidth="1"/>
    <col min="9209" max="9209" width="9.7265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7265625" style="21" customWidth="1"/>
    <col min="9216" max="9216" width="11.26953125" style="21" customWidth="1"/>
    <col min="9217" max="9217" width="2.7265625" style="21" customWidth="1"/>
    <col min="9218" max="9218" width="3.54296875" style="21" customWidth="1"/>
    <col min="9219" max="9463" width="9.26953125" style="21"/>
    <col min="9464" max="9464" width="8.7265625" style="21" customWidth="1"/>
    <col min="9465" max="9465" width="9.7265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7265625" style="21" customWidth="1"/>
    <col min="9472" max="9472" width="11.26953125" style="21" customWidth="1"/>
    <col min="9473" max="9473" width="2.7265625" style="21" customWidth="1"/>
    <col min="9474" max="9474" width="3.54296875" style="21" customWidth="1"/>
    <col min="9475" max="9719" width="9.26953125" style="21"/>
    <col min="9720" max="9720" width="8.7265625" style="21" customWidth="1"/>
    <col min="9721" max="9721" width="9.7265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7265625" style="21" customWidth="1"/>
    <col min="9728" max="9728" width="11.26953125" style="21" customWidth="1"/>
    <col min="9729" max="9729" width="2.7265625" style="21" customWidth="1"/>
    <col min="9730" max="9730" width="3.54296875" style="21" customWidth="1"/>
    <col min="9731" max="9975" width="9.26953125" style="21"/>
    <col min="9976" max="9976" width="8.7265625" style="21" customWidth="1"/>
    <col min="9977" max="9977" width="9.7265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7265625" style="21" customWidth="1"/>
    <col min="9984" max="9984" width="11.26953125" style="21" customWidth="1"/>
    <col min="9985" max="9985" width="2.7265625" style="21" customWidth="1"/>
    <col min="9986" max="9986" width="3.54296875" style="21" customWidth="1"/>
    <col min="9987" max="10231" width="9.26953125" style="21"/>
    <col min="10232" max="10232" width="8.7265625" style="21" customWidth="1"/>
    <col min="10233" max="10233" width="9.7265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7265625" style="21" customWidth="1"/>
    <col min="10240" max="10240" width="11.26953125" style="21" customWidth="1"/>
    <col min="10241" max="10241" width="2.7265625" style="21" customWidth="1"/>
    <col min="10242" max="10242" width="3.54296875" style="21" customWidth="1"/>
    <col min="10243" max="10487" width="9.26953125" style="21"/>
    <col min="10488" max="10488" width="8.7265625" style="21" customWidth="1"/>
    <col min="10489" max="10489" width="9.7265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7265625" style="21" customWidth="1"/>
    <col min="10496" max="10496" width="11.26953125" style="21" customWidth="1"/>
    <col min="10497" max="10497" width="2.7265625" style="21" customWidth="1"/>
    <col min="10498" max="10498" width="3.54296875" style="21" customWidth="1"/>
    <col min="10499" max="10743" width="9.26953125" style="21"/>
    <col min="10744" max="10744" width="8.7265625" style="21" customWidth="1"/>
    <col min="10745" max="10745" width="9.7265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7265625" style="21" customWidth="1"/>
    <col min="10752" max="10752" width="11.26953125" style="21" customWidth="1"/>
    <col min="10753" max="10753" width="2.7265625" style="21" customWidth="1"/>
    <col min="10754" max="10754" width="3.54296875" style="21" customWidth="1"/>
    <col min="10755" max="10999" width="9.26953125" style="21"/>
    <col min="11000" max="11000" width="8.7265625" style="21" customWidth="1"/>
    <col min="11001" max="11001" width="9.7265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7265625" style="21" customWidth="1"/>
    <col min="11008" max="11008" width="11.26953125" style="21" customWidth="1"/>
    <col min="11009" max="11009" width="2.7265625" style="21" customWidth="1"/>
    <col min="11010" max="11010" width="3.54296875" style="21" customWidth="1"/>
    <col min="11011" max="11255" width="9.26953125" style="21"/>
    <col min="11256" max="11256" width="8.7265625" style="21" customWidth="1"/>
    <col min="11257" max="11257" width="9.7265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7265625" style="21" customWidth="1"/>
    <col min="11264" max="11264" width="11.26953125" style="21" customWidth="1"/>
    <col min="11265" max="11265" width="2.7265625" style="21" customWidth="1"/>
    <col min="11266" max="11266" width="3.54296875" style="21" customWidth="1"/>
    <col min="11267" max="11511" width="9.26953125" style="21"/>
    <col min="11512" max="11512" width="8.7265625" style="21" customWidth="1"/>
    <col min="11513" max="11513" width="9.7265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7265625" style="21" customWidth="1"/>
    <col min="11520" max="11520" width="11.26953125" style="21" customWidth="1"/>
    <col min="11521" max="11521" width="2.7265625" style="21" customWidth="1"/>
    <col min="11522" max="11522" width="3.54296875" style="21" customWidth="1"/>
    <col min="11523" max="11767" width="9.26953125" style="21"/>
    <col min="11768" max="11768" width="8.7265625" style="21" customWidth="1"/>
    <col min="11769" max="11769" width="9.7265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7265625" style="21" customWidth="1"/>
    <col min="11776" max="11776" width="11.26953125" style="21" customWidth="1"/>
    <col min="11777" max="11777" width="2.7265625" style="21" customWidth="1"/>
    <col min="11778" max="11778" width="3.54296875" style="21" customWidth="1"/>
    <col min="11779" max="12023" width="9.26953125" style="21"/>
    <col min="12024" max="12024" width="8.7265625" style="21" customWidth="1"/>
    <col min="12025" max="12025" width="9.7265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7265625" style="21" customWidth="1"/>
    <col min="12032" max="12032" width="11.26953125" style="21" customWidth="1"/>
    <col min="12033" max="12033" width="2.7265625" style="21" customWidth="1"/>
    <col min="12034" max="12034" width="3.54296875" style="21" customWidth="1"/>
    <col min="12035" max="12279" width="9.26953125" style="21"/>
    <col min="12280" max="12280" width="8.7265625" style="21" customWidth="1"/>
    <col min="12281" max="12281" width="9.7265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7265625" style="21" customWidth="1"/>
    <col min="12288" max="12288" width="11.26953125" style="21" customWidth="1"/>
    <col min="12289" max="12289" width="2.7265625" style="21" customWidth="1"/>
    <col min="12290" max="12290" width="3.54296875" style="21" customWidth="1"/>
    <col min="12291" max="12535" width="9.26953125" style="21"/>
    <col min="12536" max="12536" width="8.7265625" style="21" customWidth="1"/>
    <col min="12537" max="12537" width="9.7265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7265625" style="21" customWidth="1"/>
    <col min="12544" max="12544" width="11.26953125" style="21" customWidth="1"/>
    <col min="12545" max="12545" width="2.7265625" style="21" customWidth="1"/>
    <col min="12546" max="12546" width="3.54296875" style="21" customWidth="1"/>
    <col min="12547" max="12791" width="9.26953125" style="21"/>
    <col min="12792" max="12792" width="8.7265625" style="21" customWidth="1"/>
    <col min="12793" max="12793" width="9.7265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7265625" style="21" customWidth="1"/>
    <col min="12800" max="12800" width="11.26953125" style="21" customWidth="1"/>
    <col min="12801" max="12801" width="2.7265625" style="21" customWidth="1"/>
    <col min="12802" max="12802" width="3.54296875" style="21" customWidth="1"/>
    <col min="12803" max="13047" width="9.26953125" style="21"/>
    <col min="13048" max="13048" width="8.7265625" style="21" customWidth="1"/>
    <col min="13049" max="13049" width="9.7265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7265625" style="21" customWidth="1"/>
    <col min="13056" max="13056" width="11.26953125" style="21" customWidth="1"/>
    <col min="13057" max="13057" width="2.7265625" style="21" customWidth="1"/>
    <col min="13058" max="13058" width="3.54296875" style="21" customWidth="1"/>
    <col min="13059" max="13303" width="9.26953125" style="21"/>
    <col min="13304" max="13304" width="8.7265625" style="21" customWidth="1"/>
    <col min="13305" max="13305" width="9.7265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7265625" style="21" customWidth="1"/>
    <col min="13312" max="13312" width="11.26953125" style="21" customWidth="1"/>
    <col min="13313" max="13313" width="2.7265625" style="21" customWidth="1"/>
    <col min="13314" max="13314" width="3.54296875" style="21" customWidth="1"/>
    <col min="13315" max="13559" width="9.26953125" style="21"/>
    <col min="13560" max="13560" width="8.7265625" style="21" customWidth="1"/>
    <col min="13561" max="13561" width="9.7265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7265625" style="21" customWidth="1"/>
    <col min="13568" max="13568" width="11.26953125" style="21" customWidth="1"/>
    <col min="13569" max="13569" width="2.7265625" style="21" customWidth="1"/>
    <col min="13570" max="13570" width="3.54296875" style="21" customWidth="1"/>
    <col min="13571" max="13815" width="9.26953125" style="21"/>
    <col min="13816" max="13816" width="8.7265625" style="21" customWidth="1"/>
    <col min="13817" max="13817" width="9.7265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7265625" style="21" customWidth="1"/>
    <col min="13824" max="13824" width="11.26953125" style="21" customWidth="1"/>
    <col min="13825" max="13825" width="2.7265625" style="21" customWidth="1"/>
    <col min="13826" max="13826" width="3.54296875" style="21" customWidth="1"/>
    <col min="13827" max="14071" width="9.26953125" style="21"/>
    <col min="14072" max="14072" width="8.7265625" style="21" customWidth="1"/>
    <col min="14073" max="14073" width="9.7265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7265625" style="21" customWidth="1"/>
    <col min="14080" max="14080" width="11.26953125" style="21" customWidth="1"/>
    <col min="14081" max="14081" width="2.7265625" style="21" customWidth="1"/>
    <col min="14082" max="14082" width="3.54296875" style="21" customWidth="1"/>
    <col min="14083" max="14327" width="9.26953125" style="21"/>
    <col min="14328" max="14328" width="8.7265625" style="21" customWidth="1"/>
    <col min="14329" max="14329" width="9.7265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7265625" style="21" customWidth="1"/>
    <col min="14336" max="14336" width="11.26953125" style="21" customWidth="1"/>
    <col min="14337" max="14337" width="2.7265625" style="21" customWidth="1"/>
    <col min="14338" max="14338" width="3.54296875" style="21" customWidth="1"/>
    <col min="14339" max="14583" width="9.26953125" style="21"/>
    <col min="14584" max="14584" width="8.7265625" style="21" customWidth="1"/>
    <col min="14585" max="14585" width="9.7265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7265625" style="21" customWidth="1"/>
    <col min="14592" max="14592" width="11.26953125" style="21" customWidth="1"/>
    <col min="14593" max="14593" width="2.7265625" style="21" customWidth="1"/>
    <col min="14594" max="14594" width="3.54296875" style="21" customWidth="1"/>
    <col min="14595" max="14839" width="9.26953125" style="21"/>
    <col min="14840" max="14840" width="8.7265625" style="21" customWidth="1"/>
    <col min="14841" max="14841" width="9.7265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7265625" style="21" customWidth="1"/>
    <col min="14848" max="14848" width="11.26953125" style="21" customWidth="1"/>
    <col min="14849" max="14849" width="2.7265625" style="21" customWidth="1"/>
    <col min="14850" max="14850" width="3.54296875" style="21" customWidth="1"/>
    <col min="14851" max="15095" width="9.26953125" style="21"/>
    <col min="15096" max="15096" width="8.7265625" style="21" customWidth="1"/>
    <col min="15097" max="15097" width="9.7265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7265625" style="21" customWidth="1"/>
    <col min="15104" max="15104" width="11.26953125" style="21" customWidth="1"/>
    <col min="15105" max="15105" width="2.7265625" style="21" customWidth="1"/>
    <col min="15106" max="15106" width="3.54296875" style="21" customWidth="1"/>
    <col min="15107" max="15351" width="9.26953125" style="21"/>
    <col min="15352" max="15352" width="8.7265625" style="21" customWidth="1"/>
    <col min="15353" max="15353" width="9.7265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7265625" style="21" customWidth="1"/>
    <col min="15360" max="15360" width="11.26953125" style="21" customWidth="1"/>
    <col min="15361" max="15361" width="2.7265625" style="21" customWidth="1"/>
    <col min="15362" max="15362" width="3.54296875" style="21" customWidth="1"/>
    <col min="15363" max="15607" width="9.26953125" style="21"/>
    <col min="15608" max="15608" width="8.7265625" style="21" customWidth="1"/>
    <col min="15609" max="15609" width="9.7265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7265625" style="21" customWidth="1"/>
    <col min="15616" max="15616" width="11.26953125" style="21" customWidth="1"/>
    <col min="15617" max="15617" width="2.7265625" style="21" customWidth="1"/>
    <col min="15618" max="15618" width="3.54296875" style="21" customWidth="1"/>
    <col min="15619" max="15863" width="9.26953125" style="21"/>
    <col min="15864" max="15864" width="8.7265625" style="21" customWidth="1"/>
    <col min="15865" max="15865" width="9.7265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7265625" style="21" customWidth="1"/>
    <col min="15872" max="15872" width="11.26953125" style="21" customWidth="1"/>
    <col min="15873" max="15873" width="2.7265625" style="21" customWidth="1"/>
    <col min="15874" max="15874" width="3.54296875" style="21" customWidth="1"/>
    <col min="15875" max="16119" width="9.26953125" style="21"/>
    <col min="16120" max="16120" width="8.7265625" style="21" customWidth="1"/>
    <col min="16121" max="16121" width="9.7265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7265625" style="21" customWidth="1"/>
    <col min="16128" max="16128" width="11.26953125" style="21" customWidth="1"/>
    <col min="16129" max="16129" width="2.7265625" style="21" customWidth="1"/>
    <col min="16130" max="16130" width="3.54296875" style="21" customWidth="1"/>
    <col min="16131" max="16384" width="9.26953125" style="21"/>
  </cols>
  <sheetData>
    <row r="1" spans="1:14" ht="46.5" customHeight="1" x14ac:dyDescent="0.35">
      <c r="A1" s="199" t="s">
        <v>155</v>
      </c>
      <c r="B1" s="199"/>
      <c r="C1" s="199"/>
      <c r="D1" s="199"/>
      <c r="E1" s="199"/>
      <c r="F1" s="199"/>
      <c r="G1" s="199"/>
      <c r="H1" s="199"/>
    </row>
    <row r="2" spans="1:14" ht="16.5" customHeight="1" x14ac:dyDescent="0.35">
      <c r="A2" s="171" t="s">
        <v>0</v>
      </c>
      <c r="B2" s="171"/>
      <c r="C2" s="171"/>
      <c r="D2" s="171"/>
      <c r="E2" s="171"/>
      <c r="F2" s="171"/>
      <c r="G2" s="171"/>
      <c r="H2" s="171"/>
    </row>
    <row r="3" spans="1:14" x14ac:dyDescent="0.35">
      <c r="A3" s="152" t="s">
        <v>1</v>
      </c>
      <c r="B3" s="152"/>
      <c r="C3" s="152"/>
      <c r="D3" s="152"/>
      <c r="E3" s="152" t="str">
        <f ca="1">TEXT(TODAY(),"DD/MM/YYYY")</f>
        <v>15/07/2025</v>
      </c>
      <c r="F3" s="152"/>
      <c r="G3" s="152"/>
      <c r="H3" s="152"/>
    </row>
    <row r="4" spans="1:14" ht="15" customHeight="1" x14ac:dyDescent="0.35">
      <c r="A4" s="152" t="s">
        <v>2</v>
      </c>
      <c r="B4" s="152"/>
      <c r="C4" s="152"/>
      <c r="D4" s="152"/>
      <c r="E4" s="152" t="s">
        <v>163</v>
      </c>
      <c r="F4" s="152"/>
      <c r="G4" s="152"/>
      <c r="H4" s="152"/>
      <c r="I4" s="22"/>
    </row>
    <row r="5" spans="1:14" x14ac:dyDescent="0.35">
      <c r="A5" s="152" t="s">
        <v>3</v>
      </c>
      <c r="B5" s="152"/>
      <c r="C5" s="152"/>
      <c r="D5" s="152"/>
      <c r="E5" s="201">
        <v>45846</v>
      </c>
      <c r="F5" s="152"/>
      <c r="G5" s="152"/>
      <c r="H5" s="152"/>
    </row>
    <row r="6" spans="1:14" ht="16.5" customHeight="1" x14ac:dyDescent="0.35">
      <c r="A6" s="152" t="s">
        <v>4</v>
      </c>
      <c r="B6" s="152"/>
      <c r="C6" s="152"/>
      <c r="D6" s="152"/>
      <c r="E6" s="152" t="s">
        <v>224</v>
      </c>
      <c r="F6" s="152"/>
      <c r="G6" s="152"/>
      <c r="H6" s="152"/>
    </row>
    <row r="7" spans="1:14" ht="15" customHeight="1" x14ac:dyDescent="0.35">
      <c r="A7" s="152" t="s">
        <v>5</v>
      </c>
      <c r="B7" s="152"/>
      <c r="C7" s="152"/>
      <c r="D7" s="152"/>
      <c r="E7" s="152" t="s">
        <v>224</v>
      </c>
      <c r="F7" s="152"/>
      <c r="G7" s="152"/>
      <c r="H7" s="152"/>
      <c r="I7" s="90" t="s">
        <v>233</v>
      </c>
    </row>
    <row r="8" spans="1:14" x14ac:dyDescent="0.35">
      <c r="A8" s="152" t="s">
        <v>220</v>
      </c>
      <c r="B8" s="152"/>
      <c r="C8" s="152"/>
      <c r="D8" s="152"/>
      <c r="E8" s="200" t="s">
        <v>218</v>
      </c>
      <c r="F8" s="200"/>
      <c r="G8" s="200"/>
      <c r="H8" s="200"/>
      <c r="I8" s="91"/>
    </row>
    <row r="9" spans="1:14" x14ac:dyDescent="0.35">
      <c r="A9" s="152" t="s">
        <v>158</v>
      </c>
      <c r="B9" s="152"/>
      <c r="C9" s="152"/>
      <c r="D9" s="152"/>
      <c r="E9" s="152" t="s">
        <v>164</v>
      </c>
      <c r="F9" s="152"/>
      <c r="G9" s="152"/>
      <c r="H9" s="152"/>
    </row>
    <row r="10" spans="1:14" x14ac:dyDescent="0.35">
      <c r="A10" s="152" t="s">
        <v>159</v>
      </c>
      <c r="B10" s="152"/>
      <c r="C10" s="152"/>
      <c r="D10" s="152"/>
      <c r="E10" s="152" t="s">
        <v>28</v>
      </c>
      <c r="F10" s="152"/>
      <c r="G10" s="152"/>
      <c r="H10" s="152"/>
    </row>
    <row r="11" spans="1:14" ht="18" customHeight="1" x14ac:dyDescent="0.35">
      <c r="A11" s="152" t="s">
        <v>6</v>
      </c>
      <c r="B11" s="152"/>
      <c r="C11" s="152"/>
      <c r="D11" s="152"/>
      <c r="E11" s="152" t="s">
        <v>232</v>
      </c>
      <c r="F11" s="152"/>
      <c r="G11" s="152"/>
      <c r="H11" s="152"/>
    </row>
    <row r="12" spans="1:14" x14ac:dyDescent="0.35">
      <c r="A12" s="152" t="s">
        <v>160</v>
      </c>
      <c r="B12" s="152"/>
      <c r="C12" s="152"/>
      <c r="D12" s="152"/>
      <c r="E12" s="152" t="s">
        <v>28</v>
      </c>
      <c r="F12" s="152"/>
      <c r="G12" s="152"/>
      <c r="H12" s="152"/>
    </row>
    <row r="13" spans="1:14" x14ac:dyDescent="0.35">
      <c r="A13" s="178" t="s">
        <v>7</v>
      </c>
      <c r="B13" s="178"/>
      <c r="C13" s="178"/>
      <c r="D13" s="178"/>
      <c r="E13" s="202" t="s">
        <v>194</v>
      </c>
      <c r="F13" s="202"/>
      <c r="G13" s="202"/>
      <c r="H13" s="202"/>
      <c r="I13" s="83"/>
      <c r="J13" s="84"/>
      <c r="K13" s="84"/>
      <c r="L13" s="84"/>
      <c r="M13" s="84"/>
      <c r="N13" s="84"/>
    </row>
    <row r="14" spans="1:14" ht="35.25" customHeight="1" x14ac:dyDescent="0.35">
      <c r="A14" s="178" t="s">
        <v>8</v>
      </c>
      <c r="B14" s="178"/>
      <c r="C14" s="178"/>
      <c r="D14" s="178"/>
      <c r="E14" s="202" t="s">
        <v>231</v>
      </c>
      <c r="F14" s="152"/>
      <c r="G14" s="152"/>
      <c r="H14" s="152"/>
    </row>
    <row r="15" spans="1:14" ht="47.25" customHeight="1" x14ac:dyDescent="0.35">
      <c r="A15" s="202" t="s">
        <v>9</v>
      </c>
      <c r="B15" s="202"/>
      <c r="C15" s="20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Mohan Willows III, Survey No.64, S.No.65, H.No.1, S.No.66, S.No.67, H.No.1A&amp;1B, near Mohan Willows Phase II, Internal Road, Bhosale Nagar, Shirgaon, Badlapur East, Ambernath, Thane - 421503.</v>
      </c>
      <c r="D15" s="202"/>
      <c r="E15" s="202"/>
      <c r="F15" s="202"/>
      <c r="G15" s="202"/>
      <c r="H15" s="202"/>
    </row>
    <row r="16" spans="1:14" x14ac:dyDescent="0.35">
      <c r="A16" s="202" t="s">
        <v>165</v>
      </c>
      <c r="B16" s="202"/>
      <c r="C16" s="202" t="s">
        <v>214</v>
      </c>
      <c r="D16" s="202"/>
      <c r="E16" s="202"/>
      <c r="F16" s="202"/>
      <c r="G16" s="202"/>
      <c r="H16" s="202"/>
    </row>
    <row r="17" spans="1:13" ht="15.75" customHeight="1" x14ac:dyDescent="0.35">
      <c r="A17" s="202" t="s">
        <v>153</v>
      </c>
      <c r="B17" s="202"/>
      <c r="C17" s="202" t="s">
        <v>166</v>
      </c>
      <c r="D17" s="202"/>
      <c r="E17" s="202"/>
      <c r="F17" s="202"/>
      <c r="G17" s="202"/>
      <c r="H17" s="202"/>
      <c r="I17" s="22"/>
    </row>
    <row r="18" spans="1:13" ht="15.75" customHeight="1" x14ac:dyDescent="0.35">
      <c r="A18" s="202" t="s">
        <v>10</v>
      </c>
      <c r="B18" s="202"/>
      <c r="C18" s="152" t="s">
        <v>169</v>
      </c>
      <c r="D18" s="152"/>
      <c r="E18" s="202" t="s">
        <v>68</v>
      </c>
      <c r="F18" s="202"/>
      <c r="G18" s="202" t="s">
        <v>167</v>
      </c>
      <c r="H18" s="202"/>
      <c r="I18" s="22"/>
      <c r="J18" s="22"/>
      <c r="L18" s="22"/>
      <c r="M18" s="22"/>
    </row>
    <row r="19" spans="1:13" x14ac:dyDescent="0.35">
      <c r="A19" s="152" t="s">
        <v>12</v>
      </c>
      <c r="B19" s="152"/>
      <c r="C19" s="202" t="s">
        <v>193</v>
      </c>
      <c r="D19" s="202"/>
      <c r="E19" s="202" t="s">
        <v>11</v>
      </c>
      <c r="F19" s="202"/>
      <c r="G19" s="203" t="s">
        <v>168</v>
      </c>
      <c r="H19" s="203"/>
    </row>
    <row r="20" spans="1:13" x14ac:dyDescent="0.35">
      <c r="A20" s="152" t="s">
        <v>69</v>
      </c>
      <c r="B20" s="152"/>
      <c r="C20" s="202" t="s">
        <v>215</v>
      </c>
      <c r="D20" s="202"/>
      <c r="E20" s="202" t="s">
        <v>13</v>
      </c>
      <c r="F20" s="202"/>
      <c r="G20" s="202">
        <v>421503</v>
      </c>
      <c r="H20" s="202"/>
      <c r="J20" s="22"/>
    </row>
    <row r="21" spans="1:13" ht="32.25" customHeight="1" x14ac:dyDescent="0.35">
      <c r="A21" s="152" t="s">
        <v>115</v>
      </c>
      <c r="B21" s="152"/>
      <c r="C21" s="202" t="s">
        <v>219</v>
      </c>
      <c r="D21" s="202"/>
      <c r="E21" s="202" t="s">
        <v>14</v>
      </c>
      <c r="F21" s="202"/>
      <c r="G21" s="202" t="s">
        <v>225</v>
      </c>
      <c r="H21" s="202"/>
      <c r="I21" s="22"/>
    </row>
    <row r="22" spans="1:13" ht="15" customHeight="1" x14ac:dyDescent="0.35">
      <c r="A22" s="168" t="s">
        <v>71</v>
      </c>
      <c r="B22" s="168"/>
      <c r="C22" s="168"/>
      <c r="D22" s="168"/>
      <c r="E22" s="152" t="s">
        <v>15</v>
      </c>
      <c r="F22" s="152"/>
      <c r="G22" s="152"/>
      <c r="H22" s="152"/>
    </row>
    <row r="23" spans="1:13" ht="18.75" customHeight="1" x14ac:dyDescent="0.35">
      <c r="A23" s="168"/>
      <c r="B23" s="168"/>
      <c r="C23" s="168"/>
      <c r="D23" s="168"/>
      <c r="E23" s="152"/>
      <c r="F23" s="152"/>
      <c r="G23" s="152"/>
      <c r="H23" s="152"/>
    </row>
    <row r="24" spans="1:13" ht="15" customHeight="1" x14ac:dyDescent="0.35">
      <c r="A24" s="168" t="s">
        <v>16</v>
      </c>
      <c r="B24" s="168"/>
      <c r="C24" s="168"/>
      <c r="D24" s="168"/>
      <c r="E24" s="202" t="s">
        <v>17</v>
      </c>
      <c r="F24" s="202"/>
      <c r="G24" s="202"/>
      <c r="H24" s="202"/>
    </row>
    <row r="25" spans="1:13" ht="15" customHeight="1" x14ac:dyDescent="0.35">
      <c r="A25" s="178" t="s">
        <v>18</v>
      </c>
      <c r="B25" s="178"/>
      <c r="C25" s="178"/>
      <c r="D25" s="178"/>
      <c r="E25" s="202" t="str">
        <f>IF(AND(G19="Mumbai"),"Upper Class","Middle Class")</f>
        <v>Middle Class</v>
      </c>
      <c r="F25" s="202"/>
      <c r="G25" s="202"/>
      <c r="H25" s="202"/>
    </row>
    <row r="26" spans="1:13" x14ac:dyDescent="0.35">
      <c r="A26" s="178" t="s">
        <v>19</v>
      </c>
      <c r="B26" s="178"/>
      <c r="C26" s="178"/>
      <c r="D26" s="178"/>
      <c r="E26" s="202" t="s">
        <v>20</v>
      </c>
      <c r="F26" s="202"/>
      <c r="G26" s="202"/>
      <c r="H26" s="202"/>
    </row>
    <row r="27" spans="1:13" ht="15.75" customHeight="1" x14ac:dyDescent="0.35">
      <c r="A27" s="178" t="s">
        <v>21</v>
      </c>
      <c r="B27" s="178"/>
      <c r="C27" s="178"/>
      <c r="D27" s="178"/>
      <c r="E27" s="202" t="str">
        <f>IF(AND(G19="Mumbai"),"Developed","Developing")</f>
        <v>Developing</v>
      </c>
      <c r="F27" s="202"/>
      <c r="G27" s="202"/>
      <c r="H27" s="202"/>
    </row>
    <row r="28" spans="1:13" x14ac:dyDescent="0.35">
      <c r="A28" s="178" t="s">
        <v>22</v>
      </c>
      <c r="B28" s="178"/>
      <c r="C28" s="178"/>
      <c r="D28" s="178"/>
      <c r="E28" s="202" t="s">
        <v>23</v>
      </c>
      <c r="F28" s="202"/>
      <c r="G28" s="202"/>
      <c r="H28" s="202"/>
    </row>
    <row r="29" spans="1:13" ht="15.75" customHeight="1" x14ac:dyDescent="0.35">
      <c r="A29" s="178" t="s">
        <v>76</v>
      </c>
      <c r="B29" s="178"/>
      <c r="C29" s="178"/>
      <c r="D29" s="178"/>
      <c r="E29" s="202" t="s">
        <v>77</v>
      </c>
      <c r="F29" s="202"/>
      <c r="G29" s="202"/>
      <c r="H29" s="202"/>
    </row>
    <row r="30" spans="1:13" ht="15" customHeight="1" x14ac:dyDescent="0.35">
      <c r="A30" s="178" t="s">
        <v>31</v>
      </c>
      <c r="B30" s="178"/>
      <c r="C30" s="178"/>
      <c r="D30" s="178"/>
      <c r="E30" s="202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30" s="202"/>
      <c r="G30" s="202"/>
      <c r="H30" s="202"/>
    </row>
    <row r="31" spans="1:13" ht="15.75" customHeight="1" x14ac:dyDescent="0.35">
      <c r="A31" s="178" t="s">
        <v>88</v>
      </c>
      <c r="B31" s="178"/>
      <c r="C31" s="178"/>
      <c r="D31" s="178"/>
      <c r="E31" s="202" t="s">
        <v>32</v>
      </c>
      <c r="F31" s="202"/>
      <c r="G31" s="202"/>
      <c r="H31" s="202"/>
    </row>
    <row r="32" spans="1:13" s="22" customFormat="1" x14ac:dyDescent="0.35">
      <c r="A32" s="207" t="s">
        <v>89</v>
      </c>
      <c r="B32" s="207"/>
      <c r="C32" s="205" t="s">
        <v>161</v>
      </c>
      <c r="D32" s="205"/>
      <c r="E32" s="205"/>
      <c r="F32" s="205" t="s">
        <v>29</v>
      </c>
      <c r="G32" s="205"/>
      <c r="H32" s="205"/>
    </row>
    <row r="33" spans="1:14" s="22" customFormat="1" ht="15.75" customHeight="1" x14ac:dyDescent="0.35">
      <c r="A33" s="204" t="s">
        <v>24</v>
      </c>
      <c r="B33" s="204" t="s">
        <v>28</v>
      </c>
      <c r="C33" s="146" t="s">
        <v>171</v>
      </c>
      <c r="D33" s="146"/>
      <c r="E33" s="146"/>
      <c r="F33" s="146" t="s">
        <v>171</v>
      </c>
      <c r="G33" s="146"/>
      <c r="H33" s="146"/>
      <c r="I33" s="245"/>
      <c r="J33" s="246"/>
      <c r="K33" s="247"/>
    </row>
    <row r="34" spans="1:14" x14ac:dyDescent="0.35">
      <c r="A34" s="204" t="s">
        <v>25</v>
      </c>
      <c r="B34" s="204" t="s">
        <v>28</v>
      </c>
      <c r="C34" s="146" t="s">
        <v>172</v>
      </c>
      <c r="D34" s="146"/>
      <c r="E34" s="146"/>
      <c r="F34" s="146" t="s">
        <v>169</v>
      </c>
      <c r="G34" s="146"/>
      <c r="H34" s="146"/>
      <c r="I34" s="245"/>
      <c r="J34" s="246"/>
      <c r="K34" s="247"/>
    </row>
    <row r="35" spans="1:14" s="22" customFormat="1" x14ac:dyDescent="0.35">
      <c r="A35" s="204" t="s">
        <v>27</v>
      </c>
      <c r="B35" s="204" t="s">
        <v>28</v>
      </c>
      <c r="C35" s="146" t="s">
        <v>203</v>
      </c>
      <c r="D35" s="146"/>
      <c r="E35" s="146"/>
      <c r="F35" s="206" t="s">
        <v>205</v>
      </c>
      <c r="G35" s="206"/>
      <c r="H35" s="206"/>
      <c r="I35" s="245"/>
      <c r="J35" s="246"/>
      <c r="K35" s="247"/>
    </row>
    <row r="36" spans="1:14" x14ac:dyDescent="0.35">
      <c r="A36" s="204" t="s">
        <v>26</v>
      </c>
      <c r="B36" s="204" t="s">
        <v>28</v>
      </c>
      <c r="C36" s="146" t="s">
        <v>204</v>
      </c>
      <c r="D36" s="146"/>
      <c r="E36" s="146"/>
      <c r="F36" s="146" t="s">
        <v>170</v>
      </c>
      <c r="G36" s="146"/>
      <c r="H36" s="146"/>
      <c r="I36" s="245"/>
      <c r="J36" s="246"/>
      <c r="K36" s="247"/>
    </row>
    <row r="37" spans="1:14" x14ac:dyDescent="0.35">
      <c r="A37" s="178" t="s">
        <v>30</v>
      </c>
      <c r="B37" s="178"/>
      <c r="C37" s="178"/>
      <c r="D37" s="178"/>
      <c r="E37" s="178"/>
      <c r="F37" s="178"/>
      <c r="G37" s="178"/>
      <c r="H37" s="178"/>
    </row>
    <row r="38" spans="1:14" ht="15.75" customHeight="1" x14ac:dyDescent="0.35">
      <c r="A38" s="196" t="s">
        <v>156</v>
      </c>
      <c r="B38" s="196"/>
      <c r="C38" s="196" t="s">
        <v>201</v>
      </c>
      <c r="D38" s="196"/>
      <c r="E38" s="196"/>
      <c r="F38" s="196"/>
      <c r="G38" s="196"/>
      <c r="H38" s="196"/>
    </row>
    <row r="39" spans="1:14" x14ac:dyDescent="0.35">
      <c r="A39" s="196" t="s">
        <v>152</v>
      </c>
      <c r="B39" s="196"/>
      <c r="C39" s="237" t="s">
        <v>202</v>
      </c>
      <c r="D39" s="202"/>
      <c r="E39" s="202"/>
      <c r="F39" s="202"/>
      <c r="G39" s="202"/>
      <c r="H39" s="202"/>
    </row>
    <row r="40" spans="1:14" x14ac:dyDescent="0.35">
      <c r="A40" s="196" t="s">
        <v>33</v>
      </c>
      <c r="B40" s="196"/>
      <c r="C40" s="196"/>
      <c r="D40" s="196"/>
      <c r="E40" s="196"/>
      <c r="F40" s="196"/>
      <c r="G40" s="196"/>
      <c r="H40" s="196"/>
    </row>
    <row r="41" spans="1:14" x14ac:dyDescent="0.35">
      <c r="A41" s="152" t="s">
        <v>34</v>
      </c>
      <c r="B41" s="152"/>
      <c r="C41" s="152"/>
      <c r="D41" s="152"/>
      <c r="E41" s="208">
        <v>18614.43</v>
      </c>
      <c r="F41" s="208"/>
      <c r="G41" s="208"/>
      <c r="H41" s="208"/>
      <c r="I41" s="22" t="s">
        <v>195</v>
      </c>
    </row>
    <row r="42" spans="1:14" x14ac:dyDescent="0.35">
      <c r="A42" s="152" t="s">
        <v>35</v>
      </c>
      <c r="B42" s="152"/>
      <c r="C42" s="152"/>
      <c r="D42" s="152"/>
      <c r="E42" s="151">
        <v>1.1000000000000001</v>
      </c>
      <c r="F42" s="151"/>
      <c r="G42" s="151"/>
      <c r="H42" s="151"/>
    </row>
    <row r="43" spans="1:14" x14ac:dyDescent="0.35">
      <c r="A43" s="152" t="s">
        <v>36</v>
      </c>
      <c r="B43" s="152"/>
      <c r="C43" s="152"/>
      <c r="D43" s="152"/>
      <c r="E43" s="151">
        <f>E45/E41-E42</f>
        <v>1.2085982219170823</v>
      </c>
      <c r="F43" s="151"/>
      <c r="G43" s="151"/>
      <c r="H43" s="151"/>
    </row>
    <row r="44" spans="1:14" x14ac:dyDescent="0.35">
      <c r="A44" s="152" t="s">
        <v>37</v>
      </c>
      <c r="B44" s="152"/>
      <c r="C44" s="152"/>
      <c r="D44" s="152"/>
      <c r="E44" s="151">
        <f>E42+E43</f>
        <v>2.3085982219170824</v>
      </c>
      <c r="F44" s="151"/>
      <c r="G44" s="151"/>
      <c r="H44" s="151"/>
    </row>
    <row r="45" spans="1:14" x14ac:dyDescent="0.35">
      <c r="A45" s="152" t="s">
        <v>87</v>
      </c>
      <c r="B45" s="152"/>
      <c r="C45" s="152"/>
      <c r="D45" s="152"/>
      <c r="E45" s="210">
        <v>42973.24</v>
      </c>
      <c r="F45" s="210"/>
      <c r="G45" s="210"/>
      <c r="H45" s="210"/>
      <c r="I45" s="87">
        <f>9213.8+5756.71+5897.29</f>
        <v>20867.8</v>
      </c>
      <c r="J45" s="248" t="s">
        <v>196</v>
      </c>
      <c r="K45" s="248"/>
      <c r="L45" s="248"/>
      <c r="M45" s="248"/>
      <c r="N45" s="248"/>
    </row>
    <row r="46" spans="1:14" x14ac:dyDescent="0.35">
      <c r="A46" s="152" t="s">
        <v>38</v>
      </c>
      <c r="B46" s="152"/>
      <c r="C46" s="152"/>
      <c r="D46" s="152"/>
      <c r="E46" s="152" t="s">
        <v>248</v>
      </c>
      <c r="F46" s="152"/>
      <c r="G46" s="152"/>
      <c r="H46" s="152"/>
      <c r="I46" s="22"/>
    </row>
    <row r="47" spans="1:14" x14ac:dyDescent="0.35">
      <c r="A47" s="196" t="s">
        <v>39</v>
      </c>
      <c r="B47" s="196"/>
      <c r="C47" s="196"/>
      <c r="D47" s="196"/>
      <c r="E47" s="196"/>
      <c r="F47" s="196"/>
      <c r="G47" s="196"/>
      <c r="H47" s="196"/>
    </row>
    <row r="48" spans="1:14" ht="33.75" customHeight="1" x14ac:dyDescent="0.35">
      <c r="A48" s="160" t="s">
        <v>143</v>
      </c>
      <c r="B48" s="161"/>
      <c r="C48" s="242" t="s">
        <v>212</v>
      </c>
      <c r="D48" s="243"/>
      <c r="E48" s="243"/>
      <c r="F48" s="243"/>
      <c r="G48" s="243"/>
      <c r="H48" s="244"/>
    </row>
    <row r="49" spans="1:14" ht="15.75" customHeight="1" x14ac:dyDescent="0.35">
      <c r="A49" s="160" t="s">
        <v>40</v>
      </c>
      <c r="B49" s="161"/>
      <c r="C49" s="160" t="s">
        <v>206</v>
      </c>
      <c r="D49" s="162"/>
      <c r="E49" s="161"/>
      <c r="F49" s="18" t="s">
        <v>41</v>
      </c>
      <c r="G49" s="163">
        <v>43088</v>
      </c>
      <c r="H49" s="161"/>
    </row>
    <row r="50" spans="1:14" ht="54.75" customHeight="1" x14ac:dyDescent="0.35">
      <c r="A50" s="160" t="s">
        <v>238</v>
      </c>
      <c r="B50" s="161"/>
      <c r="C50" s="160" t="str">
        <f>C49</f>
        <v>KBNP/NRV/BP/9441-162</v>
      </c>
      <c r="D50" s="162"/>
      <c r="E50" s="161"/>
      <c r="F50" s="18" t="s">
        <v>41</v>
      </c>
      <c r="G50" s="163">
        <f>G49</f>
        <v>43088</v>
      </c>
      <c r="H50" s="164"/>
    </row>
    <row r="51" spans="1:14" ht="54.75" customHeight="1" x14ac:dyDescent="0.35">
      <c r="A51" s="160" t="s">
        <v>239</v>
      </c>
      <c r="B51" s="161"/>
      <c r="C51" s="160" t="s">
        <v>240</v>
      </c>
      <c r="D51" s="162"/>
      <c r="E51" s="161"/>
      <c r="F51" s="18" t="s">
        <v>41</v>
      </c>
      <c r="G51" s="163">
        <v>45021</v>
      </c>
      <c r="H51" s="164"/>
    </row>
    <row r="52" spans="1:14" s="23" customFormat="1" ht="34.5" customHeight="1" x14ac:dyDescent="0.35">
      <c r="A52" s="168" t="s">
        <v>162</v>
      </c>
      <c r="B52" s="168"/>
      <c r="C52" s="160" t="s">
        <v>173</v>
      </c>
      <c r="D52" s="162"/>
      <c r="E52" s="161"/>
      <c r="F52" s="18" t="s">
        <v>41</v>
      </c>
      <c r="G52" s="163">
        <f>G50</f>
        <v>43088</v>
      </c>
      <c r="H52" s="164"/>
      <c r="I52" s="22"/>
    </row>
    <row r="53" spans="1:14" s="23" customFormat="1" ht="34.5" customHeight="1" x14ac:dyDescent="0.35">
      <c r="A53" s="168" t="s">
        <v>200</v>
      </c>
      <c r="B53" s="168"/>
      <c r="C53" s="160" t="s">
        <v>235</v>
      </c>
      <c r="D53" s="162"/>
      <c r="E53" s="162"/>
      <c r="F53" s="162"/>
      <c r="G53" s="162"/>
      <c r="H53" s="161"/>
    </row>
    <row r="54" spans="1:14" ht="48.75" customHeight="1" x14ac:dyDescent="0.35">
      <c r="A54" s="211" t="s">
        <v>42</v>
      </c>
      <c r="B54" s="213"/>
      <c r="C54" s="211" t="s">
        <v>241</v>
      </c>
      <c r="D54" s="212"/>
      <c r="E54" s="213"/>
      <c r="F54" s="46" t="s">
        <v>41</v>
      </c>
      <c r="G54" s="215">
        <v>45021</v>
      </c>
      <c r="H54" s="216"/>
    </row>
    <row r="55" spans="1:14" x14ac:dyDescent="0.35">
      <c r="A55" s="214" t="s">
        <v>44</v>
      </c>
      <c r="B55" s="214"/>
      <c r="C55" s="214"/>
      <c r="D55" s="214"/>
      <c r="E55" s="214"/>
      <c r="F55" s="214"/>
      <c r="G55" s="214"/>
      <c r="H55" s="214"/>
    </row>
    <row r="56" spans="1:14" x14ac:dyDescent="0.35">
      <c r="A56" s="168" t="s">
        <v>86</v>
      </c>
      <c r="B56" s="168"/>
      <c r="C56" s="168"/>
      <c r="D56" s="165">
        <v>20867.8</v>
      </c>
      <c r="E56" s="166"/>
      <c r="F56" s="166"/>
      <c r="G56" s="166"/>
      <c r="H56" s="167"/>
    </row>
    <row r="57" spans="1:14" x14ac:dyDescent="0.35">
      <c r="A57" s="202" t="s">
        <v>45</v>
      </c>
      <c r="B57" s="152"/>
      <c r="C57" s="152"/>
      <c r="D57" s="152" t="s">
        <v>216</v>
      </c>
      <c r="E57" s="152"/>
      <c r="F57" s="152"/>
      <c r="G57" s="152"/>
      <c r="H57" s="152"/>
      <c r="I57" s="24" t="s">
        <v>222</v>
      </c>
    </row>
    <row r="58" spans="1:14" ht="64.5" customHeight="1" x14ac:dyDescent="0.35">
      <c r="A58" s="219" t="s">
        <v>46</v>
      </c>
      <c r="B58" s="220"/>
      <c r="C58" s="221"/>
      <c r="D58" s="217" t="s">
        <v>234</v>
      </c>
      <c r="E58" s="218"/>
      <c r="F58" s="218"/>
      <c r="G58" s="218"/>
      <c r="H58" s="218"/>
      <c r="I58" s="22" t="s">
        <v>199</v>
      </c>
    </row>
    <row r="59" spans="1:14" ht="15.75" customHeight="1" x14ac:dyDescent="0.35">
      <c r="A59" s="202" t="s">
        <v>84</v>
      </c>
      <c r="B59" s="202"/>
      <c r="C59" s="202"/>
      <c r="D59" s="152" t="s">
        <v>198</v>
      </c>
      <c r="E59" s="152"/>
      <c r="F59" s="152"/>
      <c r="G59" s="152"/>
      <c r="H59" s="152"/>
    </row>
    <row r="60" spans="1:14" ht="15.75" customHeight="1" x14ac:dyDescent="0.35">
      <c r="A60" s="202"/>
      <c r="B60" s="202"/>
      <c r="C60" s="202"/>
      <c r="D60" s="152" t="s">
        <v>197</v>
      </c>
      <c r="E60" s="152"/>
      <c r="F60" s="152"/>
      <c r="G60" s="152"/>
      <c r="H60" s="152"/>
    </row>
    <row r="61" spans="1:14" ht="15.75" customHeight="1" x14ac:dyDescent="0.35">
      <c r="A61" s="202"/>
      <c r="B61" s="202"/>
      <c r="C61" s="202"/>
      <c r="D61" s="152" t="s">
        <v>236</v>
      </c>
      <c r="E61" s="152"/>
      <c r="F61" s="152"/>
      <c r="G61" s="152"/>
      <c r="H61" s="152"/>
    </row>
    <row r="62" spans="1:14" ht="15.75" customHeight="1" x14ac:dyDescent="0.35">
      <c r="A62" s="178" t="s">
        <v>43</v>
      </c>
      <c r="B62" s="178"/>
      <c r="C62" s="178"/>
      <c r="D62" s="168" t="s">
        <v>174</v>
      </c>
      <c r="E62" s="168"/>
      <c r="F62" s="168"/>
      <c r="G62" s="168"/>
      <c r="H62" s="168"/>
      <c r="J62" s="25"/>
      <c r="K62" s="24"/>
      <c r="N62" s="24"/>
    </row>
    <row r="63" spans="1:14" ht="15.75" customHeight="1" x14ac:dyDescent="0.35">
      <c r="A63" s="178" t="s">
        <v>82</v>
      </c>
      <c r="B63" s="178"/>
      <c r="C63" s="178"/>
      <c r="D63" s="209" t="s">
        <v>257</v>
      </c>
      <c r="E63" s="209"/>
      <c r="F63" s="209"/>
      <c r="G63" s="209"/>
      <c r="H63" s="209"/>
      <c r="N63" s="24"/>
    </row>
    <row r="64" spans="1:14" ht="15.75" customHeight="1" x14ac:dyDescent="0.35">
      <c r="A64" s="178" t="s">
        <v>83</v>
      </c>
      <c r="B64" s="178"/>
      <c r="C64" s="178"/>
      <c r="D64" s="168" t="s">
        <v>23</v>
      </c>
      <c r="E64" s="168"/>
      <c r="F64" s="168"/>
      <c r="G64" s="168"/>
      <c r="H64" s="168"/>
      <c r="J64" s="26"/>
      <c r="K64" s="26"/>
    </row>
    <row r="65" spans="1:14" ht="33.75" customHeight="1" x14ac:dyDescent="0.35">
      <c r="A65" s="178" t="s">
        <v>70</v>
      </c>
      <c r="B65" s="178"/>
      <c r="C65" s="178"/>
      <c r="D65" s="202" t="s">
        <v>217</v>
      </c>
      <c r="E65" s="168"/>
      <c r="F65" s="168"/>
      <c r="G65" s="168"/>
      <c r="H65" s="168"/>
      <c r="I65" s="22"/>
    </row>
    <row r="66" spans="1:14" x14ac:dyDescent="0.35">
      <c r="A66" s="168" t="s">
        <v>141</v>
      </c>
      <c r="B66" s="168"/>
      <c r="C66" s="168"/>
      <c r="D66" s="168" t="s">
        <v>28</v>
      </c>
      <c r="E66" s="168"/>
      <c r="F66" s="168"/>
      <c r="G66" s="168"/>
      <c r="H66" s="168"/>
      <c r="I66" s="27"/>
      <c r="J66" s="27"/>
      <c r="K66" s="27"/>
      <c r="L66" s="27"/>
      <c r="M66" s="27"/>
      <c r="N66" s="27"/>
    </row>
    <row r="67" spans="1:14" ht="15.75" customHeight="1" x14ac:dyDescent="0.35">
      <c r="A67" s="251" t="s">
        <v>81</v>
      </c>
      <c r="B67" s="251"/>
      <c r="C67" s="251"/>
      <c r="D67" s="217" t="str">
        <f ca="1">(IF(G73&gt;95%,"Nothing",IF(G73&gt;0%,"Cement, Aggregate, Steel, etc",IF(G73=0%,"Work not yet Started"))))</f>
        <v>Cement, Aggregate, Steel, etc</v>
      </c>
      <c r="E67" s="217"/>
      <c r="F67" s="217"/>
      <c r="G67" s="217"/>
      <c r="H67" s="217"/>
      <c r="J67" s="26"/>
    </row>
    <row r="68" spans="1:14" ht="33.75" customHeight="1" thickBot="1" x14ac:dyDescent="0.4">
      <c r="A68" s="250" t="s">
        <v>112</v>
      </c>
      <c r="B68" s="250"/>
      <c r="C68" s="250"/>
      <c r="D68" s="217" t="str">
        <f ca="1">(IF(D67="Nothing","Yes",IF(D67="Cement, Aggregate, Steel, etc","Under Construction",IF(D67="Work not yet Started","Work not yet Started"))))</f>
        <v>Under Construction</v>
      </c>
      <c r="E68" s="217"/>
      <c r="F68" s="217" t="str">
        <f ca="1">(IF(D67="Nothing","Yes",IF(D67="Cement, Aggregate, Steel, etc","Under Construction",IF(D67="Work not yet Started","Work not yet Started"))))</f>
        <v>Under Construction</v>
      </c>
      <c r="G68" s="217"/>
      <c r="H68" s="217"/>
    </row>
    <row r="69" spans="1:14" ht="15.75" customHeight="1" x14ac:dyDescent="0.35">
      <c r="A69" s="153" t="s">
        <v>133</v>
      </c>
      <c r="B69" s="154"/>
      <c r="C69" s="155" t="str">
        <f>D59</f>
        <v>G Wing = G + 1st to 24th Floor</v>
      </c>
      <c r="D69" s="156"/>
      <c r="E69" s="156"/>
      <c r="F69" s="156"/>
      <c r="G69" s="156"/>
      <c r="H69" s="157"/>
      <c r="I69" s="50" t="str">
        <f ca="1">IF(D82=100%,"All work Completed. Possession granted to the Building.",IF(D81=100%,"All work Completed, Waiting for OC",I70&amp;""&amp;I71&amp;""&amp;J70&amp;""&amp;J69&amp;" "&amp;J71))</f>
        <v>Excavation, Plinth Completed, RCC upto 16 Slab, Brickwork upto 12 Floor Completed</v>
      </c>
      <c r="J69" s="51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16 Slab, Brickwork upto 12 Floor</v>
      </c>
    </row>
    <row r="70" spans="1:14" x14ac:dyDescent="0.35">
      <c r="A70" s="16" t="s">
        <v>135</v>
      </c>
      <c r="B70" s="54">
        <f>IF(AND(ISNUMBER(SEARCH("1B",C69))),1,IF(AND(ISNUMBER(SEARCH("2B",C69))),2,IF(AND(ISNUMBER(SEARCH("3B",C69))),3,IF(AND(ISNUMBER(SEARCH("4B",C69))),4,IF(ISNUMBER(SEARCH("5B",C69)),5,0)))))</f>
        <v>0</v>
      </c>
      <c r="C70" s="48" t="s">
        <v>67</v>
      </c>
      <c r="D70" s="48">
        <v>1</v>
      </c>
      <c r="E70" s="48" t="s">
        <v>66</v>
      </c>
      <c r="F70" s="82">
        <v>0</v>
      </c>
      <c r="G70" s="49" t="s">
        <v>75</v>
      </c>
      <c r="H70" s="17">
        <f ca="1">--TRIM(RIGHT(SUBSTITUTE(LEFT(C69,_xlfn.AGGREGATE(16,6,FIND({0,1,2,3,4,5,6,7,8,9},C69,ROW(INDIRECT("1:"&amp;LEN(C69)))),1))," ",REPT(" ",LEN(C69))),LEN(C69)))</f>
        <v>24</v>
      </c>
      <c r="I70" s="52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53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  <c r="K70" s="22"/>
      <c r="L70" s="22"/>
      <c r="M70" s="22"/>
    </row>
    <row r="71" spans="1:14" ht="35.25" customHeight="1" x14ac:dyDescent="0.35">
      <c r="A71" s="233" t="s">
        <v>85</v>
      </c>
      <c r="B71" s="200"/>
      <c r="C71" s="239" t="str">
        <f ca="1">I69</f>
        <v>Excavation, Plinth Completed, RCC upto 16 Slab, Brickwork upto 12 Floor Completed</v>
      </c>
      <c r="D71" s="239"/>
      <c r="E71" s="239"/>
      <c r="F71" s="239"/>
      <c r="G71" s="239"/>
      <c r="H71" s="240"/>
      <c r="I71" s="52" t="str">
        <f ca="1">IF(I70&lt;&gt;""," Completed","")</f>
        <v xml:space="preserve"> Completed</v>
      </c>
      <c r="J71" s="53" t="str">
        <f ca="1">IF(J69&lt;&gt;"","Completed","")</f>
        <v>Completed</v>
      </c>
    </row>
    <row r="72" spans="1:14" ht="15.75" customHeight="1" x14ac:dyDescent="0.35">
      <c r="A72" s="158" t="s">
        <v>47</v>
      </c>
      <c r="B72" s="159"/>
      <c r="C72" s="44" t="s">
        <v>132</v>
      </c>
      <c r="D72" s="44" t="s">
        <v>78</v>
      </c>
      <c r="E72" s="159" t="s">
        <v>80</v>
      </c>
      <c r="F72" s="159"/>
      <c r="G72" s="159" t="s">
        <v>79</v>
      </c>
      <c r="H72" s="234"/>
      <c r="I72" s="14" t="s">
        <v>134</v>
      </c>
      <c r="J72" s="28">
        <f ca="1">H70*25%</f>
        <v>6</v>
      </c>
    </row>
    <row r="73" spans="1:14" x14ac:dyDescent="0.35">
      <c r="A73" s="158" t="s">
        <v>121</v>
      </c>
      <c r="B73" s="159"/>
      <c r="C73" s="44">
        <f ca="1">J74</f>
        <v>24</v>
      </c>
      <c r="D73" s="19">
        <f ca="1">((100/H70)*C73)/100</f>
        <v>1</v>
      </c>
      <c r="E73" s="224">
        <f ca="1">(((C74/H70*10)+(40/(D70+F70+H70)*C75)+(7.5/(H70)*C76)+(7.5/(H70)*C77)+(10/H70*C78)+(10/H70*C79)+(5/H70*C80)+(5/H70*C81)+(5/H70*C82))/100)</f>
        <v>0.39350000000000002</v>
      </c>
      <c r="F73" s="225"/>
      <c r="G73" s="224">
        <f ca="1">((((C73/H70)*20)+((C74/H70)*25)+(30/(H70+F70+D70)*C75)+(5/H70*C76)+(5/H70*C77)+(5/H70*C78)+(5/H70*C79)+(0/H70*C80)+(0/H70*C81)+(5/H70*C82))/100)</f>
        <v>0.66700000000000004</v>
      </c>
      <c r="H73" s="230"/>
      <c r="I73" s="14" t="s">
        <v>95</v>
      </c>
      <c r="J73" s="29">
        <f ca="1">H70*50%</f>
        <v>12</v>
      </c>
    </row>
    <row r="74" spans="1:14" x14ac:dyDescent="0.35">
      <c r="A74" s="158" t="s">
        <v>48</v>
      </c>
      <c r="B74" s="159"/>
      <c r="C74" s="56">
        <f ca="1">J82</f>
        <v>24</v>
      </c>
      <c r="D74" s="19">
        <f ca="1">((100/H70)*C74)/100</f>
        <v>1</v>
      </c>
      <c r="E74" s="226"/>
      <c r="F74" s="227"/>
      <c r="G74" s="226"/>
      <c r="H74" s="231"/>
      <c r="I74" s="14" t="s">
        <v>96</v>
      </c>
      <c r="J74" s="29">
        <f ca="1">H70</f>
        <v>24</v>
      </c>
    </row>
    <row r="75" spans="1:14" ht="15.75" customHeight="1" x14ac:dyDescent="0.35">
      <c r="A75" s="158" t="s">
        <v>122</v>
      </c>
      <c r="B75" s="159"/>
      <c r="C75" s="44">
        <v>16</v>
      </c>
      <c r="D75" s="19">
        <f ca="1">((100/(D70+F70+H70))*C75)/100</f>
        <v>0.64</v>
      </c>
      <c r="E75" s="226"/>
      <c r="F75" s="227"/>
      <c r="G75" s="226"/>
      <c r="H75" s="231"/>
      <c r="I75" s="14" t="s">
        <v>97</v>
      </c>
      <c r="J75" s="30">
        <f ca="1">(IF(B70&gt;1,(H70/(B70+2)),H70/4))</f>
        <v>6</v>
      </c>
    </row>
    <row r="76" spans="1:14" ht="15.75" customHeight="1" x14ac:dyDescent="0.35">
      <c r="A76" s="158" t="s">
        <v>129</v>
      </c>
      <c r="B76" s="159" t="s">
        <v>123</v>
      </c>
      <c r="C76" s="44">
        <v>12</v>
      </c>
      <c r="D76" s="19">
        <f ca="1">((100/H70)*C76)/100</f>
        <v>0.5</v>
      </c>
      <c r="E76" s="226"/>
      <c r="F76" s="227"/>
      <c r="G76" s="226"/>
      <c r="H76" s="231"/>
      <c r="I76" s="14" t="s">
        <v>98</v>
      </c>
      <c r="J76" s="30">
        <f ca="1">(IF(B70&gt;1,(H70/(B70+2)+J75),H70/4+J75))</f>
        <v>12</v>
      </c>
    </row>
    <row r="77" spans="1:14" ht="15.75" customHeight="1" x14ac:dyDescent="0.35">
      <c r="A77" s="158" t="s">
        <v>130</v>
      </c>
      <c r="B77" s="159" t="s">
        <v>123</v>
      </c>
      <c r="C77" s="44">
        <v>0</v>
      </c>
      <c r="D77" s="19">
        <f ca="1">((100/H70)*C77)/100</f>
        <v>0</v>
      </c>
      <c r="E77" s="226"/>
      <c r="F77" s="227"/>
      <c r="G77" s="226"/>
      <c r="H77" s="231"/>
      <c r="I77" s="14" t="s">
        <v>139</v>
      </c>
      <c r="J77" s="30">
        <f>(IF(B70&gt;1,(H70/(B70+2)+J76),0))</f>
        <v>0</v>
      </c>
    </row>
    <row r="78" spans="1:14" ht="15" customHeight="1" x14ac:dyDescent="0.35">
      <c r="A78" s="158" t="s">
        <v>128</v>
      </c>
      <c r="B78" s="159" t="s">
        <v>125</v>
      </c>
      <c r="C78" s="44">
        <v>0</v>
      </c>
      <c r="D78" s="19">
        <f ca="1">((100/(H70))*C78)/100</f>
        <v>0</v>
      </c>
      <c r="E78" s="226"/>
      <c r="F78" s="227"/>
      <c r="G78" s="226"/>
      <c r="H78" s="231"/>
      <c r="I78" s="14" t="s">
        <v>136</v>
      </c>
      <c r="J78" s="30">
        <f>(IF(B70&gt;2,(H70/(B70+2)+J77),0))</f>
        <v>0</v>
      </c>
    </row>
    <row r="79" spans="1:14" ht="15.75" customHeight="1" x14ac:dyDescent="0.35">
      <c r="A79" s="158" t="s">
        <v>124</v>
      </c>
      <c r="B79" s="159" t="s">
        <v>124</v>
      </c>
      <c r="C79" s="44">
        <v>0</v>
      </c>
      <c r="D79" s="19">
        <f ca="1">((100/H70)*C79)/100</f>
        <v>0</v>
      </c>
      <c r="E79" s="226"/>
      <c r="F79" s="227"/>
      <c r="G79" s="226"/>
      <c r="H79" s="231"/>
      <c r="I79" s="14" t="s">
        <v>137</v>
      </c>
      <c r="J79" s="31">
        <f>(IF(B70&gt;3,(H70/(B70+2)+J78),0))</f>
        <v>0</v>
      </c>
    </row>
    <row r="80" spans="1:14" ht="15.75" customHeight="1" x14ac:dyDescent="0.35">
      <c r="A80" s="158" t="s">
        <v>131</v>
      </c>
      <c r="B80" s="159"/>
      <c r="C80" s="44">
        <v>0</v>
      </c>
      <c r="D80" s="19">
        <f ca="1">((100/H70)*C80)/100</f>
        <v>0</v>
      </c>
      <c r="E80" s="226"/>
      <c r="F80" s="227"/>
      <c r="G80" s="226"/>
      <c r="H80" s="231"/>
      <c r="I80" s="14" t="s">
        <v>138</v>
      </c>
      <c r="J80" s="30">
        <f>(IF(B70&gt;4,(H70/(B70+2)+J79),0))</f>
        <v>0</v>
      </c>
    </row>
    <row r="81" spans="1:10" ht="15.75" customHeight="1" x14ac:dyDescent="0.35">
      <c r="A81" s="158" t="s">
        <v>126</v>
      </c>
      <c r="B81" s="159" t="s">
        <v>126</v>
      </c>
      <c r="C81" s="44">
        <v>0</v>
      </c>
      <c r="D81" s="19">
        <f ca="1">((100/(H70))*C81)/100</f>
        <v>0</v>
      </c>
      <c r="E81" s="226"/>
      <c r="F81" s="227"/>
      <c r="G81" s="226"/>
      <c r="H81" s="231"/>
      <c r="I81" s="14" t="s">
        <v>140</v>
      </c>
      <c r="J81" s="30">
        <f ca="1">(IF(B70=1,(H70/(B70+3)+J76),IF(B70=0,(H70/4+J76),IF(B70&gt;1,0))))</f>
        <v>18</v>
      </c>
    </row>
    <row r="82" spans="1:10" ht="16" thickBot="1" x14ac:dyDescent="0.4">
      <c r="A82" s="222" t="s">
        <v>127</v>
      </c>
      <c r="B82" s="223"/>
      <c r="C82" s="45">
        <v>0</v>
      </c>
      <c r="D82" s="20">
        <f ca="1">((100/(H70))*C82)/100</f>
        <v>0</v>
      </c>
      <c r="E82" s="228"/>
      <c r="F82" s="229"/>
      <c r="G82" s="228"/>
      <c r="H82" s="232"/>
      <c r="I82" s="15" t="s">
        <v>99</v>
      </c>
      <c r="J82" s="32">
        <f ca="1">(IF(B70&gt;1.5,(H70/(B70+2)+J76+MAX(0,J77-J76)+MAX(0,J78-J77)+MAX(0,J79-J78)+MAX(0,J80-J79)+MAX(0,J81-J80)),IF(B70=1,(H70/(B70+3)+J81),IF(B70=0,H70/4+J81))))</f>
        <v>24</v>
      </c>
    </row>
    <row r="83" spans="1:10" ht="15.75" customHeight="1" x14ac:dyDescent="0.35">
      <c r="A83" s="153" t="s">
        <v>133</v>
      </c>
      <c r="B83" s="154"/>
      <c r="C83" s="155" t="s">
        <v>228</v>
      </c>
      <c r="D83" s="156"/>
      <c r="E83" s="156"/>
      <c r="F83" s="156"/>
      <c r="G83" s="156"/>
      <c r="H83" s="157"/>
      <c r="I83" s="50" t="str">
        <f ca="1">IF(D96=100%,"All work Completed. Possession granted to the Building.",IF(D95=100%,"All work Completed, Waiting for OC",I84&amp;""&amp;I85&amp;""&amp;J84&amp;""&amp;J83&amp;" "&amp;J85))</f>
        <v>Excavation, Plinth Completed, RCC upto 16 Slab, Brickwork upto 12 Floor Completed</v>
      </c>
      <c r="J83" s="51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16 Slab, Brickwork upto 12 Floor</v>
      </c>
    </row>
    <row r="84" spans="1:10" x14ac:dyDescent="0.35">
      <c r="A84" s="16" t="s">
        <v>135</v>
      </c>
      <c r="B84" s="55">
        <f>IF(AND(ISNUMBER(SEARCH("1B",C83))),1,IF(AND(ISNUMBER(SEARCH("2B",C83))),2,IF(AND(ISNUMBER(SEARCH("3B",C83))),3,IF(AND(ISNUMBER(SEARCH("4B",C83))),4,IF(ISNUMBER(SEARCH("5B",C83)),5,0)))))</f>
        <v>0</v>
      </c>
      <c r="C84" s="48" t="s">
        <v>67</v>
      </c>
      <c r="D84" s="48">
        <v>1</v>
      </c>
      <c r="E84" s="48" t="s">
        <v>66</v>
      </c>
      <c r="F84" s="55">
        <v>0</v>
      </c>
      <c r="G84" s="49" t="s">
        <v>75</v>
      </c>
      <c r="H84" s="17">
        <f ca="1">--TRIM(RIGHT(SUBSTITUTE(LEFT(C83,_xlfn.AGGREGATE(16,6,FIND({0,1,2,3,4,5,6,7,8,9},C83,ROW(INDIRECT("1:"&amp;LEN(C83)))),1))," ",REPT(" ",LEN(C83))),LEN(C83)))</f>
        <v>24</v>
      </c>
      <c r="I84" s="52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53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4.5" customHeight="1" x14ac:dyDescent="0.35">
      <c r="A85" s="233" t="s">
        <v>85</v>
      </c>
      <c r="B85" s="200"/>
      <c r="C85" s="239" t="str">
        <f ca="1">I83</f>
        <v>Excavation, Plinth Completed, RCC upto 16 Slab, Brickwork upto 12 Floor Completed</v>
      </c>
      <c r="D85" s="239"/>
      <c r="E85" s="239"/>
      <c r="F85" s="239"/>
      <c r="G85" s="239"/>
      <c r="H85" s="240"/>
      <c r="I85" s="52" t="str">
        <f ca="1">IF(I84&lt;&gt;""," Completed","")</f>
        <v xml:space="preserve"> Completed</v>
      </c>
      <c r="J85" s="53" t="str">
        <f ca="1">IF(J83&lt;&gt;"","Completed","")</f>
        <v>Completed</v>
      </c>
    </row>
    <row r="86" spans="1:10" ht="15.75" customHeight="1" x14ac:dyDescent="0.35">
      <c r="A86" s="158" t="s">
        <v>47</v>
      </c>
      <c r="B86" s="159"/>
      <c r="C86" s="44" t="s">
        <v>132</v>
      </c>
      <c r="D86" s="44" t="s">
        <v>78</v>
      </c>
      <c r="E86" s="159" t="s">
        <v>80</v>
      </c>
      <c r="F86" s="159"/>
      <c r="G86" s="159" t="s">
        <v>79</v>
      </c>
      <c r="H86" s="234"/>
      <c r="I86" s="14" t="s">
        <v>134</v>
      </c>
      <c r="J86" s="28">
        <f ca="1">H84*25%</f>
        <v>6</v>
      </c>
    </row>
    <row r="87" spans="1:10" x14ac:dyDescent="0.35">
      <c r="A87" s="158" t="s">
        <v>121</v>
      </c>
      <c r="B87" s="159"/>
      <c r="C87" s="44">
        <f ca="1">J88</f>
        <v>24</v>
      </c>
      <c r="D87" s="19">
        <f ca="1">((100/H84)*C87)/100</f>
        <v>1</v>
      </c>
      <c r="E87" s="224">
        <f ca="1">(((C88/H84*10)+(40/(D84+F84+H84)*C89)+(7.5/(H84)*C90)+(7.5/(H84)*C91)+(10/H84*C92)+(10/H84*C93)+(5/H84*C94)+(5/H84*C95)+(5/H84*C96))/100)</f>
        <v>0.39350000000000002</v>
      </c>
      <c r="F87" s="225"/>
      <c r="G87" s="224">
        <f ca="1">((((C87/H84)*20)+((C88/H84)*25)+(30/(H84+F84+D84)*C89)+(5/H84*C90)+(5/H84*C91)+(5/H84*C92)+(5/H84*C93)+(0/H84*C94)+(0/H84*C95)+(5/H84*C96))/100)</f>
        <v>0.66700000000000004</v>
      </c>
      <c r="H87" s="230"/>
      <c r="I87" s="14" t="s">
        <v>95</v>
      </c>
      <c r="J87" s="29">
        <f ca="1">H84*50%</f>
        <v>12</v>
      </c>
    </row>
    <row r="88" spans="1:10" x14ac:dyDescent="0.35">
      <c r="A88" s="158" t="s">
        <v>48</v>
      </c>
      <c r="B88" s="159"/>
      <c r="C88" s="56">
        <f ca="1">J96</f>
        <v>24</v>
      </c>
      <c r="D88" s="19">
        <f ca="1">((100/H84)*C88)/100</f>
        <v>1</v>
      </c>
      <c r="E88" s="226"/>
      <c r="F88" s="227"/>
      <c r="G88" s="226"/>
      <c r="H88" s="231"/>
      <c r="I88" s="14" t="s">
        <v>96</v>
      </c>
      <c r="J88" s="29">
        <f ca="1">H84</f>
        <v>24</v>
      </c>
    </row>
    <row r="89" spans="1:10" ht="15.75" customHeight="1" x14ac:dyDescent="0.35">
      <c r="A89" s="158" t="s">
        <v>122</v>
      </c>
      <c r="B89" s="159"/>
      <c r="C89" s="44">
        <v>16</v>
      </c>
      <c r="D89" s="19">
        <f ca="1">((100/(D84+F84+H84))*C89)/100</f>
        <v>0.64</v>
      </c>
      <c r="E89" s="226"/>
      <c r="F89" s="227"/>
      <c r="G89" s="226"/>
      <c r="H89" s="231"/>
      <c r="I89" s="14" t="s">
        <v>97</v>
      </c>
      <c r="J89" s="30">
        <f ca="1">(IF(B84&gt;1,(H84/(B84+2)),H84/4))</f>
        <v>6</v>
      </c>
    </row>
    <row r="90" spans="1:10" ht="15.75" customHeight="1" x14ac:dyDescent="0.35">
      <c r="A90" s="158" t="s">
        <v>129</v>
      </c>
      <c r="B90" s="159" t="s">
        <v>123</v>
      </c>
      <c r="C90" s="44">
        <v>12</v>
      </c>
      <c r="D90" s="19">
        <f ca="1">((100/H84)*C90)/100</f>
        <v>0.5</v>
      </c>
      <c r="E90" s="226"/>
      <c r="F90" s="227"/>
      <c r="G90" s="226"/>
      <c r="H90" s="231"/>
      <c r="I90" s="14" t="s">
        <v>98</v>
      </c>
      <c r="J90" s="30">
        <f ca="1">(IF(B84&gt;1,(H84/(B84+2)+J89),H84/4+J89))</f>
        <v>12</v>
      </c>
    </row>
    <row r="91" spans="1:10" ht="15.75" customHeight="1" x14ac:dyDescent="0.35">
      <c r="A91" s="158" t="s">
        <v>130</v>
      </c>
      <c r="B91" s="159" t="s">
        <v>123</v>
      </c>
      <c r="C91" s="44">
        <v>0</v>
      </c>
      <c r="D91" s="19">
        <f ca="1">((100/H84)*C91)/100</f>
        <v>0</v>
      </c>
      <c r="E91" s="226"/>
      <c r="F91" s="227"/>
      <c r="G91" s="226"/>
      <c r="H91" s="231"/>
      <c r="I91" s="14" t="s">
        <v>139</v>
      </c>
      <c r="J91" s="30">
        <f>(IF(B84&gt;1,(H84/(B84+2)+J90),0))</f>
        <v>0</v>
      </c>
    </row>
    <row r="92" spans="1:10" ht="15" customHeight="1" x14ac:dyDescent="0.35">
      <c r="A92" s="158" t="s">
        <v>128</v>
      </c>
      <c r="B92" s="159" t="s">
        <v>125</v>
      </c>
      <c r="C92" s="44">
        <v>0</v>
      </c>
      <c r="D92" s="19">
        <f ca="1">((100/(H84))*C92)/100</f>
        <v>0</v>
      </c>
      <c r="E92" s="226"/>
      <c r="F92" s="227"/>
      <c r="G92" s="226"/>
      <c r="H92" s="231"/>
      <c r="I92" s="14" t="s">
        <v>136</v>
      </c>
      <c r="J92" s="30">
        <f>(IF(B84&gt;2,(H84/(B84+2)+J91),0))</f>
        <v>0</v>
      </c>
    </row>
    <row r="93" spans="1:10" ht="15.75" customHeight="1" x14ac:dyDescent="0.35">
      <c r="A93" s="158" t="s">
        <v>124</v>
      </c>
      <c r="B93" s="159" t="s">
        <v>124</v>
      </c>
      <c r="C93" s="44">
        <v>0</v>
      </c>
      <c r="D93" s="19">
        <f ca="1">((100/H84)*C93)/100</f>
        <v>0</v>
      </c>
      <c r="E93" s="226"/>
      <c r="F93" s="227"/>
      <c r="G93" s="226"/>
      <c r="H93" s="231"/>
      <c r="I93" s="14" t="s">
        <v>137</v>
      </c>
      <c r="J93" s="31">
        <f>(IF(B84&gt;3,(H84/(B84+2)+J92),0))</f>
        <v>0</v>
      </c>
    </row>
    <row r="94" spans="1:10" ht="15.75" customHeight="1" x14ac:dyDescent="0.35">
      <c r="A94" s="158" t="s">
        <v>131</v>
      </c>
      <c r="B94" s="159"/>
      <c r="C94" s="44">
        <v>0</v>
      </c>
      <c r="D94" s="19">
        <f ca="1">((100/H84)*C94)/100</f>
        <v>0</v>
      </c>
      <c r="E94" s="226"/>
      <c r="F94" s="227"/>
      <c r="G94" s="226"/>
      <c r="H94" s="231"/>
      <c r="I94" s="14" t="s">
        <v>138</v>
      </c>
      <c r="J94" s="30">
        <f>(IF(B84&gt;4,(H84/(B84+2)+J93),0))</f>
        <v>0</v>
      </c>
    </row>
    <row r="95" spans="1:10" ht="15.75" customHeight="1" x14ac:dyDescent="0.35">
      <c r="A95" s="158" t="s">
        <v>126</v>
      </c>
      <c r="B95" s="159" t="s">
        <v>126</v>
      </c>
      <c r="C95" s="44">
        <v>0</v>
      </c>
      <c r="D95" s="19">
        <f ca="1">((100/(H84))*C95)/100</f>
        <v>0</v>
      </c>
      <c r="E95" s="226"/>
      <c r="F95" s="227"/>
      <c r="G95" s="226"/>
      <c r="H95" s="231"/>
      <c r="I95" s="14" t="s">
        <v>140</v>
      </c>
      <c r="J95" s="30">
        <f ca="1">(IF(B84=1,(H84/(B84+3)+J90),IF(B84=0,(H84/4+J90),IF(B84&gt;1,0))))</f>
        <v>18</v>
      </c>
    </row>
    <row r="96" spans="1:10" ht="16" thickBot="1" x14ac:dyDescent="0.4">
      <c r="A96" s="222" t="s">
        <v>127</v>
      </c>
      <c r="B96" s="223"/>
      <c r="C96" s="45">
        <v>0</v>
      </c>
      <c r="D96" s="20">
        <f ca="1">((100/(H84))*C96)/100</f>
        <v>0</v>
      </c>
      <c r="E96" s="228"/>
      <c r="F96" s="229"/>
      <c r="G96" s="228"/>
      <c r="H96" s="232"/>
      <c r="I96" s="15" t="s">
        <v>99</v>
      </c>
      <c r="J96" s="32">
        <f ca="1">(IF(B84&gt;1.5,(H84/(B84+2)+J90+MAX(0,J91-J90)+MAX(0,J92-J91)+MAX(0,J93-J92)+MAX(0,J94-J93)+MAX(0,J95-J94)),IF(B84=1,(H84/(B84+3)+J95),IF(B84=0,H84/4+J95))))</f>
        <v>24</v>
      </c>
    </row>
    <row r="97" spans="1:11" x14ac:dyDescent="0.35">
      <c r="A97" s="153" t="s">
        <v>133</v>
      </c>
      <c r="B97" s="154"/>
      <c r="C97" s="155" t="s">
        <v>229</v>
      </c>
      <c r="D97" s="156"/>
      <c r="E97" s="156"/>
      <c r="F97" s="156"/>
      <c r="G97" s="156"/>
      <c r="H97" s="157"/>
      <c r="I97" s="50" t="str">
        <f ca="1">IF(D110=100%,"All work Completed. Possession granted to the Building.",IF(D109=100%,"All work Completed, Waiting for OC",I98&amp;""&amp;I99&amp;""&amp;J98&amp;""&amp;J97&amp;" "&amp;J99))</f>
        <v>Excavation, Plinth Completed, RCC upto 14 Slab, Brickwork upto 12 Floor Completed</v>
      </c>
      <c r="J97" s="51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RCC upto 14 Slab, Brickwork upto 12 Floor</v>
      </c>
    </row>
    <row r="98" spans="1:11" x14ac:dyDescent="0.35">
      <c r="A98" s="16" t="s">
        <v>135</v>
      </c>
      <c r="B98" s="55">
        <f>IF(AND(ISNUMBER(SEARCH("1B",C97))),1,IF(AND(ISNUMBER(SEARCH("2B",C97))),2,IF(AND(ISNUMBER(SEARCH("3B",C97))),3,IF(AND(ISNUMBER(SEARCH("4B",C97))),4,IF(ISNUMBER(SEARCH("5B",C97)),5,0)))))</f>
        <v>0</v>
      </c>
      <c r="C98" s="55" t="s">
        <v>67</v>
      </c>
      <c r="D98" s="55">
        <v>1</v>
      </c>
      <c r="E98" s="55" t="s">
        <v>66</v>
      </c>
      <c r="F98" s="55">
        <v>0</v>
      </c>
      <c r="G98" s="49" t="s">
        <v>75</v>
      </c>
      <c r="H98" s="17">
        <f ca="1">--TRIM(RIGHT(SUBSTITUTE(LEFT(C97,_xlfn.AGGREGATE(16,6,FIND({0,1,2,3,4,5,6,7,8,9},C97,ROW(INDIRECT("1:"&amp;LEN(C97)))),1))," ",REPT(" ",LEN(C97))),LEN(C97)))</f>
        <v>24</v>
      </c>
      <c r="I98" s="52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</v>
      </c>
      <c r="J98" s="53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1" ht="34.5" customHeight="1" x14ac:dyDescent="0.35">
      <c r="A99" s="233" t="s">
        <v>85</v>
      </c>
      <c r="B99" s="200"/>
      <c r="C99" s="239" t="str">
        <f ca="1">I97</f>
        <v>Excavation, Plinth Completed, RCC upto 14 Slab, Brickwork upto 12 Floor Completed</v>
      </c>
      <c r="D99" s="239"/>
      <c r="E99" s="239"/>
      <c r="F99" s="239"/>
      <c r="G99" s="239"/>
      <c r="H99" s="240"/>
      <c r="I99" s="52" t="str">
        <f ca="1">IF(I98&lt;&gt;""," Completed","")</f>
        <v xml:space="preserve"> Completed</v>
      </c>
      <c r="J99" s="53" t="str">
        <f ca="1">IF(J97&lt;&gt;"","Completed","")</f>
        <v>Completed</v>
      </c>
    </row>
    <row r="100" spans="1:11" x14ac:dyDescent="0.35">
      <c r="A100" s="158" t="s">
        <v>47</v>
      </c>
      <c r="B100" s="159"/>
      <c r="C100" s="101" t="s">
        <v>132</v>
      </c>
      <c r="D100" s="101" t="s">
        <v>78</v>
      </c>
      <c r="E100" s="159" t="s">
        <v>80</v>
      </c>
      <c r="F100" s="159"/>
      <c r="G100" s="159" t="s">
        <v>79</v>
      </c>
      <c r="H100" s="234"/>
      <c r="I100" s="14" t="s">
        <v>134</v>
      </c>
      <c r="J100" s="28">
        <f ca="1">H98*25%</f>
        <v>6</v>
      </c>
    </row>
    <row r="101" spans="1:11" s="33" customFormat="1" x14ac:dyDescent="0.35">
      <c r="A101" s="158" t="s">
        <v>121</v>
      </c>
      <c r="B101" s="159"/>
      <c r="C101" s="101">
        <f ca="1">J102</f>
        <v>24</v>
      </c>
      <c r="D101" s="19">
        <f ca="1">((100/H98)*C101)/100</f>
        <v>1</v>
      </c>
      <c r="E101" s="224">
        <f ca="1">(((C102/H98*10)+(40/(D98+F98+H98)*C103)+(7.5/(H98)*C104)+(7.5/(H98)*C105)+(10/H98*C106)+(10/H98*C107)+(5/H98*C108)+(5/H98*C109)+(5/H98*C110))/100)</f>
        <v>0.36150000000000004</v>
      </c>
      <c r="F101" s="225"/>
      <c r="G101" s="224">
        <f ca="1">((((C101/H98)*20)+((C102/H98)*25)+(30/(H98+F98+D98)*C103)+(5/H98*C104)+(5/H98*C105)+(5/H98*C106)+(5/H98*C107)+(0/H98*C108)+(0/H98*C109)+(5/H98*C110))/100)</f>
        <v>0.64300000000000002</v>
      </c>
      <c r="H101" s="230"/>
      <c r="I101" s="14" t="s">
        <v>95</v>
      </c>
      <c r="J101" s="29">
        <f ca="1">H98*50%</f>
        <v>12</v>
      </c>
      <c r="K101" s="21"/>
    </row>
    <row r="102" spans="1:11" s="33" customFormat="1" x14ac:dyDescent="0.35">
      <c r="A102" s="158" t="s">
        <v>48</v>
      </c>
      <c r="B102" s="159"/>
      <c r="C102" s="56">
        <f ca="1">J110</f>
        <v>24</v>
      </c>
      <c r="D102" s="19">
        <f ca="1">((100/H98)*C102)/100</f>
        <v>1</v>
      </c>
      <c r="E102" s="226"/>
      <c r="F102" s="227"/>
      <c r="G102" s="226"/>
      <c r="H102" s="231"/>
      <c r="I102" s="14" t="s">
        <v>96</v>
      </c>
      <c r="J102" s="29">
        <f ca="1">H98</f>
        <v>24</v>
      </c>
      <c r="K102" s="21"/>
    </row>
    <row r="103" spans="1:11" s="33" customFormat="1" x14ac:dyDescent="0.35">
      <c r="A103" s="158" t="s">
        <v>122</v>
      </c>
      <c r="B103" s="159"/>
      <c r="C103" s="101">
        <v>14</v>
      </c>
      <c r="D103" s="19">
        <f ca="1">((100/(D98+F98+H98))*C103)/100</f>
        <v>0.56000000000000005</v>
      </c>
      <c r="E103" s="226"/>
      <c r="F103" s="227"/>
      <c r="G103" s="226"/>
      <c r="H103" s="231"/>
      <c r="I103" s="14" t="s">
        <v>97</v>
      </c>
      <c r="J103" s="30">
        <f ca="1">(IF(B98&gt;1,(H98/(B98+2)),H98/4))</f>
        <v>6</v>
      </c>
      <c r="K103" s="21"/>
    </row>
    <row r="104" spans="1:11" s="33" customFormat="1" x14ac:dyDescent="0.35">
      <c r="A104" s="158" t="s">
        <v>129</v>
      </c>
      <c r="B104" s="159" t="s">
        <v>123</v>
      </c>
      <c r="C104" s="101">
        <v>12</v>
      </c>
      <c r="D104" s="19">
        <f ca="1">((100/H98)*C104)/100</f>
        <v>0.5</v>
      </c>
      <c r="E104" s="226"/>
      <c r="F104" s="227"/>
      <c r="G104" s="226"/>
      <c r="H104" s="231"/>
      <c r="I104" s="14" t="s">
        <v>98</v>
      </c>
      <c r="J104" s="30">
        <f ca="1">(IF(B98&gt;1,(H98/(B98+2)+J103),H98/4+J103))</f>
        <v>12</v>
      </c>
      <c r="K104" s="21"/>
    </row>
    <row r="105" spans="1:11" s="33" customFormat="1" x14ac:dyDescent="0.35">
      <c r="A105" s="158" t="s">
        <v>130</v>
      </c>
      <c r="B105" s="159" t="s">
        <v>123</v>
      </c>
      <c r="C105" s="101">
        <v>0</v>
      </c>
      <c r="D105" s="19">
        <f ca="1">((100/H98)*C105)/100</f>
        <v>0</v>
      </c>
      <c r="E105" s="226"/>
      <c r="F105" s="227"/>
      <c r="G105" s="226"/>
      <c r="H105" s="231"/>
      <c r="I105" s="14" t="s">
        <v>139</v>
      </c>
      <c r="J105" s="30">
        <f>(IF(B98&gt;1,(H98/(B98+2)+J104),0))</f>
        <v>0</v>
      </c>
      <c r="K105" s="21"/>
    </row>
    <row r="106" spans="1:11" s="33" customFormat="1" x14ac:dyDescent="0.35">
      <c r="A106" s="158" t="s">
        <v>128</v>
      </c>
      <c r="B106" s="159" t="s">
        <v>125</v>
      </c>
      <c r="C106" s="101">
        <v>0</v>
      </c>
      <c r="D106" s="19">
        <f ca="1">((100/(H98))*C106)/100</f>
        <v>0</v>
      </c>
      <c r="E106" s="226"/>
      <c r="F106" s="227"/>
      <c r="G106" s="226"/>
      <c r="H106" s="231"/>
      <c r="I106" s="14" t="s">
        <v>136</v>
      </c>
      <c r="J106" s="30">
        <f>(IF(B98&gt;2,(H98/(B98+2)+J105),0))</f>
        <v>0</v>
      </c>
      <c r="K106" s="21"/>
    </row>
    <row r="107" spans="1:11" s="33" customFormat="1" x14ac:dyDescent="0.35">
      <c r="A107" s="158" t="s">
        <v>124</v>
      </c>
      <c r="B107" s="159" t="s">
        <v>124</v>
      </c>
      <c r="C107" s="101">
        <v>0</v>
      </c>
      <c r="D107" s="19">
        <f ca="1">((100/H98)*C107)/100</f>
        <v>0</v>
      </c>
      <c r="E107" s="226"/>
      <c r="F107" s="227"/>
      <c r="G107" s="226"/>
      <c r="H107" s="231"/>
      <c r="I107" s="14" t="s">
        <v>137</v>
      </c>
      <c r="J107" s="31">
        <f>(IF(B98&gt;3,(H98/(B98+2)+J106),0))</f>
        <v>0</v>
      </c>
      <c r="K107" s="21"/>
    </row>
    <row r="108" spans="1:11" s="33" customFormat="1" x14ac:dyDescent="0.35">
      <c r="A108" s="158" t="s">
        <v>131</v>
      </c>
      <c r="B108" s="159"/>
      <c r="C108" s="101">
        <v>0</v>
      </c>
      <c r="D108" s="19">
        <f ca="1">((100/H98)*C108)/100</f>
        <v>0</v>
      </c>
      <c r="E108" s="226"/>
      <c r="F108" s="227"/>
      <c r="G108" s="226"/>
      <c r="H108" s="231"/>
      <c r="I108" s="14" t="s">
        <v>138</v>
      </c>
      <c r="J108" s="30">
        <f>(IF(B98&gt;4,(H98/(B98+2)+J107),0))</f>
        <v>0</v>
      </c>
      <c r="K108" s="21"/>
    </row>
    <row r="109" spans="1:11" x14ac:dyDescent="0.35">
      <c r="A109" s="158" t="s">
        <v>126</v>
      </c>
      <c r="B109" s="159" t="s">
        <v>126</v>
      </c>
      <c r="C109" s="101">
        <v>0</v>
      </c>
      <c r="D109" s="19">
        <f ca="1">((100/(H98))*C109)/100</f>
        <v>0</v>
      </c>
      <c r="E109" s="226"/>
      <c r="F109" s="227"/>
      <c r="G109" s="226"/>
      <c r="H109" s="231"/>
      <c r="I109" s="14" t="s">
        <v>140</v>
      </c>
      <c r="J109" s="30">
        <f ca="1">(IF(B98=1,(H98/(B98+3)+J104),IF(B98=0,(H98/4+J104),IF(B98&gt;1,0))))</f>
        <v>18</v>
      </c>
    </row>
    <row r="110" spans="1:11" s="34" customFormat="1" ht="16" thickBot="1" x14ac:dyDescent="0.4">
      <c r="A110" s="222" t="s">
        <v>127</v>
      </c>
      <c r="B110" s="223"/>
      <c r="C110" s="102">
        <v>0</v>
      </c>
      <c r="D110" s="20">
        <f ca="1">((100/(H98))*C110)/100</f>
        <v>0</v>
      </c>
      <c r="E110" s="228"/>
      <c r="F110" s="229"/>
      <c r="G110" s="228"/>
      <c r="H110" s="232"/>
      <c r="I110" s="15" t="s">
        <v>99</v>
      </c>
      <c r="J110" s="32">
        <f ca="1">(IF(B98&gt;1.5,(H98/(B98+2)+J104+MAX(0,J105-J104)+MAX(0,J106-J105)+MAX(0,J107-J106)+MAX(0,J108-J107)+MAX(0,J109-J108)),IF(B98=1,(H98/(B98+3)+J109),IF(B98=0,H98/4+J109))))</f>
        <v>24</v>
      </c>
      <c r="K110" s="21"/>
    </row>
    <row r="111" spans="1:11" x14ac:dyDescent="0.35">
      <c r="A111" s="153" t="s">
        <v>133</v>
      </c>
      <c r="B111" s="154"/>
      <c r="C111" s="155" t="str">
        <f>D61</f>
        <v>J Wing = Ground Floor</v>
      </c>
      <c r="D111" s="156"/>
      <c r="E111" s="156"/>
      <c r="F111" s="156"/>
      <c r="G111" s="156"/>
      <c r="H111" s="157"/>
      <c r="I111" s="50" t="e">
        <f>IF(D125=100%,"All work Completed. Possession granted to the Building.",IF(D124=100%,"All work Completed, Waiting for OC",I112&amp;""&amp;I113&amp;""&amp;J112&amp;""&amp;J111&amp;" "&amp;J113))</f>
        <v>#DIV/0!</v>
      </c>
      <c r="J111" s="51" t="str">
        <f>(IF(C118=(D112+F112+H112),"",IF(C118&gt;0,", RCC upto "&amp;C118&amp;" Slab","")))&amp;(IF(C119=H112,"",IF(C119&gt;0,", Brickwork upto "&amp;C119&amp;" Floor","")))&amp;(IF(C120=H112,"",IF(C120&gt;0,", Internal Plaster upto "&amp;C120&amp;" Floor","")))&amp;(IF(C121=H112,"",IF(C121&gt;0,", External Plaster upto "&amp;C121&amp;" Floor","")))&amp;(IF(C122=H112,"",IF(C122&gt;0,", Flooring upto "&amp;C122&amp;" Floor","")))&amp;(IF(C123=H112,"",IF(C123&gt;0,", Painting upto "&amp;C123&amp;" Floor","")))&amp;(IF(C124=H112,"",IF(C124&gt;0,", Finishing upto "&amp;C124&amp;" Floor","")))&amp;(IF(C125=H112,"",IF(C125&gt;0,", Possession upto "&amp;C125&amp;" Floor","")))</f>
        <v>, Brickwork upto 1 Floor, Internal Plaster upto 1 Floor, External Plaster upto 1 Floor, Flooring upto 1 Floor, Painting upto 1 Floor, Finishing upto 1 Floor, Possession upto 1 Floor</v>
      </c>
    </row>
    <row r="112" spans="1:11" x14ac:dyDescent="0.35">
      <c r="A112" s="16" t="s">
        <v>135</v>
      </c>
      <c r="B112" s="55">
        <f>IF(AND(ISNUMBER(SEARCH("1B",C111))),1,IF(AND(ISNUMBER(SEARCH("2B",C111))),2,IF(AND(ISNUMBER(SEARCH("3B",C111))),3,IF(AND(ISNUMBER(SEARCH("4B",C111))),4,IF(ISNUMBER(SEARCH("5B",C111)),5,0)))))</f>
        <v>0</v>
      </c>
      <c r="C112" s="55" t="s">
        <v>67</v>
      </c>
      <c r="D112" s="55">
        <v>1</v>
      </c>
      <c r="E112" s="55" t="s">
        <v>66</v>
      </c>
      <c r="F112" s="55">
        <v>0</v>
      </c>
      <c r="G112" s="49" t="s">
        <v>75</v>
      </c>
      <c r="H112" s="17">
        <v>0</v>
      </c>
      <c r="I112" s="52" t="e">
        <f>IF(D116=100%,"Excavation","")&amp;IF(D117=100%,", Plinth","")&amp;IF(D118=100%,", RCC Slab","")&amp;IF(D119=100%,", Brickwork","")&amp;IF(D120=100%,", Internal Plaster","")&amp;IF(D121=100%,", External Plaster","")&amp;IF(D122=100%,", Flooring","")&amp;IF(D123=100%,", Painting","")&amp;IF(D124=100%,", Building common Amenities","")</f>
        <v>#DIV/0!</v>
      </c>
      <c r="J112" s="53" t="e">
        <f>(IF(C116=0,"Work not yet Started.",IF(D116=25%,"Piling work in process",IF(D116=50%,"Excavation work in process",IF(D116=100%,"","0")))))&amp;(IF(C117=0%,"",IF(C117=J118,", Footing work is process",IF(C117=J119,", Footing work Completed",IF(C117=J120,", 1st Basement Completed",IF(C117=J121,", 1st &amp; 2nd Basement Completed",IF(C117=J122,", 1st to 3rd Basement Completed",IF(C117=J123,", 1st to 4th Basement Completed",IF(C117=J124,", Plinth work is process",IF(C117=J125,"","0"))))))))))</f>
        <v>#DIV/0!</v>
      </c>
    </row>
    <row r="113" spans="1:11" x14ac:dyDescent="0.35">
      <c r="A113" s="233" t="s">
        <v>85</v>
      </c>
      <c r="B113" s="200"/>
      <c r="C113" s="239" t="str">
        <f>(IF($G$54="NA",I111,"All work Completed. OC Received."))</f>
        <v>All work Completed. OC Received.</v>
      </c>
      <c r="D113" s="239"/>
      <c r="E113" s="239"/>
      <c r="F113" s="239"/>
      <c r="G113" s="239"/>
      <c r="H113" s="240"/>
      <c r="I113" s="52" t="e">
        <f>IF(I112&lt;&gt;""," Completed","")</f>
        <v>#DIV/0!</v>
      </c>
      <c r="J113" s="53" t="str">
        <f>IF(J111&lt;&gt;"","Completed","")</f>
        <v>Completed</v>
      </c>
    </row>
    <row r="114" spans="1:11" ht="15.75" customHeight="1" thickBot="1" x14ac:dyDescent="0.4">
      <c r="A114" s="255" t="s">
        <v>237</v>
      </c>
      <c r="B114" s="256"/>
      <c r="C114" s="259">
        <v>1</v>
      </c>
      <c r="D114" s="258"/>
      <c r="E114" s="257" t="s">
        <v>79</v>
      </c>
      <c r="F114" s="258"/>
      <c r="G114" s="259">
        <v>1</v>
      </c>
      <c r="H114" s="260"/>
      <c r="I114" s="52" t="e">
        <f>IF(I111&lt;&gt;""," Completed","")</f>
        <v>#DIV/0!</v>
      </c>
      <c r="J114" s="53" t="str">
        <f ca="1">IF(J110&lt;&gt;"","Completed","")</f>
        <v>Completed</v>
      </c>
    </row>
    <row r="115" spans="1:11" hidden="1" x14ac:dyDescent="0.35">
      <c r="A115" s="158" t="s">
        <v>47</v>
      </c>
      <c r="B115" s="159"/>
      <c r="C115" s="103" t="s">
        <v>132</v>
      </c>
      <c r="D115" s="103" t="s">
        <v>78</v>
      </c>
      <c r="E115" s="159" t="s">
        <v>80</v>
      </c>
      <c r="F115" s="159"/>
      <c r="G115" s="159" t="s">
        <v>79</v>
      </c>
      <c r="H115" s="234"/>
      <c r="I115" s="14" t="s">
        <v>134</v>
      </c>
      <c r="J115" s="28">
        <f>H112*25%</f>
        <v>0</v>
      </c>
    </row>
    <row r="116" spans="1:11" s="33" customFormat="1" hidden="1" x14ac:dyDescent="0.35">
      <c r="A116" s="158" t="s">
        <v>121</v>
      </c>
      <c r="B116" s="159"/>
      <c r="C116" s="103">
        <v>1</v>
      </c>
      <c r="D116" s="19" t="e">
        <f>((100/H112)*C116)/100</f>
        <v>#DIV/0!</v>
      </c>
      <c r="E116" s="224" t="e">
        <f>(((C117/H112*10)+(40/(D112+F112+H112)*C118)+(7.5/(H112)*C119)+(7.5/(H112)*C120)+(10/H112*C121)+(10/H112*C122)+(5/H112*C123)+(5/H112*C124)+(5/H112*C125))/100)</f>
        <v>#DIV/0!</v>
      </c>
      <c r="F116" s="225"/>
      <c r="G116" s="224" t="e">
        <f>((((C116/H112)*20)+((C117/H112)*25)+(30/(H112+F112+D112)*C118)+(5/H112*C119)+(5/H112*C120)+(5/H112*C121)+(5/H112*C122)+(0/H112*C123)+(0/H112*C124)+(5/H112*C125))/100)</f>
        <v>#DIV/0!</v>
      </c>
      <c r="H116" s="230"/>
      <c r="I116" s="14" t="s">
        <v>95</v>
      </c>
      <c r="J116" s="29">
        <f>H112*50%</f>
        <v>0</v>
      </c>
      <c r="K116" s="21"/>
    </row>
    <row r="117" spans="1:11" s="33" customFormat="1" hidden="1" x14ac:dyDescent="0.35">
      <c r="A117" s="158" t="s">
        <v>48</v>
      </c>
      <c r="B117" s="159"/>
      <c r="C117" s="56">
        <v>1</v>
      </c>
      <c r="D117" s="19" t="e">
        <f>((100/H112)*C117)/100</f>
        <v>#DIV/0!</v>
      </c>
      <c r="E117" s="226"/>
      <c r="F117" s="227"/>
      <c r="G117" s="226"/>
      <c r="H117" s="231"/>
      <c r="I117" s="14" t="s">
        <v>96</v>
      </c>
      <c r="J117" s="29">
        <f>H112</f>
        <v>0</v>
      </c>
      <c r="K117" s="21"/>
    </row>
    <row r="118" spans="1:11" s="33" customFormat="1" hidden="1" x14ac:dyDescent="0.35">
      <c r="A118" s="158" t="s">
        <v>122</v>
      </c>
      <c r="B118" s="159"/>
      <c r="C118" s="103">
        <v>1</v>
      </c>
      <c r="D118" s="19">
        <v>1</v>
      </c>
      <c r="E118" s="226"/>
      <c r="F118" s="227"/>
      <c r="G118" s="226"/>
      <c r="H118" s="231"/>
      <c r="I118" s="14" t="s">
        <v>97</v>
      </c>
      <c r="J118" s="30">
        <f>(IF(B112&gt;1,(H112/(B112+2)),H112/4))</f>
        <v>0</v>
      </c>
      <c r="K118" s="21"/>
    </row>
    <row r="119" spans="1:11" s="33" customFormat="1" hidden="1" x14ac:dyDescent="0.35">
      <c r="A119" s="158" t="s">
        <v>129</v>
      </c>
      <c r="B119" s="159" t="s">
        <v>123</v>
      </c>
      <c r="C119" s="103">
        <v>1</v>
      </c>
      <c r="D119" s="19" t="e">
        <f>((100/H112)*C119)/100</f>
        <v>#DIV/0!</v>
      </c>
      <c r="E119" s="226"/>
      <c r="F119" s="227"/>
      <c r="G119" s="226"/>
      <c r="H119" s="231"/>
      <c r="I119" s="14" t="s">
        <v>98</v>
      </c>
      <c r="J119" s="30">
        <f>(IF(B112&gt;1,(H112/(B112+2)+J118),H112/4+J118))</f>
        <v>0</v>
      </c>
      <c r="K119" s="21"/>
    </row>
    <row r="120" spans="1:11" s="33" customFormat="1" hidden="1" x14ac:dyDescent="0.35">
      <c r="A120" s="158" t="s">
        <v>130</v>
      </c>
      <c r="B120" s="159" t="s">
        <v>123</v>
      </c>
      <c r="C120" s="103">
        <v>1</v>
      </c>
      <c r="D120" s="19" t="e">
        <f>((100/H112)*C120)/100</f>
        <v>#DIV/0!</v>
      </c>
      <c r="E120" s="226"/>
      <c r="F120" s="227"/>
      <c r="G120" s="226"/>
      <c r="H120" s="231"/>
      <c r="I120" s="14" t="s">
        <v>139</v>
      </c>
      <c r="J120" s="30">
        <f>(IF(B112&gt;1,(H112/(B112+2)+J119),0))</f>
        <v>0</v>
      </c>
      <c r="K120" s="21"/>
    </row>
    <row r="121" spans="1:11" s="33" customFormat="1" hidden="1" x14ac:dyDescent="0.35">
      <c r="A121" s="158" t="s">
        <v>128</v>
      </c>
      <c r="B121" s="159" t="s">
        <v>125</v>
      </c>
      <c r="C121" s="103">
        <v>1</v>
      </c>
      <c r="D121" s="19" t="e">
        <f>((100/(H112))*C121)/100</f>
        <v>#DIV/0!</v>
      </c>
      <c r="E121" s="226"/>
      <c r="F121" s="227"/>
      <c r="G121" s="226"/>
      <c r="H121" s="231"/>
      <c r="I121" s="14" t="s">
        <v>136</v>
      </c>
      <c r="J121" s="30">
        <f>(IF(B112&gt;2,(H112/(B112+2)+J120),0))</f>
        <v>0</v>
      </c>
      <c r="K121" s="21"/>
    </row>
    <row r="122" spans="1:11" s="33" customFormat="1" hidden="1" x14ac:dyDescent="0.35">
      <c r="A122" s="158" t="s">
        <v>124</v>
      </c>
      <c r="B122" s="159" t="s">
        <v>124</v>
      </c>
      <c r="C122" s="103">
        <v>1</v>
      </c>
      <c r="D122" s="19" t="e">
        <f>((100/H112)*C122)/100</f>
        <v>#DIV/0!</v>
      </c>
      <c r="E122" s="226"/>
      <c r="F122" s="227"/>
      <c r="G122" s="226"/>
      <c r="H122" s="231"/>
      <c r="I122" s="14" t="s">
        <v>137</v>
      </c>
      <c r="J122" s="31">
        <f>(IF(B112&gt;3,(H112/(B112+2)+J121),0))</f>
        <v>0</v>
      </c>
      <c r="K122" s="21"/>
    </row>
    <row r="123" spans="1:11" s="33" customFormat="1" hidden="1" x14ac:dyDescent="0.35">
      <c r="A123" s="158" t="s">
        <v>131</v>
      </c>
      <c r="B123" s="159"/>
      <c r="C123" s="103">
        <v>1</v>
      </c>
      <c r="D123" s="19" t="e">
        <f>((100/H112)*C123)/100</f>
        <v>#DIV/0!</v>
      </c>
      <c r="E123" s="226"/>
      <c r="F123" s="227"/>
      <c r="G123" s="226"/>
      <c r="H123" s="231"/>
      <c r="I123" s="14" t="s">
        <v>138</v>
      </c>
      <c r="J123" s="30">
        <f>(IF(B112&gt;4,(H112/(B112+2)+J122),0))</f>
        <v>0</v>
      </c>
      <c r="K123" s="21"/>
    </row>
    <row r="124" spans="1:11" hidden="1" x14ac:dyDescent="0.35">
      <c r="A124" s="158" t="s">
        <v>126</v>
      </c>
      <c r="B124" s="159" t="s">
        <v>126</v>
      </c>
      <c r="C124" s="103">
        <v>1</v>
      </c>
      <c r="D124" s="19" t="e">
        <f>((100/(H112))*C124)/100</f>
        <v>#DIV/0!</v>
      </c>
      <c r="E124" s="226"/>
      <c r="F124" s="227"/>
      <c r="G124" s="226"/>
      <c r="H124" s="231"/>
      <c r="I124" s="14" t="s">
        <v>140</v>
      </c>
      <c r="J124" s="30">
        <f>(IF(B112=1,(H112/(B112+3)+J119),IF(B112=0,(H112/4+J119),IF(B112&gt;1,0))))</f>
        <v>0</v>
      </c>
    </row>
    <row r="125" spans="1:11" s="34" customFormat="1" ht="16" hidden="1" thickBot="1" x14ac:dyDescent="0.4">
      <c r="A125" s="222" t="s">
        <v>127</v>
      </c>
      <c r="B125" s="223"/>
      <c r="C125" s="104">
        <v>1</v>
      </c>
      <c r="D125" s="20" t="e">
        <f>((100/(H112))*C125)/100</f>
        <v>#DIV/0!</v>
      </c>
      <c r="E125" s="228"/>
      <c r="F125" s="229"/>
      <c r="G125" s="228"/>
      <c r="H125" s="232"/>
      <c r="I125" s="15" t="s">
        <v>99</v>
      </c>
      <c r="J125" s="32">
        <f>(IF(B112&gt;1.5,(H112/(B112+2)+J119+MAX(0,J120-J119)+MAX(0,J121-J120)+MAX(0,J122-J121)+MAX(0,J123-J122)+MAX(0,J124-J123)),IF(B112=1,(H112/(B112+3)+J124),IF(B112=0,H112/4+J124))))</f>
        <v>0</v>
      </c>
      <c r="K125" s="21"/>
    </row>
    <row r="126" spans="1:11" ht="15.75" customHeight="1" x14ac:dyDescent="0.35">
      <c r="A126" s="252"/>
      <c r="B126" s="253"/>
      <c r="C126" s="253"/>
      <c r="D126" s="253"/>
      <c r="E126" s="253"/>
      <c r="F126" s="253"/>
      <c r="G126" s="253"/>
      <c r="H126" s="254"/>
      <c r="I126" s="52" t="str">
        <f>IF(I124&lt;&gt;""," Completed","")</f>
        <v xml:space="preserve"> Completed</v>
      </c>
      <c r="J126" s="53" t="str">
        <f>IF(J123&lt;&gt;"","Completed","")</f>
        <v>Completed</v>
      </c>
    </row>
    <row r="127" spans="1:11" s="35" customFormat="1" x14ac:dyDescent="0.35">
      <c r="A127" s="238" t="s">
        <v>147</v>
      </c>
      <c r="B127" s="238"/>
      <c r="C127" s="238"/>
      <c r="D127" s="238"/>
      <c r="E127" s="238"/>
      <c r="F127" s="241" t="s">
        <v>151</v>
      </c>
      <c r="G127" s="241"/>
      <c r="H127" s="241"/>
      <c r="I127" s="21"/>
      <c r="J127" s="21"/>
      <c r="K127" s="21"/>
    </row>
    <row r="128" spans="1:11" s="35" customFormat="1" ht="15.75" customHeight="1" x14ac:dyDescent="0.35">
      <c r="A128" s="178" t="s">
        <v>149</v>
      </c>
      <c r="B128" s="178"/>
      <c r="C128" s="178"/>
      <c r="D128" s="178"/>
      <c r="E128" s="178"/>
      <c r="F128" s="169">
        <v>4500</v>
      </c>
      <c r="G128" s="169"/>
      <c r="H128" s="169"/>
      <c r="I128" s="21"/>
      <c r="J128" s="90" t="s">
        <v>255</v>
      </c>
      <c r="K128" s="110"/>
    </row>
    <row r="129" spans="1:14" s="35" customFormat="1" x14ac:dyDescent="0.35">
      <c r="A129" s="178" t="s">
        <v>148</v>
      </c>
      <c r="B129" s="178"/>
      <c r="C129" s="178"/>
      <c r="D129" s="178"/>
      <c r="E129" s="178"/>
      <c r="F129" s="169">
        <v>12500</v>
      </c>
      <c r="G129" s="169"/>
      <c r="H129" s="169"/>
      <c r="I129" s="21"/>
      <c r="J129" s="108" t="s">
        <v>250</v>
      </c>
      <c r="K129" s="108"/>
      <c r="L129" s="109"/>
      <c r="M129" s="109"/>
    </row>
    <row r="130" spans="1:14" s="35" customFormat="1" hidden="1" x14ac:dyDescent="0.35">
      <c r="A130" s="178" t="s">
        <v>150</v>
      </c>
      <c r="B130" s="178"/>
      <c r="C130" s="178"/>
      <c r="D130" s="178"/>
      <c r="E130" s="178"/>
      <c r="F130" s="169"/>
      <c r="G130" s="169"/>
      <c r="H130" s="169"/>
      <c r="I130" s="21"/>
      <c r="J130" s="21"/>
      <c r="K130" s="21"/>
    </row>
    <row r="131" spans="1:14" s="35" customFormat="1" x14ac:dyDescent="0.3">
      <c r="A131" s="178" t="s">
        <v>251</v>
      </c>
      <c r="B131" s="178"/>
      <c r="C131" s="178"/>
      <c r="D131" s="178"/>
      <c r="E131" s="178"/>
      <c r="F131" s="169">
        <v>20</v>
      </c>
      <c r="G131" s="169"/>
      <c r="H131" s="169"/>
      <c r="I131" s="33"/>
      <c r="J131" s="33"/>
      <c r="K131" s="33"/>
    </row>
    <row r="132" spans="1:14" s="35" customFormat="1" x14ac:dyDescent="0.3">
      <c r="A132" s="178" t="s">
        <v>252</v>
      </c>
      <c r="B132" s="178"/>
      <c r="C132" s="178"/>
      <c r="D132" s="178"/>
      <c r="E132" s="178"/>
      <c r="F132" s="169">
        <v>250000</v>
      </c>
      <c r="G132" s="169"/>
      <c r="H132" s="169"/>
      <c r="I132" s="33"/>
      <c r="J132" s="33"/>
      <c r="K132" s="33"/>
    </row>
    <row r="133" spans="1:14" s="34" customFormat="1" hidden="1" x14ac:dyDescent="0.35">
      <c r="A133" s="178" t="s">
        <v>90</v>
      </c>
      <c r="B133" s="178"/>
      <c r="C133" s="178"/>
      <c r="D133" s="178"/>
      <c r="E133" s="178"/>
      <c r="F133" s="169"/>
      <c r="G133" s="169"/>
      <c r="H133" s="169"/>
      <c r="I133" s="33"/>
      <c r="J133" s="33"/>
      <c r="K133" s="33"/>
    </row>
    <row r="134" spans="1:14" x14ac:dyDescent="0.35">
      <c r="A134" s="178" t="s">
        <v>253</v>
      </c>
      <c r="B134" s="178"/>
      <c r="C134" s="178"/>
      <c r="D134" s="178"/>
      <c r="E134" s="178"/>
      <c r="F134" s="169">
        <v>75000</v>
      </c>
      <c r="G134" s="169"/>
      <c r="H134" s="169"/>
      <c r="I134" s="33"/>
      <c r="J134" s="33"/>
      <c r="K134" s="33"/>
      <c r="L134" s="61"/>
    </row>
    <row r="135" spans="1:14" ht="47.25" hidden="1" customHeight="1" x14ac:dyDescent="0.35">
      <c r="A135" s="178" t="s">
        <v>91</v>
      </c>
      <c r="B135" s="178"/>
      <c r="C135" s="178"/>
      <c r="D135" s="178"/>
      <c r="E135" s="178"/>
      <c r="F135" s="169"/>
      <c r="G135" s="169"/>
      <c r="H135" s="169"/>
      <c r="I135" s="33"/>
      <c r="J135" s="33"/>
      <c r="K135" s="33"/>
    </row>
    <row r="136" spans="1:14" s="37" customFormat="1" hidden="1" x14ac:dyDescent="0.3">
      <c r="A136" s="178" t="s">
        <v>92</v>
      </c>
      <c r="B136" s="178"/>
      <c r="C136" s="178"/>
      <c r="D136" s="178"/>
      <c r="E136" s="178"/>
      <c r="F136" s="169"/>
      <c r="G136" s="169"/>
      <c r="H136" s="169"/>
      <c r="I136" s="33"/>
      <c r="J136" s="33"/>
      <c r="K136" s="33"/>
    </row>
    <row r="137" spans="1:14" s="59" customFormat="1" hidden="1" x14ac:dyDescent="0.3">
      <c r="A137" s="178" t="s">
        <v>93</v>
      </c>
      <c r="B137" s="178"/>
      <c r="C137" s="178"/>
      <c r="D137" s="178"/>
      <c r="E137" s="178"/>
      <c r="F137" s="169"/>
      <c r="G137" s="169"/>
      <c r="H137" s="169"/>
      <c r="I137" s="33"/>
      <c r="J137" s="33"/>
      <c r="K137" s="33"/>
    </row>
    <row r="138" spans="1:14" s="59" customFormat="1" x14ac:dyDescent="0.3">
      <c r="A138" s="178" t="s">
        <v>94</v>
      </c>
      <c r="B138" s="178"/>
      <c r="C138" s="178"/>
      <c r="D138" s="178"/>
      <c r="E138" s="178"/>
      <c r="F138" s="169">
        <v>65000</v>
      </c>
      <c r="G138" s="169"/>
      <c r="H138" s="169"/>
      <c r="I138" s="33"/>
      <c r="J138" s="33"/>
      <c r="K138" s="33"/>
      <c r="L138" s="100"/>
      <c r="M138" s="100"/>
      <c r="N138" s="100"/>
    </row>
    <row r="139" spans="1:14" s="59" customFormat="1" ht="16" thickBot="1" x14ac:dyDescent="0.4">
      <c r="A139" s="178" t="s">
        <v>49</v>
      </c>
      <c r="B139" s="178"/>
      <c r="C139" s="178"/>
      <c r="D139" s="178"/>
      <c r="E139" s="178"/>
      <c r="F139" s="169">
        <v>200000</v>
      </c>
      <c r="G139" s="169"/>
      <c r="H139" s="169"/>
      <c r="I139" s="21"/>
      <c r="J139" s="21"/>
      <c r="K139" s="21"/>
    </row>
    <row r="140" spans="1:14" s="37" customFormat="1" ht="15.75" customHeight="1" thickBot="1" x14ac:dyDescent="0.4">
      <c r="A140" s="196" t="s">
        <v>50</v>
      </c>
      <c r="B140" s="196"/>
      <c r="C140" s="196"/>
      <c r="D140" s="196"/>
      <c r="E140" s="196"/>
      <c r="F140" s="169">
        <f>F128*0.8</f>
        <v>3600</v>
      </c>
      <c r="G140" s="169"/>
      <c r="H140" s="169"/>
      <c r="I140" s="34"/>
      <c r="J140" s="34"/>
      <c r="K140" s="34"/>
      <c r="L140" s="97"/>
      <c r="M140" s="98"/>
    </row>
    <row r="141" spans="1:14" s="59" customFormat="1" ht="15.75" customHeight="1" thickBot="1" x14ac:dyDescent="0.4">
      <c r="A141" s="198" t="s">
        <v>247</v>
      </c>
      <c r="B141" s="198"/>
      <c r="C141" s="198"/>
      <c r="D141" s="198"/>
      <c r="E141" s="198"/>
      <c r="F141" s="198"/>
      <c r="G141" s="198"/>
      <c r="H141" s="198"/>
      <c r="I141" s="35"/>
      <c r="J141" s="35"/>
      <c r="K141" s="35"/>
      <c r="L141" s="68"/>
      <c r="M141" s="69"/>
    </row>
    <row r="142" spans="1:14" s="59" customFormat="1" ht="15.75" customHeight="1" x14ac:dyDescent="0.35">
      <c r="A142" s="191" t="s">
        <v>51</v>
      </c>
      <c r="B142" s="191"/>
      <c r="C142" s="189" t="s">
        <v>73</v>
      </c>
      <c r="D142" s="189"/>
      <c r="E142" s="188" t="s">
        <v>52</v>
      </c>
      <c r="F142" s="188"/>
      <c r="G142" s="191" t="s">
        <v>53</v>
      </c>
      <c r="H142" s="191"/>
      <c r="I142" s="35"/>
      <c r="J142" s="35"/>
      <c r="K142" s="35"/>
      <c r="L142" s="72"/>
      <c r="M142" s="73"/>
    </row>
    <row r="143" spans="1:14" s="59" customFormat="1" ht="15.75" customHeight="1" thickBot="1" x14ac:dyDescent="0.4">
      <c r="A143" s="197" t="s">
        <v>242</v>
      </c>
      <c r="B143" s="197"/>
      <c r="C143" s="170">
        <v>14</v>
      </c>
      <c r="D143" s="170"/>
      <c r="E143" s="170">
        <f>SUM(D156:D169)</f>
        <v>2467.9160999999999</v>
      </c>
      <c r="F143" s="170"/>
      <c r="G143" s="170">
        <f>SUM(F156:F169)</f>
        <v>4970</v>
      </c>
      <c r="H143" s="170"/>
      <c r="I143" s="95"/>
      <c r="J143" s="35"/>
      <c r="K143" s="35"/>
      <c r="L143" s="72"/>
      <c r="M143" s="73"/>
    </row>
    <row r="144" spans="1:14" s="37" customFormat="1" ht="15.75" customHeight="1" thickBot="1" x14ac:dyDescent="0.4">
      <c r="A144" s="198" t="s">
        <v>208</v>
      </c>
      <c r="B144" s="198"/>
      <c r="C144" s="198"/>
      <c r="D144" s="198"/>
      <c r="E144" s="198"/>
      <c r="F144" s="198"/>
      <c r="G144" s="198"/>
      <c r="H144" s="198"/>
      <c r="I144" s="35"/>
      <c r="J144" s="35">
        <f>2200000/350</f>
        <v>6285.7142857142853</v>
      </c>
      <c r="K144" s="35"/>
      <c r="L144" s="68"/>
      <c r="M144" s="69"/>
    </row>
    <row r="145" spans="1:13" s="37" customFormat="1" ht="15.75" customHeight="1" x14ac:dyDescent="0.35">
      <c r="A145" s="191" t="s">
        <v>51</v>
      </c>
      <c r="B145" s="191"/>
      <c r="C145" s="189" t="s">
        <v>73</v>
      </c>
      <c r="D145" s="189"/>
      <c r="E145" s="188" t="s">
        <v>52</v>
      </c>
      <c r="F145" s="188"/>
      <c r="G145" s="191" t="s">
        <v>53</v>
      </c>
      <c r="H145" s="191"/>
      <c r="I145" s="35"/>
      <c r="J145" s="35"/>
      <c r="K145" s="35"/>
      <c r="L145" s="72"/>
      <c r="M145" s="73"/>
    </row>
    <row r="146" spans="1:13" s="37" customFormat="1" ht="15.75" customHeight="1" x14ac:dyDescent="0.35">
      <c r="A146" s="197" t="s">
        <v>181</v>
      </c>
      <c r="B146" s="197"/>
      <c r="C146" s="170">
        <f>COUNT(D176:D184)*10+COUNT(D186:D194)*10+COUNT(D196:D203)*2+COUNT(D206:D213)*2</f>
        <v>212</v>
      </c>
      <c r="D146" s="170"/>
      <c r="E146" s="170">
        <f>SUM(D176:D184)*10+SUM(D186:D194)*10+SUM(D196:D203)*2+SUM(D206:D213)*2</f>
        <v>94625.80732800001</v>
      </c>
      <c r="F146" s="170"/>
      <c r="G146" s="170">
        <f>SUM(F176:F184)*10+SUM(F186:F194)*10+SUM(F196:F203)*2+SUM(F206:F213)*2</f>
        <v>155463.46171199996</v>
      </c>
      <c r="H146" s="170"/>
      <c r="I146" s="95"/>
      <c r="J146" s="35"/>
      <c r="K146" s="35"/>
      <c r="L146" s="72"/>
      <c r="M146" s="73"/>
    </row>
    <row r="147" spans="1:13" s="59" customFormat="1" x14ac:dyDescent="0.35">
      <c r="A147" s="197" t="s">
        <v>187</v>
      </c>
      <c r="B147" s="197"/>
      <c r="C147" s="170">
        <f>COUNT(D218:D223)*10+COUNT(D225:D230)*10+COUNT(D232:D236)*2+COUNT(D239:D243)*2</f>
        <v>140</v>
      </c>
      <c r="D147" s="170"/>
      <c r="E147" s="170">
        <f>SUM(D218:D223)*10+SUM(D225:D230)*10+SUM(D232:D236)*2+SUM(D239:D243)*2</f>
        <v>59035.825367999991</v>
      </c>
      <c r="F147" s="170"/>
      <c r="G147" s="170">
        <f>SUM(F218:F223)*10+SUM(F225:F230)*10+SUM(F232:F236)*2+SUM(F239:F243)*2</f>
        <v>96249.567492000002</v>
      </c>
      <c r="H147" s="170"/>
      <c r="I147" s="95"/>
      <c r="J147" s="35"/>
      <c r="K147" s="35"/>
      <c r="L147" s="72"/>
      <c r="M147" s="73"/>
    </row>
    <row r="148" spans="1:13" s="59" customFormat="1" ht="16" thickBot="1" x14ac:dyDescent="0.4">
      <c r="A148" s="197" t="s">
        <v>188</v>
      </c>
      <c r="B148" s="197"/>
      <c r="C148" s="170">
        <f>COUNT(D248:D253)*10+COUNT(D255:D260)*9+COUNT(D263:D267)*2+COUNT(D270:D274)*2</f>
        <v>134</v>
      </c>
      <c r="D148" s="170"/>
      <c r="E148" s="170">
        <f>SUM(D248:D253)*10+SUM(D255:D260)*9+SUM(D263:D267)*2+SUM(D270:D274)*2</f>
        <v>56955.068819999993</v>
      </c>
      <c r="F148" s="170"/>
      <c r="G148" s="170">
        <f>SUM(F248:F253)*10+SUM(F255:F260)*9+SUM(F263:F267)*2+SUM(F270:F274)*2</f>
        <v>93446.347410000002</v>
      </c>
      <c r="H148" s="170"/>
      <c r="I148" s="35"/>
      <c r="J148" s="35"/>
      <c r="K148" s="35"/>
      <c r="L148" s="74"/>
      <c r="M148" s="73"/>
    </row>
    <row r="149" spans="1:13" s="59" customFormat="1" ht="16" thickBot="1" x14ac:dyDescent="0.4">
      <c r="A149" s="147" t="s">
        <v>157</v>
      </c>
      <c r="B149" s="148"/>
      <c r="C149" s="149">
        <f>C148+C147+C146</f>
        <v>486</v>
      </c>
      <c r="D149" s="150"/>
      <c r="E149" s="149">
        <f t="shared" ref="E149" si="0">E148+E147+E146</f>
        <v>210616.70151599997</v>
      </c>
      <c r="F149" s="150"/>
      <c r="G149" s="149">
        <f t="shared" ref="G149" si="1">G148+G147+G146</f>
        <v>345159.37661399995</v>
      </c>
      <c r="H149" s="150"/>
      <c r="I149" s="35"/>
      <c r="J149" s="35"/>
      <c r="K149" s="35"/>
      <c r="L149" s="74"/>
      <c r="M149" s="73"/>
    </row>
    <row r="150" spans="1:13" s="59" customFormat="1" x14ac:dyDescent="0.35">
      <c r="A150" s="241" t="s">
        <v>54</v>
      </c>
      <c r="B150" s="241"/>
      <c r="C150" s="241"/>
      <c r="D150" s="241"/>
      <c r="E150" s="241"/>
      <c r="F150" s="241"/>
      <c r="G150" s="241"/>
      <c r="H150" s="241"/>
      <c r="I150" s="34"/>
      <c r="J150" s="34"/>
      <c r="K150" s="34"/>
      <c r="L150" s="74"/>
      <c r="M150" s="73"/>
    </row>
    <row r="151" spans="1:13" s="59" customFormat="1" x14ac:dyDescent="0.35">
      <c r="A151" s="171" t="s">
        <v>175</v>
      </c>
      <c r="B151" s="171"/>
      <c r="C151" s="171"/>
      <c r="D151" s="171"/>
      <c r="E151" s="171"/>
      <c r="F151" s="171"/>
      <c r="G151" s="171"/>
      <c r="H151" s="171"/>
      <c r="I151" s="88"/>
      <c r="J151" s="61"/>
      <c r="K151" s="61"/>
      <c r="L151" s="72"/>
      <c r="M151" s="73"/>
    </row>
    <row r="152" spans="1:13" s="59" customFormat="1" ht="45" x14ac:dyDescent="0.35">
      <c r="A152" s="174" t="s">
        <v>113</v>
      </c>
      <c r="B152" s="174" t="s">
        <v>114</v>
      </c>
      <c r="C152" s="174" t="s">
        <v>55</v>
      </c>
      <c r="D152" s="174" t="s">
        <v>56</v>
      </c>
      <c r="E152" s="175" t="s">
        <v>244</v>
      </c>
      <c r="F152" s="112" t="s">
        <v>246</v>
      </c>
      <c r="G152" s="174" t="s">
        <v>192</v>
      </c>
      <c r="H152" s="174"/>
      <c r="I152" s="36"/>
      <c r="J152" s="21"/>
      <c r="K152" s="21"/>
      <c r="L152" s="72"/>
      <c r="M152" s="73"/>
    </row>
    <row r="153" spans="1:13" s="59" customFormat="1" ht="15.75" hidden="1" customHeight="1" x14ac:dyDescent="0.35">
      <c r="A153" s="174"/>
      <c r="B153" s="174"/>
      <c r="C153" s="174"/>
      <c r="D153" s="174"/>
      <c r="E153" s="175"/>
      <c r="F153" s="113">
        <v>0.6</v>
      </c>
      <c r="G153" s="174"/>
      <c r="H153" s="174"/>
      <c r="I153" s="36"/>
      <c r="L153" s="74"/>
      <c r="M153" s="73"/>
    </row>
    <row r="154" spans="1:13" s="59" customFormat="1" ht="15.75" customHeight="1" x14ac:dyDescent="0.35">
      <c r="A154" s="186" t="s">
        <v>242</v>
      </c>
      <c r="B154" s="186"/>
      <c r="C154" s="186"/>
      <c r="D154" s="186"/>
      <c r="E154" s="186"/>
      <c r="F154" s="186"/>
      <c r="G154" s="186"/>
      <c r="H154" s="186"/>
      <c r="J154" s="36"/>
      <c r="L154" s="74"/>
      <c r="M154" s="73"/>
    </row>
    <row r="155" spans="1:13" s="59" customFormat="1" ht="15.75" customHeight="1" thickBot="1" x14ac:dyDescent="0.4">
      <c r="A155" s="187" t="s">
        <v>243</v>
      </c>
      <c r="B155" s="187"/>
      <c r="C155" s="187"/>
      <c r="D155" s="187"/>
      <c r="E155" s="187"/>
      <c r="F155" s="187"/>
      <c r="G155" s="187"/>
      <c r="H155" s="187"/>
      <c r="I155" s="64"/>
      <c r="J155" s="65"/>
      <c r="L155" s="74"/>
      <c r="M155" s="73"/>
    </row>
    <row r="156" spans="1:13" s="59" customFormat="1" ht="16.5" customHeight="1" thickBot="1" x14ac:dyDescent="0.4">
      <c r="A156" s="120">
        <v>1</v>
      </c>
      <c r="B156" s="120"/>
      <c r="C156" s="60" t="s">
        <v>245</v>
      </c>
      <c r="D156" s="60">
        <f>(2.7*6.3)*10.764</f>
        <v>183.09564</v>
      </c>
      <c r="E156" s="60">
        <f>(2.4*2.7)*10.764</f>
        <v>69.750720000000001</v>
      </c>
      <c r="F156" s="60">
        <v>378</v>
      </c>
      <c r="G156" s="120" t="str">
        <f>A155</f>
        <v>Ground Floor For Commercial</v>
      </c>
      <c r="H156" s="120"/>
      <c r="I156" s="65"/>
      <c r="J156" s="85"/>
      <c r="K156" s="96"/>
      <c r="L156" s="74"/>
      <c r="M156" s="73"/>
    </row>
    <row r="157" spans="1:13" s="59" customFormat="1" ht="16" thickBot="1" x14ac:dyDescent="0.4">
      <c r="A157" s="120">
        <v>2</v>
      </c>
      <c r="B157" s="120"/>
      <c r="C157" s="60" t="s">
        <v>245</v>
      </c>
      <c r="D157" s="60">
        <f>(7.3*2.7)*10.764</f>
        <v>212.15843999999998</v>
      </c>
      <c r="E157" s="60">
        <f t="shared" ref="E157:E169" si="2">(2.4*2.7)*10.764</f>
        <v>69.750720000000001</v>
      </c>
      <c r="F157" s="60">
        <v>422</v>
      </c>
      <c r="G157" s="120"/>
      <c r="H157" s="120"/>
      <c r="I157" s="92"/>
      <c r="J157" s="85"/>
      <c r="K157" s="67"/>
      <c r="L157" s="74"/>
      <c r="M157" s="73"/>
    </row>
    <row r="158" spans="1:13" s="59" customFormat="1" x14ac:dyDescent="0.35">
      <c r="A158" s="120">
        <v>3</v>
      </c>
      <c r="B158" s="120"/>
      <c r="C158" s="60" t="s">
        <v>245</v>
      </c>
      <c r="D158" s="60">
        <f t="shared" ref="D158:D160" si="3">(7.3*2.7)*10.764</f>
        <v>212.15843999999998</v>
      </c>
      <c r="E158" s="60">
        <f t="shared" si="2"/>
        <v>69.750720000000001</v>
      </c>
      <c r="F158" s="60">
        <v>422</v>
      </c>
      <c r="G158" s="120"/>
      <c r="H158" s="120"/>
      <c r="I158" s="92"/>
      <c r="J158" s="85"/>
      <c r="K158" s="70"/>
      <c r="L158" s="74"/>
      <c r="M158" s="73"/>
    </row>
    <row r="159" spans="1:13" s="59" customFormat="1" x14ac:dyDescent="0.35">
      <c r="A159" s="120">
        <v>4</v>
      </c>
      <c r="B159" s="120"/>
      <c r="C159" s="60" t="s">
        <v>245</v>
      </c>
      <c r="D159" s="60">
        <f t="shared" si="3"/>
        <v>212.15843999999998</v>
      </c>
      <c r="E159" s="60">
        <f t="shared" si="2"/>
        <v>69.750720000000001</v>
      </c>
      <c r="F159" s="60">
        <v>422</v>
      </c>
      <c r="G159" s="120"/>
      <c r="H159" s="120"/>
      <c r="I159" s="65"/>
      <c r="J159" s="85"/>
      <c r="K159" s="70"/>
      <c r="L159" s="74"/>
      <c r="M159" s="73"/>
    </row>
    <row r="160" spans="1:13" s="59" customFormat="1" ht="16" thickBot="1" x14ac:dyDescent="0.4">
      <c r="A160" s="120">
        <v>5</v>
      </c>
      <c r="B160" s="120"/>
      <c r="C160" s="60" t="s">
        <v>245</v>
      </c>
      <c r="D160" s="60">
        <f t="shared" si="3"/>
        <v>212.15843999999998</v>
      </c>
      <c r="E160" s="60">
        <f t="shared" si="2"/>
        <v>69.750720000000001</v>
      </c>
      <c r="F160" s="60">
        <v>422</v>
      </c>
      <c r="G160" s="120"/>
      <c r="H160" s="120"/>
      <c r="I160" s="93"/>
      <c r="J160" s="85"/>
      <c r="K160" s="70"/>
      <c r="L160" s="76"/>
      <c r="M160" s="77"/>
    </row>
    <row r="161" spans="1:13" s="59" customFormat="1" ht="15.75" customHeight="1" x14ac:dyDescent="0.35">
      <c r="A161" s="120">
        <v>6</v>
      </c>
      <c r="B161" s="120"/>
      <c r="C161" s="60" t="s">
        <v>245</v>
      </c>
      <c r="D161" s="60">
        <f>(6.1*2.7)*10.764</f>
        <v>177.28307999999998</v>
      </c>
      <c r="E161" s="60">
        <f t="shared" si="2"/>
        <v>69.750720000000001</v>
      </c>
      <c r="F161" s="60">
        <v>360</v>
      </c>
      <c r="G161" s="120"/>
      <c r="H161" s="120"/>
      <c r="I161" s="65"/>
      <c r="J161" s="86"/>
      <c r="K161" s="70"/>
    </row>
    <row r="162" spans="1:13" s="59" customFormat="1" x14ac:dyDescent="0.35">
      <c r="A162" s="120">
        <v>7</v>
      </c>
      <c r="B162" s="120"/>
      <c r="C162" s="60" t="s">
        <v>245</v>
      </c>
      <c r="D162" s="60">
        <f t="shared" ref="D162:D163" si="4">(6.1*2.7)*10.764</f>
        <v>177.28307999999998</v>
      </c>
      <c r="E162" s="60">
        <f t="shared" si="2"/>
        <v>69.750720000000001</v>
      </c>
      <c r="F162" s="60">
        <v>360</v>
      </c>
      <c r="G162" s="120"/>
      <c r="H162" s="120"/>
      <c r="I162" s="65"/>
      <c r="J162" s="86"/>
      <c r="K162" s="70"/>
    </row>
    <row r="163" spans="1:13" s="59" customFormat="1" x14ac:dyDescent="0.35">
      <c r="A163" s="120">
        <v>8</v>
      </c>
      <c r="B163" s="120"/>
      <c r="C163" s="60" t="s">
        <v>245</v>
      </c>
      <c r="D163" s="60">
        <f t="shared" si="4"/>
        <v>177.28307999999998</v>
      </c>
      <c r="E163" s="60">
        <f t="shared" si="2"/>
        <v>69.750720000000001</v>
      </c>
      <c r="F163" s="60">
        <v>360</v>
      </c>
      <c r="G163" s="120"/>
      <c r="H163" s="120"/>
      <c r="I163" s="65"/>
      <c r="J163" s="85"/>
      <c r="K163" s="70"/>
    </row>
    <row r="164" spans="1:13" s="59" customFormat="1" ht="15.75" customHeight="1" x14ac:dyDescent="0.35">
      <c r="A164" s="120">
        <v>9</v>
      </c>
      <c r="B164" s="120"/>
      <c r="C164" s="60" t="s">
        <v>245</v>
      </c>
      <c r="D164" s="60">
        <f>(4.95*2.7)*10.764</f>
        <v>143.86086</v>
      </c>
      <c r="E164" s="60">
        <v>0</v>
      </c>
      <c r="F164" s="60">
        <v>288</v>
      </c>
      <c r="G164" s="120"/>
      <c r="H164" s="120"/>
      <c r="I164" s="65"/>
      <c r="J164" s="85"/>
      <c r="K164" s="70"/>
    </row>
    <row r="165" spans="1:13" s="59" customFormat="1" ht="16" thickBot="1" x14ac:dyDescent="0.4">
      <c r="A165" s="120">
        <v>10</v>
      </c>
      <c r="B165" s="120"/>
      <c r="C165" s="60" t="s">
        <v>245</v>
      </c>
      <c r="D165" s="60">
        <f t="shared" ref="D165:D166" si="5">(4.95*2.7)*10.764</f>
        <v>143.86086</v>
      </c>
      <c r="E165" s="60">
        <v>0</v>
      </c>
      <c r="F165" s="60">
        <v>288</v>
      </c>
      <c r="G165" s="120"/>
      <c r="H165" s="120"/>
      <c r="I165" s="93"/>
      <c r="J165" s="85"/>
      <c r="K165" s="70"/>
      <c r="L165" s="76"/>
      <c r="M165" s="77"/>
    </row>
    <row r="166" spans="1:13" s="59" customFormat="1" ht="15.75" customHeight="1" x14ac:dyDescent="0.35">
      <c r="A166" s="120">
        <v>11</v>
      </c>
      <c r="B166" s="120"/>
      <c r="C166" s="60" t="s">
        <v>245</v>
      </c>
      <c r="D166" s="60">
        <f t="shared" si="5"/>
        <v>143.86086</v>
      </c>
      <c r="E166" s="60">
        <v>0</v>
      </c>
      <c r="F166" s="60">
        <v>288</v>
      </c>
      <c r="G166" s="120"/>
      <c r="H166" s="120"/>
      <c r="I166" s="65"/>
      <c r="J166" s="86"/>
      <c r="K166" s="70"/>
    </row>
    <row r="167" spans="1:13" s="59" customFormat="1" x14ac:dyDescent="0.35">
      <c r="A167" s="120">
        <v>12</v>
      </c>
      <c r="B167" s="120"/>
      <c r="C167" s="60" t="s">
        <v>245</v>
      </c>
      <c r="D167" s="60">
        <f>(6.1*2.4)*10.764</f>
        <v>157.58495999999997</v>
      </c>
      <c r="E167" s="60">
        <f t="shared" si="2"/>
        <v>69.750720000000001</v>
      </c>
      <c r="F167" s="60">
        <v>320</v>
      </c>
      <c r="G167" s="120"/>
      <c r="H167" s="120"/>
      <c r="I167" s="65"/>
      <c r="J167" s="86"/>
      <c r="K167" s="70"/>
    </row>
    <row r="168" spans="1:13" s="59" customFormat="1" x14ac:dyDescent="0.35">
      <c r="A168" s="120">
        <v>13</v>
      </c>
      <c r="B168" s="120"/>
      <c r="C168" s="60" t="s">
        <v>245</v>
      </c>
      <c r="D168" s="60">
        <f t="shared" ref="D168:D169" si="6">(6.1*2.4)*10.764</f>
        <v>157.58495999999997</v>
      </c>
      <c r="E168" s="60">
        <f t="shared" si="2"/>
        <v>69.750720000000001</v>
      </c>
      <c r="F168" s="60">
        <v>320</v>
      </c>
      <c r="G168" s="120"/>
      <c r="H168" s="120"/>
      <c r="I168" s="65"/>
      <c r="J168" s="85"/>
      <c r="K168" s="70"/>
    </row>
    <row r="169" spans="1:13" s="59" customFormat="1" ht="15.75" customHeight="1" x14ac:dyDescent="0.35">
      <c r="A169" s="120">
        <v>14</v>
      </c>
      <c r="B169" s="120"/>
      <c r="C169" s="60" t="s">
        <v>245</v>
      </c>
      <c r="D169" s="60">
        <f t="shared" si="6"/>
        <v>157.58495999999997</v>
      </c>
      <c r="E169" s="60">
        <f t="shared" si="2"/>
        <v>69.750720000000001</v>
      </c>
      <c r="F169" s="60">
        <v>320</v>
      </c>
      <c r="G169" s="120"/>
      <c r="H169" s="120"/>
      <c r="I169" s="65"/>
      <c r="J169" s="85"/>
      <c r="K169" s="70"/>
    </row>
    <row r="170" spans="1:13" s="59" customFormat="1" ht="15.75" customHeight="1" x14ac:dyDescent="0.35">
      <c r="A170" s="176"/>
      <c r="B170" s="177"/>
      <c r="C170" s="177"/>
      <c r="D170" s="177"/>
      <c r="E170" s="177"/>
      <c r="F170" s="177"/>
      <c r="G170" s="177"/>
      <c r="H170" s="177"/>
      <c r="I170" s="64"/>
      <c r="J170" s="65"/>
      <c r="L170" s="74"/>
      <c r="M170" s="73"/>
    </row>
    <row r="171" spans="1:13" s="59" customFormat="1" ht="45" x14ac:dyDescent="0.35">
      <c r="A171" s="184" t="s">
        <v>113</v>
      </c>
      <c r="B171" s="184" t="s">
        <v>114</v>
      </c>
      <c r="C171" s="172" t="s">
        <v>55</v>
      </c>
      <c r="D171" s="172" t="s">
        <v>56</v>
      </c>
      <c r="E171" s="192" t="s">
        <v>57</v>
      </c>
      <c r="F171" s="43" t="s">
        <v>142</v>
      </c>
      <c r="G171" s="184" t="s">
        <v>192</v>
      </c>
      <c r="H171" s="235"/>
      <c r="I171" s="36"/>
      <c r="J171" s="21"/>
      <c r="K171" s="21"/>
      <c r="L171" s="72"/>
      <c r="M171" s="73"/>
    </row>
    <row r="172" spans="1:13" s="59" customFormat="1" ht="15.75" customHeight="1" x14ac:dyDescent="0.35">
      <c r="A172" s="185"/>
      <c r="B172" s="185"/>
      <c r="C172" s="173"/>
      <c r="D172" s="173"/>
      <c r="E172" s="193"/>
      <c r="F172" s="13">
        <v>0.5</v>
      </c>
      <c r="G172" s="185"/>
      <c r="H172" s="236"/>
      <c r="I172" s="36"/>
      <c r="L172" s="74"/>
      <c r="M172" s="73"/>
    </row>
    <row r="173" spans="1:13" s="59" customFormat="1" ht="15.75" customHeight="1" x14ac:dyDescent="0.35">
      <c r="A173" s="137" t="s">
        <v>176</v>
      </c>
      <c r="B173" s="138"/>
      <c r="C173" s="138"/>
      <c r="D173" s="138"/>
      <c r="E173" s="138"/>
      <c r="F173" s="138"/>
      <c r="G173" s="138"/>
      <c r="H173" s="139"/>
      <c r="J173" s="36"/>
      <c r="L173" s="74"/>
      <c r="M173" s="73"/>
    </row>
    <row r="174" spans="1:13" s="59" customFormat="1" ht="15.75" customHeight="1" x14ac:dyDescent="0.35">
      <c r="A174" s="176" t="s">
        <v>221</v>
      </c>
      <c r="B174" s="177"/>
      <c r="C174" s="177"/>
      <c r="D174" s="177"/>
      <c r="E174" s="177"/>
      <c r="F174" s="177"/>
      <c r="G174" s="177"/>
      <c r="H174" s="177"/>
      <c r="I174" s="100" t="s">
        <v>209</v>
      </c>
      <c r="J174" s="100"/>
      <c r="K174" s="100"/>
      <c r="L174" s="74"/>
      <c r="M174" s="75"/>
    </row>
    <row r="175" spans="1:13" s="59" customFormat="1" ht="15.75" customHeight="1" thickBot="1" x14ac:dyDescent="0.4">
      <c r="A175" s="176" t="s">
        <v>210</v>
      </c>
      <c r="B175" s="177"/>
      <c r="C175" s="177"/>
      <c r="D175" s="177"/>
      <c r="E175" s="177"/>
      <c r="F175" s="177"/>
      <c r="G175" s="177"/>
      <c r="H175" s="177"/>
      <c r="I175" s="64"/>
      <c r="J175" s="65"/>
      <c r="L175" s="74"/>
      <c r="M175" s="73">
        <f>3.9*2.2</f>
        <v>8.58</v>
      </c>
    </row>
    <row r="176" spans="1:13" s="59" customFormat="1" ht="16" thickBot="1" x14ac:dyDescent="0.4">
      <c r="A176" s="118">
        <v>1</v>
      </c>
      <c r="B176" s="119"/>
      <c r="C176" s="42" t="s">
        <v>178</v>
      </c>
      <c r="D176" s="42">
        <f>(4.4*2.8+3.6*2.1+2.8*3.1+2.8*3.5+1.2*1.8+1.2*1.9+1.2*1.1+1.2*1.1+2.8*0.75)*10.764</f>
        <v>511.72055999999998</v>
      </c>
      <c r="E176" s="42">
        <f>(5.45+5.75)*10.764</f>
        <v>120.55679999999998</v>
      </c>
      <c r="F176" s="42">
        <f t="shared" ref="F176:F184" si="7">D176*(($F$172)+1)+(IF(E176&lt;101,E176,IF(E176&lt;201,E176/2,IF(E176&lt;=301,E176/3,E176/4))))</f>
        <v>827.85924</v>
      </c>
      <c r="G176" s="123" t="str">
        <f>A175</f>
        <v>1st, 3rd, 5th, 7th, 9th, 11th, 15th, 17th, 19th &amp; 21th Floor For Residential</v>
      </c>
      <c r="H176" s="134"/>
      <c r="I176" s="65">
        <f>3.75*2.8+1.2*1.8+1.6*2.1+1.35*3.1+2.8*2.85+1.2*1.8+1.2*1.9+1.2*1.2+0.5*1.2+1.35*3.1+2*2.1+0.6*(1.5+1.5)+0.75*2.8</f>
        <v>46.95</v>
      </c>
      <c r="J176" s="85">
        <f>(4.4*2.8+3.6*2.1+2.8*3.1+2.8*3.8+1.2*1.8+1.2*1.9+1.2*1.1+1.2*1.1+2.8*0.75+5.45+5.75)</f>
        <v>59.580000000000005</v>
      </c>
      <c r="K176" s="96" t="s">
        <v>207</v>
      </c>
      <c r="L176" s="74"/>
      <c r="M176" s="73">
        <v>8.58</v>
      </c>
    </row>
    <row r="177" spans="1:13" s="59" customFormat="1" ht="16" thickBot="1" x14ac:dyDescent="0.4">
      <c r="A177" s="118">
        <v>2</v>
      </c>
      <c r="B177" s="119"/>
      <c r="C177" s="58" t="s">
        <v>178</v>
      </c>
      <c r="D177" s="58">
        <f>(4.3*2.8+3.6*2.1+2.7*3.1+3.4*2.85+1.2*1.8+1.2*1.9+1.2*1.1+2.8*0.75)*10.764</f>
        <v>489.97728000000006</v>
      </c>
      <c r="E177" s="42">
        <f>(5.75+7.28)*10.764</f>
        <v>140.25492</v>
      </c>
      <c r="F177" s="42">
        <f t="shared" si="7"/>
        <v>805.09338000000014</v>
      </c>
      <c r="G177" s="125"/>
      <c r="H177" s="135"/>
      <c r="I177" s="92">
        <f>(1.35+1.35)*2</f>
        <v>5.4</v>
      </c>
      <c r="J177" s="85">
        <f>(4.3*2.8+3.6*2.1+2.7*3.1+3.4*2.85+1.2*1.8+1.2*1.9+1.2*1.1+2.8*0.75+5.75+7.28)</f>
        <v>58.550000000000011</v>
      </c>
      <c r="K177" s="67"/>
      <c r="L177" s="74"/>
      <c r="M177" s="73">
        <f>2.7*2.5</f>
        <v>6.75</v>
      </c>
    </row>
    <row r="178" spans="1:13" s="59" customFormat="1" x14ac:dyDescent="0.35">
      <c r="A178" s="118">
        <v>3</v>
      </c>
      <c r="B178" s="119"/>
      <c r="C178" s="58" t="s">
        <v>177</v>
      </c>
      <c r="D178" s="42">
        <f>(4.2*3+3.7*2.1+3.2*2.7+2.05*1.15+1.8*1.2+1.1*1.15+0.75*2.7)*10.764</f>
        <v>396.30356999999998</v>
      </c>
      <c r="E178" s="42">
        <f>5.5*10.764</f>
        <v>59.201999999999998</v>
      </c>
      <c r="F178" s="42">
        <f t="shared" si="7"/>
        <v>653.65735499999994</v>
      </c>
      <c r="G178" s="125"/>
      <c r="H178" s="135"/>
      <c r="I178" s="92">
        <f>1.9*2.8</f>
        <v>5.3199999999999994</v>
      </c>
      <c r="J178" s="85">
        <f>(4.2*3+3.7*2.1+3.2*2.7+2.05*1.15+1.8*1.2+1.1*1.15+0.75*2.7+5.5)</f>
        <v>42.317500000000003</v>
      </c>
      <c r="K178" s="70">
        <v>1</v>
      </c>
      <c r="L178" s="74"/>
      <c r="M178" s="73">
        <f>2.7*2.5</f>
        <v>6.75</v>
      </c>
    </row>
    <row r="179" spans="1:13" s="59" customFormat="1" x14ac:dyDescent="0.35">
      <c r="A179" s="118">
        <v>4</v>
      </c>
      <c r="B179" s="119"/>
      <c r="C179" s="42" t="s">
        <v>177</v>
      </c>
      <c r="D179" s="60">
        <f>(4.2*3+3.7*2.1+3.2*2.7+2.05*1.15+1.8*1.2+1.1*1.15+0.75*2.7)*10.764</f>
        <v>396.30356999999998</v>
      </c>
      <c r="E179" s="42">
        <f>5.5*10.764</f>
        <v>59.201999999999998</v>
      </c>
      <c r="F179" s="42">
        <f t="shared" si="7"/>
        <v>653.65735499999994</v>
      </c>
      <c r="G179" s="125"/>
      <c r="H179" s="135"/>
      <c r="I179" s="65"/>
      <c r="J179" s="85">
        <f>(4.2*3+3.7*2.1+3.2*2.7+2.05*1.15+1.8*1.2+1.1*1.15+0.75*2.7+5.5)</f>
        <v>42.317500000000003</v>
      </c>
      <c r="K179" s="70">
        <v>2</v>
      </c>
      <c r="L179" s="74"/>
      <c r="M179" s="73">
        <f>3.7*3.4</f>
        <v>12.58</v>
      </c>
    </row>
    <row r="180" spans="1:13" s="59" customFormat="1" ht="16" thickBot="1" x14ac:dyDescent="0.4">
      <c r="A180" s="118">
        <v>5</v>
      </c>
      <c r="B180" s="119"/>
      <c r="C180" s="58" t="s">
        <v>177</v>
      </c>
      <c r="D180" s="58">
        <f>(4.2*2.8+3.6*2.2+3.2*2.7+1.2*1.8+1.8*1.2+0.4*1.2+7)*10.764</f>
        <v>431.85167999999993</v>
      </c>
      <c r="E180" s="63">
        <f>(5.71+5.71)*10.764</f>
        <v>122.92487999999999</v>
      </c>
      <c r="F180" s="58">
        <f t="shared" si="7"/>
        <v>709.23995999999988</v>
      </c>
      <c r="G180" s="125"/>
      <c r="H180" s="135"/>
      <c r="I180" s="93"/>
      <c r="J180" s="85">
        <f>(4.2*2.8+3.6*2.2+3.2*2.7+1.2*1.8+1.8*1.2+0.4*1.2+7+5.71)</f>
        <v>45.83</v>
      </c>
      <c r="K180" s="70">
        <v>3</v>
      </c>
      <c r="L180" s="76"/>
      <c r="M180" s="77">
        <f>3.3*3.5</f>
        <v>11.549999999999999</v>
      </c>
    </row>
    <row r="181" spans="1:13" s="37" customFormat="1" ht="15.75" customHeight="1" x14ac:dyDescent="0.35">
      <c r="A181" s="118">
        <v>6</v>
      </c>
      <c r="B181" s="119"/>
      <c r="C181" s="58" t="s">
        <v>177</v>
      </c>
      <c r="D181" s="63">
        <f>(2.8*4.2+2.2*3.6+2.7*2.8+1.2*1.8+1.8*1.2+1.9*0.4+1.2*0.4+0.75*3.2)*10.764</f>
        <v>378.89279999999991</v>
      </c>
      <c r="E181" s="58">
        <f>(5.71+6.16)*10.764</f>
        <v>127.76868</v>
      </c>
      <c r="F181" s="60">
        <f t="shared" si="7"/>
        <v>632.22353999999984</v>
      </c>
      <c r="G181" s="125"/>
      <c r="H181" s="135"/>
      <c r="I181" s="65"/>
      <c r="J181" s="86">
        <f>(2.8*4.2+2.2*3.6+2.7*2.8+1.2*1.8+1.8*1.2+1.9*0.4+1.2*0.4+0.75*3.2+5.71+6.16)</f>
        <v>47.069999999999993</v>
      </c>
      <c r="K181" s="70">
        <v>4</v>
      </c>
    </row>
    <row r="182" spans="1:13" s="37" customFormat="1" x14ac:dyDescent="0.35">
      <c r="A182" s="118">
        <v>7</v>
      </c>
      <c r="B182" s="119"/>
      <c r="C182" s="58" t="s">
        <v>178</v>
      </c>
      <c r="D182" s="63">
        <f>(2.8*3.75+2.1*3.8+2.9*2.8+3.3*2.7+1.95*1.17+1.8*1.35+1.3*0.9+1.6*1.35+2*0.4+0.9*0.5+1.7*0.75)*10.764</f>
        <v>495.967446</v>
      </c>
      <c r="E182" s="58">
        <f>6.16*10.764</f>
        <v>66.306240000000003</v>
      </c>
      <c r="F182" s="60">
        <f t="shared" si="7"/>
        <v>810.25740899999994</v>
      </c>
      <c r="G182" s="125"/>
      <c r="H182" s="135"/>
      <c r="I182" s="65"/>
      <c r="J182" s="86">
        <f>(2.8*3.75+2.1*3.8+2.9*2.8+3.3*2.7+1.95*1.17+1.8*1.35+1.3*0.9+1.6*1.35+2*0.4+0.9*0.5+1.7*0.75+6.16)</f>
        <v>52.236500000000007</v>
      </c>
      <c r="K182" s="70">
        <v>5</v>
      </c>
    </row>
    <row r="183" spans="1:13" s="37" customFormat="1" x14ac:dyDescent="0.35">
      <c r="A183" s="118">
        <v>8</v>
      </c>
      <c r="B183" s="119"/>
      <c r="C183" s="58" t="s">
        <v>178</v>
      </c>
      <c r="D183" s="58">
        <f>(2.8*4.2+2.1*2.9+2.9*2.8+3.3*2.7+1.95*1.12+1.8*1.35+3.5*0.9+1.2*1.35+1.7*0.75)*10.764</f>
        <v>490.18179599999985</v>
      </c>
      <c r="E183" s="58">
        <f>4.43*10.764</f>
        <v>47.684519999999992</v>
      </c>
      <c r="F183" s="60">
        <f t="shared" si="7"/>
        <v>782.95721399999979</v>
      </c>
      <c r="G183" s="125"/>
      <c r="H183" s="135"/>
      <c r="I183" s="65"/>
      <c r="J183" s="85">
        <f>(2.8*4.2+2.1*2.9+2.9*2.8+3.3*2.7+1.95*1.12+1.8*1.35+3.5*0.9+1.2*1.35+1.7*0.75+4.43)</f>
        <v>49.968999999999987</v>
      </c>
      <c r="K183" s="70">
        <v>6</v>
      </c>
    </row>
    <row r="184" spans="1:13" s="37" customFormat="1" ht="15.75" customHeight="1" x14ac:dyDescent="0.35">
      <c r="A184" s="118">
        <v>9</v>
      </c>
      <c r="B184" s="119"/>
      <c r="C184" s="58" t="s">
        <v>177</v>
      </c>
      <c r="D184" s="58">
        <f>(4.2*2.8+3.3*2.7+3.3*2.85+2*1.15+1.95*1.2+0.4*1.2)*10.764</f>
        <v>378.83897999999999</v>
      </c>
      <c r="E184" s="58">
        <f>4.43*10.764</f>
        <v>47.684519999999992</v>
      </c>
      <c r="F184" s="58">
        <f t="shared" si="7"/>
        <v>615.94299000000001</v>
      </c>
      <c r="G184" s="127"/>
      <c r="H184" s="136"/>
      <c r="I184" s="65"/>
      <c r="J184" s="85">
        <f>(4.2*2.8+3.3*2.7+3.3*2.85+2*1.15+1.95*1.2+0.4*1.2+4.43)</f>
        <v>39.625</v>
      </c>
      <c r="K184" s="70">
        <v>7</v>
      </c>
    </row>
    <row r="185" spans="1:13" s="37" customFormat="1" ht="15.75" customHeight="1" x14ac:dyDescent="0.35">
      <c r="A185" s="132" t="s">
        <v>182</v>
      </c>
      <c r="B185" s="133"/>
      <c r="C185" s="133"/>
      <c r="D185" s="133"/>
      <c r="E185" s="133"/>
      <c r="F185" s="133"/>
      <c r="G185" s="133"/>
      <c r="H185" s="133"/>
      <c r="I185" s="64"/>
      <c r="J185" s="65"/>
      <c r="K185" s="70">
        <v>8</v>
      </c>
    </row>
    <row r="186" spans="1:13" s="37" customFormat="1" ht="15.75" customHeight="1" x14ac:dyDescent="0.35">
      <c r="A186" s="118">
        <v>1</v>
      </c>
      <c r="B186" s="119"/>
      <c r="C186" s="60" t="s">
        <v>178</v>
      </c>
      <c r="D186" s="60">
        <f>(4.4*2.8+3.6*2.1+2.8*3.1+2.8*3.5+1.2*1.8+1.2*1.9+1.2*1.1+1.2*1.1+2.9*0.75+2.8*0.75)*10.764</f>
        <v>535.13225999999997</v>
      </c>
      <c r="E186" s="60">
        <f>8.58*10.764</f>
        <v>92.355119999999999</v>
      </c>
      <c r="F186" s="60">
        <f>D186*(($F$172)+1)+(IF(E186&lt;101,E186,IF(E186&lt;201,E186/2,IF(E186&lt;=301,E186/3,E186/4))))</f>
        <v>895.05350999999996</v>
      </c>
      <c r="G186" s="123" t="str">
        <f>A185</f>
        <v>2nd, 4th, 6th, 10th, 12th, 14th, 16th, 20th, 22th &amp; 24th Floor</v>
      </c>
      <c r="H186" s="134"/>
      <c r="I186" s="59"/>
      <c r="J186" s="85">
        <f>(4.4*2.8+3.6*2.1+2.8*3.1+2.8*3.8+1.2*1.8+1.2*1.9+1.2*1.1+1.2*1.1+2.8*0.75+5.45+5.75)</f>
        <v>59.580000000000005</v>
      </c>
      <c r="K186" s="70">
        <v>9</v>
      </c>
    </row>
    <row r="187" spans="1:13" s="37" customFormat="1" x14ac:dyDescent="0.35">
      <c r="A187" s="118">
        <v>2</v>
      </c>
      <c r="B187" s="119"/>
      <c r="C187" s="60" t="s">
        <v>178</v>
      </c>
      <c r="D187" s="60">
        <f>(4.4*2.8+3.6*2.1+2.8*3.1+2.8*3.5+1.2*1.8+1.2*1.9+1.2*1.1+2.9*0.75+2.8*0.75)*10.764</f>
        <v>520.92377999999997</v>
      </c>
      <c r="E187" s="60">
        <f>8.58*10.764</f>
        <v>92.355119999999999</v>
      </c>
      <c r="F187" s="60">
        <f t="shared" ref="F187:F191" si="8">D187*(($F$172)+1)+(IF(E187&lt;101,E187,IF(E187&lt;201,E187/2,IF(E187&lt;=301,E187/3,E187/4))))</f>
        <v>873.74078999999983</v>
      </c>
      <c r="G187" s="125"/>
      <c r="H187" s="135"/>
      <c r="I187" s="65"/>
      <c r="J187" s="85">
        <f>(4.3*2.8+3.6*2.1+2.7*3.1+3.4*2.85+1.2*1.8+1.2*1.9+1.2*1.1+2.8*0.75+5.75+7.28)</f>
        <v>58.550000000000011</v>
      </c>
      <c r="K187" s="70">
        <v>10</v>
      </c>
    </row>
    <row r="188" spans="1:13" s="37" customFormat="1" x14ac:dyDescent="0.35">
      <c r="A188" s="118">
        <v>3</v>
      </c>
      <c r="B188" s="119"/>
      <c r="C188" s="60" t="s">
        <v>177</v>
      </c>
      <c r="D188" s="60">
        <f>(4.2*3+3.7*2.1+3.2*2.7+2.05*1.15+1.8*1.2+1.1*1.15+0.75*2.2)*10.764</f>
        <v>392.26706999999999</v>
      </c>
      <c r="E188" s="60">
        <f>6.75*10.764</f>
        <v>72.656999999999996</v>
      </c>
      <c r="F188" s="60">
        <f t="shared" si="8"/>
        <v>661.05760500000008</v>
      </c>
      <c r="G188" s="125"/>
      <c r="H188" s="135"/>
      <c r="I188" s="65"/>
      <c r="J188" s="85">
        <f>(4.2*3+3.7*2.1+3.2*2.7+2.05*1.15+1.8*1.2+1.1*1.15+0.75*2.7+5.5)</f>
        <v>42.317500000000003</v>
      </c>
      <c r="K188" s="70">
        <v>11</v>
      </c>
    </row>
    <row r="189" spans="1:13" s="37" customFormat="1" x14ac:dyDescent="0.35">
      <c r="A189" s="118">
        <v>4</v>
      </c>
      <c r="B189" s="119"/>
      <c r="C189" s="60" t="s">
        <v>177</v>
      </c>
      <c r="D189" s="60">
        <f>(4.2*3+3.7*2.1+3.2*2.7+2.05*1.15+1.8*1.2+1.1*1.15+0.75*2.2)*10.764</f>
        <v>392.26706999999999</v>
      </c>
      <c r="E189" s="60">
        <f>6.75*10.764</f>
        <v>72.656999999999996</v>
      </c>
      <c r="F189" s="60">
        <f t="shared" si="8"/>
        <v>661.05760500000008</v>
      </c>
      <c r="G189" s="125"/>
      <c r="H189" s="135"/>
      <c r="I189" s="65"/>
      <c r="J189" s="85">
        <f>(4.2*3+3.7*2.1+3.2*2.7+2.05*1.15+1.8*1.2+1.1*1.15+0.75*2.7+5.5)</f>
        <v>42.317500000000003</v>
      </c>
      <c r="K189" s="66">
        <v>12</v>
      </c>
    </row>
    <row r="190" spans="1:13" s="37" customFormat="1" x14ac:dyDescent="0.35">
      <c r="A190" s="118">
        <v>5</v>
      </c>
      <c r="B190" s="119"/>
      <c r="C190" s="60" t="s">
        <v>177</v>
      </c>
      <c r="D190" s="60">
        <f>(4.2*2.8+3.6*2.2+3.2*2.7+1.2*1.8+1.8*1.2+0.4*1.2+0.75*2.8+0.75*2.7)*10.764</f>
        <v>400.90517999999997</v>
      </c>
      <c r="E190" s="60">
        <f>12.58*10.764</f>
        <v>135.41111999999998</v>
      </c>
      <c r="F190" s="60">
        <f t="shared" si="8"/>
        <v>669.06332999999995</v>
      </c>
      <c r="G190" s="125"/>
      <c r="H190" s="135"/>
      <c r="I190" s="65"/>
      <c r="J190" s="85">
        <f>(4.2*2.8+3.6*2.2+3.2*2.7+1.2*1.8+1.8*1.2+0.4*1.2+7+5.71)</f>
        <v>45.83</v>
      </c>
      <c r="K190" s="66">
        <v>13</v>
      </c>
    </row>
    <row r="191" spans="1:13" s="37" customFormat="1" x14ac:dyDescent="0.35">
      <c r="A191" s="118">
        <v>6</v>
      </c>
      <c r="B191" s="119"/>
      <c r="C191" s="60" t="s">
        <v>177</v>
      </c>
      <c r="D191" s="63">
        <f>(2.8*4.2+2.2*3.6+2.7*2.8+1.2*1.8+1.8*1.2+1.2*0.4+1.8*0.4+2.8*0.75+2.7*0.75)*10.764</f>
        <v>397.03013999999996</v>
      </c>
      <c r="E191" s="60">
        <f>11.55*10.764</f>
        <v>124.3242</v>
      </c>
      <c r="F191" s="60">
        <f t="shared" si="8"/>
        <v>657.70731000000001</v>
      </c>
      <c r="G191" s="125"/>
      <c r="H191" s="135"/>
      <c r="I191" s="65"/>
      <c r="J191" s="86">
        <f>(2.8*4.2+2.2*3.6+2.7*2.8+1.2*1.8+1.8*1.2+1.9*0.4+1.2*0.4+0.75*3.2+5.71+6.16)</f>
        <v>47.069999999999993</v>
      </c>
      <c r="K191" s="66">
        <v>14</v>
      </c>
    </row>
    <row r="192" spans="1:13" s="37" customFormat="1" x14ac:dyDescent="0.35">
      <c r="A192" s="118">
        <v>7</v>
      </c>
      <c r="B192" s="119"/>
      <c r="C192" s="60" t="s">
        <v>178</v>
      </c>
      <c r="D192" s="63">
        <f>(2.8*3.75+2.1*3.8+2.9*2.8+3.3*2.7+1.95*1.17+1.8*1.35+1.3*0.9+1.6*1.35+2*0.4+0.9*0.5+2.8*0.75)*10.764</f>
        <v>504.84774600000003</v>
      </c>
      <c r="E192" s="60">
        <f>6.47*10.764</f>
        <v>69.643079999999998</v>
      </c>
      <c r="F192" s="60">
        <f>D192*(($F$172)+1)+(IF(E192&lt;101,E192,IF(E192&lt;201,E192/2,IF(E192&lt;=301,E192/3,E192/4))))</f>
        <v>826.91469900000016</v>
      </c>
      <c r="G192" s="125"/>
      <c r="H192" s="135"/>
      <c r="I192" s="65"/>
      <c r="J192" s="86">
        <f>(2.8*3.75+2.1*3.8+2.9*2.8+3.3*2.7+1.95*1.17+1.8*1.35+1.3*0.9+1.6*1.35+2*0.4+0.9*0.5+1.7*0.75+6.16)</f>
        <v>52.236500000000007</v>
      </c>
      <c r="K192" s="66">
        <v>15</v>
      </c>
    </row>
    <row r="193" spans="1:13" s="37" customFormat="1" x14ac:dyDescent="0.35">
      <c r="A193" s="118">
        <v>8</v>
      </c>
      <c r="B193" s="119"/>
      <c r="C193" s="60" t="s">
        <v>178</v>
      </c>
      <c r="D193" s="60">
        <f>(2.8*4.2+2.1*2.9+2.9*2.8+3.3*2.7+1.95*1.12+1.8*1.35+3.5*0.9+1.2*1.35+3*0.75)*10.764</f>
        <v>500.67669599999982</v>
      </c>
      <c r="E193" s="60">
        <f>6.47*10.764</f>
        <v>69.643079999999998</v>
      </c>
      <c r="F193" s="60">
        <f>D193*(($F$172)+1)+(IF(E193&lt;101,E193,IF(E193&lt;201,E193/2,IF(E193&lt;=301,E193/3,E193/4))))</f>
        <v>820.65812399999982</v>
      </c>
      <c r="G193" s="125"/>
      <c r="H193" s="135"/>
      <c r="I193" s="65"/>
      <c r="J193" s="85">
        <f>(2.8*4.2+2.1*2.9+2.9*2.8+3.3*2.7+1.95*1.12+1.8*1.35+3.5*0.9+1.2*1.35+1.7*0.75+4.43)</f>
        <v>49.968999999999987</v>
      </c>
      <c r="K193" s="66">
        <v>16</v>
      </c>
    </row>
    <row r="194" spans="1:13" s="37" customFormat="1" ht="16" thickBot="1" x14ac:dyDescent="0.4">
      <c r="A194" s="118">
        <v>9</v>
      </c>
      <c r="B194" s="119"/>
      <c r="C194" s="60" t="s">
        <v>177</v>
      </c>
      <c r="D194" s="60">
        <f>(4.2*2.8+3.3*2.7+3.3*2.85+2*1.15+1.95*1.2+0.4*1.2+0.75*2.8)*10.764</f>
        <v>401.44337999999999</v>
      </c>
      <c r="E194" s="60">
        <v>0</v>
      </c>
      <c r="F194" s="60">
        <f t="shared" ref="F194" si="9">D194*(($F$172)+1)+(IF(E194&lt;101,E194,IF(E194&lt;201,E194/2,IF(E194&lt;=301,E194/3,E194/4))))</f>
        <v>602.16507000000001</v>
      </c>
      <c r="G194" s="127"/>
      <c r="H194" s="136"/>
      <c r="I194" s="65"/>
      <c r="J194" s="85">
        <f>(4.2*2.8+3.3*2.7+3.3*2.85+2*1.15+1.95*1.2+0.4*1.2+4.43)</f>
        <v>39.625</v>
      </c>
      <c r="K194" s="71">
        <v>17</v>
      </c>
    </row>
    <row r="195" spans="1:13" s="37" customFormat="1" x14ac:dyDescent="0.35">
      <c r="A195" s="129" t="s">
        <v>183</v>
      </c>
      <c r="B195" s="129"/>
      <c r="C195" s="129"/>
      <c r="D195" s="129"/>
      <c r="E195" s="129"/>
      <c r="F195" s="129"/>
      <c r="G195" s="129"/>
      <c r="H195" s="129"/>
      <c r="I195" s="36"/>
    </row>
    <row r="196" spans="1:13" s="37" customFormat="1" x14ac:dyDescent="0.35">
      <c r="A196" s="120">
        <v>1</v>
      </c>
      <c r="B196" s="120"/>
      <c r="C196" s="60" t="s">
        <v>178</v>
      </c>
      <c r="D196" s="60">
        <f>(4.4*2.8+3.6*2.1+2.8*3.1+2.8*3.5+1.2*1.8+1.2*1.9+1.2*1.1+1.2*1.1+2.9*0.75+2.8*0.75)*10.764</f>
        <v>535.13225999999997</v>
      </c>
      <c r="E196" s="60">
        <f>8.58*10.764</f>
        <v>92.355119999999999</v>
      </c>
      <c r="F196" s="60">
        <f t="shared" ref="F196:F201" si="10">D196*(($F$172)+1)+(IF(E196&lt;101,E196,IF(E196&lt;201,E196/2,IF(E196&lt;=301,E196/3,E196/4))))</f>
        <v>895.05350999999996</v>
      </c>
      <c r="G196" s="120" t="str">
        <f>A195</f>
        <v>8th &amp; 18th Floor (Part Refuge area)</v>
      </c>
      <c r="H196" s="120"/>
      <c r="I196" s="36"/>
      <c r="K196" s="62"/>
    </row>
    <row r="197" spans="1:13" s="37" customFormat="1" x14ac:dyDescent="0.35">
      <c r="A197" s="120">
        <v>2</v>
      </c>
      <c r="B197" s="120"/>
      <c r="C197" s="60" t="s">
        <v>178</v>
      </c>
      <c r="D197" s="60">
        <f>(4.4*2.8+3.6*2.1+2.8*3.1+2.8*3.5+1.2*1.8+1.2*1.9+1.2*1.1+2.9*0.75+2.8*0.75)*10.764</f>
        <v>520.92377999999997</v>
      </c>
      <c r="E197" s="60">
        <f>8.58*10.764</f>
        <v>92.355119999999999</v>
      </c>
      <c r="F197" s="60">
        <f t="shared" si="10"/>
        <v>873.74078999999983</v>
      </c>
      <c r="G197" s="120"/>
      <c r="H197" s="120"/>
      <c r="I197" s="36"/>
      <c r="K197" s="62"/>
    </row>
    <row r="198" spans="1:13" s="37" customFormat="1" x14ac:dyDescent="0.35">
      <c r="A198" s="120">
        <v>3</v>
      </c>
      <c r="B198" s="120"/>
      <c r="C198" s="60" t="s">
        <v>177</v>
      </c>
      <c r="D198" s="60">
        <f>(4.2*3+3.7*2.1+3.2*2.7+2.05*1.15+1.8*1.2+1.1*1.15+0.75*2.2)*10.764</f>
        <v>392.26706999999999</v>
      </c>
      <c r="E198" s="60">
        <f>6.75*10.764</f>
        <v>72.656999999999996</v>
      </c>
      <c r="F198" s="60">
        <f t="shared" si="10"/>
        <v>661.05760500000008</v>
      </c>
      <c r="G198" s="120"/>
      <c r="H198" s="120"/>
      <c r="I198" s="36"/>
      <c r="K198" s="62"/>
    </row>
    <row r="199" spans="1:13" s="35" customFormat="1" x14ac:dyDescent="0.35">
      <c r="A199" s="120">
        <v>4</v>
      </c>
      <c r="B199" s="120"/>
      <c r="C199" s="60" t="s">
        <v>177</v>
      </c>
      <c r="D199" s="60">
        <f>(4.2*3+3.7*2.1+3.2*2.7+2.05*1.15+1.8*1.2+1.1*1.15+0.75*2.2)*10.764</f>
        <v>392.26706999999999</v>
      </c>
      <c r="E199" s="60">
        <f>6.75*10.764</f>
        <v>72.656999999999996</v>
      </c>
      <c r="F199" s="60">
        <f t="shared" si="10"/>
        <v>661.05760500000008</v>
      </c>
      <c r="G199" s="120"/>
      <c r="H199" s="120"/>
      <c r="I199" s="36"/>
      <c r="J199" s="37"/>
      <c r="K199" s="37"/>
    </row>
    <row r="200" spans="1:13" s="35" customFormat="1" ht="16" thickBot="1" x14ac:dyDescent="0.4">
      <c r="A200" s="120">
        <v>5</v>
      </c>
      <c r="B200" s="120"/>
      <c r="C200" s="60" t="s">
        <v>177</v>
      </c>
      <c r="D200" s="60">
        <f>(4.2*2.8+3.6*2.2+3.2*2.7+1.2*1.8+1.8*1.2+0.4*1.2+0.75*2.8+0.75*2.7)*10.764</f>
        <v>400.90517999999997</v>
      </c>
      <c r="E200" s="60">
        <f>12.58*10.764</f>
        <v>135.41111999999998</v>
      </c>
      <c r="F200" s="60">
        <f t="shared" si="10"/>
        <v>669.06332999999995</v>
      </c>
      <c r="G200" s="120"/>
      <c r="H200" s="120"/>
      <c r="I200" s="36"/>
      <c r="J200" s="37"/>
      <c r="K200" s="37"/>
    </row>
    <row r="201" spans="1:13" s="35" customFormat="1" ht="16" thickBot="1" x14ac:dyDescent="0.4">
      <c r="A201" s="120">
        <v>6</v>
      </c>
      <c r="B201" s="120"/>
      <c r="C201" s="60" t="s">
        <v>177</v>
      </c>
      <c r="D201" s="63">
        <f>(2.8*4.2+2.2*3.6+2.7*2.8+1.2*1.8+1.8*1.2+1.2*0.4+1.8*0.4+2.8*0.75+2.7*0.75)*10.764</f>
        <v>397.03013999999996</v>
      </c>
      <c r="E201" s="60">
        <f>11.55*10.764</f>
        <v>124.3242</v>
      </c>
      <c r="F201" s="60">
        <f t="shared" si="10"/>
        <v>657.70731000000001</v>
      </c>
      <c r="G201" s="120"/>
      <c r="H201" s="120"/>
      <c r="I201" s="36"/>
      <c r="J201" s="37"/>
      <c r="K201" s="37"/>
      <c r="L201" s="97"/>
      <c r="M201" s="98"/>
    </row>
    <row r="202" spans="1:13" s="59" customFormat="1" ht="16.5" customHeight="1" thickBot="1" x14ac:dyDescent="0.4">
      <c r="A202" s="120">
        <v>7</v>
      </c>
      <c r="B202" s="120"/>
      <c r="C202" s="60" t="s">
        <v>178</v>
      </c>
      <c r="D202" s="63">
        <f>(2.8*3.75+2.1*3.8+2.9*2.8+3.3*2.7+1.95*1.17+1.8*1.35+1.3*0.9+1.6*1.35+2*0.4+0.9*0.5+2.8*0.75)*10.764</f>
        <v>504.84774600000003</v>
      </c>
      <c r="E202" s="60">
        <f>6.47*10.764</f>
        <v>69.643079999999998</v>
      </c>
      <c r="F202" s="60">
        <f>D202*(($F$172)+1)+(IF(E202&lt;101,E202,IF(E202&lt;201,E202/2,IF(E202&lt;=301,E202/3,E202/4))))</f>
        <v>826.91469900000016</v>
      </c>
      <c r="G202" s="120"/>
      <c r="H202" s="120"/>
      <c r="I202" s="36"/>
      <c r="J202" s="37"/>
      <c r="K202" s="37"/>
    </row>
    <row r="203" spans="1:13" s="35" customFormat="1" ht="15.75" customHeight="1" thickBot="1" x14ac:dyDescent="0.4">
      <c r="A203" s="120">
        <v>8</v>
      </c>
      <c r="B203" s="120"/>
      <c r="C203" s="60" t="s">
        <v>178</v>
      </c>
      <c r="D203" s="60">
        <f>(2.8*4.2+2.1*2.9+2.9*2.8+3.3*2.7+1.95*1.12+1.8*1.35+3.5*0.9+1.2*1.35+3*0.75)*10.764</f>
        <v>500.67669599999982</v>
      </c>
      <c r="E203" s="60">
        <f>6.47*10.764</f>
        <v>69.643079999999998</v>
      </c>
      <c r="F203" s="60">
        <f>D203*(($F$172)+1)+(IF(E203&lt;101,E203,IF(E203&lt;201,E203/2,IF(E203&lt;=301,E203/3,E203/4))))</f>
        <v>820.65812399999982</v>
      </c>
      <c r="G203" s="120"/>
      <c r="H203" s="120"/>
      <c r="I203" s="36"/>
      <c r="J203" s="37"/>
      <c r="K203" s="37"/>
      <c r="L203" s="68" t="s">
        <v>179</v>
      </c>
      <c r="M203" s="69" t="s">
        <v>180</v>
      </c>
    </row>
    <row r="204" spans="1:13" s="35" customFormat="1" ht="15.75" customHeight="1" x14ac:dyDescent="0.35">
      <c r="A204" s="120">
        <v>9</v>
      </c>
      <c r="B204" s="120"/>
      <c r="C204" s="120" t="s">
        <v>184</v>
      </c>
      <c r="D204" s="120"/>
      <c r="E204" s="120"/>
      <c r="F204" s="120"/>
      <c r="G204" s="120"/>
      <c r="H204" s="120"/>
      <c r="I204" s="36"/>
      <c r="J204" s="37"/>
      <c r="K204" s="37"/>
      <c r="L204" s="72">
        <v>0</v>
      </c>
      <c r="M204" s="73"/>
    </row>
    <row r="205" spans="1:13" s="35" customFormat="1" ht="15.75" customHeight="1" x14ac:dyDescent="0.35">
      <c r="A205" s="132" t="s">
        <v>185</v>
      </c>
      <c r="B205" s="133"/>
      <c r="C205" s="133"/>
      <c r="D205" s="133"/>
      <c r="E205" s="133"/>
      <c r="F205" s="133"/>
      <c r="G205" s="133"/>
      <c r="H205" s="133"/>
      <c r="I205" s="36"/>
      <c r="J205" s="37"/>
      <c r="K205" s="37"/>
      <c r="L205" s="72">
        <f>2.8*2.5</f>
        <v>7</v>
      </c>
      <c r="M205" s="73"/>
    </row>
    <row r="206" spans="1:13" s="35" customFormat="1" ht="15.75" customHeight="1" x14ac:dyDescent="0.35">
      <c r="A206" s="118">
        <v>1</v>
      </c>
      <c r="B206" s="119"/>
      <c r="C206" s="60" t="s">
        <v>178</v>
      </c>
      <c r="D206" s="60">
        <f>(4.4*2.8+3.6*2.1+2.8*3.1+2.8*3.5+1.2*1.8+1.2*1.9+1.2*1.1+1.2*1.1+2.8*0.75)*10.764</f>
        <v>511.72055999999998</v>
      </c>
      <c r="E206" s="60">
        <f>(5.45+5.75)*10.764</f>
        <v>120.55679999999998</v>
      </c>
      <c r="F206" s="60">
        <f t="shared" ref="F206:F213" si="11">D206*(($F$172)+1)+(IF(E206&lt;101,E206,IF(E206&lt;201,E206/2,IF(E206&lt;=301,E206/3,E206/4))))</f>
        <v>827.85924</v>
      </c>
      <c r="G206" s="123" t="str">
        <f>A205</f>
        <v>13th &amp; 23rd Floor (Part Refuge area)</v>
      </c>
      <c r="H206" s="134"/>
      <c r="I206" s="36"/>
      <c r="J206" s="37"/>
      <c r="K206" s="37"/>
      <c r="L206" s="72">
        <f>2.8*2.5</f>
        <v>7</v>
      </c>
      <c r="M206" s="73"/>
    </row>
    <row r="207" spans="1:13" s="35" customFormat="1" ht="15.75" customHeight="1" x14ac:dyDescent="0.35">
      <c r="A207" s="118">
        <v>2</v>
      </c>
      <c r="B207" s="119"/>
      <c r="C207" s="60" t="s">
        <v>178</v>
      </c>
      <c r="D207" s="60">
        <f>(4.3*2.8+3.6*2.1+2.7*3.1+3.4*2.85+1.2*1.8+1.2*1.9+1.2*1.1+2.8*0.75)*10.764</f>
        <v>489.97728000000006</v>
      </c>
      <c r="E207" s="60">
        <f>(5.75+7.28)*10.764</f>
        <v>140.25492</v>
      </c>
      <c r="F207" s="60">
        <f t="shared" si="11"/>
        <v>805.09338000000014</v>
      </c>
      <c r="G207" s="125"/>
      <c r="H207" s="135"/>
      <c r="I207" s="36"/>
      <c r="J207" s="37"/>
      <c r="K207" s="37"/>
      <c r="L207" s="74">
        <f>2.8*2.5</f>
        <v>7</v>
      </c>
      <c r="M207" s="73"/>
    </row>
    <row r="208" spans="1:13" s="35" customFormat="1" ht="15.75" customHeight="1" x14ac:dyDescent="0.35">
      <c r="A208" s="118">
        <v>3</v>
      </c>
      <c r="B208" s="119"/>
      <c r="C208" s="60" t="s">
        <v>177</v>
      </c>
      <c r="D208" s="60">
        <f>(4.2*3+3.7*2.1+3.2*2.7+2.05*1.15+1.8*1.2+1.1*1.15+0.75*2.7)*10.764</f>
        <v>396.30356999999998</v>
      </c>
      <c r="E208" s="60">
        <f>5.5*10.764</f>
        <v>59.201999999999998</v>
      </c>
      <c r="F208" s="60">
        <f t="shared" si="11"/>
        <v>653.65735499999994</v>
      </c>
      <c r="G208" s="125"/>
      <c r="H208" s="135"/>
      <c r="I208" s="36"/>
      <c r="J208" s="37"/>
      <c r="K208" s="37"/>
      <c r="L208" s="74">
        <f>2.8*2.5</f>
        <v>7</v>
      </c>
      <c r="M208" s="73"/>
    </row>
    <row r="209" spans="1:13" s="35" customFormat="1" ht="15.75" customHeight="1" x14ac:dyDescent="0.35">
      <c r="A209" s="118">
        <v>4</v>
      </c>
      <c r="B209" s="119"/>
      <c r="C209" s="60" t="s">
        <v>177</v>
      </c>
      <c r="D209" s="60">
        <f>(4.2*3+3.7*2.1+3.2*2.7+2.05*1.15+1.8*1.2+1.1*1.15+0.75*2.7)*10.764</f>
        <v>396.30356999999998</v>
      </c>
      <c r="E209" s="60">
        <f>5.5*10.764</f>
        <v>59.201999999999998</v>
      </c>
      <c r="F209" s="60">
        <f t="shared" si="11"/>
        <v>653.65735499999994</v>
      </c>
      <c r="G209" s="125"/>
      <c r="H209" s="135"/>
      <c r="I209" s="36"/>
      <c r="J209" s="37"/>
      <c r="K209" s="37"/>
      <c r="L209" s="79"/>
      <c r="M209" s="73">
        <v>6.6</v>
      </c>
    </row>
    <row r="210" spans="1:13" s="35" customFormat="1" ht="15.75" customHeight="1" x14ac:dyDescent="0.35">
      <c r="A210" s="118">
        <v>5</v>
      </c>
      <c r="B210" s="119"/>
      <c r="C210" s="60" t="s">
        <v>177</v>
      </c>
      <c r="D210" s="60">
        <f>(4.2*2.8+3.6*2.2+3.2*2.7+1.2*1.8+1.8*1.2+0.4*1.2+7)*10.764</f>
        <v>431.85167999999993</v>
      </c>
      <c r="E210" s="60">
        <f>5.71*10.764</f>
        <v>61.462439999999994</v>
      </c>
      <c r="F210" s="60">
        <f t="shared" si="11"/>
        <v>709.23995999999988</v>
      </c>
      <c r="G210" s="125"/>
      <c r="H210" s="135"/>
      <c r="I210" s="36"/>
      <c r="J210" s="37"/>
      <c r="K210" s="37"/>
      <c r="L210" s="79"/>
      <c r="M210" s="75">
        <v>6.45</v>
      </c>
    </row>
    <row r="211" spans="1:13" s="35" customFormat="1" ht="15.75" customHeight="1" thickBot="1" x14ac:dyDescent="0.4">
      <c r="A211" s="118">
        <v>6</v>
      </c>
      <c r="B211" s="119"/>
      <c r="C211" s="60" t="s">
        <v>177</v>
      </c>
      <c r="D211" s="63">
        <f>(2.8*4.2+2.2*3.6+2.7*2.8+1.2*1.8+1.8*1.2+1.9*0.4+1.2*0.4+0.75*3.2)*10.764</f>
        <v>378.89279999999991</v>
      </c>
      <c r="E211" s="60">
        <f>(5.71+6.16)*10.764</f>
        <v>127.76868</v>
      </c>
      <c r="F211" s="60">
        <f t="shared" si="11"/>
        <v>632.22353999999984</v>
      </c>
      <c r="G211" s="125"/>
      <c r="H211" s="135"/>
      <c r="I211" s="36"/>
      <c r="J211" s="37"/>
      <c r="K211" s="37"/>
      <c r="L211" s="80"/>
      <c r="M211" s="81">
        <v>6.59</v>
      </c>
    </row>
    <row r="212" spans="1:13" s="35" customFormat="1" ht="15.75" customHeight="1" x14ac:dyDescent="0.35">
      <c r="A212" s="118">
        <v>7</v>
      </c>
      <c r="B212" s="119"/>
      <c r="C212" s="60" t="s">
        <v>178</v>
      </c>
      <c r="D212" s="63">
        <f>(2.8*3.75+2.1*3.8+2.9*2.8+3.3*2.7+1.95*1.17+1.8*1.35+1.3*0.9+1.6*1.35+2*0.4+0.9*0.5+1.7*0.75)*10.764</f>
        <v>495.967446</v>
      </c>
      <c r="E212" s="60">
        <f>6.16*10.764</f>
        <v>66.306240000000003</v>
      </c>
      <c r="F212" s="60">
        <f t="shared" si="11"/>
        <v>810.25740899999994</v>
      </c>
      <c r="G212" s="125"/>
      <c r="H212" s="135"/>
      <c r="I212" s="36"/>
      <c r="J212" s="37"/>
      <c r="K212" s="37"/>
    </row>
    <row r="213" spans="1:13" s="35" customFormat="1" ht="15.75" customHeight="1" x14ac:dyDescent="0.35">
      <c r="A213" s="118">
        <v>8</v>
      </c>
      <c r="B213" s="119"/>
      <c r="C213" s="60" t="s">
        <v>178</v>
      </c>
      <c r="D213" s="60">
        <f>(2.8*4.2+2.1*2.9+2.9*2.8+3.3*2.7+1.95*1.12+1.8*1.35+3.5*0.9+1.2*1.35+1.7*0.75)*10.764</f>
        <v>490.18179599999985</v>
      </c>
      <c r="E213" s="60">
        <f>4.43*10.764</f>
        <v>47.684519999999992</v>
      </c>
      <c r="F213" s="60">
        <f t="shared" si="11"/>
        <v>782.95721399999979</v>
      </c>
      <c r="G213" s="125"/>
      <c r="H213" s="135"/>
      <c r="I213" s="57"/>
    </row>
    <row r="214" spans="1:13" s="35" customFormat="1" ht="15.75" customHeight="1" thickBot="1" x14ac:dyDescent="0.4">
      <c r="A214" s="118">
        <v>9</v>
      </c>
      <c r="B214" s="119"/>
      <c r="C214" s="118" t="s">
        <v>186</v>
      </c>
      <c r="D214" s="183"/>
      <c r="E214" s="183"/>
      <c r="F214" s="119"/>
      <c r="G214" s="127"/>
      <c r="H214" s="136"/>
      <c r="I214" s="57"/>
    </row>
    <row r="215" spans="1:13" s="35" customFormat="1" ht="15.75" customHeight="1" thickBot="1" x14ac:dyDescent="0.4">
      <c r="A215" s="137" t="s">
        <v>187</v>
      </c>
      <c r="B215" s="138"/>
      <c r="C215" s="138"/>
      <c r="D215" s="138"/>
      <c r="E215" s="138"/>
      <c r="F215" s="138"/>
      <c r="G215" s="138"/>
      <c r="H215" s="139"/>
      <c r="I215" s="57"/>
      <c r="K215" s="96" t="s">
        <v>190</v>
      </c>
    </row>
    <row r="216" spans="1:13" s="35" customFormat="1" ht="15.75" customHeight="1" thickBot="1" x14ac:dyDescent="0.4">
      <c r="A216" s="176" t="s">
        <v>221</v>
      </c>
      <c r="B216" s="177"/>
      <c r="C216" s="177"/>
      <c r="D216" s="177"/>
      <c r="E216" s="177"/>
      <c r="F216" s="177"/>
      <c r="G216" s="177"/>
      <c r="H216" s="177"/>
      <c r="I216" s="64"/>
      <c r="J216" s="65"/>
      <c r="K216" s="59"/>
    </row>
    <row r="217" spans="1:13" s="35" customFormat="1" ht="15.75" customHeight="1" thickBot="1" x14ac:dyDescent="0.4">
      <c r="A217" s="132" t="s">
        <v>210</v>
      </c>
      <c r="B217" s="133"/>
      <c r="C217" s="133"/>
      <c r="D217" s="133"/>
      <c r="E217" s="133"/>
      <c r="F217" s="133"/>
      <c r="G217" s="133"/>
      <c r="H217" s="133"/>
      <c r="I217" s="57"/>
      <c r="K217" s="67"/>
    </row>
    <row r="218" spans="1:13" s="35" customFormat="1" ht="15.75" customHeight="1" x14ac:dyDescent="0.35">
      <c r="A218" s="130">
        <v>1</v>
      </c>
      <c r="B218" s="131"/>
      <c r="C218" s="63" t="s">
        <v>178</v>
      </c>
      <c r="D218" s="63">
        <f>(2.8*4.2+2.1*2.7+2.8*2.7+3.3*2.7+1.8*1.35+1.95*1.12+1.8*0.9+1.2*2.4+((2.8+2.1+2.8)*0.75))*10.764</f>
        <v>525.16479599999991</v>
      </c>
      <c r="E218" s="63">
        <v>0</v>
      </c>
      <c r="F218" s="63">
        <f t="shared" ref="F218:F223" si="12">D218*(($F$172)+1)+(IF(E218&lt;101,E218,IF(E218&lt;201,E218/2,IF(E218&lt;=301,E218/3,E218/4))))</f>
        <v>787.74719399999981</v>
      </c>
      <c r="G218" s="140" t="str">
        <f>A217</f>
        <v>1st, 3rd, 5th, 7th, 9th, 11th, 15th, 17th, 19th &amp; 21th Floor For Residential</v>
      </c>
      <c r="H218" s="141"/>
      <c r="I218" s="57"/>
      <c r="K218" s="70">
        <v>1</v>
      </c>
    </row>
    <row r="219" spans="1:13" s="35" customFormat="1" ht="15.75" customHeight="1" x14ac:dyDescent="0.35">
      <c r="A219" s="130">
        <v>2</v>
      </c>
      <c r="B219" s="131"/>
      <c r="C219" s="63" t="s">
        <v>178</v>
      </c>
      <c r="D219" s="63">
        <f>(2.8*4.2+2.1*3.7+2.7*2.7+3.3*2.7+1.95*1.12+1.8*1.35+1.2*0.9+1.4*1.35+1.7*0.75)*10.764</f>
        <v>479.95599599999997</v>
      </c>
      <c r="E219" s="63">
        <f>7*10.764</f>
        <v>75.347999999999999</v>
      </c>
      <c r="F219" s="63">
        <f>D219*(($F$172)+1)+(IF(E219&lt;101,E219,IF(E219&lt;201,E219/2,IF(E219&lt;=301,E219/3,E219/4))))</f>
        <v>795.28199399999994</v>
      </c>
      <c r="G219" s="142"/>
      <c r="H219" s="143"/>
      <c r="I219" s="94">
        <f>2.8*2.5</f>
        <v>7</v>
      </c>
      <c r="K219" s="70">
        <v>2</v>
      </c>
    </row>
    <row r="220" spans="1:13" s="35" customFormat="1" ht="15.75" customHeight="1" x14ac:dyDescent="0.35">
      <c r="A220" s="130">
        <v>3</v>
      </c>
      <c r="B220" s="131"/>
      <c r="C220" s="63" t="s">
        <v>177</v>
      </c>
      <c r="D220" s="63">
        <f>(2.8*4.2+2.2*3.5+2.7*3.3+1.8*1.2+1.2*1.8+1.2*0.4+0.75*3.3)*10.764</f>
        <v>383.68277999999992</v>
      </c>
      <c r="E220" s="63">
        <f>7*10.764</f>
        <v>75.347999999999999</v>
      </c>
      <c r="F220" s="63">
        <f t="shared" si="12"/>
        <v>650.87216999999987</v>
      </c>
      <c r="G220" s="142"/>
      <c r="H220" s="143"/>
      <c r="I220" s="57"/>
      <c r="K220" s="70">
        <v>3</v>
      </c>
    </row>
    <row r="221" spans="1:13" s="35" customFormat="1" ht="15.75" customHeight="1" x14ac:dyDescent="0.35">
      <c r="A221" s="130">
        <v>4</v>
      </c>
      <c r="B221" s="131"/>
      <c r="C221" s="63" t="s">
        <v>177</v>
      </c>
      <c r="D221" s="63">
        <f>(2.8*4.2+2.2*3.5+2.7*3.3+1.8*1.2+1.2*1.8+1.2*0.4+0.75*3.3)*10.764</f>
        <v>383.68277999999992</v>
      </c>
      <c r="E221" s="63">
        <f>7*10.764</f>
        <v>75.347999999999999</v>
      </c>
      <c r="F221" s="63">
        <f t="shared" si="12"/>
        <v>650.87216999999987</v>
      </c>
      <c r="G221" s="142"/>
      <c r="H221" s="143"/>
      <c r="I221" s="57"/>
      <c r="K221" s="70">
        <v>4</v>
      </c>
    </row>
    <row r="222" spans="1:13" s="35" customFormat="1" ht="15.75" customHeight="1" x14ac:dyDescent="0.35">
      <c r="A222" s="130">
        <v>5</v>
      </c>
      <c r="B222" s="131"/>
      <c r="C222" s="63" t="s">
        <v>177</v>
      </c>
      <c r="D222" s="63">
        <f>(2.8*4.2+2.2*3.5+2.7*2.7+1.8*1.2+1.2*1.8+1.2*0.4+0.4*1.8)*10.764</f>
        <v>347.35428000000002</v>
      </c>
      <c r="E222" s="63">
        <f>7*10.764</f>
        <v>75.347999999999999</v>
      </c>
      <c r="F222" s="63">
        <f t="shared" si="12"/>
        <v>596.37941999999998</v>
      </c>
      <c r="G222" s="142"/>
      <c r="H222" s="143"/>
      <c r="I222" s="57"/>
      <c r="K222" s="70">
        <v>5</v>
      </c>
    </row>
    <row r="223" spans="1:13" s="35" customFormat="1" ht="15.75" customHeight="1" x14ac:dyDescent="0.35">
      <c r="A223" s="130">
        <v>6</v>
      </c>
      <c r="B223" s="131"/>
      <c r="C223" s="63" t="s">
        <v>177</v>
      </c>
      <c r="D223" s="63">
        <f>(4.2*2.8+3.6*2.2+2.8*2.7+1.2*1.8+1.8*1.2+0.4*1.2+0.4*1.7+((2.7+2.8)*0.75))*10.764</f>
        <v>396.59957999999995</v>
      </c>
      <c r="E223" s="63">
        <v>0</v>
      </c>
      <c r="F223" s="63">
        <f t="shared" si="12"/>
        <v>594.89936999999986</v>
      </c>
      <c r="G223" s="144"/>
      <c r="H223" s="145"/>
      <c r="I223" s="57"/>
      <c r="K223" s="70">
        <v>6</v>
      </c>
    </row>
    <row r="224" spans="1:13" s="35" customFormat="1" ht="15.75" customHeight="1" x14ac:dyDescent="0.35">
      <c r="A224" s="132" t="s">
        <v>182</v>
      </c>
      <c r="B224" s="133"/>
      <c r="C224" s="133"/>
      <c r="D224" s="133"/>
      <c r="E224" s="133"/>
      <c r="F224" s="133"/>
      <c r="G224" s="133"/>
      <c r="H224" s="133"/>
      <c r="I224" s="57"/>
      <c r="K224" s="70">
        <v>7</v>
      </c>
    </row>
    <row r="225" spans="1:13" s="35" customFormat="1" ht="15.75" customHeight="1" thickBot="1" x14ac:dyDescent="0.4">
      <c r="A225" s="118">
        <v>1</v>
      </c>
      <c r="B225" s="119"/>
      <c r="C225" s="60" t="s">
        <v>178</v>
      </c>
      <c r="D225" s="63">
        <f>(2.8*4.2+2.1*2.7+2.8*2.7+3.3*2.7+1.8*1.35+1.95*1.12+1.8*0.9+1.2*2.4+((2.8+2.1+2.8+1.7)*0.75))*10.764</f>
        <v>538.88889599999993</v>
      </c>
      <c r="E225" s="60">
        <f>6.45*10.764</f>
        <v>69.427799999999991</v>
      </c>
      <c r="F225" s="60">
        <f t="shared" ref="F225:F230" si="13">D225*(($F$172)+1)+(IF(E225&lt;101,E225,IF(E225&lt;201,E225/2,IF(E225&lt;=301,E225/3,E225/4))))</f>
        <v>877.76114399999983</v>
      </c>
      <c r="G225" s="123" t="str">
        <f>A224</f>
        <v>2nd, 4th, 6th, 10th, 12th, 14th, 16th, 20th, 22th &amp; 24th Floor</v>
      </c>
      <c r="H225" s="124"/>
      <c r="I225" s="57"/>
      <c r="K225" s="78">
        <v>8</v>
      </c>
    </row>
    <row r="226" spans="1:13" s="35" customFormat="1" ht="15.75" customHeight="1" x14ac:dyDescent="0.35">
      <c r="A226" s="118">
        <v>2</v>
      </c>
      <c r="B226" s="119"/>
      <c r="C226" s="60" t="s">
        <v>178</v>
      </c>
      <c r="D226" s="63">
        <f>(2.8*4.2+2.1*3.7+2.7*2.7+3.3*2.7+1.95*1.12+1.8*1.35+1.2*0.9+1.4*1.35+2.8*0.75)*10.764</f>
        <v>488.836296</v>
      </c>
      <c r="E226" s="60">
        <f>6.45*10.764</f>
        <v>69.427799999999991</v>
      </c>
      <c r="F226" s="60">
        <f t="shared" si="13"/>
        <v>802.68224400000008</v>
      </c>
      <c r="G226" s="125"/>
      <c r="H226" s="126"/>
      <c r="I226" s="57"/>
    </row>
    <row r="227" spans="1:13" s="35" customFormat="1" ht="15.75" customHeight="1" x14ac:dyDescent="0.35">
      <c r="A227" s="118">
        <v>3</v>
      </c>
      <c r="B227" s="119"/>
      <c r="C227" s="60" t="s">
        <v>177</v>
      </c>
      <c r="D227" s="63">
        <f>(2.8*4.2+2.2*3.5+2.7*3.3+1.8*1.2+1.2*1.8+1.2*0.4+2.8*0.75)*10.764</f>
        <v>379.64627999999993</v>
      </c>
      <c r="E227" s="60">
        <f>6.59*10.764</f>
        <v>70.934759999999997</v>
      </c>
      <c r="F227" s="60">
        <f t="shared" si="13"/>
        <v>640.40417999999988</v>
      </c>
      <c r="G227" s="125"/>
      <c r="H227" s="126"/>
      <c r="I227" s="57"/>
    </row>
    <row r="228" spans="1:13" s="35" customFormat="1" ht="15.75" customHeight="1" x14ac:dyDescent="0.35">
      <c r="A228" s="118">
        <v>4</v>
      </c>
      <c r="B228" s="119"/>
      <c r="C228" s="60" t="s">
        <v>177</v>
      </c>
      <c r="D228" s="63">
        <f>(2.8*4.2+2.2*3.5+2.7*3.3+1.8*1.2+1.2*1.8+1.2*0.4+0.75*2.8)*10.764</f>
        <v>379.64627999999993</v>
      </c>
      <c r="E228" s="60">
        <f>6.59*10.764</f>
        <v>70.934759999999997</v>
      </c>
      <c r="F228" s="60">
        <f t="shared" si="13"/>
        <v>640.40417999999988</v>
      </c>
      <c r="G228" s="125"/>
      <c r="H228" s="126"/>
      <c r="I228" s="57"/>
    </row>
    <row r="229" spans="1:13" s="35" customFormat="1" ht="15.75" customHeight="1" x14ac:dyDescent="0.35">
      <c r="A229" s="118">
        <v>5</v>
      </c>
      <c r="B229" s="119"/>
      <c r="C229" s="60" t="s">
        <v>177</v>
      </c>
      <c r="D229" s="63">
        <f>(2.8*4.2+2.2*3.5+2.7*2.7+1.8*1.2+1.2*1.8+1.2*0.4+0.4*1.8+0.75*2.8)*10.764</f>
        <v>369.95868000000002</v>
      </c>
      <c r="E229" s="60">
        <v>0</v>
      </c>
      <c r="F229" s="60">
        <f t="shared" si="13"/>
        <v>554.93802000000005</v>
      </c>
      <c r="G229" s="125"/>
      <c r="H229" s="126"/>
      <c r="I229" s="57"/>
    </row>
    <row r="230" spans="1:13" s="35" customFormat="1" ht="15.75" customHeight="1" thickBot="1" x14ac:dyDescent="0.4">
      <c r="A230" s="118">
        <v>6</v>
      </c>
      <c r="B230" s="119"/>
      <c r="C230" s="60" t="s">
        <v>177</v>
      </c>
      <c r="D230" s="63">
        <f>(4.2*2.8+3.6*2.2+2.8*2.7+1.2*1.8+1.8*1.2+0.4*1.2+0.4*1.7+2.8*0.75)*10.764</f>
        <v>374.80248</v>
      </c>
      <c r="E230" s="60">
        <f>6.6*10.764</f>
        <v>71.042399999999986</v>
      </c>
      <c r="F230" s="60">
        <f t="shared" si="13"/>
        <v>633.24612000000002</v>
      </c>
      <c r="G230" s="127"/>
      <c r="H230" s="128"/>
      <c r="I230" s="57"/>
    </row>
    <row r="231" spans="1:13" s="35" customFormat="1" ht="16" thickBot="1" x14ac:dyDescent="0.4">
      <c r="A231" s="129" t="s">
        <v>183</v>
      </c>
      <c r="B231" s="129"/>
      <c r="C231" s="129"/>
      <c r="D231" s="129"/>
      <c r="E231" s="129"/>
      <c r="F231" s="129"/>
      <c r="G231" s="129"/>
      <c r="H231" s="129"/>
      <c r="I231" s="57"/>
      <c r="L231" s="97"/>
      <c r="M231" s="98"/>
    </row>
    <row r="232" spans="1:13" s="35" customFormat="1" ht="16.5" customHeight="1" thickBot="1" x14ac:dyDescent="0.4">
      <c r="A232" s="120">
        <v>1</v>
      </c>
      <c r="B232" s="120"/>
      <c r="C232" s="60" t="s">
        <v>178</v>
      </c>
      <c r="D232" s="63">
        <f>(2.8*4.2+2.1*2.7+2.8*2.7+3.3*2.7+1.8*1.35+1.95*1.12+1.8*0.9+1.2*2.4+((2.8+2.1+2.8+1.7)*0.75))*10.764</f>
        <v>538.88889599999993</v>
      </c>
      <c r="E232" s="60">
        <f>6.45*10.764</f>
        <v>69.427799999999991</v>
      </c>
      <c r="F232" s="60">
        <f>D232*(($F$172)+1)+(IF(E232&lt;101,E232,IF(E232&lt;201,E232/2,IF(E232&lt;=301,E232/3,E232/4))))</f>
        <v>877.76114399999983</v>
      </c>
      <c r="G232" s="120" t="str">
        <f>A231</f>
        <v>8th &amp; 18th Floor (Part Refuge area)</v>
      </c>
      <c r="H232" s="120"/>
      <c r="I232" s="57"/>
      <c r="L232" s="68" t="s">
        <v>179</v>
      </c>
      <c r="M232" s="69" t="s">
        <v>180</v>
      </c>
    </row>
    <row r="233" spans="1:13" s="35" customFormat="1" ht="16.5" customHeight="1" x14ac:dyDescent="0.35">
      <c r="A233" s="120">
        <v>2</v>
      </c>
      <c r="B233" s="120"/>
      <c r="C233" s="60" t="s">
        <v>178</v>
      </c>
      <c r="D233" s="63">
        <f>(2.8*4.2+2.1*3.7+2.7*2.7+3.3*2.7+1.95*1.12+1.8*1.35+1.2*0.9+1.4*1.35+2.8*0.75)*10.764</f>
        <v>488.836296</v>
      </c>
      <c r="E233" s="60">
        <f>6.45*10.764</f>
        <v>69.427799999999991</v>
      </c>
      <c r="F233" s="60">
        <f>D233*(($F$172)+1)+(IF(E233&lt;101,E233,IF(E233&lt;201,E233/2,IF(E233&lt;=301,E233/3,E233/4))))</f>
        <v>802.68224400000008</v>
      </c>
      <c r="G233" s="120"/>
      <c r="H233" s="120"/>
      <c r="I233" s="57"/>
      <c r="L233" s="72">
        <v>4.5599999999999996</v>
      </c>
      <c r="M233" s="73"/>
    </row>
    <row r="234" spans="1:13" s="35" customFormat="1" x14ac:dyDescent="0.35">
      <c r="A234" s="120">
        <v>3</v>
      </c>
      <c r="B234" s="120"/>
      <c r="C234" s="60" t="s">
        <v>177</v>
      </c>
      <c r="D234" s="63">
        <f>(2.8*4.2+2.2*3.5+2.7*3.3+1.8*1.2+1.2*1.8+1.2*0.4+2.8*0.75)*10.764</f>
        <v>379.64627999999993</v>
      </c>
      <c r="E234" s="60">
        <f>6.59*10.764</f>
        <v>70.934759999999997</v>
      </c>
      <c r="F234" s="60">
        <f>D234*(($F$172)+1)+(IF(E234&lt;101,E234,IF(E234&lt;201,E234/2,IF(E234&lt;=301,E234/3,E234/4))))</f>
        <v>640.40417999999988</v>
      </c>
      <c r="G234" s="120"/>
      <c r="H234" s="120"/>
      <c r="I234" s="57">
        <f>0.73*3.5+1.9*1.2+0.5*1.2*1.9</f>
        <v>5.9749999999999988</v>
      </c>
      <c r="L234" s="72">
        <f>2.8*2</f>
        <v>5.6</v>
      </c>
      <c r="M234" s="73"/>
    </row>
    <row r="235" spans="1:13" x14ac:dyDescent="0.35">
      <c r="A235" s="120">
        <v>4</v>
      </c>
      <c r="B235" s="120"/>
      <c r="C235" s="60" t="s">
        <v>177</v>
      </c>
      <c r="D235" s="63">
        <f>(2.8*4.2+2.2*3.5+2.7*3.3+1.8*1.2+1.2*1.8+1.2*0.4+0.75*2.8)*10.764</f>
        <v>379.64627999999993</v>
      </c>
      <c r="E235" s="60">
        <f>6.59*10.764</f>
        <v>70.934759999999997</v>
      </c>
      <c r="F235" s="60">
        <f>D235*(($F$172)+1)+(IF(E235&lt;101,E235,IF(E235&lt;201,E235/2,IF(E235&lt;=301,E235/3,E235/4))))</f>
        <v>640.40417999999988</v>
      </c>
      <c r="G235" s="120"/>
      <c r="H235" s="120"/>
      <c r="I235" s="57">
        <f>I234*10.764</f>
        <v>64.31489999999998</v>
      </c>
      <c r="J235" s="35"/>
      <c r="K235" s="35"/>
      <c r="L235" s="72">
        <f>2.8*2</f>
        <v>5.6</v>
      </c>
      <c r="M235" s="73"/>
    </row>
    <row r="236" spans="1:13" x14ac:dyDescent="0.35">
      <c r="A236" s="120">
        <v>5</v>
      </c>
      <c r="B236" s="120"/>
      <c r="C236" s="60" t="s">
        <v>177</v>
      </c>
      <c r="D236" s="63">
        <f>(2.8*4.2+2.2*3.5+2.7*2.7+1.8*1.2+1.2*1.8+1.2*0.4+0.4*1.8+0.75*2.8)*10.764</f>
        <v>369.95868000000002</v>
      </c>
      <c r="E236" s="60">
        <v>0</v>
      </c>
      <c r="F236" s="60">
        <f>D236*(($F$172)+1)+(IF(E236&lt;101,E236,IF(E236&lt;201,E236/2,IF(E236&lt;=301,E236/3,E236/4))))</f>
        <v>554.93802000000005</v>
      </c>
      <c r="G236" s="120"/>
      <c r="H236" s="120"/>
      <c r="I236" s="57"/>
      <c r="J236" s="35"/>
      <c r="K236" s="35"/>
      <c r="L236" s="74">
        <v>6.86</v>
      </c>
      <c r="M236" s="73"/>
    </row>
    <row r="237" spans="1:13" ht="15.75" customHeight="1" x14ac:dyDescent="0.35">
      <c r="A237" s="120">
        <v>6</v>
      </c>
      <c r="B237" s="120"/>
      <c r="C237" s="120" t="s">
        <v>186</v>
      </c>
      <c r="D237" s="120"/>
      <c r="E237" s="120"/>
      <c r="F237" s="120"/>
      <c r="G237" s="120"/>
      <c r="H237" s="120"/>
      <c r="I237" s="57"/>
      <c r="J237" s="35"/>
      <c r="K237" s="35"/>
      <c r="L237" s="74">
        <v>6.74</v>
      </c>
      <c r="M237" s="73"/>
    </row>
    <row r="238" spans="1:13" x14ac:dyDescent="0.35">
      <c r="A238" s="129" t="s">
        <v>185</v>
      </c>
      <c r="B238" s="129"/>
      <c r="C238" s="129"/>
      <c r="D238" s="129"/>
      <c r="E238" s="129"/>
      <c r="F238" s="129"/>
      <c r="G238" s="129"/>
      <c r="H238" s="129"/>
      <c r="I238" s="57"/>
      <c r="J238" s="35"/>
      <c r="K238" s="35"/>
      <c r="L238" s="74">
        <v>6.74</v>
      </c>
      <c r="M238" s="73"/>
    </row>
    <row r="239" spans="1:13" x14ac:dyDescent="0.35">
      <c r="A239" s="117">
        <v>1</v>
      </c>
      <c r="B239" s="117"/>
      <c r="C239" s="63" t="s">
        <v>178</v>
      </c>
      <c r="D239" s="63">
        <f>(2.8*4.2+2.1*2.7+2.8*2.7+3.3*2.7+1.8*1.35+1.95*1.12+1.8*0.9+1.2*2.4+((2.8+2.1+2.8)*0.75))*10.764</f>
        <v>525.16479599999991</v>
      </c>
      <c r="E239" s="63">
        <v>0</v>
      </c>
      <c r="F239" s="63">
        <f>D239*(($F$172)+1)+(IF(E239&lt;101,E239,IF(E239&lt;201,E239/2,IF(E239&lt;=301,E239/3,E239/4))))</f>
        <v>787.74719399999981</v>
      </c>
      <c r="G239" s="117" t="str">
        <f>A238</f>
        <v>13th &amp; 23rd Floor (Part Refuge area)</v>
      </c>
      <c r="H239" s="117"/>
      <c r="I239" s="57"/>
      <c r="J239" s="35"/>
      <c r="K239" s="35"/>
      <c r="L239" s="72">
        <v>0</v>
      </c>
      <c r="M239" s="73"/>
    </row>
    <row r="240" spans="1:13" ht="15.75" customHeight="1" x14ac:dyDescent="0.35">
      <c r="A240" s="117">
        <v>2</v>
      </c>
      <c r="B240" s="117"/>
      <c r="C240" s="63" t="s">
        <v>178</v>
      </c>
      <c r="D240" s="63">
        <f>(2.8*4.2+2.1*3.7+2.7*2.7+3.3*2.7+1.95*1.12+1.8*1.35+1.2*0.9+1.4*1.35+1.7*0.75)*10.764</f>
        <v>479.95599599999997</v>
      </c>
      <c r="E240" s="63">
        <f>7*10.764</f>
        <v>75.347999999999999</v>
      </c>
      <c r="F240" s="63">
        <f>D240*(($F$172)+1)+(IF(E240&lt;101,E240,IF(E240&lt;201,E240/2,IF(E240&lt;=301,E240/3,E240/4))))</f>
        <v>795.28199399999994</v>
      </c>
      <c r="G240" s="117"/>
      <c r="H240" s="117"/>
      <c r="I240" s="57">
        <f>2.6*2.8</f>
        <v>7.2799999999999994</v>
      </c>
      <c r="J240" s="35"/>
      <c r="K240" s="35"/>
      <c r="L240" s="72"/>
      <c r="M240" s="75">
        <v>9.52</v>
      </c>
    </row>
    <row r="241" spans="1:13" x14ac:dyDescent="0.35">
      <c r="A241" s="117">
        <v>3</v>
      </c>
      <c r="B241" s="117"/>
      <c r="C241" s="63" t="s">
        <v>177</v>
      </c>
      <c r="D241" s="63">
        <f>(2.8*4.2+2.2*3.5+2.7*3.3+1.8*1.2+1.2*1.8+1.2*0.4+0.75*3.3)*10.764</f>
        <v>383.68277999999992</v>
      </c>
      <c r="E241" s="63">
        <f>7*10.764</f>
        <v>75.347999999999999</v>
      </c>
      <c r="F241" s="63">
        <f>D241*(($F$172)+1)+(IF(E241&lt;101,E241,IF(E241&lt;201,E241/2,IF(E241&lt;=301,E241/3,E241/4))))</f>
        <v>650.87216999999987</v>
      </c>
      <c r="G241" s="117"/>
      <c r="H241" s="117"/>
      <c r="I241" s="57">
        <f>I240*10.764</f>
        <v>78.361919999999984</v>
      </c>
      <c r="J241" s="35"/>
      <c r="K241" s="35"/>
      <c r="L241" s="74"/>
      <c r="M241" s="73">
        <v>10.57</v>
      </c>
    </row>
    <row r="242" spans="1:13" x14ac:dyDescent="0.35">
      <c r="A242" s="117">
        <v>4</v>
      </c>
      <c r="B242" s="117"/>
      <c r="C242" s="63" t="s">
        <v>177</v>
      </c>
      <c r="D242" s="63">
        <f>(2.8*4.2+2.2*3.5+2.7*3.3+1.8*1.2+1.2*1.8+1.2*0.4+0.75*3.3)*10.764</f>
        <v>383.68277999999992</v>
      </c>
      <c r="E242" s="63">
        <f>7*10.764</f>
        <v>75.347999999999999</v>
      </c>
      <c r="F242" s="63">
        <f>D242*(($F$172)+1)+(IF(E242&lt;101,E242,IF(E242&lt;201,E242/2,IF(E242&lt;=301,E242/3,E242/4))))</f>
        <v>650.87216999999987</v>
      </c>
      <c r="G242" s="117"/>
      <c r="H242" s="117"/>
      <c r="I242" s="57"/>
      <c r="J242" s="35"/>
      <c r="K242" s="35"/>
      <c r="L242" s="74"/>
      <c r="M242" s="73">
        <f>2.1*4.1</f>
        <v>8.61</v>
      </c>
    </row>
    <row r="243" spans="1:13" x14ac:dyDescent="0.35">
      <c r="A243" s="117">
        <v>5</v>
      </c>
      <c r="B243" s="117"/>
      <c r="C243" s="63" t="s">
        <v>177</v>
      </c>
      <c r="D243" s="63">
        <f>(2.8*4.2+2.2*3.5+2.7*2.7+1.8*1.2+1.2*1.8+1.2*0.4+0.4*1.8)*10.764</f>
        <v>347.35428000000002</v>
      </c>
      <c r="E243" s="63">
        <f>7*10.764</f>
        <v>75.347999999999999</v>
      </c>
      <c r="F243" s="63">
        <f>D243*(($F$172)+1)+(IF(E243&lt;101,E243,IF(E243&lt;201,E243/2,IF(E243&lt;=301,E243/3,E243/4))))</f>
        <v>596.37941999999998</v>
      </c>
      <c r="G243" s="117"/>
      <c r="H243" s="117"/>
      <c r="I243" s="57"/>
      <c r="J243" s="35"/>
      <c r="K243" s="35"/>
      <c r="L243" s="74"/>
      <c r="M243" s="73">
        <f>2.1*4.1</f>
        <v>8.61</v>
      </c>
    </row>
    <row r="244" spans="1:13" ht="15" customHeight="1" thickBot="1" x14ac:dyDescent="0.4">
      <c r="A244" s="117">
        <v>6</v>
      </c>
      <c r="B244" s="117"/>
      <c r="C244" s="117" t="s">
        <v>186</v>
      </c>
      <c r="D244" s="117"/>
      <c r="E244" s="117"/>
      <c r="F244" s="117"/>
      <c r="G244" s="117"/>
      <c r="H244" s="117"/>
      <c r="I244" s="57"/>
      <c r="J244" s="35"/>
      <c r="K244" s="35"/>
      <c r="L244" s="76"/>
      <c r="M244" s="77">
        <v>6.92</v>
      </c>
    </row>
    <row r="245" spans="1:13" ht="16" thickBot="1" x14ac:dyDescent="0.4">
      <c r="A245" s="137" t="s">
        <v>188</v>
      </c>
      <c r="B245" s="138"/>
      <c r="C245" s="138"/>
      <c r="D245" s="138"/>
      <c r="E245" s="138"/>
      <c r="F245" s="138"/>
      <c r="G245" s="138"/>
      <c r="H245" s="139"/>
      <c r="I245" s="57"/>
      <c r="J245" s="35"/>
      <c r="K245" s="96" t="s">
        <v>191</v>
      </c>
    </row>
    <row r="246" spans="1:13" ht="16" thickBot="1" x14ac:dyDescent="0.4">
      <c r="A246" s="176" t="s">
        <v>221</v>
      </c>
      <c r="B246" s="177"/>
      <c r="C246" s="177"/>
      <c r="D246" s="177"/>
      <c r="E246" s="177"/>
      <c r="F246" s="177"/>
      <c r="G246" s="177"/>
      <c r="H246" s="177"/>
      <c r="I246" s="57"/>
      <c r="J246" s="35"/>
      <c r="K246" s="67"/>
    </row>
    <row r="247" spans="1:13" ht="15.75" customHeight="1" x14ac:dyDescent="0.35">
      <c r="A247" s="132" t="s">
        <v>211</v>
      </c>
      <c r="B247" s="133"/>
      <c r="C247" s="133"/>
      <c r="D247" s="133"/>
      <c r="E247" s="133"/>
      <c r="F247" s="133"/>
      <c r="G247" s="133"/>
      <c r="H247" s="133"/>
      <c r="I247" s="57"/>
      <c r="J247" s="35"/>
      <c r="K247" s="70">
        <v>1</v>
      </c>
    </row>
    <row r="248" spans="1:13" x14ac:dyDescent="0.35">
      <c r="A248" s="118">
        <v>1</v>
      </c>
      <c r="B248" s="119"/>
      <c r="C248" s="60" t="s">
        <v>177</v>
      </c>
      <c r="D248" s="60">
        <f>(4.2*2.8+3.6*2.2+2.8*2.7+1.8*1.2+1.2*1.8+0.4*1.2+0.4*1.7+((2.8+2.7)*0.75))*10.764</f>
        <v>396.59957999999995</v>
      </c>
      <c r="E248" s="60">
        <v>0</v>
      </c>
      <c r="F248" s="60">
        <f t="shared" ref="F248:F253" si="14">D248*(($F$172)+1)+(IF(E248&lt;101,E248,IF(E248&lt;201,E248/2,IF(E248&lt;=301,E248/3,E248/4))))</f>
        <v>594.89936999999986</v>
      </c>
      <c r="G248" s="123" t="str">
        <f>A247</f>
        <v>1st, 3rd, 5th, 7th, 9th, 11th, 15th, 17th, 19th &amp; 21th Floor For residential</v>
      </c>
      <c r="H248" s="124"/>
      <c r="I248" s="35"/>
      <c r="J248" s="35"/>
      <c r="K248" s="70">
        <v>2</v>
      </c>
    </row>
    <row r="249" spans="1:13" x14ac:dyDescent="0.35">
      <c r="A249" s="118">
        <v>2</v>
      </c>
      <c r="B249" s="119"/>
      <c r="C249" s="60" t="s">
        <v>177</v>
      </c>
      <c r="D249" s="60">
        <f>(4.2*2.8+3.6*2.2+2.8*2.7+1.8*1.2+1.2*1.8+0.4*1.2)*10.764</f>
        <v>344.87855999999999</v>
      </c>
      <c r="E249" s="60">
        <f>6.74*10.764</f>
        <v>72.549359999999993</v>
      </c>
      <c r="F249" s="60">
        <f t="shared" si="14"/>
        <v>589.86719999999991</v>
      </c>
      <c r="G249" s="125"/>
      <c r="H249" s="126"/>
      <c r="K249" s="70">
        <v>3</v>
      </c>
    </row>
    <row r="250" spans="1:13" x14ac:dyDescent="0.35">
      <c r="A250" s="118">
        <v>3</v>
      </c>
      <c r="B250" s="119"/>
      <c r="C250" s="60" t="s">
        <v>177</v>
      </c>
      <c r="D250" s="60">
        <f>(4.2*2.8+3.6*2.2+3.3*2.7+1.2*1.8+1.8*1.2+1.2*0.4+3.3*0.75)*10.764</f>
        <v>386.05085999999994</v>
      </c>
      <c r="E250" s="60">
        <f>6.74*10.764</f>
        <v>72.549359999999993</v>
      </c>
      <c r="F250" s="60">
        <f t="shared" si="14"/>
        <v>651.62564999999995</v>
      </c>
      <c r="G250" s="125"/>
      <c r="H250" s="126"/>
      <c r="K250" s="70">
        <v>4</v>
      </c>
    </row>
    <row r="251" spans="1:13" x14ac:dyDescent="0.35">
      <c r="A251" s="118">
        <v>4</v>
      </c>
      <c r="B251" s="119"/>
      <c r="C251" s="60" t="s">
        <v>177</v>
      </c>
      <c r="D251" s="60">
        <f>(2.8*4.2+2.2*3.5+2.7*3.3+1.2*1.9+1.8*1.2+1.2*0.9+1.2*0.4+0.75*3.3)*10.764</f>
        <v>396.59957999999995</v>
      </c>
      <c r="E251" s="63">
        <f>(4.56+5.85)*10.764</f>
        <v>112.05323999999999</v>
      </c>
      <c r="F251" s="60">
        <f>D251*(($F$172)+1)+(IF(E251&lt;101,E251,IF(E251&lt;201,E251/2,IF(E251&lt;=301,E251/3,E251/4))))</f>
        <v>650.92598999999984</v>
      </c>
      <c r="G251" s="125"/>
      <c r="H251" s="126"/>
      <c r="I251" s="21">
        <f>11.7/2</f>
        <v>5.85</v>
      </c>
      <c r="K251" s="70">
        <v>5</v>
      </c>
    </row>
    <row r="252" spans="1:13" x14ac:dyDescent="0.35">
      <c r="A252" s="118">
        <v>5</v>
      </c>
      <c r="B252" s="119"/>
      <c r="C252" s="60" t="s">
        <v>178</v>
      </c>
      <c r="D252" s="60">
        <f>(2.8*4.2+2.1*3.7+2.7*2.7+3.2*2.8+1.1*1.65+1.95*1.2+2.1*1.2+1.95*0.2+2.2*0.9+0.9*0.2+2.8*0.75)*10.764</f>
        <v>507.03822000000002</v>
      </c>
      <c r="E252" s="63">
        <f>(5.85+6.86)*10.764</f>
        <v>136.81044</v>
      </c>
      <c r="F252" s="60">
        <f t="shared" si="14"/>
        <v>828.96255000000008</v>
      </c>
      <c r="G252" s="125"/>
      <c r="H252" s="126"/>
      <c r="K252" s="70">
        <v>6</v>
      </c>
    </row>
    <row r="253" spans="1:13" x14ac:dyDescent="0.35">
      <c r="A253" s="118">
        <v>6</v>
      </c>
      <c r="B253" s="119"/>
      <c r="C253" s="60" t="s">
        <v>178</v>
      </c>
      <c r="D253" s="60">
        <f>(2.8*3.75+2.1*3.7+2.7*2.7+3.2*2.8+1.1*1.65+1.95*1.2+2.1*1.2+1.95*0.2+2.2*0.9+0.9*0.2+((2.8+2.8)*0.75))*10.764</f>
        <v>516.07997999999986</v>
      </c>
      <c r="E253" s="60">
        <f>6.86*10.764</f>
        <v>73.841039999999992</v>
      </c>
      <c r="F253" s="60">
        <f t="shared" si="14"/>
        <v>847.96100999999976</v>
      </c>
      <c r="G253" s="127"/>
      <c r="H253" s="128"/>
      <c r="K253" s="70">
        <v>7</v>
      </c>
    </row>
    <row r="254" spans="1:13" ht="15.75" customHeight="1" x14ac:dyDescent="0.35">
      <c r="A254" s="132" t="s">
        <v>227</v>
      </c>
      <c r="B254" s="133"/>
      <c r="C254" s="133"/>
      <c r="D254" s="133"/>
      <c r="E254" s="133"/>
      <c r="F254" s="133"/>
      <c r="G254" s="133"/>
      <c r="H254" s="133"/>
      <c r="K254" s="70">
        <v>8</v>
      </c>
    </row>
    <row r="255" spans="1:13" x14ac:dyDescent="0.35">
      <c r="A255" s="118">
        <v>1</v>
      </c>
      <c r="B255" s="119"/>
      <c r="C255" s="60" t="s">
        <v>177</v>
      </c>
      <c r="D255" s="63">
        <f>(4.2*2.8+3.6*2.2+2.8*2.7+1.8*1.2+1.2*1.8+0.4*1.2+0.4*1.7+2.8*0.75)*10.764</f>
        <v>374.80248</v>
      </c>
      <c r="E255" s="60">
        <f>6.92*10.764</f>
        <v>74.486879999999999</v>
      </c>
      <c r="F255" s="60">
        <f t="shared" ref="F255:F260" si="15">D255*(($F$172)+1)+(IF(E255&lt;101,E255,IF(E255&lt;201,E255/2,IF(E255&lt;=301,E255/3,E255/4))))</f>
        <v>636.69060000000002</v>
      </c>
      <c r="G255" s="123" t="str">
        <f>A254</f>
        <v>2nd, 4th, 6th, 10th, 12th, 14th, 16th, 20th, 22nd &amp; 24th Floor</v>
      </c>
      <c r="H255" s="134"/>
      <c r="I255" s="249" t="s">
        <v>189</v>
      </c>
      <c r="K255" s="70">
        <v>9</v>
      </c>
    </row>
    <row r="256" spans="1:13" x14ac:dyDescent="0.35">
      <c r="A256" s="118">
        <v>2</v>
      </c>
      <c r="B256" s="119"/>
      <c r="C256" s="60" t="s">
        <v>177</v>
      </c>
      <c r="D256" s="63">
        <f>(4.2*2.8+3.6*2.2+2.8*2.7+1.8*1.2+1.2*1.8+0.4*1.2+0.75*2.8)*10.764</f>
        <v>367.48295999999999</v>
      </c>
      <c r="E256" s="60">
        <v>0</v>
      </c>
      <c r="F256" s="60">
        <f t="shared" si="15"/>
        <v>551.22443999999996</v>
      </c>
      <c r="G256" s="125"/>
      <c r="H256" s="135"/>
      <c r="I256" s="249"/>
      <c r="K256" s="70">
        <v>10</v>
      </c>
    </row>
    <row r="257" spans="1:11" x14ac:dyDescent="0.35">
      <c r="A257" s="118">
        <v>3</v>
      </c>
      <c r="B257" s="119"/>
      <c r="C257" s="60" t="s">
        <v>177</v>
      </c>
      <c r="D257" s="63">
        <f>(4.2*2.8+3.6*2.2+3.3*2.7+1.2*1.8+1.8*1.2+1.2*0.4+0.75*2.8)*10.764</f>
        <v>382.0143599999999</v>
      </c>
      <c r="E257" s="60">
        <f>10.57*10.764</f>
        <v>113.77548</v>
      </c>
      <c r="F257" s="60">
        <f t="shared" si="15"/>
        <v>629.90927999999985</v>
      </c>
      <c r="G257" s="125"/>
      <c r="H257" s="135"/>
      <c r="I257" s="249"/>
      <c r="K257" s="70">
        <v>11</v>
      </c>
    </row>
    <row r="258" spans="1:11" ht="16" thickBot="1" x14ac:dyDescent="0.4">
      <c r="A258" s="118">
        <v>4</v>
      </c>
      <c r="B258" s="119"/>
      <c r="C258" s="60" t="s">
        <v>177</v>
      </c>
      <c r="D258" s="63">
        <f>(2.8*4.2+2.2*3.5+2.7*3.3+1.2*1.9+1.8*1.2+1.2*0.9+1.2*0.4+((2.8+2.7)*0.75))*10.764</f>
        <v>414.36017999999996</v>
      </c>
      <c r="E258" s="60">
        <f>9.52*10.764</f>
        <v>102.47327999999999</v>
      </c>
      <c r="F258" s="60">
        <f t="shared" si="15"/>
        <v>672.77690999999993</v>
      </c>
      <c r="G258" s="125"/>
      <c r="H258" s="135"/>
      <c r="I258" s="249"/>
      <c r="K258" s="71">
        <v>12</v>
      </c>
    </row>
    <row r="259" spans="1:11" x14ac:dyDescent="0.35">
      <c r="A259" s="118">
        <v>5</v>
      </c>
      <c r="B259" s="119"/>
      <c r="C259" s="60" t="s">
        <v>178</v>
      </c>
      <c r="D259" s="63">
        <f>(2.8*4.2+2.1*3.7+2.7*2.7+3.2*2.8+1.1*1.65+1.95*1.2+2.1*1.2+1.95*0.2+2.2*0.9+0.9*0.2+2.8*0.75)*10.764</f>
        <v>507.03822000000002</v>
      </c>
      <c r="E259" s="60">
        <f>8.61*10.764</f>
        <v>92.678039999999982</v>
      </c>
      <c r="F259" s="60">
        <f t="shared" si="15"/>
        <v>853.2353700000001</v>
      </c>
      <c r="G259" s="125"/>
      <c r="H259" s="135"/>
      <c r="I259" s="249"/>
    </row>
    <row r="260" spans="1:11" x14ac:dyDescent="0.35">
      <c r="A260" s="118">
        <v>6</v>
      </c>
      <c r="B260" s="119"/>
      <c r="C260" s="60" t="s">
        <v>178</v>
      </c>
      <c r="D260" s="63">
        <f>(2.8*3.75+2.1*3.7+2.7*2.7+3.2*2.8+1.1*1.65+1.95*1.2+2.1*1.2+1.95*0.2+2.2*0.9+0.9*0.2+2.8*0.75)*10.764</f>
        <v>493.47557999999998</v>
      </c>
      <c r="E260" s="60">
        <f>8.61*10.764</f>
        <v>92.678039999999982</v>
      </c>
      <c r="F260" s="60">
        <f t="shared" si="15"/>
        <v>832.89140999999995</v>
      </c>
      <c r="G260" s="127"/>
      <c r="H260" s="136"/>
      <c r="I260" s="249"/>
    </row>
    <row r="261" spans="1:11" x14ac:dyDescent="0.35">
      <c r="A261" s="132" t="s">
        <v>185</v>
      </c>
      <c r="B261" s="133"/>
      <c r="C261" s="133"/>
      <c r="D261" s="133"/>
      <c r="E261" s="133"/>
      <c r="F261" s="133"/>
      <c r="G261" s="133"/>
      <c r="H261" s="133"/>
    </row>
    <row r="262" spans="1:11" x14ac:dyDescent="0.35">
      <c r="A262" s="118">
        <v>1</v>
      </c>
      <c r="B262" s="119"/>
      <c r="C262" s="118" t="s">
        <v>186</v>
      </c>
      <c r="D262" s="183"/>
      <c r="E262" s="183"/>
      <c r="F262" s="119"/>
      <c r="G262" s="123" t="str">
        <f>A261</f>
        <v>13th &amp; 23rd Floor (Part Refuge area)</v>
      </c>
      <c r="H262" s="124"/>
    </row>
    <row r="263" spans="1:11" x14ac:dyDescent="0.35">
      <c r="A263" s="118">
        <v>2</v>
      </c>
      <c r="B263" s="119"/>
      <c r="C263" s="60" t="s">
        <v>177</v>
      </c>
      <c r="D263" s="60">
        <f>(4.2*2.8+3.6*2.2+2.8*2.7+1.8*1.2+1.2*1.8+0.4*1.2)*10.764</f>
        <v>344.87855999999999</v>
      </c>
      <c r="E263" s="60">
        <f>6.74*10.764</f>
        <v>72.549359999999993</v>
      </c>
      <c r="F263" s="60">
        <f t="shared" ref="F263:F264" si="16">D263*(($F$172)+1)+(IF(E263&lt;101,E263,IF(E263&lt;201,E263/2,IF(E263&lt;=301,E263/3,E263/4))))</f>
        <v>589.86719999999991</v>
      </c>
      <c r="G263" s="125"/>
      <c r="H263" s="126"/>
    </row>
    <row r="264" spans="1:11" x14ac:dyDescent="0.35">
      <c r="A264" s="118">
        <v>3</v>
      </c>
      <c r="B264" s="119"/>
      <c r="C264" s="60" t="s">
        <v>177</v>
      </c>
      <c r="D264" s="60">
        <f>(4.2*2.8+3.6*2.2+3.3*2.7+1.2*1.8+1.8*1.2+1.2*0.4+3.3*0.75)*10.764</f>
        <v>386.05085999999994</v>
      </c>
      <c r="E264" s="60">
        <f>6.74*10.764</f>
        <v>72.549359999999993</v>
      </c>
      <c r="F264" s="60">
        <f t="shared" si="16"/>
        <v>651.62564999999995</v>
      </c>
      <c r="G264" s="125"/>
      <c r="H264" s="126"/>
    </row>
    <row r="265" spans="1:11" x14ac:dyDescent="0.35">
      <c r="A265" s="118">
        <v>4</v>
      </c>
      <c r="B265" s="119"/>
      <c r="C265" s="60" t="s">
        <v>177</v>
      </c>
      <c r="D265" s="60">
        <f>(2.8*4.2+2.2*3.5+2.7*3.3+1.2*1.9+1.8*1.2+1.2*0.9+1.2*0.4+0.75*3.3)*10.764</f>
        <v>396.59957999999995</v>
      </c>
      <c r="E265" s="60">
        <f>(4.56+5.6)*10.764</f>
        <v>109.36224</v>
      </c>
      <c r="F265" s="60">
        <f>D265*(($F$172)+1)+(IF(E265&lt;101,E265,IF(E265&lt;201,E265/2,IF(E265&lt;=301,E265/3,E265/4))))</f>
        <v>649.58048999999983</v>
      </c>
      <c r="G265" s="125"/>
      <c r="H265" s="126"/>
    </row>
    <row r="266" spans="1:11" x14ac:dyDescent="0.35">
      <c r="A266" s="118">
        <v>5</v>
      </c>
      <c r="B266" s="119"/>
      <c r="C266" s="60" t="s">
        <v>178</v>
      </c>
      <c r="D266" s="60">
        <f>(2.8*4.2+2.1*3.7+2.7*2.7+3.2*2.8+1.1*1.65+1.95*1.2+2.1*1.2+1.95*0.2+2.2*0.9+0.9*0.2+2.8*0.75)*10.764</f>
        <v>507.03822000000002</v>
      </c>
      <c r="E266" s="60">
        <f>(5.6+6.86)*10.764</f>
        <v>134.11944</v>
      </c>
      <c r="F266" s="60">
        <f t="shared" ref="F266:F267" si="17">D266*(($F$172)+1)+(IF(E266&lt;101,E266,IF(E266&lt;201,E266/2,IF(E266&lt;=301,E266/3,E266/4))))</f>
        <v>827.61705000000006</v>
      </c>
      <c r="G266" s="125"/>
      <c r="H266" s="126"/>
    </row>
    <row r="267" spans="1:11" x14ac:dyDescent="0.35">
      <c r="A267" s="118">
        <v>6</v>
      </c>
      <c r="B267" s="119"/>
      <c r="C267" s="60" t="s">
        <v>178</v>
      </c>
      <c r="D267" s="60">
        <f>(2.8*3.75+2.1*3.7+2.7*2.7+3.2*2.8+1.1*1.65+1.95*1.2+2.1*1.2+1.95*0.2+2.2*0.9+0.9*0.2+((2.8+2.8)*0.75))*10.764</f>
        <v>516.07997999999986</v>
      </c>
      <c r="E267" s="60">
        <f>6.86*10.764</f>
        <v>73.841039999999992</v>
      </c>
      <c r="F267" s="60">
        <f t="shared" si="17"/>
        <v>847.96100999999976</v>
      </c>
      <c r="G267" s="127"/>
      <c r="H267" s="128"/>
    </row>
    <row r="268" spans="1:11" x14ac:dyDescent="0.35">
      <c r="A268" s="132" t="s">
        <v>183</v>
      </c>
      <c r="B268" s="133"/>
      <c r="C268" s="133"/>
      <c r="D268" s="133"/>
      <c r="E268" s="133"/>
      <c r="F268" s="133"/>
      <c r="G268" s="133"/>
      <c r="H268" s="133"/>
    </row>
    <row r="269" spans="1:11" x14ac:dyDescent="0.35">
      <c r="A269" s="120">
        <v>1</v>
      </c>
      <c r="B269" s="120"/>
      <c r="C269" s="120" t="s">
        <v>186</v>
      </c>
      <c r="D269" s="120"/>
      <c r="E269" s="120"/>
      <c r="F269" s="120"/>
      <c r="G269" s="120" t="str">
        <f>A268</f>
        <v>8th &amp; 18th Floor (Part Refuge area)</v>
      </c>
      <c r="H269" s="120"/>
    </row>
    <row r="270" spans="1:11" x14ac:dyDescent="0.35">
      <c r="A270" s="120">
        <v>2</v>
      </c>
      <c r="B270" s="120"/>
      <c r="C270" s="60" t="s">
        <v>177</v>
      </c>
      <c r="D270" s="63">
        <f>(4.2*2.8+3.6*2.2+2.8*2.7+1.8*1.2+1.2*1.8+0.4*1.2+0.75*2.8)*10.764</f>
        <v>367.48295999999999</v>
      </c>
      <c r="E270" s="60">
        <v>0</v>
      </c>
      <c r="F270" s="60">
        <f t="shared" ref="F270:F274" si="18">D270*(($F$172)+1)+(IF(E270&lt;101,E270,IF(E270&lt;201,E270/2,IF(E270&lt;=301,E270/3,E270/4))))</f>
        <v>551.22443999999996</v>
      </c>
      <c r="G270" s="120"/>
      <c r="H270" s="120"/>
    </row>
    <row r="271" spans="1:11" x14ac:dyDescent="0.35">
      <c r="A271" s="120">
        <v>3</v>
      </c>
      <c r="B271" s="120"/>
      <c r="C271" s="60" t="s">
        <v>177</v>
      </c>
      <c r="D271" s="63">
        <f>(4.2*2.8+3.6*2.2+3.3*2.7+1.2*1.8+1.8*1.2+1.2*0.4+0.75*2.8)*10.764</f>
        <v>382.0143599999999</v>
      </c>
      <c r="E271" s="60">
        <f>10.57*10.764</f>
        <v>113.77548</v>
      </c>
      <c r="F271" s="60">
        <f t="shared" si="18"/>
        <v>629.90927999999985</v>
      </c>
      <c r="G271" s="120"/>
      <c r="H271" s="120"/>
    </row>
    <row r="272" spans="1:11" x14ac:dyDescent="0.35">
      <c r="A272" s="120">
        <v>4</v>
      </c>
      <c r="B272" s="120"/>
      <c r="C272" s="60" t="s">
        <v>177</v>
      </c>
      <c r="D272" s="63">
        <f>(2.8*4.2+2.2*3.5+2.7*3.3+1.2*1.9+1.8*1.2+1.2*0.9+1.2*0.4+((2.8+2.7)*0.75))*10.764</f>
        <v>414.36017999999996</v>
      </c>
      <c r="E272" s="60">
        <f>9.52*10.764</f>
        <v>102.47327999999999</v>
      </c>
      <c r="F272" s="60">
        <f t="shared" si="18"/>
        <v>672.77690999999993</v>
      </c>
      <c r="G272" s="120"/>
      <c r="H272" s="120"/>
    </row>
    <row r="273" spans="1:8" x14ac:dyDescent="0.35">
      <c r="A273" s="120">
        <v>5</v>
      </c>
      <c r="B273" s="120"/>
      <c r="C273" s="60" t="s">
        <v>178</v>
      </c>
      <c r="D273" s="63">
        <f>(2.8*4.2+2.1*3.7+2.7*2.7+3.2*2.8+1.1*1.65+1.95*1.2+2.1*1.2+1.95*0.2+2.2*0.9+0.9*0.2+2.8*0.75)*10.764</f>
        <v>507.03822000000002</v>
      </c>
      <c r="E273" s="60">
        <f>8.61*10.764</f>
        <v>92.678039999999982</v>
      </c>
      <c r="F273" s="60">
        <f t="shared" si="18"/>
        <v>853.2353700000001</v>
      </c>
      <c r="G273" s="120"/>
      <c r="H273" s="120"/>
    </row>
    <row r="274" spans="1:8" x14ac:dyDescent="0.35">
      <c r="A274" s="120">
        <v>6</v>
      </c>
      <c r="B274" s="120"/>
      <c r="C274" s="60" t="s">
        <v>178</v>
      </c>
      <c r="D274" s="63">
        <f>(2.8*3.75+2.1*3.7+2.7*2.7+3.2*2.8+1.1*1.65+1.95*1.2+2.1*1.2+1.95*0.2+2.2*0.9+0.9*0.2+2.8*0.75)*10.764</f>
        <v>493.47557999999998</v>
      </c>
      <c r="E274" s="60">
        <f>8.61*10.764</f>
        <v>92.678039999999982</v>
      </c>
      <c r="F274" s="60">
        <f t="shared" si="18"/>
        <v>832.89140999999995</v>
      </c>
      <c r="G274" s="120"/>
      <c r="H274" s="120"/>
    </row>
    <row r="275" spans="1:8" x14ac:dyDescent="0.35">
      <c r="A275" s="190" t="s">
        <v>64</v>
      </c>
      <c r="B275" s="190"/>
      <c r="C275" s="190"/>
      <c r="D275" s="190"/>
      <c r="E275" s="190"/>
      <c r="F275" s="190"/>
      <c r="G275" s="190"/>
      <c r="H275" s="190"/>
    </row>
    <row r="276" spans="1:8" ht="48" customHeight="1" x14ac:dyDescent="0.35">
      <c r="A276" s="111" t="s">
        <v>145</v>
      </c>
      <c r="B276" s="121" t="s">
        <v>258</v>
      </c>
      <c r="C276" s="121"/>
      <c r="D276" s="121"/>
      <c r="E276" s="121"/>
      <c r="F276" s="121"/>
      <c r="G276" s="121"/>
      <c r="H276" s="121"/>
    </row>
    <row r="277" spans="1:8" x14ac:dyDescent="0.35">
      <c r="A277" s="111" t="s">
        <v>145</v>
      </c>
      <c r="B277" s="121" t="str">
        <f>(IF(F171="Saleable area Loading :","We have considered Saleable area of Flats as per our Calculation.","We considered Saleable area of Flat as per Builder area Sheet."))</f>
        <v>We have considered Saleable area of Flats as per our Calculation.</v>
      </c>
      <c r="C277" s="121"/>
      <c r="D277" s="121"/>
      <c r="E277" s="121"/>
      <c r="F277" s="121"/>
      <c r="G277" s="121"/>
      <c r="H277" s="121"/>
    </row>
    <row r="278" spans="1:8" x14ac:dyDescent="0.35">
      <c r="A278" s="111" t="s">
        <v>145</v>
      </c>
      <c r="B278" s="121" t="str">
        <f>(IF(F171="Saleable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8" s="121"/>
      <c r="D278" s="121"/>
      <c r="E278" s="121"/>
      <c r="F278" s="121"/>
      <c r="G278" s="121"/>
      <c r="H278" s="121"/>
    </row>
    <row r="279" spans="1:8" x14ac:dyDescent="0.35">
      <c r="A279" s="111" t="s">
        <v>145</v>
      </c>
      <c r="B279" s="122" t="s">
        <v>116</v>
      </c>
      <c r="C279" s="122"/>
      <c r="D279" s="122"/>
      <c r="E279" s="122"/>
      <c r="F279" s="122"/>
      <c r="G279" s="122"/>
      <c r="H279" s="122"/>
    </row>
    <row r="280" spans="1:8" x14ac:dyDescent="0.35">
      <c r="A280" s="111" t="s">
        <v>145</v>
      </c>
      <c r="B280" s="121" t="s">
        <v>223</v>
      </c>
      <c r="C280" s="121"/>
      <c r="D280" s="121"/>
      <c r="E280" s="121"/>
      <c r="F280" s="121"/>
      <c r="G280" s="121"/>
      <c r="H280" s="121"/>
    </row>
    <row r="281" spans="1:8" x14ac:dyDescent="0.35">
      <c r="A281" s="111" t="s">
        <v>145</v>
      </c>
      <c r="B281" s="122" t="s">
        <v>144</v>
      </c>
      <c r="C281" s="122"/>
      <c r="D281" s="122"/>
      <c r="E281" s="122"/>
      <c r="F281" s="122"/>
      <c r="G281" s="122"/>
      <c r="H281" s="122"/>
    </row>
    <row r="282" spans="1:8" x14ac:dyDescent="0.35">
      <c r="A282" s="111" t="s">
        <v>145</v>
      </c>
      <c r="B282" s="122" t="s">
        <v>117</v>
      </c>
      <c r="C282" s="122"/>
      <c r="D282" s="122"/>
      <c r="E282" s="122"/>
      <c r="F282" s="122"/>
      <c r="G282" s="122"/>
      <c r="H282" s="122"/>
    </row>
    <row r="283" spans="1:8" ht="33" customHeight="1" x14ac:dyDescent="0.35">
      <c r="A283" s="47" t="s">
        <v>145</v>
      </c>
      <c r="B283" s="180" t="s">
        <v>146</v>
      </c>
      <c r="C283" s="181"/>
      <c r="D283" s="181"/>
      <c r="E283" s="181"/>
      <c r="F283" s="181"/>
      <c r="G283" s="181"/>
      <c r="H283" s="182"/>
    </row>
    <row r="284" spans="1:8" x14ac:dyDescent="0.35">
      <c r="A284" s="47" t="s">
        <v>145</v>
      </c>
      <c r="B284" s="180" t="s">
        <v>118</v>
      </c>
      <c r="C284" s="181"/>
      <c r="D284" s="181"/>
      <c r="E284" s="181"/>
      <c r="F284" s="181"/>
      <c r="G284" s="181"/>
      <c r="H284" s="182"/>
    </row>
    <row r="285" spans="1:8" ht="63.75" customHeight="1" x14ac:dyDescent="0.35">
      <c r="A285" s="89" t="s">
        <v>145</v>
      </c>
      <c r="B285" s="114" t="s">
        <v>226</v>
      </c>
      <c r="C285" s="115"/>
      <c r="D285" s="115"/>
      <c r="E285" s="115"/>
      <c r="F285" s="115"/>
      <c r="G285" s="115"/>
      <c r="H285" s="116"/>
    </row>
    <row r="286" spans="1:8" x14ac:dyDescent="0.35">
      <c r="A286" s="99" t="s">
        <v>145</v>
      </c>
      <c r="B286" s="114" t="s">
        <v>230</v>
      </c>
      <c r="C286" s="115"/>
      <c r="D286" s="115"/>
      <c r="E286" s="115"/>
      <c r="F286" s="115"/>
      <c r="G286" s="115"/>
      <c r="H286" s="116"/>
    </row>
    <row r="287" spans="1:8" x14ac:dyDescent="0.35">
      <c r="A287" s="105" t="s">
        <v>145</v>
      </c>
      <c r="B287" s="114" t="s">
        <v>249</v>
      </c>
      <c r="C287" s="115"/>
      <c r="D287" s="115"/>
      <c r="E287" s="115"/>
      <c r="F287" s="115"/>
      <c r="G287" s="115"/>
      <c r="H287" s="116"/>
    </row>
    <row r="288" spans="1:8" ht="30" customHeight="1" x14ac:dyDescent="0.35">
      <c r="A288" s="106" t="s">
        <v>145</v>
      </c>
      <c r="B288" s="114" t="s">
        <v>254</v>
      </c>
      <c r="C288" s="115"/>
      <c r="D288" s="115"/>
      <c r="E288" s="115"/>
      <c r="F288" s="115"/>
      <c r="G288" s="115"/>
      <c r="H288" s="116"/>
    </row>
    <row r="289" spans="1:9" x14ac:dyDescent="0.35">
      <c r="A289" s="178" t="s">
        <v>58</v>
      </c>
      <c r="B289" s="178"/>
      <c r="C289" s="178"/>
      <c r="D289" s="178"/>
      <c r="E289" s="178"/>
      <c r="F289" s="178"/>
      <c r="G289" s="178"/>
      <c r="H289" s="178"/>
    </row>
    <row r="290" spans="1:9" x14ac:dyDescent="0.35">
      <c r="A290" s="179" t="s">
        <v>59</v>
      </c>
      <c r="B290" s="179"/>
      <c r="C290" s="179"/>
      <c r="D290" s="179"/>
      <c r="E290" s="179"/>
      <c r="F290" s="179"/>
      <c r="G290" s="179"/>
      <c r="H290" s="179"/>
    </row>
    <row r="291" spans="1:9" x14ac:dyDescent="0.35">
      <c r="A291" s="178" t="s">
        <v>60</v>
      </c>
      <c r="B291" s="178"/>
      <c r="C291" s="178"/>
      <c r="D291" s="178"/>
      <c r="E291" s="178"/>
      <c r="F291" s="178"/>
      <c r="G291" s="178"/>
      <c r="H291" s="178"/>
    </row>
    <row r="292" spans="1:9" x14ac:dyDescent="0.35">
      <c r="A292" s="178" t="s">
        <v>61</v>
      </c>
      <c r="B292" s="178"/>
      <c r="C292" s="178"/>
      <c r="D292" s="178"/>
      <c r="E292" s="178"/>
      <c r="F292" s="178"/>
      <c r="G292" s="178"/>
      <c r="H292" s="178"/>
    </row>
    <row r="293" spans="1:9" x14ac:dyDescent="0.35">
      <c r="A293" s="178" t="s">
        <v>119</v>
      </c>
      <c r="B293" s="178"/>
      <c r="C293" s="178"/>
      <c r="D293" s="178"/>
      <c r="E293" s="178"/>
      <c r="F293" s="178"/>
      <c r="G293" s="178"/>
      <c r="H293" s="178"/>
    </row>
    <row r="294" spans="1:9" x14ac:dyDescent="0.35">
      <c r="A294" s="168" t="s">
        <v>120</v>
      </c>
      <c r="B294" s="168"/>
      <c r="C294" s="168"/>
      <c r="D294" s="168"/>
      <c r="E294" s="168"/>
      <c r="F294" s="168"/>
      <c r="G294" s="168"/>
      <c r="H294" s="168"/>
    </row>
    <row r="295" spans="1:9" x14ac:dyDescent="0.35">
      <c r="A295" s="195" t="s">
        <v>72</v>
      </c>
      <c r="B295" s="195"/>
      <c r="C295" s="195" t="s">
        <v>213</v>
      </c>
      <c r="D295" s="195"/>
      <c r="E295" s="195" t="s">
        <v>100</v>
      </c>
      <c r="F295" s="195"/>
      <c r="G295" s="195" t="s">
        <v>256</v>
      </c>
      <c r="H295" s="195"/>
    </row>
    <row r="296" spans="1:9" x14ac:dyDescent="0.35">
      <c r="A296" s="194" t="s">
        <v>74</v>
      </c>
      <c r="B296" s="194"/>
      <c r="C296" s="194"/>
      <c r="D296" s="194"/>
      <c r="E296" s="194"/>
      <c r="F296" s="194"/>
      <c r="G296" s="194"/>
      <c r="H296" s="194"/>
    </row>
    <row r="297" spans="1:9" x14ac:dyDescent="0.35">
      <c r="A297" s="194"/>
      <c r="B297" s="194"/>
      <c r="C297" s="194"/>
      <c r="D297" s="194"/>
      <c r="E297" s="194"/>
      <c r="F297" s="194"/>
      <c r="G297" s="194"/>
      <c r="H297" s="194"/>
      <c r="I297" s="22"/>
    </row>
    <row r="298" spans="1:9" x14ac:dyDescent="0.35">
      <c r="A298" s="194"/>
      <c r="B298" s="194"/>
      <c r="C298" s="194"/>
      <c r="D298" s="194"/>
      <c r="E298" s="194"/>
      <c r="F298" s="194"/>
      <c r="G298" s="194"/>
      <c r="H298" s="194"/>
    </row>
    <row r="299" spans="1:9" x14ac:dyDescent="0.35">
      <c r="A299" s="194"/>
      <c r="B299" s="194"/>
      <c r="C299" s="194"/>
      <c r="D299" s="194"/>
      <c r="E299" s="194"/>
      <c r="F299" s="194"/>
      <c r="G299" s="194"/>
      <c r="H299" s="194"/>
    </row>
    <row r="300" spans="1:9" x14ac:dyDescent="0.35">
      <c r="A300" s="38" t="s">
        <v>62</v>
      </c>
      <c r="B300" s="39"/>
      <c r="C300" s="39"/>
      <c r="D300" s="38" t="str">
        <f>E8</f>
        <v>Mohan Willows III</v>
      </c>
      <c r="F300" s="39"/>
      <c r="G300" s="39"/>
      <c r="H300" s="39"/>
    </row>
    <row r="301" spans="1:9" x14ac:dyDescent="0.35">
      <c r="A301" s="39"/>
      <c r="B301" s="39"/>
      <c r="C301" s="39"/>
      <c r="D301" s="39"/>
      <c r="E301" s="39"/>
      <c r="F301" s="39"/>
      <c r="G301" s="39"/>
      <c r="H301" s="39"/>
    </row>
    <row r="302" spans="1:9" x14ac:dyDescent="0.35">
      <c r="A302" s="39"/>
      <c r="B302" s="39"/>
      <c r="C302" s="39"/>
      <c r="D302" s="39"/>
      <c r="E302" s="39"/>
      <c r="F302" s="39"/>
      <c r="G302" s="39"/>
      <c r="H302" s="39"/>
    </row>
    <row r="342" spans="1:1" x14ac:dyDescent="0.35">
      <c r="A342" s="41" t="s">
        <v>154</v>
      </c>
    </row>
    <row r="343" spans="1:1" x14ac:dyDescent="0.35">
      <c r="A343" s="21"/>
    </row>
    <row r="368" spans="9:9" x14ac:dyDescent="0.35">
      <c r="I368" s="107" t="s">
        <v>242</v>
      </c>
    </row>
    <row r="383" spans="1:1" x14ac:dyDescent="0.35">
      <c r="A383" s="41" t="s">
        <v>63</v>
      </c>
    </row>
    <row r="384" spans="1:1" x14ac:dyDescent="0.35">
      <c r="A384" s="21"/>
    </row>
  </sheetData>
  <mergeCells count="466">
    <mergeCell ref="A147:B147"/>
    <mergeCell ref="G147:H147"/>
    <mergeCell ref="E149:F149"/>
    <mergeCell ref="A150:H150"/>
    <mergeCell ref="A141:H141"/>
    <mergeCell ref="A142:B142"/>
    <mergeCell ref="C142:D142"/>
    <mergeCell ref="E142:F142"/>
    <mergeCell ref="G142:H142"/>
    <mergeCell ref="A143:B143"/>
    <mergeCell ref="C143:D143"/>
    <mergeCell ref="E143:F143"/>
    <mergeCell ref="G143:H143"/>
    <mergeCell ref="A65:C65"/>
    <mergeCell ref="D65:H65"/>
    <mergeCell ref="A68:C68"/>
    <mergeCell ref="A66:C66"/>
    <mergeCell ref="A52:B52"/>
    <mergeCell ref="A53:B53"/>
    <mergeCell ref="A54:B54"/>
    <mergeCell ref="A67:C67"/>
    <mergeCell ref="A126:H126"/>
    <mergeCell ref="D61:H61"/>
    <mergeCell ref="A59:C61"/>
    <mergeCell ref="A114:B114"/>
    <mergeCell ref="E114:F114"/>
    <mergeCell ref="C114:D114"/>
    <mergeCell ref="G114:H114"/>
    <mergeCell ref="A116:B116"/>
    <mergeCell ref="E116:F125"/>
    <mergeCell ref="G116:H125"/>
    <mergeCell ref="A117:B117"/>
    <mergeCell ref="A118:B118"/>
    <mergeCell ref="A119:B119"/>
    <mergeCell ref="A120:B120"/>
    <mergeCell ref="A121:B121"/>
    <mergeCell ref="A122:B122"/>
    <mergeCell ref="I33:K33"/>
    <mergeCell ref="I36:K36"/>
    <mergeCell ref="B285:H285"/>
    <mergeCell ref="A216:H216"/>
    <mergeCell ref="A246:H246"/>
    <mergeCell ref="A148:B148"/>
    <mergeCell ref="C148:D148"/>
    <mergeCell ref="E148:F148"/>
    <mergeCell ref="G148:H148"/>
    <mergeCell ref="J45:N45"/>
    <mergeCell ref="I255:I260"/>
    <mergeCell ref="A268:H268"/>
    <mergeCell ref="G269:H274"/>
    <mergeCell ref="A273:B273"/>
    <mergeCell ref="A274:B274"/>
    <mergeCell ref="A261:H261"/>
    <mergeCell ref="A262:B262"/>
    <mergeCell ref="G262:H267"/>
    <mergeCell ref="A76:B76"/>
    <mergeCell ref="A264:B264"/>
    <mergeCell ref="A265:B265"/>
    <mergeCell ref="A266:B266"/>
    <mergeCell ref="A125:B125"/>
    <mergeCell ref="A99:B99"/>
    <mergeCell ref="A254:H254"/>
    <mergeCell ref="A175:H175"/>
    <mergeCell ref="A173:H173"/>
    <mergeCell ref="A180:B180"/>
    <mergeCell ref="A181:B181"/>
    <mergeCell ref="A97:B97"/>
    <mergeCell ref="I35:K35"/>
    <mergeCell ref="I34:K34"/>
    <mergeCell ref="C99:H99"/>
    <mergeCell ref="A100:B100"/>
    <mergeCell ref="E100:F100"/>
    <mergeCell ref="G100:H100"/>
    <mergeCell ref="A101:B101"/>
    <mergeCell ref="E101:F110"/>
    <mergeCell ref="G101:H110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C50:E50"/>
    <mergeCell ref="D64:H64"/>
    <mergeCell ref="F127:H127"/>
    <mergeCell ref="A91:B91"/>
    <mergeCell ref="A92:B92"/>
    <mergeCell ref="A93:B93"/>
    <mergeCell ref="E72:F72"/>
    <mergeCell ref="A48:B48"/>
    <mergeCell ref="C48:H48"/>
    <mergeCell ref="G87:H96"/>
    <mergeCell ref="A88:B88"/>
    <mergeCell ref="A89:B89"/>
    <mergeCell ref="A90:B90"/>
    <mergeCell ref="A86:B86"/>
    <mergeCell ref="A110:B110"/>
    <mergeCell ref="A51:B51"/>
    <mergeCell ref="C51:E51"/>
    <mergeCell ref="G51:H51"/>
    <mergeCell ref="A111:B111"/>
    <mergeCell ref="C111:H111"/>
    <mergeCell ref="A113:B113"/>
    <mergeCell ref="C113:H113"/>
    <mergeCell ref="A115:B115"/>
    <mergeCell ref="E115:F115"/>
    <mergeCell ref="D67:H67"/>
    <mergeCell ref="A138:E138"/>
    <mergeCell ref="G149:H149"/>
    <mergeCell ref="C97:H97"/>
    <mergeCell ref="F132:H132"/>
    <mergeCell ref="A176:B176"/>
    <mergeCell ref="D68:H68"/>
    <mergeCell ref="G171:H172"/>
    <mergeCell ref="A137:E137"/>
    <mergeCell ref="C39:H39"/>
    <mergeCell ref="A130:E130"/>
    <mergeCell ref="A127:E127"/>
    <mergeCell ref="E87:F96"/>
    <mergeCell ref="A94:B94"/>
    <mergeCell ref="A95:B95"/>
    <mergeCell ref="A46:D46"/>
    <mergeCell ref="C53:H53"/>
    <mergeCell ref="A75:B75"/>
    <mergeCell ref="A71:B71"/>
    <mergeCell ref="A69:B69"/>
    <mergeCell ref="C69:H69"/>
    <mergeCell ref="A77:B77"/>
    <mergeCell ref="A64:C64"/>
    <mergeCell ref="C85:H85"/>
    <mergeCell ref="C71:H71"/>
    <mergeCell ref="A73:B73"/>
    <mergeCell ref="G72:H72"/>
    <mergeCell ref="E86:F86"/>
    <mergeCell ref="G86:H86"/>
    <mergeCell ref="A133:E133"/>
    <mergeCell ref="F133:H133"/>
    <mergeCell ref="A134:E134"/>
    <mergeCell ref="A136:E136"/>
    <mergeCell ref="F130:H130"/>
    <mergeCell ref="A135:E135"/>
    <mergeCell ref="F135:H135"/>
    <mergeCell ref="A74:B74"/>
    <mergeCell ref="F129:H129"/>
    <mergeCell ref="A129:E129"/>
    <mergeCell ref="A131:E131"/>
    <mergeCell ref="G115:H115"/>
    <mergeCell ref="A123:B123"/>
    <mergeCell ref="A124:B124"/>
    <mergeCell ref="F128:H128"/>
    <mergeCell ref="C38:H38"/>
    <mergeCell ref="A45:D45"/>
    <mergeCell ref="A80:B80"/>
    <mergeCell ref="C146:D146"/>
    <mergeCell ref="E146:F146"/>
    <mergeCell ref="G146:H146"/>
    <mergeCell ref="F134:H134"/>
    <mergeCell ref="A128:E128"/>
    <mergeCell ref="A87:B87"/>
    <mergeCell ref="A47:H47"/>
    <mergeCell ref="D58:H58"/>
    <mergeCell ref="A58:C58"/>
    <mergeCell ref="G50:H50"/>
    <mergeCell ref="A79:B79"/>
    <mergeCell ref="A72:B72"/>
    <mergeCell ref="A132:E132"/>
    <mergeCell ref="A96:B96"/>
    <mergeCell ref="F131:H131"/>
    <mergeCell ref="E73:F82"/>
    <mergeCell ref="G73:H82"/>
    <mergeCell ref="A81:B81"/>
    <mergeCell ref="A82:B82"/>
    <mergeCell ref="A85:B85"/>
    <mergeCell ref="A39:B39"/>
    <mergeCell ref="A37:H37"/>
    <mergeCell ref="A36:B36"/>
    <mergeCell ref="C36:E36"/>
    <mergeCell ref="A41:D41"/>
    <mergeCell ref="E41:H41"/>
    <mergeCell ref="A40:H40"/>
    <mergeCell ref="A62:C62"/>
    <mergeCell ref="A63:C63"/>
    <mergeCell ref="D62:H62"/>
    <mergeCell ref="D63:H63"/>
    <mergeCell ref="A43:D43"/>
    <mergeCell ref="E43:H43"/>
    <mergeCell ref="E44:H44"/>
    <mergeCell ref="E45:H45"/>
    <mergeCell ref="E46:H46"/>
    <mergeCell ref="A44:D44"/>
    <mergeCell ref="F36:H36"/>
    <mergeCell ref="C54:E54"/>
    <mergeCell ref="A55:H55"/>
    <mergeCell ref="A56:C56"/>
    <mergeCell ref="A57:C57"/>
    <mergeCell ref="D57:H57"/>
    <mergeCell ref="G54:H54"/>
    <mergeCell ref="A38:B38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96:H299"/>
    <mergeCell ref="A295:B295"/>
    <mergeCell ref="E295:F295"/>
    <mergeCell ref="C295:D295"/>
    <mergeCell ref="G295:H295"/>
    <mergeCell ref="A139:E139"/>
    <mergeCell ref="F139:H139"/>
    <mergeCell ref="A140:E140"/>
    <mergeCell ref="F140:H140"/>
    <mergeCell ref="A146:B146"/>
    <mergeCell ref="A220:B220"/>
    <mergeCell ref="A291:H291"/>
    <mergeCell ref="A144:H144"/>
    <mergeCell ref="A294:H294"/>
    <mergeCell ref="A292:H292"/>
    <mergeCell ref="G145:H145"/>
    <mergeCell ref="A222:B222"/>
    <mergeCell ref="B171:B172"/>
    <mergeCell ref="B279:H279"/>
    <mergeCell ref="A257:B257"/>
    <mergeCell ref="A247:H247"/>
    <mergeCell ref="A234:B234"/>
    <mergeCell ref="A235:B235"/>
    <mergeCell ref="A236:B236"/>
    <mergeCell ref="A289:H289"/>
    <mergeCell ref="E145:F145"/>
    <mergeCell ref="B284:H284"/>
    <mergeCell ref="A218:B218"/>
    <mergeCell ref="F137:H137"/>
    <mergeCell ref="C145:D145"/>
    <mergeCell ref="B282:H282"/>
    <mergeCell ref="B278:H278"/>
    <mergeCell ref="A270:B270"/>
    <mergeCell ref="A269:B269"/>
    <mergeCell ref="A272:B272"/>
    <mergeCell ref="A271:B271"/>
    <mergeCell ref="B276:H276"/>
    <mergeCell ref="B277:H277"/>
    <mergeCell ref="A200:B200"/>
    <mergeCell ref="C214:F214"/>
    <mergeCell ref="A245:H245"/>
    <mergeCell ref="A232:B232"/>
    <mergeCell ref="G232:H237"/>
    <mergeCell ref="A275:H275"/>
    <mergeCell ref="A256:B256"/>
    <mergeCell ref="A145:B145"/>
    <mergeCell ref="D171:D172"/>
    <mergeCell ref="E171:E172"/>
    <mergeCell ref="G196:H204"/>
    <mergeCell ref="A201:B201"/>
    <mergeCell ref="A177:B177"/>
    <mergeCell ref="A182:B182"/>
    <mergeCell ref="A183:B183"/>
    <mergeCell ref="A178:B178"/>
    <mergeCell ref="A179:B179"/>
    <mergeCell ref="A199:B199"/>
    <mergeCell ref="A184:B184"/>
    <mergeCell ref="A171:A172"/>
    <mergeCell ref="A154:H154"/>
    <mergeCell ref="A155:H155"/>
    <mergeCell ref="A156:B156"/>
    <mergeCell ref="A157:B157"/>
    <mergeCell ref="A158:B158"/>
    <mergeCell ref="A159:B159"/>
    <mergeCell ref="A160:B160"/>
    <mergeCell ref="A174:H174"/>
    <mergeCell ref="A166:B166"/>
    <mergeCell ref="A167:B167"/>
    <mergeCell ref="A168:B168"/>
    <mergeCell ref="A169:B169"/>
    <mergeCell ref="A293:H293"/>
    <mergeCell ref="A290:H290"/>
    <mergeCell ref="A196:B196"/>
    <mergeCell ref="A255:B255"/>
    <mergeCell ref="G255:H260"/>
    <mergeCell ref="A258:B258"/>
    <mergeCell ref="A259:B259"/>
    <mergeCell ref="A260:B260"/>
    <mergeCell ref="C269:F269"/>
    <mergeCell ref="B283:H283"/>
    <mergeCell ref="B286:H286"/>
    <mergeCell ref="A263:B263"/>
    <mergeCell ref="A253:B253"/>
    <mergeCell ref="A267:B267"/>
    <mergeCell ref="C262:F262"/>
    <mergeCell ref="B287:H287"/>
    <mergeCell ref="C237:F237"/>
    <mergeCell ref="A238:H238"/>
    <mergeCell ref="A239:B239"/>
    <mergeCell ref="G239:H244"/>
    <mergeCell ref="A240:B240"/>
    <mergeCell ref="A241:B241"/>
    <mergeCell ref="A242:B242"/>
    <mergeCell ref="A221:B221"/>
    <mergeCell ref="F138:H138"/>
    <mergeCell ref="F136:H136"/>
    <mergeCell ref="C147:D147"/>
    <mergeCell ref="E147:F147"/>
    <mergeCell ref="G176:H184"/>
    <mergeCell ref="A151:H151"/>
    <mergeCell ref="C171:C172"/>
    <mergeCell ref="A190:B190"/>
    <mergeCell ref="A152:A153"/>
    <mergeCell ref="B152:B153"/>
    <mergeCell ref="C152:C153"/>
    <mergeCell ref="D152:D153"/>
    <mergeCell ref="E152:E153"/>
    <mergeCell ref="G152:H153"/>
    <mergeCell ref="G156:H169"/>
    <mergeCell ref="A170:H170"/>
    <mergeCell ref="A161:B161"/>
    <mergeCell ref="A162:B162"/>
    <mergeCell ref="A163:B163"/>
    <mergeCell ref="A164:B164"/>
    <mergeCell ref="A165:B165"/>
    <mergeCell ref="A185:H185"/>
    <mergeCell ref="A186:B186"/>
    <mergeCell ref="A187:B187"/>
    <mergeCell ref="G225:H230"/>
    <mergeCell ref="A226:B226"/>
    <mergeCell ref="A227:B227"/>
    <mergeCell ref="C204:F204"/>
    <mergeCell ref="A205:H205"/>
    <mergeCell ref="F34:H34"/>
    <mergeCell ref="F33:H33"/>
    <mergeCell ref="A149:B149"/>
    <mergeCell ref="C149:D149"/>
    <mergeCell ref="E42:H42"/>
    <mergeCell ref="A42:D42"/>
    <mergeCell ref="A83:B83"/>
    <mergeCell ref="C83:H83"/>
    <mergeCell ref="A78:B78"/>
    <mergeCell ref="A49:B49"/>
    <mergeCell ref="C49:E49"/>
    <mergeCell ref="G49:H49"/>
    <mergeCell ref="G52:H52"/>
    <mergeCell ref="D56:H56"/>
    <mergeCell ref="C52:E52"/>
    <mergeCell ref="D59:H59"/>
    <mergeCell ref="D60:H60"/>
    <mergeCell ref="A50:B50"/>
    <mergeCell ref="D66:H66"/>
    <mergeCell ref="A219:B219"/>
    <mergeCell ref="A206:B206"/>
    <mergeCell ref="G206:H214"/>
    <mergeCell ref="A207:B207"/>
    <mergeCell ref="A208:B208"/>
    <mergeCell ref="A209:B209"/>
    <mergeCell ref="A210:B210"/>
    <mergeCell ref="A188:B188"/>
    <mergeCell ref="A189:B189"/>
    <mergeCell ref="A197:B197"/>
    <mergeCell ref="A198:B198"/>
    <mergeCell ref="A215:H215"/>
    <mergeCell ref="G218:H223"/>
    <mergeCell ref="A191:B191"/>
    <mergeCell ref="A192:B192"/>
    <mergeCell ref="A193:B193"/>
    <mergeCell ref="A194:B194"/>
    <mergeCell ref="G186:H194"/>
    <mergeCell ref="A217:H217"/>
    <mergeCell ref="A202:B202"/>
    <mergeCell ref="A203:B203"/>
    <mergeCell ref="A204:B204"/>
    <mergeCell ref="A214:B214"/>
    <mergeCell ref="A195:H195"/>
    <mergeCell ref="B288:H288"/>
    <mergeCell ref="A243:B243"/>
    <mergeCell ref="A244:B244"/>
    <mergeCell ref="C244:F244"/>
    <mergeCell ref="A228:B228"/>
    <mergeCell ref="A229:B229"/>
    <mergeCell ref="A230:B230"/>
    <mergeCell ref="A233:B233"/>
    <mergeCell ref="A211:B211"/>
    <mergeCell ref="A212:B212"/>
    <mergeCell ref="A213:B213"/>
    <mergeCell ref="B280:H280"/>
    <mergeCell ref="A237:B237"/>
    <mergeCell ref="B281:H281"/>
    <mergeCell ref="A248:B248"/>
    <mergeCell ref="G248:H253"/>
    <mergeCell ref="A249:B249"/>
    <mergeCell ref="A250:B250"/>
    <mergeCell ref="A251:B251"/>
    <mergeCell ref="A252:B252"/>
    <mergeCell ref="A231:H231"/>
    <mergeCell ref="A223:B223"/>
    <mergeCell ref="A224:H224"/>
    <mergeCell ref="A225:B225"/>
  </mergeCells>
  <dataValidations count="7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"Mumbai,Thane,Palghar,Raigad,Pune"</formula1>
    </dataValidation>
    <dataValidation type="list" allowBlank="1" showInputMessage="1" showErrorMessage="1" sqref="F172 F153">
      <formula1>"45%,50%,55%,60%"</formula1>
    </dataValidation>
    <dataValidation type="list" allowBlank="1" showInputMessage="1" showErrorMessage="1" sqref="G295:H295">
      <formula1>"Kunal Kadam,Shruti Fule,Pooja Kawale,Mansee Mohite,Anjali Kamble, Hitakshi Mhatre, Sachin Sawant"</formula1>
    </dataValidation>
    <dataValidation type="list" allowBlank="1" showInputMessage="1" showErrorMessage="1" sqref="F127:H127">
      <formula1>"On Saleable Area,On Builtup Area,On Carpet Area,On Plot Area"</formula1>
    </dataValidation>
    <dataValidation type="list" allowBlank="1" showInputMessage="1" showErrorMessage="1" sqref="F139:H139">
      <formula1>"100000,150000,200000,250000,300000,350000,400000,500000,600000,700000,800000,900000,1000000,1200000,1400000,1500000"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6" max="16383" man="1"/>
    <brk id="299" max="7" man="1"/>
    <brk id="341" max="7" man="1"/>
    <brk id="382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J13" sqref="J13"/>
    </sheetView>
  </sheetViews>
  <sheetFormatPr defaultColWidth="8.7265625" defaultRowHeight="14.5" x14ac:dyDescent="0.35"/>
  <cols>
    <col min="1" max="1" width="8.7265625" style="1"/>
    <col min="2" max="2" width="22.2695312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61" t="s">
        <v>101</v>
      </c>
      <c r="C3" s="261"/>
      <c r="D3" s="261"/>
      <c r="E3" s="261"/>
      <c r="F3" s="261"/>
      <c r="G3" s="261"/>
      <c r="H3" s="261"/>
    </row>
    <row r="4" spans="1:9" x14ac:dyDescent="0.35">
      <c r="A4" s="2"/>
      <c r="B4" s="3" t="s">
        <v>102</v>
      </c>
      <c r="C4" s="3" t="s">
        <v>103</v>
      </c>
      <c r="D4" s="3" t="s">
        <v>65</v>
      </c>
      <c r="E4" s="3" t="s">
        <v>104</v>
      </c>
      <c r="F4" s="3" t="s">
        <v>110</v>
      </c>
      <c r="G4" s="3" t="s">
        <v>111</v>
      </c>
      <c r="H4" s="3" t="s">
        <v>105</v>
      </c>
    </row>
    <row r="5" spans="1:9" ht="15" customHeight="1" x14ac:dyDescent="0.35">
      <c r="A5" s="2"/>
      <c r="B5" s="5" t="s">
        <v>106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108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109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2025-07-15T05:17:13Z</cp:lastPrinted>
  <dcterms:created xsi:type="dcterms:W3CDTF">2019-07-16T09:29:46Z</dcterms:created>
  <dcterms:modified xsi:type="dcterms:W3CDTF">2025-07-15T05:18:08Z</dcterms:modified>
</cp:coreProperties>
</file>