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5-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Report!$A$1:$H$556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7" i="1" l="1"/>
  <c r="A358" i="1" s="1"/>
  <c r="A359" i="1" s="1"/>
  <c r="A360" i="1" s="1"/>
  <c r="A361" i="1" s="1"/>
  <c r="A362" i="1" s="1"/>
  <c r="A363" i="1" s="1"/>
  <c r="A364" i="1" s="1"/>
  <c r="A365" i="1" s="1"/>
  <c r="A366" i="1" s="1"/>
  <c r="A367" i="1" s="1"/>
  <c r="B373" i="1"/>
  <c r="B374" i="1" s="1"/>
  <c r="B375" i="1" s="1"/>
  <c r="B376" i="1" s="1"/>
  <c r="D62" i="1" l="1"/>
  <c r="J225" i="1"/>
  <c r="J215" i="1"/>
  <c r="K215" i="1" s="1"/>
  <c r="J214" i="1"/>
  <c r="K214" i="1" s="1"/>
  <c r="E223" i="1"/>
  <c r="D223" i="1"/>
  <c r="E222" i="1"/>
  <c r="D222" i="1"/>
  <c r="E221" i="1"/>
  <c r="D221" i="1"/>
  <c r="E220" i="1"/>
  <c r="D220" i="1"/>
  <c r="E219" i="1"/>
  <c r="D219" i="1"/>
  <c r="E218" i="1"/>
  <c r="D218" i="1"/>
  <c r="E217" i="1"/>
  <c r="D217" i="1"/>
  <c r="E216" i="1"/>
  <c r="D216" i="1"/>
  <c r="E215" i="1"/>
  <c r="D215" i="1"/>
  <c r="A215" i="1"/>
  <c r="A216" i="1" s="1"/>
  <c r="A217" i="1" s="1"/>
  <c r="A218" i="1" s="1"/>
  <c r="A219" i="1" s="1"/>
  <c r="A220" i="1" s="1"/>
  <c r="A221" i="1" s="1"/>
  <c r="A222" i="1" s="1"/>
  <c r="A223" i="1" s="1"/>
  <c r="E214" i="1"/>
  <c r="D214" i="1"/>
  <c r="E336" i="1"/>
  <c r="E333" i="1"/>
  <c r="E332" i="1"/>
  <c r="E330" i="1"/>
  <c r="E329" i="1"/>
  <c r="E328" i="1"/>
  <c r="E327" i="1"/>
  <c r="E325" i="1"/>
  <c r="E324" i="1"/>
  <c r="E322" i="1"/>
  <c r="E321" i="1"/>
  <c r="E319" i="1"/>
  <c r="E318" i="1"/>
  <c r="E317" i="1"/>
  <c r="E316" i="1"/>
  <c r="E312" i="1"/>
  <c r="E311" i="1"/>
  <c r="E309" i="1"/>
  <c r="E308" i="1"/>
  <c r="E307" i="1"/>
  <c r="E305" i="1"/>
  <c r="E304" i="1"/>
  <c r="E303" i="1"/>
  <c r="E302" i="1"/>
  <c r="E299" i="1"/>
  <c r="E298" i="1"/>
  <c r="E297" i="1"/>
  <c r="E296" i="1"/>
  <c r="E295" i="1"/>
  <c r="E294" i="1"/>
  <c r="E292" i="1"/>
  <c r="E291" i="1"/>
  <c r="E290" i="1"/>
  <c r="E289" i="1"/>
  <c r="E283" i="1"/>
  <c r="E281" i="1"/>
  <c r="E280" i="1"/>
  <c r="E279" i="1"/>
  <c r="E275" i="1"/>
  <c r="E274" i="1"/>
  <c r="E272" i="1"/>
  <c r="E271" i="1"/>
  <c r="E270" i="1"/>
  <c r="E259" i="1"/>
  <c r="E258" i="1"/>
  <c r="E257" i="1"/>
  <c r="E253" i="1"/>
  <c r="E252" i="1"/>
  <c r="E251" i="1"/>
  <c r="E250" i="1"/>
  <c r="E263" i="1"/>
  <c r="E262" i="1"/>
  <c r="E261" i="1"/>
  <c r="E260" i="1"/>
  <c r="E254" i="1"/>
  <c r="E249" i="1"/>
  <c r="E248" i="1"/>
  <c r="E247" i="1"/>
  <c r="E245" i="1"/>
  <c r="E240" i="1"/>
  <c r="E239" i="1"/>
  <c r="E238" i="1"/>
  <c r="E234" i="1"/>
  <c r="E233" i="1"/>
  <c r="E232" i="1"/>
  <c r="E231" i="1"/>
  <c r="E230" i="1"/>
  <c r="E229" i="1"/>
  <c r="E228" i="1"/>
  <c r="E227" i="1"/>
  <c r="E226" i="1"/>
  <c r="E209" i="1"/>
  <c r="E208" i="1"/>
  <c r="E207" i="1"/>
  <c r="E206" i="1"/>
  <c r="E205" i="1"/>
  <c r="E204" i="1"/>
  <c r="E212" i="1"/>
  <c r="E211" i="1"/>
  <c r="E210" i="1"/>
  <c r="E203" i="1"/>
  <c r="I203" i="1"/>
  <c r="J204" i="1"/>
  <c r="J203" i="1"/>
  <c r="F216" i="1" l="1"/>
  <c r="H216" i="1" s="1"/>
  <c r="F218" i="1"/>
  <c r="H218" i="1" s="1"/>
  <c r="F221" i="1"/>
  <c r="H221" i="1" s="1"/>
  <c r="F214" i="1"/>
  <c r="H214" i="1" s="1"/>
  <c r="I214" i="1" s="1"/>
  <c r="F217" i="1"/>
  <c r="H217" i="1" s="1"/>
  <c r="F219" i="1"/>
  <c r="H219" i="1" s="1"/>
  <c r="F222" i="1"/>
  <c r="H222" i="1" s="1"/>
  <c r="K203" i="1"/>
  <c r="F220" i="1"/>
  <c r="H220" i="1" s="1"/>
  <c r="F223" i="1"/>
  <c r="H223" i="1" s="1"/>
  <c r="F215" i="1"/>
  <c r="H215" i="1" s="1"/>
  <c r="I215" i="1" s="1"/>
  <c r="D336" i="1"/>
  <c r="F336" i="1" s="1"/>
  <c r="H336" i="1" s="1"/>
  <c r="E334" i="1"/>
  <c r="D334" i="1"/>
  <c r="D333" i="1"/>
  <c r="D332" i="1"/>
  <c r="E331" i="1"/>
  <c r="D331" i="1"/>
  <c r="D330" i="1"/>
  <c r="D329" i="1"/>
  <c r="D328" i="1"/>
  <c r="D327" i="1"/>
  <c r="D325" i="1"/>
  <c r="F325" i="1" s="1"/>
  <c r="H325" i="1" s="1"/>
  <c r="D324" i="1"/>
  <c r="F324" i="1" s="1"/>
  <c r="H324" i="1" s="1"/>
  <c r="E323" i="1"/>
  <c r="D323" i="1"/>
  <c r="D322" i="1"/>
  <c r="D321" i="1"/>
  <c r="E320" i="1"/>
  <c r="D320" i="1"/>
  <c r="D319" i="1"/>
  <c r="D318" i="1"/>
  <c r="D317" i="1"/>
  <c r="D316" i="1"/>
  <c r="D312" i="1"/>
  <c r="F312" i="1" s="1"/>
  <c r="H312" i="1" s="1"/>
  <c r="D311" i="1"/>
  <c r="F311" i="1" s="1"/>
  <c r="H311" i="1" s="1"/>
  <c r="D309" i="1"/>
  <c r="F309" i="1" s="1"/>
  <c r="H309" i="1" s="1"/>
  <c r="D308" i="1"/>
  <c r="D307" i="1"/>
  <c r="E306" i="1"/>
  <c r="D306" i="1"/>
  <c r="D305" i="1"/>
  <c r="D304" i="1"/>
  <c r="D303" i="1"/>
  <c r="D302" i="1"/>
  <c r="E301" i="1"/>
  <c r="D301" i="1"/>
  <c r="D299" i="1"/>
  <c r="D298" i="1"/>
  <c r="D297" i="1"/>
  <c r="D296" i="1"/>
  <c r="D295" i="1"/>
  <c r="D294" i="1"/>
  <c r="E293" i="1"/>
  <c r="D293" i="1"/>
  <c r="D292" i="1"/>
  <c r="D291" i="1"/>
  <c r="D290" i="1"/>
  <c r="D289" i="1"/>
  <c r="E288" i="1"/>
  <c r="D288" i="1"/>
  <c r="D283" i="1"/>
  <c r="E282" i="1"/>
  <c r="D282" i="1"/>
  <c r="D281" i="1"/>
  <c r="D280" i="1"/>
  <c r="D279" i="1"/>
  <c r="E278" i="1"/>
  <c r="D278" i="1"/>
  <c r="E277" i="1"/>
  <c r="D277" i="1"/>
  <c r="D275" i="1"/>
  <c r="D274" i="1"/>
  <c r="E273" i="1"/>
  <c r="D273" i="1"/>
  <c r="D272" i="1"/>
  <c r="D271" i="1"/>
  <c r="D270" i="1"/>
  <c r="E269" i="1"/>
  <c r="D269" i="1"/>
  <c r="E268" i="1"/>
  <c r="D268" i="1"/>
  <c r="I320" i="1"/>
  <c r="I268" i="1"/>
  <c r="L215" i="1" l="1"/>
  <c r="C170" i="1"/>
  <c r="C169" i="1"/>
  <c r="L214" i="1"/>
  <c r="C171" i="1"/>
  <c r="F334" i="1"/>
  <c r="H334" i="1" s="1"/>
  <c r="F299" i="1"/>
  <c r="H299" i="1" s="1"/>
  <c r="F298" i="1"/>
  <c r="H298" i="1" s="1"/>
  <c r="F297" i="1"/>
  <c r="H297" i="1" s="1"/>
  <c r="F296" i="1"/>
  <c r="H296" i="1" s="1"/>
  <c r="F333" i="1"/>
  <c r="H333" i="1" s="1"/>
  <c r="F332" i="1"/>
  <c r="H332" i="1" s="1"/>
  <c r="F331" i="1"/>
  <c r="H331" i="1" s="1"/>
  <c r="F330" i="1"/>
  <c r="H330" i="1" s="1"/>
  <c r="F329" i="1"/>
  <c r="H329" i="1" s="1"/>
  <c r="F328" i="1"/>
  <c r="H328" i="1" s="1"/>
  <c r="F327" i="1"/>
  <c r="H327" i="1" s="1"/>
  <c r="F323" i="1"/>
  <c r="H323" i="1" s="1"/>
  <c r="F322" i="1"/>
  <c r="H322" i="1" s="1"/>
  <c r="F321" i="1"/>
  <c r="H321" i="1" s="1"/>
  <c r="F320" i="1"/>
  <c r="H320" i="1" s="1"/>
  <c r="F319" i="1"/>
  <c r="H319" i="1" s="1"/>
  <c r="F318" i="1"/>
  <c r="H318" i="1" s="1"/>
  <c r="F317" i="1"/>
  <c r="H317" i="1" s="1"/>
  <c r="F316" i="1"/>
  <c r="F308" i="1"/>
  <c r="H308" i="1" s="1"/>
  <c r="F307" i="1"/>
  <c r="F306" i="1"/>
  <c r="H306" i="1" s="1"/>
  <c r="F305" i="1"/>
  <c r="H305" i="1" s="1"/>
  <c r="F304" i="1"/>
  <c r="H304" i="1" s="1"/>
  <c r="F303" i="1"/>
  <c r="H303" i="1" s="1"/>
  <c r="F302" i="1"/>
  <c r="H302" i="1" s="1"/>
  <c r="F301" i="1"/>
  <c r="H301" i="1" s="1"/>
  <c r="F295" i="1"/>
  <c r="H295" i="1" s="1"/>
  <c r="F294" i="1"/>
  <c r="H294" i="1" s="1"/>
  <c r="F293" i="1"/>
  <c r="H293" i="1" s="1"/>
  <c r="F292" i="1"/>
  <c r="H292" i="1" s="1"/>
  <c r="F291" i="1"/>
  <c r="H291" i="1" s="1"/>
  <c r="F290" i="1"/>
  <c r="H290" i="1" s="1"/>
  <c r="F289" i="1"/>
  <c r="H289" i="1" s="1"/>
  <c r="F288" i="1"/>
  <c r="F283" i="1"/>
  <c r="H283" i="1" s="1"/>
  <c r="F282" i="1"/>
  <c r="H282" i="1" s="1"/>
  <c r="F281" i="1"/>
  <c r="H281" i="1" s="1"/>
  <c r="F280" i="1"/>
  <c r="H280" i="1" s="1"/>
  <c r="F279" i="1"/>
  <c r="H279" i="1" s="1"/>
  <c r="F278" i="1"/>
  <c r="H278" i="1" s="1"/>
  <c r="F277" i="1"/>
  <c r="H277" i="1" s="1"/>
  <c r="F275" i="1"/>
  <c r="H275" i="1" s="1"/>
  <c r="F274" i="1"/>
  <c r="H274" i="1" s="1"/>
  <c r="F273" i="1"/>
  <c r="H273" i="1" s="1"/>
  <c r="F272" i="1"/>
  <c r="H272" i="1" s="1"/>
  <c r="F271" i="1"/>
  <c r="H271" i="1" s="1"/>
  <c r="F270" i="1"/>
  <c r="H270" i="1" s="1"/>
  <c r="F269" i="1"/>
  <c r="H269" i="1" s="1"/>
  <c r="F268" i="1"/>
  <c r="D263" i="1"/>
  <c r="D262" i="1"/>
  <c r="D261" i="1"/>
  <c r="D260" i="1"/>
  <c r="D259" i="1"/>
  <c r="D258" i="1"/>
  <c r="D257" i="1"/>
  <c r="D254" i="1"/>
  <c r="D253" i="1"/>
  <c r="D252" i="1"/>
  <c r="D251" i="1"/>
  <c r="D250" i="1"/>
  <c r="F250" i="1" s="1"/>
  <c r="H250" i="1" s="1"/>
  <c r="D249" i="1"/>
  <c r="D248" i="1"/>
  <c r="D247" i="1"/>
  <c r="G244" i="1"/>
  <c r="G243" i="1"/>
  <c r="G242" i="1"/>
  <c r="G241" i="1"/>
  <c r="D245" i="1"/>
  <c r="F245" i="1" s="1"/>
  <c r="H245" i="1" s="1"/>
  <c r="D244" i="1"/>
  <c r="F244" i="1" s="1"/>
  <c r="D243" i="1"/>
  <c r="F243" i="1" s="1"/>
  <c r="D242" i="1"/>
  <c r="F242" i="1" s="1"/>
  <c r="D241" i="1"/>
  <c r="F241" i="1" s="1"/>
  <c r="D240" i="1"/>
  <c r="F240" i="1" s="1"/>
  <c r="H240" i="1" s="1"/>
  <c r="D239" i="1"/>
  <c r="F239" i="1" s="1"/>
  <c r="H239" i="1" s="1"/>
  <c r="D238" i="1"/>
  <c r="F238" i="1" s="1"/>
  <c r="I241" i="1"/>
  <c r="D234" i="1"/>
  <c r="D233" i="1"/>
  <c r="D232" i="1"/>
  <c r="D231" i="1"/>
  <c r="D230" i="1"/>
  <c r="D229" i="1"/>
  <c r="D228" i="1"/>
  <c r="D227" i="1"/>
  <c r="D226" i="1"/>
  <c r="J206" i="1"/>
  <c r="D212" i="1"/>
  <c r="D211" i="1"/>
  <c r="D210" i="1"/>
  <c r="D209" i="1"/>
  <c r="D208" i="1"/>
  <c r="D207" i="1"/>
  <c r="D206" i="1"/>
  <c r="D205" i="1"/>
  <c r="D204" i="1"/>
  <c r="D203" i="1"/>
  <c r="I233" i="1"/>
  <c r="I204" i="1"/>
  <c r="I226" i="1"/>
  <c r="D194" i="1"/>
  <c r="D193" i="1"/>
  <c r="D192" i="1"/>
  <c r="D191" i="1"/>
  <c r="D190" i="1"/>
  <c r="D189" i="1"/>
  <c r="D188" i="1"/>
  <c r="D187" i="1"/>
  <c r="D186" i="1"/>
  <c r="D185" i="1"/>
  <c r="D184" i="1"/>
  <c r="D183" i="1"/>
  <c r="D182" i="1"/>
  <c r="I188" i="1"/>
  <c r="I185" i="1"/>
  <c r="I183" i="1"/>
  <c r="I182" i="1"/>
  <c r="I210" i="1"/>
  <c r="C162" i="1" l="1"/>
  <c r="C164" i="1" s="1"/>
  <c r="H238" i="1"/>
  <c r="E171" i="1"/>
  <c r="E169" i="1"/>
  <c r="H307" i="1"/>
  <c r="E170" i="1"/>
  <c r="H268" i="1"/>
  <c r="G169" i="1" s="1"/>
  <c r="H288" i="1"/>
  <c r="H316" i="1"/>
  <c r="G171" i="1" s="1"/>
  <c r="C167" i="1"/>
  <c r="C168" i="1"/>
  <c r="F247" i="1"/>
  <c r="H247" i="1" s="1"/>
  <c r="F248" i="1"/>
  <c r="H248" i="1" s="1"/>
  <c r="F249" i="1"/>
  <c r="H249" i="1" s="1"/>
  <c r="F252" i="1"/>
  <c r="H252" i="1" s="1"/>
  <c r="F254" i="1"/>
  <c r="H254" i="1" s="1"/>
  <c r="F257" i="1"/>
  <c r="H257" i="1" s="1"/>
  <c r="F262" i="1"/>
  <c r="H262" i="1" s="1"/>
  <c r="F263" i="1"/>
  <c r="H263" i="1" s="1"/>
  <c r="H241" i="1"/>
  <c r="H242" i="1"/>
  <c r="H244" i="1"/>
  <c r="F251" i="1"/>
  <c r="H251" i="1" s="1"/>
  <c r="F253" i="1"/>
  <c r="H253" i="1" s="1"/>
  <c r="H243" i="1"/>
  <c r="F193" i="1"/>
  <c r="H193" i="1" s="1"/>
  <c r="F191" i="1"/>
  <c r="H191" i="1" s="1"/>
  <c r="F189" i="1"/>
  <c r="H189" i="1" s="1"/>
  <c r="F187" i="1"/>
  <c r="H187" i="1" s="1"/>
  <c r="F194" i="1"/>
  <c r="H194" i="1" s="1"/>
  <c r="F192" i="1"/>
  <c r="H192" i="1" s="1"/>
  <c r="F190" i="1"/>
  <c r="H190" i="1" s="1"/>
  <c r="F188" i="1"/>
  <c r="H188" i="1" s="1"/>
  <c r="F186" i="1"/>
  <c r="H186" i="1" s="1"/>
  <c r="F234" i="1"/>
  <c r="H234" i="1" s="1"/>
  <c r="J234" i="1" s="1"/>
  <c r="F233" i="1"/>
  <c r="H233" i="1" s="1"/>
  <c r="J233" i="1" s="1"/>
  <c r="F232" i="1"/>
  <c r="H232" i="1" s="1"/>
  <c r="J232" i="1" s="1"/>
  <c r="F231" i="1"/>
  <c r="H231" i="1" s="1"/>
  <c r="J231" i="1" s="1"/>
  <c r="F230" i="1"/>
  <c r="H230" i="1" s="1"/>
  <c r="J230" i="1" s="1"/>
  <c r="F229" i="1"/>
  <c r="H229" i="1" s="1"/>
  <c r="J229" i="1" s="1"/>
  <c r="F228" i="1"/>
  <c r="H228" i="1" s="1"/>
  <c r="J228" i="1" s="1"/>
  <c r="F227" i="1"/>
  <c r="H227" i="1" s="1"/>
  <c r="J227" i="1" s="1"/>
  <c r="A227" i="1"/>
  <c r="A228" i="1" s="1"/>
  <c r="A229" i="1" s="1"/>
  <c r="A230" i="1" s="1"/>
  <c r="A231" i="1" s="1"/>
  <c r="A232" i="1" s="1"/>
  <c r="A233" i="1" s="1"/>
  <c r="A234" i="1" s="1"/>
  <c r="F226" i="1"/>
  <c r="F212" i="1"/>
  <c r="H212" i="1" s="1"/>
  <c r="F207" i="1"/>
  <c r="H207" i="1" s="1"/>
  <c r="F208" i="1"/>
  <c r="H208" i="1" s="1"/>
  <c r="F209" i="1"/>
  <c r="H209" i="1" s="1"/>
  <c r="F211" i="1"/>
  <c r="H211" i="1" s="1"/>
  <c r="F210" i="1"/>
  <c r="H210" i="1" s="1"/>
  <c r="E43" i="1"/>
  <c r="C133" i="1"/>
  <c r="C119" i="1"/>
  <c r="G170" i="1" l="1"/>
  <c r="C172" i="1"/>
  <c r="H226" i="1"/>
  <c r="F182" i="1"/>
  <c r="F203" i="1"/>
  <c r="J226" i="1" l="1"/>
  <c r="H203"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E31" i="1" l="1"/>
  <c r="B357" i="1" l="1"/>
  <c r="F183" i="1" l="1"/>
  <c r="F184" i="1"/>
  <c r="H184" i="1" s="1"/>
  <c r="F185" i="1"/>
  <c r="H185" i="1" s="1"/>
  <c r="H182" i="1"/>
  <c r="H183" i="1" l="1"/>
  <c r="G162" i="1" s="1"/>
  <c r="E162" i="1"/>
  <c r="E164" i="1" s="1"/>
  <c r="G58" i="1"/>
  <c r="C58" i="1"/>
  <c r="C54" i="1"/>
  <c r="G164" i="1" l="1"/>
  <c r="S33" i="1"/>
  <c r="F11" i="5" l="1"/>
  <c r="G11" i="5" s="1"/>
  <c r="G10" i="5"/>
  <c r="F10" i="5"/>
  <c r="F9" i="5"/>
  <c r="G9" i="5" s="1"/>
  <c r="F8" i="5"/>
  <c r="G8" i="5" s="1"/>
  <c r="F7" i="5"/>
  <c r="G7" i="5" s="1"/>
  <c r="F6" i="5"/>
  <c r="G6" i="5" s="1"/>
  <c r="F5" i="5"/>
  <c r="G5" i="5" s="1"/>
  <c r="G12" i="5" s="1"/>
  <c r="D390" i="1"/>
  <c r="B358" i="1"/>
  <c r="F354" i="1"/>
  <c r="H354" i="1" s="1"/>
  <c r="F353" i="1"/>
  <c r="H353" i="1" s="1"/>
  <c r="F352" i="1"/>
  <c r="H352" i="1" s="1"/>
  <c r="F351" i="1"/>
  <c r="H351" i="1" s="1"/>
  <c r="F350" i="1"/>
  <c r="H350" i="1" s="1"/>
  <c r="F348" i="1"/>
  <c r="H348" i="1" s="1"/>
  <c r="F347" i="1"/>
  <c r="H347" i="1" s="1"/>
  <c r="F346" i="1"/>
  <c r="H346" i="1" s="1"/>
  <c r="F345" i="1"/>
  <c r="H345" i="1" s="1"/>
  <c r="F344" i="1"/>
  <c r="H344" i="1" s="1"/>
  <c r="F342" i="1"/>
  <c r="H342" i="1" s="1"/>
  <c r="F341" i="1"/>
  <c r="H341" i="1" s="1"/>
  <c r="F340" i="1"/>
  <c r="H340" i="1" s="1"/>
  <c r="F339" i="1"/>
  <c r="H339" i="1" s="1"/>
  <c r="F338" i="1"/>
  <c r="H338" i="1" s="1"/>
  <c r="F261" i="1"/>
  <c r="H261" i="1" s="1"/>
  <c r="F260" i="1"/>
  <c r="H260" i="1" s="1"/>
  <c r="F259" i="1"/>
  <c r="H259" i="1" s="1"/>
  <c r="F258" i="1"/>
  <c r="F206" i="1"/>
  <c r="H206" i="1" s="1"/>
  <c r="F205" i="1"/>
  <c r="H205" i="1" s="1"/>
  <c r="F204" i="1"/>
  <c r="A204" i="1"/>
  <c r="A205" i="1" s="1"/>
  <c r="A206" i="1" s="1"/>
  <c r="A207" i="1" s="1"/>
  <c r="A208" i="1" s="1"/>
  <c r="A209" i="1" s="1"/>
  <c r="A210" i="1" s="1"/>
  <c r="A211" i="1" s="1"/>
  <c r="A212" i="1" s="1"/>
  <c r="A183" i="1"/>
  <c r="A184" i="1" s="1"/>
  <c r="A185" i="1" s="1"/>
  <c r="A186" i="1" s="1"/>
  <c r="A187" i="1" s="1"/>
  <c r="A188" i="1" s="1"/>
  <c r="A189" i="1" s="1"/>
  <c r="A190" i="1" s="1"/>
  <c r="A191" i="1" s="1"/>
  <c r="A192" i="1" s="1"/>
  <c r="A193" i="1" s="1"/>
  <c r="A194" i="1" s="1"/>
  <c r="C173" i="1"/>
  <c r="F159" i="1"/>
  <c r="C105" i="1"/>
  <c r="C91" i="1"/>
  <c r="D71" i="1"/>
  <c r="C51" i="1"/>
  <c r="E44" i="1"/>
  <c r="E45" i="1" s="1"/>
  <c r="E28" i="1"/>
  <c r="E26" i="1"/>
  <c r="C16" i="1"/>
  <c r="I15" i="1"/>
  <c r="Z13" i="1"/>
  <c r="E8" i="1"/>
  <c r="E3" i="1"/>
  <c r="H92" i="1"/>
  <c r="A344" i="1"/>
  <c r="H106" i="1"/>
  <c r="H78" i="1"/>
  <c r="A350" i="1"/>
  <c r="A338" i="1"/>
  <c r="E168" i="1" l="1"/>
  <c r="E167" i="1"/>
  <c r="H258" i="1"/>
  <c r="G168" i="1" s="1"/>
  <c r="H204" i="1"/>
  <c r="G167" i="1" s="1"/>
  <c r="J77" i="1"/>
  <c r="J79" i="1" s="1"/>
  <c r="J80" i="1"/>
  <c r="J81" i="1"/>
  <c r="J82" i="1"/>
  <c r="C81" i="1" s="1"/>
  <c r="J96" i="1"/>
  <c r="D100" i="1"/>
  <c r="D102" i="1"/>
  <c r="J95" i="1"/>
  <c r="D101" i="1"/>
  <c r="J91" i="1"/>
  <c r="J93" i="1" s="1"/>
  <c r="D99" i="1"/>
  <c r="J94" i="1"/>
  <c r="D98" i="1"/>
  <c r="D104" i="1"/>
  <c r="D103" i="1"/>
  <c r="D97" i="1"/>
  <c r="D85" i="1"/>
  <c r="D87" i="1"/>
  <c r="D86" i="1"/>
  <c r="D90" i="1"/>
  <c r="D84" i="1"/>
  <c r="D89" i="1"/>
  <c r="D83" i="1"/>
  <c r="D88" i="1"/>
  <c r="J105" i="1"/>
  <c r="J107" i="1" s="1"/>
  <c r="D114" i="1"/>
  <c r="D116" i="1"/>
  <c r="J110" i="1"/>
  <c r="C109" i="1" s="1"/>
  <c r="D109" i="1" s="1"/>
  <c r="D115" i="1"/>
  <c r="J109" i="1"/>
  <c r="D113" i="1"/>
  <c r="J108" i="1"/>
  <c r="D112" i="1"/>
  <c r="D118" i="1"/>
  <c r="D117" i="1"/>
  <c r="B106" i="1"/>
  <c r="B92" i="1"/>
  <c r="B78" i="1"/>
  <c r="J83" i="1" s="1"/>
  <c r="A351" i="1"/>
  <c r="A345" i="1"/>
  <c r="A339" i="1"/>
  <c r="E172" i="1" l="1"/>
  <c r="E173" i="1" s="1"/>
  <c r="G172" i="1"/>
  <c r="G173" i="1" s="1"/>
  <c r="C95" i="1"/>
  <c r="D95" i="1" s="1"/>
  <c r="D81" i="1"/>
  <c r="D111" i="1"/>
  <c r="J116" i="1"/>
  <c r="J113" i="1"/>
  <c r="J115" i="1"/>
  <c r="J114" i="1"/>
  <c r="J111" i="1"/>
  <c r="J112" i="1" s="1"/>
  <c r="J117" i="1" s="1"/>
  <c r="J118" i="1" s="1"/>
  <c r="C110" i="1" s="1"/>
  <c r="E109" i="1" s="1"/>
  <c r="J102" i="1"/>
  <c r="J99" i="1"/>
  <c r="J101" i="1"/>
  <c r="J100" i="1"/>
  <c r="J97" i="1"/>
  <c r="J87" i="1"/>
  <c r="J85" i="1"/>
  <c r="J86" i="1"/>
  <c r="J84" i="1"/>
  <c r="J89" i="1" s="1"/>
  <c r="J88" i="1"/>
  <c r="A352" i="1"/>
  <c r="A340" i="1"/>
  <c r="A346" i="1"/>
  <c r="J90" i="1" l="1"/>
  <c r="C82" i="1" s="1"/>
  <c r="D82" i="1" s="1"/>
  <c r="I78" i="1" s="1"/>
  <c r="J98" i="1"/>
  <c r="J103" i="1" s="1"/>
  <c r="J104" i="1" s="1"/>
  <c r="C96" i="1" s="1"/>
  <c r="B120" i="1"/>
  <c r="D110" i="1"/>
  <c r="I106" i="1" s="1"/>
  <c r="J106" i="1"/>
  <c r="G109" i="1"/>
  <c r="A347" i="1"/>
  <c r="H120" i="1"/>
  <c r="A353" i="1"/>
  <c r="A341" i="1"/>
  <c r="E81" i="1" l="1"/>
  <c r="J78" i="1"/>
  <c r="G81" i="1"/>
  <c r="D75" i="1" s="1"/>
  <c r="D76" i="1" s="1"/>
  <c r="D96" i="1"/>
  <c r="I92" i="1" s="1"/>
  <c r="I93" i="1" s="1"/>
  <c r="E95" i="1"/>
  <c r="J92" i="1"/>
  <c r="G95" i="1"/>
  <c r="B134" i="1"/>
  <c r="J119" i="1"/>
  <c r="J121" i="1" s="1"/>
  <c r="J123" i="1"/>
  <c r="D132" i="1"/>
  <c r="D131" i="1"/>
  <c r="D130" i="1"/>
  <c r="D129" i="1"/>
  <c r="D128" i="1"/>
  <c r="D127" i="1"/>
  <c r="D126" i="1"/>
  <c r="J124" i="1"/>
  <c r="C123" i="1" s="1"/>
  <c r="J122" i="1"/>
  <c r="J130" i="1"/>
  <c r="J129" i="1"/>
  <c r="J128" i="1"/>
  <c r="J127" i="1"/>
  <c r="J125" i="1"/>
  <c r="J126" i="1" s="1"/>
  <c r="J131" i="1" s="1"/>
  <c r="J132" i="1" s="1"/>
  <c r="C124" i="1" s="1"/>
  <c r="I107" i="1"/>
  <c r="I105" i="1" s="1"/>
  <c r="C107" i="1" s="1"/>
  <c r="I79" i="1"/>
  <c r="H134" i="1"/>
  <c r="A342" i="1"/>
  <c r="A348" i="1"/>
  <c r="A354" i="1"/>
  <c r="F76" i="1" l="1"/>
  <c r="I77" i="1"/>
  <c r="C79" i="1" s="1"/>
  <c r="I91" i="1"/>
  <c r="C93" i="1" s="1"/>
  <c r="D125" i="1"/>
  <c r="J133" i="1"/>
  <c r="J135" i="1" s="1"/>
  <c r="J137" i="1"/>
  <c r="D146" i="1"/>
  <c r="D145" i="1"/>
  <c r="D144" i="1"/>
  <c r="D143" i="1"/>
  <c r="D142" i="1"/>
  <c r="D141" i="1"/>
  <c r="D140" i="1"/>
  <c r="J138" i="1"/>
  <c r="C137" i="1" s="1"/>
  <c r="D137" i="1" s="1"/>
  <c r="J136" i="1"/>
  <c r="J144" i="1"/>
  <c r="J143" i="1"/>
  <c r="J142" i="1"/>
  <c r="J141" i="1"/>
  <c r="J139" i="1"/>
  <c r="J140" i="1" s="1"/>
  <c r="J145" i="1" s="1"/>
  <c r="J146" i="1" s="1"/>
  <c r="C138" i="1" s="1"/>
  <c r="E123" i="1"/>
  <c r="D124" i="1"/>
  <c r="G123" i="1"/>
  <c r="D123" i="1"/>
  <c r="I120" i="1" l="1"/>
  <c r="I121" i="1" s="1"/>
  <c r="D139" i="1"/>
  <c r="E137" i="1"/>
  <c r="D138" i="1"/>
  <c r="G137" i="1"/>
  <c r="J134" i="1"/>
  <c r="J120" i="1"/>
  <c r="I119" i="1" l="1"/>
  <c r="C121" i="1" s="1"/>
  <c r="I134" i="1"/>
  <c r="I135" i="1" s="1"/>
  <c r="I133" i="1" l="1"/>
  <c r="C13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5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9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<sst xmlns="http://schemas.openxmlformats.org/spreadsheetml/2006/main" count="913" uniqueCount="429">
  <si>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</si>
  <si>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</si>
  <si>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</si>
  <si>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</si>
  <si>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</si>
  <si>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</si>
  <si>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</si>
  <si>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</si>
  <si>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</si>
  <si>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</si>
  <si>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</si>
  <si>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</si>
  <si>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</si>
  <si>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</si>
  <si>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</si>
  <si>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</si>
  <si>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</si>
  <si>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</si>
  <si>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</si>
  <si>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</si>
  <si>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</si>
  <si>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</si>
  <si>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</si>
  <si>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</si>
  <si>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</si>
  <si>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</si>
  <si>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</si>
  <si>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</si>
  <si>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</si>
  <si>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</si>
  <si>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</si>
  <si>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</si>
  <si>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</si>
  <si>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</si>
  <si>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</si>
  <si>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</si>
  <si>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</si>
  <si>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</si>
  <si>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</si>
  <si>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</si>
  <si>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</si>
  <si>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</si>
  <si>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</si>
  <si>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</si>
  <si>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</si>
  <si>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</si>
  <si>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</si>
  <si>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</si>
  <si>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</si>
  <si>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</si>
  <si>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</si>
  <si>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</si>
  <si>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</si>
  <si>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</si>
  <si>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</si>
  <si>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</si>
  <si>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</si>
  <si>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</si>
  <si>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</si>
  <si>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</si>
  <si>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</si>
  <si>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</si>
  <si>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</si>
  <si>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</si>
  <si>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</si>
  <si>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</si>
  <si>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</si>
  <si>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</si>
  <si>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</si>
  <si>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</si>
  <si>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</si>
  <si>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</si>
  <si>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</si>
  <si>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</si>
  <si>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</si>
  <si>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</si>
  <si>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</si>
  <si>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</si>
  <si>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</si>
  <si>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</si>
  <si>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</si>
  <si>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</si>
  <si>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</si>
  <si>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</si>
  <si>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</si>
  <si>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</si>
  <si>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</si>
  <si>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</si>
  <si>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</si>
  <si>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</si>
  <si>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</si>
  <si>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</si>
  <si>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</si>
  <si>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</si>
  <si>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</si>
  <si>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</si>
  <si>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</si>
  <si>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</si>
  <si>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</si>
  <si>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</si>
  <si>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</si>
  <si>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</si>
  <si>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</si>
  <si>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</si>
  <si>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</si>
  <si>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</si>
  <si>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</si>
  <si>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</si>
  <si>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</si>
  <si>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</si>
  <si>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</si>
  <si>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</si>
  <si>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</si>
  <si>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</si>
  <si>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</si>
  <si>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</si>
  <si>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</si>
  <si>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</si>
  <si>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</si>
  <si>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</si>
  <si>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</si>
  <si>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</si>
  <si>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</si>
  <si>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</si>
  <si>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</si>
  <si>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</si>
  <si>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</si>
  <si>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</si>
  <si>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</si>
  <si>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</si>
  <si>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</si>
  <si>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</si>
  <si>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</si>
  <si>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</si>
  <si>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</si>
  <si>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</si>
  <si>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</si>
  <si>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</si>
  <si>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</si>
  <si>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</si>
  <si>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</si>
  <si>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</si>
  <si>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</si>
  <si>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</si>
  <si>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</si>
  <si>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</si>
  <si>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</si>
  <si>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</si>
  <si>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</si>
  <si>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</si>
  <si>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</si>
  <si>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</si>
  <si>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</si>
  <si>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</si>
  <si>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</si>
  <si>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</si>
  <si>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</si>
  <si>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</si>
  <si>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</si>
  <si>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</si>
  <si>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</si>
  <si>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</si>
  <si>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</si>
  <si>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</si>
  <si>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</si>
  <si>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</si>
  <si>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</si>
  <si>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</si>
  <si>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</si>
  <si>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</si>
  <si>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</si>
  <si>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</si>
  <si>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</si>
  <si>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</si>
  <si>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</si>
  <si>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</si>
  <si>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</si>
  <si>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</si>
  <si>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</si>
  <si>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</si>
  <si>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</si>
  <si>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</si>
  <si>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</si>
  <si>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</si>
  <si>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</si>
  <si>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</si>
  <si>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</si>
  <si>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</si>
  <si>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</si>
  <si>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</si>
  <si>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</si>
  <si>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</si>
  <si>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</si>
  <si>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</si>
  <si>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</si>
  <si>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</si>
  <si>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</si>
  <si>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</si>
  <si>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</si>
  <si>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</si>
  <si>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</si>
  <si>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</si>
  <si>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</si>
  <si>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</si>
  <si>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</si>
  <si>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</si>
  <si>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</si>
  <si>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</si>
  <si>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</si>
  <si>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</si>
  <si>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</si>
  <si>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</si>
  <si>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</si>
  <si>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</si>
  <si>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</si>
  <si>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</si>
  <si>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</si>
  <si>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</si>
  <si>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</si>
  <si>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</si>
  <si>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</si>
  <si>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</si>
  <si>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</si>
  <si>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</si>
  <si>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</si>
  <si>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</si>
  <si>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</si>
  <si>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</si>
  <si>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</si>
  <si>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</si>
  <si>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</si>
  <si>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</si>
  <si>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</si>
  <si>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</si>
  <si>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</si>
  <si>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</si>
  <si>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</si>
  <si>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</si>
  <si>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</si>
  <si>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</si>
  <si>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</si>
  <si>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</si>
  <si>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</si>
  <si>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</si>
  <si>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</si>
  <si>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</si>
  <si>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</si>
  <si>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</si>
  <si>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</si>
  <si>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</si>
  <si>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</si>
  <si>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</si>
  <si>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</si>
  <si>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</si>
  <si>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</si>
  <si>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</si>
  <si>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</si>
  <si>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</si>
  <si>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</si>
  <si>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</si>
  <si>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</si>
  <si>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</si>
  <si>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</si>
  <si>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</si>
  <si>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</si>
  <si>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</si>
  <si>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</si>
  <si>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</si>
  <si>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</si>
  <si>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</si>
  <si>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</si>
  <si>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</si>
  <si>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</si>
  <si>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</si>
  <si>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</si>
  <si>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</si>
  <si>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</si>
  <si>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</si>
  <si>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</si>
  <si>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</si>
  <si>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</si>
  <si>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</si>
  <si>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</si>
  <si>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</si>
  <si>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</si>
  <si>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</si>
  <si>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</si>
  <si>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</si>
  <si>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</si>
  <si>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</si>
  <si>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</si>
  <si>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</si>
  <si>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</si>
  <si>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</si>
  <si>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</si>
  <si>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</si>
  <si>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</si>
  <si>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</si>
  <si>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</si>
  <si>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</si>
  <si>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</si>
  <si>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</si>
  <si>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</si>
  <si>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</si>
  <si>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</si>
  <si>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</si>
  <si>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</si>
  <si>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</si>
  <si>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</si>
  <si>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</si>
  <si>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</si>
  <si>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</si>
  <si>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</si>
  <si>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</si>
  <si>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</si>
  <si>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</si>
  <si>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</si>
  <si>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</si>
  <si>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</si>
  <si>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</si>
  <si>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</si>
  <si>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</si>
  <si>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</si>
  <si>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</si>
  <si>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</si>
  <si>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</si>
  <si>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</si>
  <si>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</si>
  <si>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</si>
  <si>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</si>
  <si>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</si>
  <si>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Mohan Lifespaces Llp</t>
  </si>
  <si>
    <t xml:space="preserve">Mohan Alcoves I </t>
  </si>
  <si>
    <t>Building No.1(Wing A &amp; B) 
Building No.2(Wing A, B &amp; C)</t>
  </si>
  <si>
    <t>P51700053525</t>
  </si>
  <si>
    <t>Valivali</t>
  </si>
  <si>
    <t>Gut No</t>
  </si>
  <si>
    <t xml:space="preserve">32, H No.2 &amp; 1/1, 1/2 G No.31 &amp; 221 </t>
  </si>
  <si>
    <t>KBNP/NRV/BP/6190-105</t>
  </si>
  <si>
    <t>KBNP/NRV/BP/6190/2022-2023 Unique No.108</t>
  </si>
  <si>
    <t>Building No.1(Wing A &amp; B) = Stilt(Pt) + 1st to 16th Floors.
Building No.2( Wing A, B &amp; C) = Stilt(Pt) + 1st to 16th Floors</t>
  </si>
  <si>
    <t>Building No.1(Wing B) = Stilt(Pt) + 1st to 16th Floors.</t>
  </si>
  <si>
    <t>Building No.2(Wing A) = Stilt(Pt) + 1st to 16th Floors.</t>
  </si>
  <si>
    <t>Building No.2(Wing B) = Stilt(Pt) + 1st to 16th Floors.</t>
  </si>
  <si>
    <t>Building No.2(Wing C) = Stilt(Pt) + 1st to 16th Floors.</t>
  </si>
  <si>
    <t>As per RERA - 30/06/2029</t>
  </si>
  <si>
    <t>Houses</t>
  </si>
  <si>
    <t>Open Plot</t>
  </si>
  <si>
    <t>Internal Road</t>
  </si>
  <si>
    <t>Sadguru Residency</t>
  </si>
  <si>
    <t>12.00 M Wide Road</t>
  </si>
  <si>
    <t>19.1844454,73.241229</t>
  </si>
  <si>
    <t>https://maps.app.goo.gl/mJpPvwA1MHPMQZW16</t>
  </si>
  <si>
    <t>Manjarli</t>
  </si>
  <si>
    <t>Badlapur</t>
  </si>
  <si>
    <t>RERA Carpet area</t>
  </si>
  <si>
    <t>1st to 7th, 9th to 12th  &amp; 14th to 16th Floor For Residential</t>
  </si>
  <si>
    <t>1BHK</t>
  </si>
  <si>
    <t>2BHK</t>
  </si>
  <si>
    <t>Building No.1 Wing A</t>
  </si>
  <si>
    <t>Shop</t>
  </si>
  <si>
    <t>Building No.1 Wing B</t>
  </si>
  <si>
    <t>Ground Floor For Entrance Lobby &amp; Parking</t>
  </si>
  <si>
    <t>Ground Floor For Commercial, Entrance Lobby &amp; Parking</t>
  </si>
  <si>
    <t>AP Area</t>
  </si>
  <si>
    <t>Construction work was not active at the time of Visit. (labour Not found)
All work completed. Wait for OC / OC received.
Work not yet Started.</t>
  </si>
  <si>
    <t>We considered Gross carpet area = Net carpet + AP Area.</t>
  </si>
  <si>
    <t>Refuge Area</t>
  </si>
  <si>
    <t>1st Floor For Residential</t>
  </si>
  <si>
    <t>2nd to 7th, 9th to 12th &amp; 14th to 16th Floor</t>
  </si>
  <si>
    <t>Building No.2 Wing A</t>
  </si>
  <si>
    <t>Building No.2 Wing B</t>
  </si>
  <si>
    <t>Building No.2 Wing C</t>
  </si>
  <si>
    <t>2.3KM from  Badlapur Railway Station</t>
  </si>
  <si>
    <t>We have done APF valuation For Building No.1(Wing A &amp; B) and Building No.2(Wing A, B &amp; C) as they are registered on RERA site .</t>
  </si>
  <si>
    <t>As per Builders website</t>
  </si>
  <si>
    <t>https://mohan-group.com/projects/mohan-alcoves/</t>
  </si>
  <si>
    <t>Flats - 758, Shops- 13</t>
  </si>
  <si>
    <t>Building No.2 Wing A, B &amp; C</t>
  </si>
  <si>
    <t>CC Refered From RERA site</t>
  </si>
  <si>
    <t>Mr.Santosh Rathod 7066530358</t>
  </si>
  <si>
    <t>Approved Plans, NA Order</t>
  </si>
  <si>
    <t>ADJ.G. No.3</t>
  </si>
  <si>
    <t>ADJ.G. No.32/G No.214</t>
  </si>
  <si>
    <t>Gowan Road 6M/ADJ.G. No.220</t>
  </si>
  <si>
    <t>05 Buildings</t>
  </si>
  <si>
    <t>Building No.1(Wing A &amp; B) = Stilt(Pt) + 1st to 16th Floors.
Building No.2( Wing A, B &amp; C) = Stilt(Pt) + 1st to 16th Floors.
(B.U.A = 66491.42sqm)</t>
  </si>
  <si>
    <t>Club House, Childrens Play Area, Temple &amp; etc</t>
  </si>
  <si>
    <r>
      <t xml:space="preserve">Proposed Amenities :                                                                                                                                                                                                                         </t>
    </r>
    <r>
      <rPr>
        <b/>
        <sz val="12"/>
        <color theme="1"/>
        <rFont val="Times New Roman"/>
        <family val="1"/>
      </rPr>
      <t xml:space="preserve">                                               </t>
    </r>
  </si>
  <si>
    <r>
      <t xml:space="preserve">Shop No.
</t>
    </r>
    <r>
      <rPr>
        <b/>
        <sz val="11"/>
        <color theme="1"/>
        <rFont val="Times New Roman"/>
        <family val="1"/>
      </rPr>
      <t>(Approved Plan)</t>
    </r>
  </si>
  <si>
    <t>Building No.1 (Wing B)</t>
  </si>
  <si>
    <r>
      <t xml:space="preserve">Flat No.
</t>
    </r>
    <r>
      <rPr>
        <b/>
        <sz val="11"/>
        <color theme="1"/>
        <rFont val="Times New Roman"/>
        <family val="1"/>
      </rPr>
      <t>(Approved Plan)</t>
    </r>
  </si>
  <si>
    <t>Building No.1 (Wing A)</t>
  </si>
  <si>
    <t>-</t>
  </si>
  <si>
    <t>8th &amp; 13th Floor (Part Refuge)</t>
  </si>
  <si>
    <t>1st  Floor For Residential</t>
  </si>
  <si>
    <t xml:space="preserve">2nd to 7th, 9th to 12th  &amp; 14th to 16th Floor </t>
  </si>
  <si>
    <t>Building No.1(Wing A &amp; B) = Stilt(Pt) + 1st to 16th Floors.</t>
  </si>
  <si>
    <t>4200 to 4500</t>
  </si>
  <si>
    <t>Approved area of building (Sq.Mt)
Building No.1(Wing A &amp; B) +
Building No.2( Wing A, B &amp; C)</t>
  </si>
  <si>
    <t>We have refred CC from the RERA site on 08/06/2024.</t>
  </si>
  <si>
    <t>SIA/MH/MIS/286677/2022</t>
  </si>
  <si>
    <t>Gut. No. 31, 32/1/1, 32/1/2, 32/2 &amp; 221
Proposed Builtup Area = 78230.57 Sq.M
Bldg 1 (Wing A &amp; B) = Gr/St (Pt) + 1st to 16th Floor (49.95m Height)
Bldg 2 (Wing A, B &amp; C) = Stilt + 1st to 16th Floor (49.95m Height)</t>
  </si>
  <si>
    <t xml:space="preserve">We have updated Environment Clearance Certificate From SEIA Site on 08/06/2024.
</t>
  </si>
  <si>
    <t>Corpus fund</t>
  </si>
  <si>
    <t>Sudhir Bhosale</t>
  </si>
  <si>
    <t>Asper bhargav on 09/12/2024.</t>
  </si>
  <si>
    <t>As Per approved Plan</t>
  </si>
  <si>
    <t>As per Builder</t>
  </si>
  <si>
    <t>Sr No.</t>
  </si>
  <si>
    <t>Building No. 1A</t>
  </si>
  <si>
    <t>Wing A</t>
  </si>
  <si>
    <t>Building No. 1B</t>
  </si>
  <si>
    <t>Wing B</t>
  </si>
  <si>
    <t>Building No. 2A</t>
  </si>
  <si>
    <t>Wing C</t>
  </si>
  <si>
    <t>Building No. 2B</t>
  </si>
  <si>
    <t>Wing D</t>
  </si>
  <si>
    <t>Building No. 2C</t>
  </si>
  <si>
    <t>Wing E</t>
  </si>
  <si>
    <t>Nomenclature of building :</t>
  </si>
  <si>
    <t xml:space="preserve">We have updated the nomenclature of the building, which is provided by the bank officials in the mail attached below.
</t>
  </si>
  <si>
    <t>Remark No. 16:</t>
  </si>
  <si>
    <t>Building No.1(Wing A) = Stilt(Pt) + 1st to 16th Floors.</t>
  </si>
  <si>
    <t>Pooja Kawale</t>
  </si>
  <si>
    <t>Rate 4500 OC 2L Bhargav Verbal n Costsheet   30/1/2025</t>
  </si>
  <si>
    <t>Recommended Rates/Other Charges of the Property have been revised on 09/12/2024 &amp; 30/01/2025.</t>
  </si>
  <si>
    <t>60000 corpus n 140000 development asa karun patav  Sachin sir</t>
  </si>
  <si>
    <t xml:space="preserve">Construction work is in process at the time of Visit (labour found). Internal photos was not allowed.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</si>
</sst>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pplyProtection="1">
      <alignment horizontal="center" vertical="top" wrapText="1"/>
      <protection locked="0"/>
    </xf>
    <xf numFmtId="0" fontId="6" fillId="0" borderId="0" xfId="0" applyFont="1" applyAlignment="1">
      <alignment horizontal="center" vertical="center" wrapText="1"/>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25" fillId="0" borderId="0" xfId="10"/>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64" fontId="6" fillId="0" borderId="0" xfId="1" applyNumberFormat="1" applyFont="1" applyAlignment="1">
      <alignment horizontal="center" vertical="center"/>
    </xf>
    <xf numFmtId="2" fontId="6" fillId="0" borderId="0" xfId="1" applyNumberFormat="1" applyFont="1" applyAlignment="1">
      <alignment horizontal="center" vertical="center"/>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23" fillId="2" borderId="15" xfId="0" applyFont="1" applyFill="1" applyBorder="1"/>
    <xf numFmtId="0" fontId="24" fillId="0" borderId="9" xfId="0" applyFont="1" applyBorder="1"/>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6"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9"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0" fontId="5" fillId="0" borderId="1" xfId="1" applyFont="1" applyFill="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9" fontId="6" fillId="0" borderId="1"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21" xfId="1" applyFont="1" applyBorder="1" applyAlignment="1" applyProtection="1">
      <alignment horizontal="left" vertical="top" wrapText="1"/>
      <protection locked="0"/>
    </xf>
    <xf numFmtId="0" fontId="9" fillId="0" borderId="4"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12"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4" fontId="5" fillId="0" borderId="8" xfId="1" applyNumberFormat="1" applyFont="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33"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9" fillId="0" borderId="19" xfId="1" applyFont="1" applyBorder="1" applyAlignment="1" applyProtection="1">
      <alignment horizontal="left" vertical="top" wrapText="1"/>
      <protection locked="0"/>
    </xf>
    <xf numFmtId="0" fontId="9" fillId="0" borderId="2" xfId="1" applyFont="1" applyBorder="1" applyAlignment="1" applyProtection="1">
      <alignment horizontal="left" vertical="top" wrapText="1"/>
      <protection locked="0"/>
    </xf>
    <xf numFmtId="0" fontId="9" fillId="0" borderId="34"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1" fontId="5" fillId="0" borderId="21"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vertical="top" wrapText="1"/>
      <protection locked="0"/>
    </xf>
    <xf numFmtId="1" fontId="5" fillId="0" borderId="8" xfId="1" applyNumberFormat="1" applyFont="1" applyFill="1" applyBorder="1" applyAlignment="1" applyProtection="1">
      <alignment horizontal="center" vertical="center" wrapText="1"/>
      <protection locked="0"/>
    </xf>
    <xf numFmtId="1" fontId="5" fillId="0" borderId="21" xfId="1" applyNumberFormat="1" applyFont="1" applyFill="1" applyBorder="1" applyAlignment="1" applyProtection="1">
      <alignment horizontal="center" vertical="center" wrapText="1"/>
      <protection locked="0"/>
    </xf>
    <xf numFmtId="1" fontId="5" fillId="0" borderId="9" xfId="1" applyNumberFormat="1" applyFont="1" applyFill="1" applyBorder="1" applyAlignment="1" applyProtection="1">
      <alignment horizontal="center" vertical="center" wrapText="1"/>
      <protection locked="0"/>
    </xf>
    <xf numFmtId="0" fontId="5" fillId="0" borderId="3" xfId="0" applyNumberFormat="1" applyFont="1" applyBorder="1" applyAlignment="1" applyProtection="1">
      <alignment horizontal="center" vertical="center" wrapText="1"/>
      <protection locked="0"/>
    </xf>
    <xf numFmtId="0" fontId="5" fillId="0" borderId="32" xfId="0" applyNumberFormat="1" applyFont="1" applyBorder="1" applyAlignment="1" applyProtection="1">
      <alignment horizontal="center" vertical="center" wrapText="1"/>
      <protection locked="0"/>
    </xf>
    <xf numFmtId="0" fontId="5" fillId="0" borderId="16"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7" fillId="0" borderId="35" xfId="0" applyNumberFormat="1" applyFont="1" applyBorder="1" applyAlignment="1" applyProtection="1">
      <alignment horizontal="center" vertical="center" wrapText="1"/>
      <protection locked="0"/>
    </xf>
    <xf numFmtId="1" fontId="7" fillId="0" borderId="36" xfId="0" applyNumberFormat="1" applyFont="1" applyBorder="1" applyAlignment="1" applyProtection="1">
      <alignment horizontal="center" vertical="center" wrapText="1"/>
      <protection locked="0"/>
    </xf>
    <xf numFmtId="0" fontId="9" fillId="0" borderId="36" xfId="0" applyFont="1" applyBorder="1" applyAlignment="1" applyProtection="1">
      <alignment horizontal="center" vertical="center"/>
      <protection locked="0"/>
    </xf>
    <xf numFmtId="1" fontId="9" fillId="0" borderId="36" xfId="0" applyNumberFormat="1" applyFont="1" applyBorder="1" applyAlignment="1" applyProtection="1">
      <alignment horizontal="center" vertical="top" wrapText="1"/>
      <protection locked="0"/>
    </xf>
    <xf numFmtId="1" fontId="7" fillId="0" borderId="36" xfId="0" applyNumberFormat="1" applyFont="1" applyBorder="1" applyAlignment="1" applyProtection="1">
      <alignment horizontal="center" vertical="top" wrapText="1"/>
      <protection locked="0"/>
    </xf>
    <xf numFmtId="1" fontId="7" fillId="0" borderId="37" xfId="0" applyNumberFormat="1" applyFont="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xdr:from>
      <xdr:col>8</xdr:col>
      <xdr:colOff>142875</xdr:colOff>
      <xdr:row>390</xdr:row>
      <xdr:rowOff>47625</xdr:rowOff>
    </xdr:from>
    <xdr:to>
      <xdr:col>15</xdr:col>
      <xdr:colOff>6379</xdr:colOff>
      <xdr:row>419</xdr:row>
      <xdr:rowOff>17130</xdr:rowOff>
    </xdr:to>
    <xdr:grpSp>
      <xdr:nvGrpSpPr>
        <xdr:cNvPr id="56" name="Group 55"/>
        <xdr:cNvGrpSpPr/>
      </xdr:nvGrpSpPr>
      <xdr:grpSpPr>
        <a:xfrm>
          <a:off x="7058025" y="75511025"/>
          <a:ext cx="6226204" cy="5671805"/>
          <a:chOff x="190500" y="70780275"/>
          <a:chExt cx="5940454" cy="5760705"/>
        </a:xfrm>
      </xdr:grpSpPr>
      <xdr:pic>
        <xdr:nvPicPr>
          <xdr:cNvPr id="54" name="Picture 53"/>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41730" y="70780275"/>
            <a:ext cx="1888031" cy="252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21434" y="75100980"/>
            <a:ext cx="1078876" cy="144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520867" y="75100980"/>
            <a:ext cx="1078875" cy="144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733865" y="75100980"/>
            <a:ext cx="1078875" cy="1440000"/>
          </a:xfrm>
          <a:prstGeom prst="rect">
            <a:avLst/>
          </a:prstGeom>
          <a:ln>
            <a:solidFill>
              <a:schemeClr val="tx1"/>
            </a:solidFill>
          </a:ln>
        </xdr:spPr>
      </xdr:pic>
      <xdr:grpSp>
        <xdr:nvGrpSpPr>
          <xdr:cNvPr id="42" name="Group 41"/>
          <xdr:cNvGrpSpPr/>
        </xdr:nvGrpSpPr>
        <xdr:grpSpPr>
          <a:xfrm>
            <a:off x="2571760" y="70781455"/>
            <a:ext cx="3356889" cy="2520000"/>
            <a:chOff x="2812865" y="229349"/>
            <a:chExt cx="3356889" cy="2520000"/>
          </a:xfrm>
        </xdr:grpSpPr>
        <xdr:pic>
          <xdr:nvPicPr>
            <xdr:cNvPr id="52" name="Picture 51"/>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812865" y="229349"/>
              <a:ext cx="3356889" cy="2520000"/>
            </a:xfrm>
            <a:prstGeom prst="rect">
              <a:avLst/>
            </a:prstGeom>
            <a:ln>
              <a:solidFill>
                <a:schemeClr val="tx1"/>
              </a:solidFill>
            </a:ln>
          </xdr:spPr>
        </xdr:pic>
        <xdr:sp macro="" textlink="">
          <xdr:nvSpPr>
            <xdr:cNvPr id="53" name="TextBox 10"/>
            <xdr:cNvSpPr txBox="1"/>
          </xdr:nvSpPr>
          <xdr:spPr>
            <a:xfrm>
              <a:off x="3234144" y="2292350"/>
              <a:ext cx="1577676" cy="253916"/>
            </a:xfrm>
            <a:prstGeom prst="rect">
              <a:avLst/>
            </a:prstGeom>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1050" b="1">
                  <a:solidFill>
                    <a:srgbClr val="FF0000"/>
                  </a:solidFill>
                </a:rPr>
                <a:t>Bldg No.2(Wing A, B &amp; C</a:t>
              </a:r>
              <a:r>
                <a:rPr lang="en-US" sz="1050"/>
                <a:t>)</a:t>
              </a:r>
              <a:endParaRPr lang="en-IN" sz="1050"/>
            </a:p>
          </xdr:txBody>
        </xdr:sp>
      </xdr:grpSp>
      <xdr:grpSp>
        <xdr:nvGrpSpPr>
          <xdr:cNvPr id="43" name="Group 42"/>
          <xdr:cNvGrpSpPr/>
        </xdr:nvGrpSpPr>
        <xdr:grpSpPr>
          <a:xfrm>
            <a:off x="190500" y="73431456"/>
            <a:ext cx="1348594" cy="1512000"/>
            <a:chOff x="155380" y="2894590"/>
            <a:chExt cx="1348594" cy="1800000"/>
          </a:xfrm>
        </xdr:grpSpPr>
        <xdr:pic>
          <xdr:nvPicPr>
            <xdr:cNvPr id="50" name="Picture 49"/>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55380" y="2894590"/>
              <a:ext cx="1348594" cy="1800000"/>
            </a:xfrm>
            <a:prstGeom prst="rect">
              <a:avLst/>
            </a:prstGeom>
            <a:ln>
              <a:solidFill>
                <a:schemeClr val="tx1"/>
              </a:solidFill>
            </a:ln>
          </xdr:spPr>
        </xdr:pic>
        <xdr:sp macro="" textlink="">
          <xdr:nvSpPr>
            <xdr:cNvPr id="51" name="TextBox 11"/>
            <xdr:cNvSpPr txBox="1"/>
          </xdr:nvSpPr>
          <xdr:spPr>
            <a:xfrm>
              <a:off x="155380" y="2903456"/>
              <a:ext cx="1020585" cy="230832"/>
            </a:xfrm>
            <a:prstGeom prst="rect">
              <a:avLst/>
            </a:prstGeom>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900" b="1">
                  <a:solidFill>
                    <a:srgbClr val="FF0000"/>
                  </a:solidFill>
                </a:rPr>
                <a:t>Bldg No.2 Wing A</a:t>
              </a:r>
              <a:endParaRPr lang="en-IN" sz="900" b="1">
                <a:solidFill>
                  <a:srgbClr val="FF0000"/>
                </a:solidFill>
              </a:endParaRPr>
            </a:p>
          </xdr:txBody>
        </xdr:sp>
      </xdr:grpSp>
      <xdr:grpSp>
        <xdr:nvGrpSpPr>
          <xdr:cNvPr id="44" name="Group 43"/>
          <xdr:cNvGrpSpPr/>
        </xdr:nvGrpSpPr>
        <xdr:grpSpPr>
          <a:xfrm>
            <a:off x="1666878" y="73431456"/>
            <a:ext cx="2160000" cy="1512000"/>
            <a:chOff x="1620292" y="2894590"/>
            <a:chExt cx="2404161" cy="1808866"/>
          </a:xfrm>
        </xdr:grpSpPr>
        <xdr:pic>
          <xdr:nvPicPr>
            <xdr:cNvPr id="48" name="Picture 47"/>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626676" y="2903456"/>
              <a:ext cx="2397777" cy="1800000"/>
            </a:xfrm>
            <a:prstGeom prst="rect">
              <a:avLst/>
            </a:prstGeom>
            <a:ln>
              <a:solidFill>
                <a:schemeClr val="tx1"/>
              </a:solidFill>
            </a:ln>
          </xdr:spPr>
        </xdr:pic>
        <xdr:sp macro="" textlink="">
          <xdr:nvSpPr>
            <xdr:cNvPr id="49" name="TextBox 12"/>
            <xdr:cNvSpPr txBox="1"/>
          </xdr:nvSpPr>
          <xdr:spPr>
            <a:xfrm>
              <a:off x="1620292" y="2894590"/>
              <a:ext cx="1132395" cy="276154"/>
            </a:xfrm>
            <a:prstGeom prst="rect">
              <a:avLst/>
            </a:prstGeom>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900" b="1">
                  <a:solidFill>
                    <a:srgbClr val="FF0000"/>
                  </a:solidFill>
                </a:rPr>
                <a:t>Bldg No.2 Wing B</a:t>
              </a:r>
              <a:endParaRPr lang="en-IN" sz="900" b="1">
                <a:solidFill>
                  <a:srgbClr val="FF0000"/>
                </a:solidFill>
              </a:endParaRPr>
            </a:p>
          </xdr:txBody>
        </xdr:sp>
      </xdr:grpSp>
      <xdr:grpSp>
        <xdr:nvGrpSpPr>
          <xdr:cNvPr id="45" name="Group 44"/>
          <xdr:cNvGrpSpPr/>
        </xdr:nvGrpSpPr>
        <xdr:grpSpPr>
          <a:xfrm>
            <a:off x="3970954" y="73431455"/>
            <a:ext cx="2160000" cy="1512001"/>
            <a:chOff x="4146420" y="2894589"/>
            <a:chExt cx="2398512" cy="1808867"/>
          </a:xfrm>
        </xdr:grpSpPr>
        <xdr:pic>
          <xdr:nvPicPr>
            <xdr:cNvPr id="46" name="Picture 45"/>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147155" y="2903456"/>
              <a:ext cx="2397777" cy="1800000"/>
            </a:xfrm>
            <a:prstGeom prst="rect">
              <a:avLst/>
            </a:prstGeom>
            <a:ln>
              <a:solidFill>
                <a:schemeClr val="tx1"/>
              </a:solidFill>
            </a:ln>
          </xdr:spPr>
        </xdr:pic>
        <xdr:sp macro="" textlink="">
          <xdr:nvSpPr>
            <xdr:cNvPr id="47" name="TextBox 13"/>
            <xdr:cNvSpPr txBox="1"/>
          </xdr:nvSpPr>
          <xdr:spPr>
            <a:xfrm>
              <a:off x="4146420" y="2894589"/>
              <a:ext cx="1175100" cy="278992"/>
            </a:xfrm>
            <a:prstGeom prst="rect">
              <a:avLst/>
            </a:prstGeom>
          </xdr:spPr>
          <xdr:style>
            <a:lnRef idx="2">
              <a:schemeClr val="dk1"/>
            </a:lnRef>
            <a:fillRef idx="1">
              <a:schemeClr val="lt1"/>
            </a:fillRef>
            <a:effectRef idx="0">
              <a:schemeClr val="dk1"/>
            </a:effectRef>
            <a:fontRef idx="minor">
              <a:schemeClr val="dk1"/>
            </a:fontRef>
          </xdr:style>
          <xdr:txBody>
            <a:bodyPr wrap="square" rtlCol="0">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900" b="1">
                  <a:solidFill>
                    <a:srgbClr val="FF0000"/>
                  </a:solidFill>
                </a:rPr>
                <a:t>Bldg No.2 Wing C</a:t>
              </a:r>
              <a:endParaRPr lang="en-IN" sz="900" b="1">
                <a:solidFill>
                  <a:srgbClr val="FF0000"/>
                </a:solidFill>
              </a:endParaRPr>
            </a:p>
          </xdr:txBody>
        </xdr:sp>
      </xdr:grpSp>
    </xdr:grpSp>
    <xdr:clientData/>
  </xdr:twoCellAnchor>
  <xdr:twoCellAnchor editAs="oneCell">
    <xdr:from>
      <xdr:col>2</xdr:col>
      <xdr:colOff>450850</xdr:colOff>
      <xdr:row>519</xdr:row>
      <xdr:rowOff>0</xdr:rowOff>
    </xdr:from>
    <xdr:to>
      <xdr:col>4</xdr:col>
      <xdr:colOff>301625</xdr:colOff>
      <xdr:row>532</xdr:row>
      <xdr:rowOff>92076</xdr:rowOff>
    </xdr:to>
    <xdr:pic>
      <xdr:nvPicPr>
        <xdr:cNvPr id="57" name="Picture 56"/>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2012950" y="88325325"/>
          <a:ext cx="1612900" cy="2692401"/>
        </a:xfrm>
        <a:prstGeom prst="rect">
          <a:avLst/>
        </a:prstGeom>
        <a:ln>
          <a:solidFill>
            <a:schemeClr val="tx1"/>
          </a:solidFill>
        </a:ln>
      </xdr:spPr>
    </xdr:pic>
    <xdr:clientData/>
  </xdr:twoCellAnchor>
  <xdr:twoCellAnchor>
    <xdr:from>
      <xdr:col>1</xdr:col>
      <xdr:colOff>0</xdr:colOff>
      <xdr:row>533</xdr:row>
      <xdr:rowOff>87343</xdr:rowOff>
    </xdr:from>
    <xdr:to>
      <xdr:col>6</xdr:col>
      <xdr:colOff>168275</xdr:colOff>
      <xdr:row>546</xdr:row>
      <xdr:rowOff>141318</xdr:rowOff>
    </xdr:to>
    <xdr:grpSp>
      <xdr:nvGrpSpPr>
        <xdr:cNvPr id="58" name="Group 57"/>
        <xdr:cNvGrpSpPr/>
      </xdr:nvGrpSpPr>
      <xdr:grpSpPr>
        <a:xfrm>
          <a:off x="800100" y="103693943"/>
          <a:ext cx="4454525" cy="2613025"/>
          <a:chOff x="1339850" y="4260850"/>
          <a:chExt cx="4254500" cy="2654300"/>
        </a:xfrm>
      </xdr:grpSpPr>
      <xdr:pic>
        <xdr:nvPicPr>
          <xdr:cNvPr id="59" name="Picture 58"/>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1339850" y="4260850"/>
            <a:ext cx="4254500" cy="2654300"/>
          </a:xfrm>
          <a:prstGeom prst="rect">
            <a:avLst/>
          </a:prstGeom>
          <a:ln>
            <a:solidFill>
              <a:schemeClr val="tx1"/>
            </a:solidFill>
          </a:ln>
        </xdr:spPr>
      </xdr:pic>
      <xdr:sp macro="" textlink="">
        <xdr:nvSpPr>
          <xdr:cNvPr id="60" name="Freeform 59"/>
          <xdr:cNvSpPr/>
        </xdr:nvSpPr>
        <xdr:spPr>
          <a:xfrm>
            <a:off x="2171700" y="4305300"/>
            <a:ext cx="2197100" cy="2565400"/>
          </a:xfrm>
          <a:custGeom>
            <a:avLst/>
            <a:gdLst>
              <a:gd name="connsiteX0" fmla="*/ 1746250 w 2197100"/>
              <a:gd name="connsiteY0" fmla="*/ 0 h 2565400"/>
              <a:gd name="connsiteX1" fmla="*/ 1746250 w 2197100"/>
              <a:gd name="connsiteY1" fmla="*/ 0 h 2565400"/>
              <a:gd name="connsiteX2" fmla="*/ 1822450 w 2197100"/>
              <a:gd name="connsiteY2" fmla="*/ 0 h 2565400"/>
              <a:gd name="connsiteX3" fmla="*/ 2197100 w 2197100"/>
              <a:gd name="connsiteY3" fmla="*/ 44450 h 2565400"/>
              <a:gd name="connsiteX4" fmla="*/ 2000250 w 2197100"/>
              <a:gd name="connsiteY4" fmla="*/ 2076450 h 2565400"/>
              <a:gd name="connsiteX5" fmla="*/ 1371600 w 2197100"/>
              <a:gd name="connsiteY5" fmla="*/ 1822450 h 2565400"/>
              <a:gd name="connsiteX6" fmla="*/ 1035050 w 2197100"/>
              <a:gd name="connsiteY6" fmla="*/ 2565400 h 2565400"/>
              <a:gd name="connsiteX7" fmla="*/ 241300 w 2197100"/>
              <a:gd name="connsiteY7" fmla="*/ 2406650 h 2565400"/>
              <a:gd name="connsiteX8" fmla="*/ 0 w 2197100"/>
              <a:gd name="connsiteY8" fmla="*/ 984250 h 2565400"/>
              <a:gd name="connsiteX9" fmla="*/ 1746250 w 2197100"/>
              <a:gd name="connsiteY9" fmla="*/ 0 h 2565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197100" h="2565400">
                <a:moveTo>
                  <a:pt x="1746250" y="0"/>
                </a:moveTo>
                <a:lnTo>
                  <a:pt x="1746250" y="0"/>
                </a:lnTo>
                <a:lnTo>
                  <a:pt x="1822450" y="0"/>
                </a:lnTo>
                <a:lnTo>
                  <a:pt x="2197100" y="44450"/>
                </a:lnTo>
                <a:lnTo>
                  <a:pt x="2000250" y="2076450"/>
                </a:lnTo>
                <a:lnTo>
                  <a:pt x="1371600" y="1822450"/>
                </a:lnTo>
                <a:lnTo>
                  <a:pt x="1035050" y="2565400"/>
                </a:lnTo>
                <a:lnTo>
                  <a:pt x="241300" y="2406650"/>
                </a:lnTo>
                <a:lnTo>
                  <a:pt x="0" y="984250"/>
                </a:lnTo>
                <a:lnTo>
                  <a:pt x="174625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1" name="TextBox 25"/>
          <xdr:cNvSpPr txBox="1"/>
        </xdr:nvSpPr>
        <xdr:spPr>
          <a:xfrm rot="19380400">
            <a:off x="2960829" y="5076573"/>
            <a:ext cx="1217577"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Mohan Alcove I </a:t>
            </a:r>
            <a:endParaRPr lang="en-IN" sz="1200" b="1">
              <a:solidFill>
                <a:srgbClr val="FF0000"/>
              </a:solidFill>
            </a:endParaRPr>
          </a:p>
        </xdr:txBody>
      </xdr:sp>
    </xdr:grpSp>
    <xdr:clientData/>
  </xdr:twoCellAnchor>
  <xdr:twoCellAnchor>
    <xdr:from>
      <xdr:col>1</xdr:col>
      <xdr:colOff>0</xdr:colOff>
      <xdr:row>434</xdr:row>
      <xdr:rowOff>0</xdr:rowOff>
    </xdr:from>
    <xdr:to>
      <xdr:col>6</xdr:col>
      <xdr:colOff>208011</xdr:colOff>
      <xdr:row>455</xdr:row>
      <xdr:rowOff>119475</xdr:rowOff>
    </xdr:to>
    <xdr:grpSp>
      <xdr:nvGrpSpPr>
        <xdr:cNvPr id="26" name="Group 25"/>
        <xdr:cNvGrpSpPr/>
      </xdr:nvGrpSpPr>
      <xdr:grpSpPr>
        <a:xfrm>
          <a:off x="800100" y="84118450"/>
          <a:ext cx="4494261" cy="4253325"/>
          <a:chOff x="654278" y="407775"/>
          <a:chExt cx="4294236" cy="4320000"/>
        </a:xfrm>
      </xdr:grpSpPr>
      <xdr:grpSp>
        <xdr:nvGrpSpPr>
          <xdr:cNvPr id="27" name="Group 26"/>
          <xdr:cNvGrpSpPr/>
        </xdr:nvGrpSpPr>
        <xdr:grpSpPr>
          <a:xfrm>
            <a:off x="654278" y="407775"/>
            <a:ext cx="4294236" cy="4320000"/>
            <a:chOff x="1188237" y="552555"/>
            <a:chExt cx="4294236" cy="4320000"/>
          </a:xfrm>
        </xdr:grpSpPr>
        <xdr:grpSp>
          <xdr:nvGrpSpPr>
            <xdr:cNvPr id="29" name="Group 28"/>
            <xdr:cNvGrpSpPr/>
          </xdr:nvGrpSpPr>
          <xdr:grpSpPr>
            <a:xfrm>
              <a:off x="1188237" y="552555"/>
              <a:ext cx="4294236" cy="4320000"/>
              <a:chOff x="1345199" y="499215"/>
              <a:chExt cx="4294236" cy="4320000"/>
            </a:xfrm>
          </xdr:grpSpPr>
          <xdr:pic>
            <xdr:nvPicPr>
              <xdr:cNvPr id="33" name="Picture 32"/>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a:xfrm>
                <a:off x="1345199" y="499215"/>
                <a:ext cx="4294236" cy="4320000"/>
              </a:xfrm>
              <a:prstGeom prst="rect">
                <a:avLst/>
              </a:prstGeom>
              <a:ln>
                <a:solidFill>
                  <a:schemeClr val="tx1"/>
                </a:solidFill>
              </a:ln>
            </xdr:spPr>
          </xdr:pic>
          <xdr:sp macro="" textlink="">
            <xdr:nvSpPr>
              <xdr:cNvPr id="34" name="Rectangle 33"/>
              <xdr:cNvSpPr/>
            </xdr:nvSpPr>
            <xdr:spPr>
              <a:xfrm rot="20376080">
                <a:off x="3053805" y="1376753"/>
                <a:ext cx="1363980" cy="56667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5" name="Rectangle 34"/>
              <xdr:cNvSpPr/>
            </xdr:nvSpPr>
            <xdr:spPr>
              <a:xfrm rot="11683768">
                <a:off x="4426202" y="567185"/>
                <a:ext cx="815776" cy="307941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Freeform 35"/>
              <xdr:cNvSpPr/>
            </xdr:nvSpPr>
            <xdr:spPr>
              <a:xfrm>
                <a:off x="1981200" y="1638300"/>
                <a:ext cx="1219200" cy="1722120"/>
              </a:xfrm>
              <a:custGeom>
                <a:avLst/>
                <a:gdLst>
                  <a:gd name="connsiteX0" fmla="*/ 1005840 w 1219200"/>
                  <a:gd name="connsiteY0" fmla="*/ 0 h 1722120"/>
                  <a:gd name="connsiteX1" fmla="*/ 0 w 1219200"/>
                  <a:gd name="connsiteY1" fmla="*/ 381000 h 1722120"/>
                  <a:gd name="connsiteX2" fmla="*/ 30480 w 1219200"/>
                  <a:gd name="connsiteY2" fmla="*/ 1722120 h 1722120"/>
                  <a:gd name="connsiteX3" fmla="*/ 647700 w 1219200"/>
                  <a:gd name="connsiteY3" fmla="*/ 1706880 h 1722120"/>
                  <a:gd name="connsiteX4" fmla="*/ 617220 w 1219200"/>
                  <a:gd name="connsiteY4" fmla="*/ 754380 h 1722120"/>
                  <a:gd name="connsiteX5" fmla="*/ 1219200 w 1219200"/>
                  <a:gd name="connsiteY5" fmla="*/ 533400 h 1722120"/>
                  <a:gd name="connsiteX6" fmla="*/ 1005840 w 1219200"/>
                  <a:gd name="connsiteY6" fmla="*/ 0 h 17221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19200" h="1722120">
                    <a:moveTo>
                      <a:pt x="1005840" y="0"/>
                    </a:moveTo>
                    <a:lnTo>
                      <a:pt x="0" y="381000"/>
                    </a:lnTo>
                    <a:lnTo>
                      <a:pt x="30480" y="1722120"/>
                    </a:lnTo>
                    <a:lnTo>
                      <a:pt x="647700" y="1706880"/>
                    </a:lnTo>
                    <a:lnTo>
                      <a:pt x="617220" y="754380"/>
                    </a:lnTo>
                    <a:lnTo>
                      <a:pt x="1219200" y="533400"/>
                    </a:lnTo>
                    <a:lnTo>
                      <a:pt x="1005840" y="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Freeform 36"/>
              <xdr:cNvSpPr/>
            </xdr:nvSpPr>
            <xdr:spPr>
              <a:xfrm>
                <a:off x="2019300" y="3383280"/>
                <a:ext cx="1211580" cy="1181100"/>
              </a:xfrm>
              <a:custGeom>
                <a:avLst/>
                <a:gdLst>
                  <a:gd name="connsiteX0" fmla="*/ 0 w 1211580"/>
                  <a:gd name="connsiteY0" fmla="*/ 15240 h 1181100"/>
                  <a:gd name="connsiteX1" fmla="*/ 45720 w 1211580"/>
                  <a:gd name="connsiteY1" fmla="*/ 899160 h 1181100"/>
                  <a:gd name="connsiteX2" fmla="*/ 1051560 w 1211580"/>
                  <a:gd name="connsiteY2" fmla="*/ 1181100 h 1181100"/>
                  <a:gd name="connsiteX3" fmla="*/ 1211580 w 1211580"/>
                  <a:gd name="connsiteY3" fmla="*/ 601980 h 1181100"/>
                  <a:gd name="connsiteX4" fmla="*/ 632460 w 1211580"/>
                  <a:gd name="connsiteY4" fmla="*/ 472440 h 1181100"/>
                  <a:gd name="connsiteX5" fmla="*/ 632460 w 1211580"/>
                  <a:gd name="connsiteY5" fmla="*/ 0 h 1181100"/>
                  <a:gd name="connsiteX6" fmla="*/ 0 w 1211580"/>
                  <a:gd name="connsiteY6" fmla="*/ 15240 h 1181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11580" h="1181100">
                    <a:moveTo>
                      <a:pt x="0" y="15240"/>
                    </a:moveTo>
                    <a:lnTo>
                      <a:pt x="45720" y="899160"/>
                    </a:lnTo>
                    <a:lnTo>
                      <a:pt x="1051560" y="1181100"/>
                    </a:lnTo>
                    <a:lnTo>
                      <a:pt x="1211580" y="601980"/>
                    </a:lnTo>
                    <a:lnTo>
                      <a:pt x="632460" y="472440"/>
                    </a:lnTo>
                    <a:lnTo>
                      <a:pt x="632460" y="0"/>
                    </a:lnTo>
                    <a:lnTo>
                      <a:pt x="0" y="1524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30" name="TextBox 50"/>
            <xdr:cNvSpPr txBox="1"/>
          </xdr:nvSpPr>
          <xdr:spPr>
            <a:xfrm rot="20469447">
              <a:off x="2876162" y="1135100"/>
              <a:ext cx="1305165"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Bldg No.2 Wing A</a:t>
              </a:r>
              <a:endParaRPr lang="en-IN" sz="1200" b="1">
                <a:solidFill>
                  <a:srgbClr val="FF0000"/>
                </a:solidFill>
              </a:endParaRPr>
            </a:p>
          </xdr:txBody>
        </xdr:sp>
        <xdr:sp macro="" textlink="">
          <xdr:nvSpPr>
            <xdr:cNvPr id="31" name="TextBox 58"/>
            <xdr:cNvSpPr txBox="1"/>
          </xdr:nvSpPr>
          <xdr:spPr>
            <a:xfrm rot="20469447">
              <a:off x="1578778" y="1610909"/>
              <a:ext cx="129875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Bldg No.2 Wing B</a:t>
              </a:r>
              <a:endParaRPr lang="en-IN" sz="1200" b="1">
                <a:solidFill>
                  <a:srgbClr val="FF0000"/>
                </a:solidFill>
              </a:endParaRPr>
            </a:p>
          </xdr:txBody>
        </xdr:sp>
        <xdr:sp macro="" textlink="">
          <xdr:nvSpPr>
            <xdr:cNvPr id="32" name="TextBox 59"/>
            <xdr:cNvSpPr txBox="1"/>
          </xdr:nvSpPr>
          <xdr:spPr>
            <a:xfrm rot="16200000">
              <a:off x="1073553" y="3888670"/>
              <a:ext cx="129394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Bldg No.2 Wing C</a:t>
              </a:r>
              <a:endParaRPr lang="en-IN" sz="1200" b="1">
                <a:solidFill>
                  <a:srgbClr val="FF0000"/>
                </a:solidFill>
              </a:endParaRPr>
            </a:p>
          </xdr:txBody>
        </xdr:sp>
      </xdr:grpSp>
      <xdr:sp macro="" textlink="">
        <xdr:nvSpPr>
          <xdr:cNvPr id="28" name="TextBox 49"/>
          <xdr:cNvSpPr txBox="1"/>
        </xdr:nvSpPr>
        <xdr:spPr>
          <a:xfrm rot="17115545">
            <a:off x="3738563" y="2269421"/>
            <a:ext cx="1665841"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Bldg No.1 (Wing A &amp; B</a:t>
            </a:r>
            <a:r>
              <a:rPr lang="en-US" sz="1200"/>
              <a:t>)</a:t>
            </a:r>
            <a:endParaRPr lang="en-IN" sz="1200"/>
          </a:p>
        </xdr:txBody>
      </xdr:sp>
    </xdr:grpSp>
    <xdr:clientData/>
  </xdr:twoCellAnchor>
  <xdr:twoCellAnchor>
    <xdr:from>
      <xdr:col>1</xdr:col>
      <xdr:colOff>276225</xdr:colOff>
      <xdr:row>457</xdr:row>
      <xdr:rowOff>47625</xdr:rowOff>
    </xdr:from>
    <xdr:to>
      <xdr:col>5</xdr:col>
      <xdr:colOff>657225</xdr:colOff>
      <xdr:row>471</xdr:row>
      <xdr:rowOff>127275</xdr:rowOff>
    </xdr:to>
    <xdr:grpSp>
      <xdr:nvGrpSpPr>
        <xdr:cNvPr id="62" name="Group 61"/>
        <xdr:cNvGrpSpPr/>
      </xdr:nvGrpSpPr>
      <xdr:grpSpPr>
        <a:xfrm>
          <a:off x="1076325" y="88693625"/>
          <a:ext cx="3886200" cy="2835550"/>
          <a:chOff x="1579562" y="1549400"/>
          <a:chExt cx="3724275" cy="3820714"/>
        </a:xfrm>
      </xdr:grpSpPr>
      <xdr:grpSp>
        <xdr:nvGrpSpPr>
          <xdr:cNvPr id="63" name="Group 62"/>
          <xdr:cNvGrpSpPr/>
        </xdr:nvGrpSpPr>
        <xdr:grpSpPr>
          <a:xfrm>
            <a:off x="1579562" y="1549400"/>
            <a:ext cx="3724275" cy="3820714"/>
            <a:chOff x="1579562" y="1549400"/>
            <a:chExt cx="3724275" cy="3820714"/>
          </a:xfrm>
        </xdr:grpSpPr>
        <xdr:pic>
          <xdr:nvPicPr>
            <xdr:cNvPr id="65" name="Picture 64"/>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t="12609"/>
            <a:stretch/>
          </xdr:blipFill>
          <xdr:spPr>
            <a:xfrm>
              <a:off x="1579562" y="1549400"/>
              <a:ext cx="3724275" cy="3820714"/>
            </a:xfrm>
            <a:prstGeom prst="rect">
              <a:avLst/>
            </a:prstGeom>
            <a:ln>
              <a:solidFill>
                <a:schemeClr val="tx1"/>
              </a:solidFill>
            </a:ln>
          </xdr:spPr>
        </xdr:pic>
        <xdr:sp macro="" textlink="">
          <xdr:nvSpPr>
            <xdr:cNvPr id="66" name="Freeform 65"/>
            <xdr:cNvSpPr/>
          </xdr:nvSpPr>
          <xdr:spPr>
            <a:xfrm>
              <a:off x="3611880" y="2110740"/>
              <a:ext cx="655320" cy="1021080"/>
            </a:xfrm>
            <a:custGeom>
              <a:avLst/>
              <a:gdLst>
                <a:gd name="connsiteX0" fmla="*/ 655320 w 655320"/>
                <a:gd name="connsiteY0" fmla="*/ 0 h 1021080"/>
                <a:gd name="connsiteX1" fmla="*/ 541020 w 655320"/>
                <a:gd name="connsiteY1" fmla="*/ 670560 h 1021080"/>
                <a:gd name="connsiteX2" fmla="*/ 464820 w 655320"/>
                <a:gd name="connsiteY2" fmla="*/ 617220 h 1021080"/>
                <a:gd name="connsiteX3" fmla="*/ 358140 w 655320"/>
                <a:gd name="connsiteY3" fmla="*/ 845820 h 1021080"/>
                <a:gd name="connsiteX4" fmla="*/ 144780 w 655320"/>
                <a:gd name="connsiteY4" fmla="*/ 807720 h 1021080"/>
                <a:gd name="connsiteX5" fmla="*/ 129540 w 655320"/>
                <a:gd name="connsiteY5" fmla="*/ 883920 h 1021080"/>
                <a:gd name="connsiteX6" fmla="*/ 236220 w 655320"/>
                <a:gd name="connsiteY6" fmla="*/ 1021080 h 1021080"/>
                <a:gd name="connsiteX7" fmla="*/ 129540 w 655320"/>
                <a:gd name="connsiteY7" fmla="*/ 1021080 h 1021080"/>
                <a:gd name="connsiteX8" fmla="*/ 106680 w 655320"/>
                <a:gd name="connsiteY8" fmla="*/ 922020 h 1021080"/>
                <a:gd name="connsiteX9" fmla="*/ 137160 w 655320"/>
                <a:gd name="connsiteY9" fmla="*/ 830580 h 1021080"/>
                <a:gd name="connsiteX10" fmla="*/ 0 w 655320"/>
                <a:gd name="connsiteY10" fmla="*/ 396240 h 1021080"/>
                <a:gd name="connsiteX11" fmla="*/ 655320 w 655320"/>
                <a:gd name="connsiteY11" fmla="*/ 0 h 1021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55320" h="1021080">
                  <a:moveTo>
                    <a:pt x="655320" y="0"/>
                  </a:moveTo>
                  <a:lnTo>
                    <a:pt x="541020" y="670560"/>
                  </a:lnTo>
                  <a:lnTo>
                    <a:pt x="464820" y="617220"/>
                  </a:lnTo>
                  <a:lnTo>
                    <a:pt x="358140" y="845820"/>
                  </a:lnTo>
                  <a:lnTo>
                    <a:pt x="144780" y="807720"/>
                  </a:lnTo>
                  <a:lnTo>
                    <a:pt x="129540" y="883920"/>
                  </a:lnTo>
                  <a:lnTo>
                    <a:pt x="236220" y="1021080"/>
                  </a:lnTo>
                  <a:lnTo>
                    <a:pt x="129540" y="1021080"/>
                  </a:lnTo>
                  <a:lnTo>
                    <a:pt x="106680" y="922020"/>
                  </a:lnTo>
                  <a:lnTo>
                    <a:pt x="137160" y="830580"/>
                  </a:lnTo>
                  <a:lnTo>
                    <a:pt x="0" y="396240"/>
                  </a:lnTo>
                  <a:lnTo>
                    <a:pt x="65532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64" name="TextBox 62"/>
          <xdr:cNvSpPr txBox="1"/>
        </xdr:nvSpPr>
        <xdr:spPr>
          <a:xfrm rot="19924746">
            <a:off x="3332697" y="2154524"/>
            <a:ext cx="934871" cy="2308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FF0000"/>
                </a:solidFill>
              </a:rPr>
              <a:t>Mohan Alcove I</a:t>
            </a:r>
            <a:endParaRPr lang="en-IN" sz="900" b="1">
              <a:solidFill>
                <a:srgbClr val="FF0000"/>
              </a:solidFill>
            </a:endParaRPr>
          </a:p>
        </xdr:txBody>
      </xdr:sp>
    </xdr:grpSp>
    <xdr:clientData/>
  </xdr:twoCellAnchor>
  <xdr:twoCellAnchor editAs="oneCell">
    <xdr:from>
      <xdr:col>8</xdr:col>
      <xdr:colOff>457200</xdr:colOff>
      <xdr:row>44</xdr:row>
      <xdr:rowOff>0</xdr:rowOff>
    </xdr:from>
    <xdr:to>
      <xdr:col>12</xdr:col>
      <xdr:colOff>238650</xdr:colOff>
      <xdr:row>50</xdr:row>
      <xdr:rowOff>18466</xdr:rowOff>
    </xdr:to>
    <xdr:pic>
      <xdr:nvPicPr>
        <xdr:cNvPr id="2" name="Picture 1"/>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772275" y="10039350"/>
          <a:ext cx="3420000" cy="1447216"/>
        </a:xfrm>
        <a:prstGeom prst="rect">
          <a:avLst/>
        </a:prstGeom>
        <a:ln>
          <a:solidFill>
            <a:schemeClr val="tx1"/>
          </a:solidFill>
        </a:ln>
      </xdr:spPr>
    </xdr:pic>
    <xdr:clientData/>
  </xdr:twoCellAnchor>
  <xdr:twoCellAnchor editAs="oneCell">
    <xdr:from>
      <xdr:col>8</xdr:col>
      <xdr:colOff>371475</xdr:colOff>
      <xdr:row>50</xdr:row>
      <xdr:rowOff>180975</xdr:rowOff>
    </xdr:from>
    <xdr:to>
      <xdr:col>12</xdr:col>
      <xdr:colOff>332925</xdr:colOff>
      <xdr:row>51</xdr:row>
      <xdr:rowOff>180950</xdr:rowOff>
    </xdr:to>
    <xdr:pic>
      <xdr:nvPicPr>
        <xdr:cNvPr id="3" name="Picture 2"/>
        <xdr:cNvPicPr>
          <a:picLocks noChangeAspect="1"/>
        </xdr:cNvPicPr>
      </xdr:nvPicPr>
      <xdr:blipFill>
        <a:blip xmlns:r="http://schemas.openxmlformats.org/officeDocument/2006/relationships" r:embed="rId14"/>
        <a:stretch>
          <a:fillRect/>
        </a:stretch>
      </xdr:blipFill>
      <xdr:spPr>
        <a:xfrm>
          <a:off x="6686550" y="11649075"/>
          <a:ext cx="3600000" cy="200000"/>
        </a:xfrm>
        <a:prstGeom prst="rect">
          <a:avLst/>
        </a:prstGeom>
        <a:ln>
          <a:solidFill>
            <a:schemeClr val="tx1"/>
          </a:solidFill>
        </a:ln>
      </xdr:spPr>
    </xdr:pic>
    <xdr:clientData/>
  </xdr:twoCellAnchor>
  <xdr:twoCellAnchor editAs="oneCell">
    <xdr:from>
      <xdr:col>8</xdr:col>
      <xdr:colOff>161925</xdr:colOff>
      <xdr:row>15</xdr:row>
      <xdr:rowOff>571500</xdr:rowOff>
    </xdr:from>
    <xdr:to>
      <xdr:col>13</xdr:col>
      <xdr:colOff>437562</xdr:colOff>
      <xdr:row>19</xdr:row>
      <xdr:rowOff>63417</xdr:rowOff>
    </xdr:to>
    <xdr:pic>
      <xdr:nvPicPr>
        <xdr:cNvPr id="4" name="Picture 3"/>
        <xdr:cNvPicPr>
          <a:picLocks noChangeAspect="1"/>
        </xdr:cNvPicPr>
      </xdr:nvPicPr>
      <xdr:blipFill>
        <a:blip xmlns:r="http://schemas.openxmlformats.org/officeDocument/2006/relationships" r:embed="rId15"/>
        <a:stretch>
          <a:fillRect/>
        </a:stretch>
      </xdr:blipFill>
      <xdr:spPr>
        <a:xfrm>
          <a:off x="6477000" y="4181475"/>
          <a:ext cx="4704762" cy="666667"/>
        </a:xfrm>
        <a:prstGeom prst="rect">
          <a:avLst/>
        </a:prstGeom>
        <a:ln>
          <a:solidFill>
            <a:schemeClr val="tx1"/>
          </a:solidFill>
        </a:ln>
      </xdr:spPr>
    </xdr:pic>
    <xdr:clientData/>
  </xdr:twoCellAnchor>
  <xdr:twoCellAnchor editAs="oneCell">
    <xdr:from>
      <xdr:col>8</xdr:col>
      <xdr:colOff>923925</xdr:colOff>
      <xdr:row>176</xdr:row>
      <xdr:rowOff>104775</xdr:rowOff>
    </xdr:from>
    <xdr:to>
      <xdr:col>13</xdr:col>
      <xdr:colOff>113848</xdr:colOff>
      <xdr:row>193</xdr:row>
      <xdr:rowOff>37733</xdr:rowOff>
    </xdr:to>
    <xdr:pic>
      <xdr:nvPicPr>
        <xdr:cNvPr id="5" name="Picture 4"/>
        <xdr:cNvPicPr>
          <a:picLocks noChangeAspect="1"/>
        </xdr:cNvPicPr>
      </xdr:nvPicPr>
      <xdr:blipFill>
        <a:blip xmlns:r="http://schemas.openxmlformats.org/officeDocument/2006/relationships" r:embed="rId16"/>
        <a:stretch>
          <a:fillRect/>
        </a:stretch>
      </xdr:blipFill>
      <xdr:spPr>
        <a:xfrm>
          <a:off x="7239000" y="36918900"/>
          <a:ext cx="3619048" cy="2933333"/>
        </a:xfrm>
        <a:prstGeom prst="rect">
          <a:avLst/>
        </a:prstGeom>
        <a:ln>
          <a:solidFill>
            <a:schemeClr val="tx1"/>
          </a:solidFill>
        </a:ln>
      </xdr:spPr>
    </xdr:pic>
    <xdr:clientData/>
  </xdr:twoCellAnchor>
  <xdr:twoCellAnchor editAs="oneCell">
    <xdr:from>
      <xdr:col>10</xdr:col>
      <xdr:colOff>342900</xdr:colOff>
      <xdr:row>191</xdr:row>
      <xdr:rowOff>47626</xdr:rowOff>
    </xdr:from>
    <xdr:to>
      <xdr:col>16</xdr:col>
      <xdr:colOff>448950</xdr:colOff>
      <xdr:row>202</xdr:row>
      <xdr:rowOff>67444</xdr:rowOff>
    </xdr:to>
    <xdr:pic>
      <xdr:nvPicPr>
        <xdr:cNvPr id="9" name="Picture 8"/>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8582025" y="36195001"/>
          <a:ext cx="5040000" cy="2220093"/>
        </a:xfrm>
        <a:prstGeom prst="rect">
          <a:avLst/>
        </a:prstGeom>
        <a:ln>
          <a:solidFill>
            <a:sysClr val="windowText" lastClr="000000"/>
          </a:solidFill>
        </a:ln>
      </xdr:spPr>
    </xdr:pic>
    <xdr:clientData/>
  </xdr:twoCellAnchor>
  <xdr:twoCellAnchor editAs="oneCell">
    <xdr:from>
      <xdr:col>11</xdr:col>
      <xdr:colOff>904875</xdr:colOff>
      <xdr:row>215</xdr:row>
      <xdr:rowOff>1</xdr:rowOff>
    </xdr:from>
    <xdr:to>
      <xdr:col>16</xdr:col>
      <xdr:colOff>181500</xdr:colOff>
      <xdr:row>227</xdr:row>
      <xdr:rowOff>83794</xdr:rowOff>
    </xdr:to>
    <xdr:pic>
      <xdr:nvPicPr>
        <xdr:cNvPr id="10" name="Picture 9"/>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9934575" y="40947976"/>
          <a:ext cx="3420000" cy="2484093"/>
        </a:xfrm>
        <a:prstGeom prst="rect">
          <a:avLst/>
        </a:prstGeom>
        <a:ln>
          <a:solidFill>
            <a:schemeClr val="tx1"/>
          </a:solidFill>
        </a:ln>
      </xdr:spPr>
    </xdr:pic>
    <xdr:clientData/>
  </xdr:twoCellAnchor>
  <xdr:twoCellAnchor editAs="oneCell">
    <xdr:from>
      <xdr:col>8</xdr:col>
      <xdr:colOff>752475</xdr:colOff>
      <xdr:row>236</xdr:row>
      <xdr:rowOff>66675</xdr:rowOff>
    </xdr:from>
    <xdr:to>
      <xdr:col>14</xdr:col>
      <xdr:colOff>525150</xdr:colOff>
      <xdr:row>245</xdr:row>
      <xdr:rowOff>178708</xdr:rowOff>
    </xdr:to>
    <xdr:pic>
      <xdr:nvPicPr>
        <xdr:cNvPr id="11" name="Picture 10"/>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7067550" y="46281975"/>
          <a:ext cx="5040000" cy="1912258"/>
        </a:xfrm>
        <a:prstGeom prst="rect">
          <a:avLst/>
        </a:prstGeom>
        <a:ln>
          <a:solidFill>
            <a:schemeClr val="tx1"/>
          </a:solidFill>
        </a:ln>
      </xdr:spPr>
    </xdr:pic>
    <xdr:clientData/>
  </xdr:twoCellAnchor>
  <xdr:twoCellAnchor editAs="oneCell">
    <xdr:from>
      <xdr:col>8</xdr:col>
      <xdr:colOff>923925</xdr:colOff>
      <xdr:row>250</xdr:row>
      <xdr:rowOff>104775</xdr:rowOff>
    </xdr:from>
    <xdr:to>
      <xdr:col>13</xdr:col>
      <xdr:colOff>18609</xdr:colOff>
      <xdr:row>263</xdr:row>
      <xdr:rowOff>37808</xdr:rowOff>
    </xdr:to>
    <xdr:pic>
      <xdr:nvPicPr>
        <xdr:cNvPr id="12" name="Picture 11"/>
        <xdr:cNvPicPr>
          <a:picLocks noChangeAspect="1"/>
        </xdr:cNvPicPr>
      </xdr:nvPicPr>
      <xdr:blipFill>
        <a:blip xmlns:r="http://schemas.openxmlformats.org/officeDocument/2006/relationships" r:embed="rId20"/>
        <a:stretch>
          <a:fillRect/>
        </a:stretch>
      </xdr:blipFill>
      <xdr:spPr>
        <a:xfrm>
          <a:off x="7239000" y="49120425"/>
          <a:ext cx="3523809" cy="2333333"/>
        </a:xfrm>
        <a:prstGeom prst="rect">
          <a:avLst/>
        </a:prstGeom>
        <a:ln>
          <a:solidFill>
            <a:schemeClr val="tx1"/>
          </a:solidFill>
        </a:ln>
      </xdr:spPr>
    </xdr:pic>
    <xdr:clientData/>
  </xdr:twoCellAnchor>
  <xdr:twoCellAnchor editAs="oneCell">
    <xdr:from>
      <xdr:col>1</xdr:col>
      <xdr:colOff>400050</xdr:colOff>
      <xdr:row>477</xdr:row>
      <xdr:rowOff>9525</xdr:rowOff>
    </xdr:from>
    <xdr:to>
      <xdr:col>6</xdr:col>
      <xdr:colOff>371475</xdr:colOff>
      <xdr:row>504</xdr:row>
      <xdr:rowOff>152400</xdr:rowOff>
    </xdr:to>
    <xdr:pic>
      <xdr:nvPicPr>
        <xdr:cNvPr id="67" name="Picture 66"/>
        <xdr:cNvPicPr>
          <a:picLocks noChangeAspect="1"/>
        </xdr:cNvPicPr>
      </xdr:nvPicPr>
      <xdr:blipFill rotWithShape="1">
        <a:blip xmlns:r="http://schemas.openxmlformats.org/officeDocument/2006/relationships" r:embed="rId21"/>
        <a:srcRect l="35359" t="6511" r="33456" b="17708"/>
        <a:stretch/>
      </xdr:blipFill>
      <xdr:spPr>
        <a:xfrm>
          <a:off x="1162050" y="94326075"/>
          <a:ext cx="4057650" cy="5543550"/>
        </a:xfrm>
        <a:prstGeom prst="rect">
          <a:avLst/>
        </a:prstGeom>
        <a:ln>
          <a:solidFill>
            <a:schemeClr val="tx1"/>
          </a:solidFill>
        </a:ln>
      </xdr:spPr>
    </xdr:pic>
    <xdr:clientData/>
  </xdr:twoCellAnchor>
  <xdr:twoCellAnchor>
    <xdr:from>
      <xdr:col>0</xdr:col>
      <xdr:colOff>266700</xdr:colOff>
      <xdr:row>390</xdr:row>
      <xdr:rowOff>114300</xdr:rowOff>
    </xdr:from>
    <xdr:to>
      <xdr:col>7</xdr:col>
      <xdr:colOff>775521</xdr:colOff>
      <xdr:row>425</xdr:row>
      <xdr:rowOff>90968</xdr:rowOff>
    </xdr:to>
    <xdr:grpSp>
      <xdr:nvGrpSpPr>
        <xdr:cNvPr id="7" name="Group 6"/>
        <xdr:cNvGrpSpPr/>
      </xdr:nvGrpSpPr>
      <xdr:grpSpPr>
        <a:xfrm>
          <a:off x="266700" y="75577700"/>
          <a:ext cx="6363521" cy="6860068"/>
          <a:chOff x="266700" y="75577700"/>
          <a:chExt cx="6363521" cy="6860068"/>
        </a:xfrm>
      </xdr:grpSpPr>
      <xdr:pic>
        <xdr:nvPicPr>
          <xdr:cNvPr id="68" name="Picture 6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242398" y="80637768"/>
            <a:ext cx="2387823" cy="1800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467670" y="75577700"/>
            <a:ext cx="2865387" cy="216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48512" y="75577700"/>
            <a:ext cx="2865387" cy="2160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273148" y="77837734"/>
            <a:ext cx="2030649" cy="2700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2436360" y="77837734"/>
            <a:ext cx="2030649" cy="2700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2774398" y="80637768"/>
            <a:ext cx="1348125" cy="1800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4599572" y="77837734"/>
            <a:ext cx="2030649" cy="270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266700" y="80637768"/>
            <a:ext cx="2387823" cy="1800000"/>
          </a:xfrm>
          <a:prstGeom prst="rect">
            <a:avLst/>
          </a:prstGeom>
          <a:ln>
            <a:solidFill>
              <a:schemeClr val="tx1"/>
            </a:solidFill>
          </a:ln>
        </xdr:spPr>
      </xdr:pic>
      <xdr:sp macro="" textlink="">
        <xdr:nvSpPr>
          <xdr:cNvPr id="76" name="TextBox 11"/>
          <xdr:cNvSpPr txBox="1"/>
        </xdr:nvSpPr>
        <xdr:spPr>
          <a:xfrm>
            <a:off x="273148" y="77837734"/>
            <a:ext cx="1069678" cy="254566"/>
          </a:xfrm>
          <a:prstGeom prst="rect">
            <a:avLst/>
          </a:prstGeom>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900" b="1">
                <a:solidFill>
                  <a:srgbClr val="FF0000"/>
                </a:solidFill>
              </a:rPr>
              <a:t>Bldg No.2 Wing A</a:t>
            </a:r>
            <a:endParaRPr lang="en-IN" sz="900" b="1">
              <a:solidFill>
                <a:srgbClr val="FF0000"/>
              </a:solidFill>
            </a:endParaRPr>
          </a:p>
        </xdr:txBody>
      </xdr:sp>
      <xdr:sp macro="" textlink="">
        <xdr:nvSpPr>
          <xdr:cNvPr id="77" name="TextBox 11"/>
          <xdr:cNvSpPr txBox="1"/>
        </xdr:nvSpPr>
        <xdr:spPr>
          <a:xfrm>
            <a:off x="2436360" y="77837734"/>
            <a:ext cx="1069678" cy="254566"/>
          </a:xfrm>
          <a:prstGeom prst="rect">
            <a:avLst/>
          </a:prstGeom>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900" b="1">
                <a:solidFill>
                  <a:srgbClr val="FF0000"/>
                </a:solidFill>
              </a:rPr>
              <a:t>Bldg No.2 Wing B</a:t>
            </a:r>
            <a:endParaRPr lang="en-IN" sz="900" b="1">
              <a:solidFill>
                <a:srgbClr val="FF0000"/>
              </a:solidFill>
            </a:endParaRPr>
          </a:p>
        </xdr:txBody>
      </xdr:sp>
      <xdr:sp macro="" textlink="">
        <xdr:nvSpPr>
          <xdr:cNvPr id="78" name="TextBox 11"/>
          <xdr:cNvSpPr txBox="1"/>
        </xdr:nvSpPr>
        <xdr:spPr>
          <a:xfrm>
            <a:off x="4599572" y="77837734"/>
            <a:ext cx="1069678" cy="254566"/>
          </a:xfrm>
          <a:prstGeom prst="rect">
            <a:avLst/>
          </a:prstGeom>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900" b="1">
                <a:solidFill>
                  <a:srgbClr val="FF0000"/>
                </a:solidFill>
              </a:rPr>
              <a:t>Bldg No.2 Wing C</a:t>
            </a:r>
            <a:endParaRPr lang="en-IN" sz="900" b="1">
              <a:solidFill>
                <a:srgbClr val="FF0000"/>
              </a:solidFill>
            </a:endParaRPr>
          </a:p>
        </xdr:txBody>
      </xdr:sp>
      <xdr:sp macro="" textlink="">
        <xdr:nvSpPr>
          <xdr:cNvPr id="91" name="TextBox 11"/>
          <xdr:cNvSpPr txBox="1"/>
        </xdr:nvSpPr>
        <xdr:spPr>
          <a:xfrm>
            <a:off x="448512" y="75577700"/>
            <a:ext cx="1069678" cy="254566"/>
          </a:xfrm>
          <a:prstGeom prst="rect">
            <a:avLst/>
          </a:prstGeom>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900" b="1">
                <a:solidFill>
                  <a:srgbClr val="FF0000"/>
                </a:solidFill>
              </a:rPr>
              <a:t>Bldg No.1 Wing A</a:t>
            </a:r>
            <a:endParaRPr lang="en-IN" sz="900" b="1">
              <a:solidFill>
                <a:srgbClr val="FF0000"/>
              </a:solidFill>
            </a:endParaRPr>
          </a:p>
        </xdr:txBody>
      </xdr:sp>
      <xdr:sp macro="" textlink="">
        <xdr:nvSpPr>
          <xdr:cNvPr id="92" name="TextBox 11"/>
          <xdr:cNvSpPr txBox="1"/>
        </xdr:nvSpPr>
        <xdr:spPr>
          <a:xfrm>
            <a:off x="4210620" y="76257150"/>
            <a:ext cx="1069678" cy="25456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rtlCol="0">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US" sz="900" b="1">
                <a:solidFill>
                  <a:srgbClr val="FF0000"/>
                </a:solidFill>
              </a:rPr>
              <a:t>Bldg No.1 Wing B</a:t>
            </a:r>
            <a:endParaRPr lang="en-IN" sz="9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ohan-group.com/projects/mohan-alcoves/" TargetMode="External"/><Relationship Id="rId1" Type="http://schemas.openxmlformats.org/officeDocument/2006/relationships/hyperlink" Target="https://maps.app.goo.gl/mJpPvwA1MHPMQZW1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519"/>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7" width="11" style="37" customWidth="1"/>
    <col min="8" max="8" width="15.1796875" style="37" customWidth="1"/>
    <col min="9" max="9" width="17.453125" style="18" customWidth="1"/>
    <col min="10" max="10" width="11.453125" style="18" customWidth="1"/>
    <col min="11" max="11" width="11.8164062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85" t="s">
        <v>162</v>
      </c>
      <c r="B1" s="185"/>
      <c r="C1" s="185"/>
      <c r="D1" s="185"/>
      <c r="E1" s="185"/>
      <c r="F1" s="185"/>
      <c r="G1" s="185"/>
      <c r="H1" s="185"/>
    </row>
    <row r="2" spans="1:26" ht="16.5" customHeight="1" x14ac:dyDescent="0.35">
      <c r="A2" s="186" t="s">
        <v>0</v>
      </c>
      <c r="B2" s="186"/>
      <c r="C2" s="186"/>
      <c r="D2" s="186"/>
      <c r="E2" s="186"/>
      <c r="F2" s="186"/>
      <c r="G2" s="186"/>
      <c r="H2" s="186"/>
    </row>
    <row r="3" spans="1:26" x14ac:dyDescent="0.35">
      <c r="A3" s="163" t="s">
        <v>1</v>
      </c>
      <c r="B3" s="163"/>
      <c r="C3" s="163"/>
      <c r="D3" s="163"/>
      <c r="E3" s="163" t="str">
        <f ca="1">TEXT(TODAY(),"DD/MM/YYYY")</f>
        <v>15/07/2025</v>
      </c>
      <c r="F3" s="163"/>
      <c r="G3" s="163"/>
      <c r="H3" s="163"/>
      <c r="K3" s="48" t="s">
        <v>232</v>
      </c>
      <c r="L3" s="46" t="s">
        <v>230</v>
      </c>
      <c r="M3" s="46" t="s">
        <v>235</v>
      </c>
      <c r="N3" s="46" t="s">
        <v>233</v>
      </c>
      <c r="O3" s="46" t="s">
        <v>234</v>
      </c>
      <c r="P3" s="46" t="s">
        <v>236</v>
      </c>
    </row>
    <row r="4" spans="1:26" ht="15" customHeight="1" x14ac:dyDescent="0.35">
      <c r="A4" s="163" t="s">
        <v>229</v>
      </c>
      <c r="B4" s="163"/>
      <c r="C4" s="163"/>
      <c r="D4" s="163"/>
      <c r="E4" s="156" t="s">
        <v>230</v>
      </c>
      <c r="F4" s="156"/>
      <c r="G4" s="156"/>
      <c r="H4" s="156"/>
      <c r="K4" s="45" t="s">
        <v>231</v>
      </c>
      <c r="L4" s="46" t="s">
        <v>168</v>
      </c>
      <c r="M4" s="46" t="s">
        <v>240</v>
      </c>
      <c r="N4" s="46" t="s">
        <v>242</v>
      </c>
      <c r="O4" s="46" t="s">
        <v>244</v>
      </c>
      <c r="P4" s="46"/>
    </row>
    <row r="5" spans="1:26" ht="15" customHeight="1" x14ac:dyDescent="0.35">
      <c r="A5" s="163" t="s">
        <v>2</v>
      </c>
      <c r="B5" s="163"/>
      <c r="C5" s="163"/>
      <c r="D5" s="163"/>
      <c r="E5" s="156" t="s">
        <v>239</v>
      </c>
      <c r="F5" s="156"/>
      <c r="G5" s="156"/>
      <c r="H5" s="156"/>
      <c r="K5" s="45"/>
      <c r="L5" s="46" t="s">
        <v>237</v>
      </c>
      <c r="M5" s="46" t="s">
        <v>241</v>
      </c>
      <c r="N5" s="46" t="s">
        <v>243</v>
      </c>
      <c r="O5" s="46" t="s">
        <v>245</v>
      </c>
      <c r="P5" s="46"/>
    </row>
    <row r="6" spans="1:26" x14ac:dyDescent="0.35">
      <c r="A6" s="163" t="s">
        <v>3</v>
      </c>
      <c r="B6" s="163"/>
      <c r="C6" s="163"/>
      <c r="D6" s="163"/>
      <c r="E6" s="188">
        <v>45847</v>
      </c>
      <c r="F6" s="163"/>
      <c r="G6" s="163"/>
      <c r="H6" s="163"/>
      <c r="K6" s="45"/>
      <c r="L6" s="46" t="s">
        <v>238</v>
      </c>
      <c r="M6" s="46"/>
      <c r="N6" s="46"/>
      <c r="O6" s="46" t="s">
        <v>246</v>
      </c>
      <c r="P6" s="46"/>
    </row>
    <row r="7" spans="1:26" ht="16.5" customHeight="1" x14ac:dyDescent="0.35">
      <c r="A7" s="163" t="s">
        <v>4</v>
      </c>
      <c r="B7" s="163"/>
      <c r="C7" s="163"/>
      <c r="D7" s="163"/>
      <c r="E7" s="163" t="s">
        <v>331</v>
      </c>
      <c r="F7" s="163"/>
      <c r="G7" s="163"/>
      <c r="H7" s="163"/>
      <c r="K7" s="45"/>
      <c r="L7" s="46" t="s">
        <v>239</v>
      </c>
      <c r="M7" s="46"/>
      <c r="N7" s="46"/>
      <c r="O7" s="46" t="s">
        <v>246</v>
      </c>
      <c r="P7" s="46"/>
    </row>
    <row r="8" spans="1:26" ht="15" customHeight="1" x14ac:dyDescent="0.35">
      <c r="A8" s="163" t="s">
        <v>5</v>
      </c>
      <c r="B8" s="163"/>
      <c r="C8" s="163"/>
      <c r="D8" s="163"/>
      <c r="E8" s="163" t="str">
        <f>E7</f>
        <v>Mohan Lifespaces Llp</v>
      </c>
      <c r="F8" s="163"/>
      <c r="G8" s="163"/>
      <c r="H8" s="163"/>
      <c r="K8" s="45"/>
      <c r="L8" s="46"/>
      <c r="M8" s="46"/>
      <c r="N8" s="46"/>
      <c r="O8" s="46" t="s">
        <v>247</v>
      </c>
      <c r="P8" s="46"/>
    </row>
    <row r="9" spans="1:26" x14ac:dyDescent="0.35">
      <c r="A9" s="163" t="s">
        <v>6</v>
      </c>
      <c r="B9" s="163"/>
      <c r="C9" s="163"/>
      <c r="D9" s="163"/>
      <c r="E9" s="187" t="s">
        <v>332</v>
      </c>
      <c r="F9" s="187"/>
      <c r="G9" s="187"/>
      <c r="H9" s="187"/>
      <c r="K9" s="45"/>
      <c r="L9" s="46"/>
      <c r="M9" s="46"/>
      <c r="N9" s="46"/>
      <c r="O9" s="46" t="s">
        <v>248</v>
      </c>
      <c r="P9" s="46"/>
    </row>
    <row r="10" spans="1:26" x14ac:dyDescent="0.35">
      <c r="A10" s="163" t="s">
        <v>165</v>
      </c>
      <c r="B10" s="163"/>
      <c r="C10" s="163"/>
      <c r="D10" s="163"/>
      <c r="E10" s="163" t="s">
        <v>380</v>
      </c>
      <c r="F10" s="163"/>
      <c r="G10" s="163"/>
      <c r="H10" s="163"/>
      <c r="K10" s="45"/>
      <c r="L10" s="46"/>
      <c r="M10" s="46"/>
      <c r="N10" s="46"/>
      <c r="O10" s="46"/>
      <c r="P10" s="46"/>
    </row>
    <row r="11" spans="1:26" hidden="1" x14ac:dyDescent="0.35">
      <c r="A11" s="163" t="s">
        <v>166</v>
      </c>
      <c r="B11" s="163"/>
      <c r="C11" s="163"/>
      <c r="D11" s="163"/>
      <c r="E11" s="163" t="s">
        <v>380</v>
      </c>
      <c r="F11" s="163"/>
      <c r="G11" s="163"/>
      <c r="H11" s="163"/>
    </row>
    <row r="12" spans="1:26" ht="31.5" customHeight="1" x14ac:dyDescent="0.35">
      <c r="A12" s="163" t="s">
        <v>7</v>
      </c>
      <c r="B12" s="163"/>
      <c r="C12" s="163"/>
      <c r="D12" s="163"/>
      <c r="E12" s="150" t="s">
        <v>333</v>
      </c>
      <c r="F12" s="163"/>
      <c r="G12" s="163"/>
      <c r="H12" s="163"/>
    </row>
    <row r="13" spans="1:26" x14ac:dyDescent="0.35">
      <c r="A13" s="163" t="s">
        <v>169</v>
      </c>
      <c r="B13" s="163"/>
      <c r="C13" s="163"/>
      <c r="D13" s="163"/>
      <c r="E13" s="163" t="s">
        <v>28</v>
      </c>
      <c r="F13" s="163"/>
      <c r="G13" s="163"/>
      <c r="H13" s="163"/>
      <c r="S13" s="46" t="s">
        <v>177</v>
      </c>
      <c r="T13" s="46" t="s">
        <v>186</v>
      </c>
      <c r="U13" s="46" t="s">
        <v>170</v>
      </c>
      <c r="V13" s="46" t="s">
        <v>191</v>
      </c>
      <c r="W13" s="46" t="s">
        <v>209</v>
      </c>
      <c r="X13"/>
      <c r="Y13" t="s">
        <v>191</v>
      </c>
      <c r="Z13" t="e">
        <f ca="1">OFFSET($S$13,1,MATCH($G20,$S$13:$W$13,0)-1,15,1)</f>
        <v>#VALUE!</v>
      </c>
    </row>
    <row r="14" spans="1:26" ht="18" customHeight="1" x14ac:dyDescent="0.35">
      <c r="A14" s="116" t="s">
        <v>275</v>
      </c>
      <c r="B14" s="116"/>
      <c r="C14" s="116"/>
      <c r="D14" s="116"/>
      <c r="E14" s="157" t="s">
        <v>381</v>
      </c>
      <c r="F14" s="157"/>
      <c r="G14" s="157"/>
      <c r="H14" s="157"/>
      <c r="S14" s="46" t="s">
        <v>177</v>
      </c>
      <c r="T14" s="46" t="s">
        <v>184</v>
      </c>
      <c r="U14" s="46" t="s">
        <v>206</v>
      </c>
      <c r="V14" s="46" t="s">
        <v>192</v>
      </c>
      <c r="W14" s="46" t="s">
        <v>210</v>
      </c>
      <c r="X14"/>
      <c r="Y14"/>
      <c r="Z14"/>
    </row>
    <row r="15" spans="1:26" x14ac:dyDescent="0.35">
      <c r="A15" s="116" t="s">
        <v>8</v>
      </c>
      <c r="B15" s="116"/>
      <c r="C15" s="116"/>
      <c r="D15" s="116"/>
      <c r="E15" s="157" t="s">
        <v>334</v>
      </c>
      <c r="F15" s="156"/>
      <c r="G15" s="156"/>
      <c r="H15" s="156"/>
      <c r="I15" s="221" t="e">
        <f ca="1">OFFSET($D$5,1,MATCH($J13,$D$5:$H$5,0)-1,15,1)</f>
        <v>#N/A</v>
      </c>
      <c r="J15" s="222"/>
      <c r="K15" s="222"/>
      <c r="L15" s="222"/>
      <c r="M15" s="222"/>
      <c r="N15" s="222"/>
      <c r="O15" s="222"/>
      <c r="P15" s="222"/>
      <c r="S15" s="46" t="s">
        <v>178</v>
      </c>
      <c r="T15" s="46" t="s">
        <v>185</v>
      </c>
      <c r="U15" s="46" t="s">
        <v>207</v>
      </c>
      <c r="V15" s="46" t="s">
        <v>193</v>
      </c>
      <c r="W15" s="46" t="s">
        <v>223</v>
      </c>
      <c r="X15"/>
      <c r="Y15"/>
      <c r="Z15"/>
    </row>
    <row r="16" spans="1:26" ht="34" customHeight="1" x14ac:dyDescent="0.35">
      <c r="A16" s="155" t="s">
        <v>9</v>
      </c>
      <c r="B16" s="155"/>
      <c r="C16" s="155" t="str">
        <f>CONCATENATE((IF(OR(E9="",E9="NA"),"",E9)),", ",(IF(OR(A17="",A17="NA"),"",A17)),".",(IF(OR(C17="",C17="NA"),"",C17)),", near ",(IF(OR(C22="",C22="NA"),"",C22)),", ",(IF(OR(C19="",C19="NA"),"",C19)),", ",(IF(OR(C18="",C18="NA"),"",C18)),", ",(IF(OR(G19="",G19="NA"),"",G19)),", ",(IF(OR(C20="",C20="NA"),"",C20)),", ",(IF(OR(C21="",C21="NA"),"",C21)),", ",(IF(OR(G20="",G20="NA"),"",G20))," - ",(IF(OR(G21="",G21="NA"),"",G21)),".")</f>
        <v>Mohan Alcoves I , Gut No.32, H No.2 &amp; 1/1, 1/2 G No.31 &amp; 221 , near Sadguru Residency, Internal Road, Manjarli, Valivali, Badlapur, Ambernath, Thane - 421503.</v>
      </c>
      <c r="D16" s="155"/>
      <c r="E16" s="155"/>
      <c r="F16" s="155"/>
      <c r="G16" s="155"/>
      <c r="H16" s="155"/>
      <c r="S16" s="46" t="s">
        <v>179</v>
      </c>
      <c r="T16" s="46" t="s">
        <v>187</v>
      </c>
      <c r="U16" s="46" t="s">
        <v>208</v>
      </c>
      <c r="V16" s="46" t="s">
        <v>194</v>
      </c>
      <c r="W16" s="46" t="s">
        <v>211</v>
      </c>
      <c r="X16"/>
      <c r="Y16"/>
      <c r="Z16"/>
    </row>
    <row r="17" spans="1:26" x14ac:dyDescent="0.35">
      <c r="A17" s="157" t="s">
        <v>336</v>
      </c>
      <c r="B17" s="157"/>
      <c r="C17" s="157" t="s">
        <v>337</v>
      </c>
      <c r="D17" s="157"/>
      <c r="E17" s="157"/>
      <c r="F17" s="157"/>
      <c r="G17" s="157"/>
      <c r="H17" s="157"/>
      <c r="S17" s="46" t="s">
        <v>180</v>
      </c>
      <c r="T17" s="46" t="s">
        <v>188</v>
      </c>
      <c r="U17" s="46" t="s">
        <v>170</v>
      </c>
      <c r="V17" s="46" t="s">
        <v>195</v>
      </c>
      <c r="W17" s="46" t="s">
        <v>212</v>
      </c>
      <c r="X17"/>
      <c r="Y17"/>
      <c r="Z17"/>
    </row>
    <row r="18" spans="1:26" ht="15.75" customHeight="1" x14ac:dyDescent="0.35">
      <c r="A18" s="157" t="s">
        <v>160</v>
      </c>
      <c r="B18" s="157"/>
      <c r="C18" s="157" t="s">
        <v>353</v>
      </c>
      <c r="D18" s="157"/>
      <c r="E18" s="157"/>
      <c r="F18" s="157"/>
      <c r="G18" s="157"/>
      <c r="H18" s="157"/>
      <c r="S18" s="46" t="s">
        <v>181</v>
      </c>
      <c r="T18" s="46" t="s">
        <v>186</v>
      </c>
      <c r="U18" s="46"/>
      <c r="V18" s="46" t="s">
        <v>196</v>
      </c>
      <c r="W18" s="46" t="s">
        <v>213</v>
      </c>
      <c r="X18"/>
      <c r="Y18"/>
      <c r="Z18"/>
    </row>
    <row r="19" spans="1:26" ht="15.75" customHeight="1" x14ac:dyDescent="0.35">
      <c r="A19" s="157" t="s">
        <v>10</v>
      </c>
      <c r="B19" s="157"/>
      <c r="C19" s="156" t="s">
        <v>348</v>
      </c>
      <c r="D19" s="156"/>
      <c r="E19" s="157" t="s">
        <v>70</v>
      </c>
      <c r="F19" s="157"/>
      <c r="G19" s="157" t="s">
        <v>335</v>
      </c>
      <c r="H19" s="157"/>
      <c r="S19" s="46" t="s">
        <v>182</v>
      </c>
      <c r="T19" s="46" t="s">
        <v>189</v>
      </c>
      <c r="U19" s="46"/>
      <c r="V19" s="46" t="s">
        <v>197</v>
      </c>
      <c r="W19" s="46" t="s">
        <v>214</v>
      </c>
      <c r="X19"/>
      <c r="Y19"/>
      <c r="Z19"/>
    </row>
    <row r="20" spans="1:26" x14ac:dyDescent="0.35">
      <c r="A20" s="156" t="s">
        <v>12</v>
      </c>
      <c r="B20" s="156"/>
      <c r="C20" s="157" t="s">
        <v>354</v>
      </c>
      <c r="D20" s="157"/>
      <c r="E20" s="157" t="s">
        <v>11</v>
      </c>
      <c r="F20" s="157"/>
      <c r="G20" s="184" t="s">
        <v>177</v>
      </c>
      <c r="H20" s="184"/>
      <c r="S20" s="46" t="s">
        <v>183</v>
      </c>
      <c r="T20" s="46" t="s">
        <v>190</v>
      </c>
      <c r="U20" s="46"/>
      <c r="V20" s="46" t="s">
        <v>198</v>
      </c>
      <c r="W20" s="46" t="s">
        <v>215</v>
      </c>
      <c r="X20"/>
      <c r="Y20"/>
      <c r="Z20"/>
    </row>
    <row r="21" spans="1:26" x14ac:dyDescent="0.35">
      <c r="A21" s="156" t="s">
        <v>71</v>
      </c>
      <c r="B21" s="156"/>
      <c r="C21" s="157" t="s">
        <v>182</v>
      </c>
      <c r="D21" s="157"/>
      <c r="E21" s="157" t="s">
        <v>13</v>
      </c>
      <c r="F21" s="157"/>
      <c r="G21" s="157">
        <v>421503</v>
      </c>
      <c r="H21" s="157"/>
      <c r="S21" s="46"/>
      <c r="T21" s="46"/>
      <c r="U21" s="46"/>
      <c r="V21" s="46" t="s">
        <v>199</v>
      </c>
      <c r="W21" s="46" t="s">
        <v>216</v>
      </c>
      <c r="X21"/>
      <c r="Y21"/>
      <c r="Z21"/>
    </row>
    <row r="22" spans="1:26" ht="32.25" customHeight="1" x14ac:dyDescent="0.35">
      <c r="A22" s="156" t="s">
        <v>117</v>
      </c>
      <c r="B22" s="156"/>
      <c r="C22" s="157" t="s">
        <v>349</v>
      </c>
      <c r="D22" s="157"/>
      <c r="E22" s="157" t="s">
        <v>14</v>
      </c>
      <c r="F22" s="157"/>
      <c r="G22" s="157" t="s">
        <v>373</v>
      </c>
      <c r="H22" s="157"/>
      <c r="S22" s="46"/>
      <c r="T22" s="46"/>
      <c r="U22" s="46"/>
      <c r="V22" s="46" t="s">
        <v>200</v>
      </c>
      <c r="W22" s="46" t="s">
        <v>217</v>
      </c>
      <c r="X22"/>
      <c r="Y22"/>
      <c r="Z22"/>
    </row>
    <row r="23" spans="1:26" ht="15" customHeight="1" x14ac:dyDescent="0.35">
      <c r="A23" s="155" t="s">
        <v>73</v>
      </c>
      <c r="B23" s="155"/>
      <c r="C23" s="155"/>
      <c r="D23" s="155"/>
      <c r="E23" s="163" t="s">
        <v>15</v>
      </c>
      <c r="F23" s="163"/>
      <c r="G23" s="163"/>
      <c r="H23" s="163"/>
      <c r="S23" s="46"/>
      <c r="T23" s="46"/>
      <c r="U23" s="46"/>
      <c r="V23" s="46" t="s">
        <v>201</v>
      </c>
      <c r="W23" s="46" t="s">
        <v>218</v>
      </c>
      <c r="X23"/>
      <c r="Y23"/>
      <c r="Z23"/>
    </row>
    <row r="24" spans="1:26" ht="18.75" customHeight="1" x14ac:dyDescent="0.35">
      <c r="A24" s="155"/>
      <c r="B24" s="155"/>
      <c r="C24" s="155"/>
      <c r="D24" s="155"/>
      <c r="E24" s="163"/>
      <c r="F24" s="163"/>
      <c r="G24" s="163"/>
      <c r="H24" s="163"/>
      <c r="S24" s="46"/>
      <c r="T24" s="46"/>
      <c r="U24" s="46"/>
      <c r="V24" s="46" t="s">
        <v>202</v>
      </c>
      <c r="W24" s="46" t="s">
        <v>219</v>
      </c>
      <c r="X24"/>
      <c r="Y24"/>
      <c r="Z24"/>
    </row>
    <row r="25" spans="1:26" ht="15" customHeight="1" x14ac:dyDescent="0.35">
      <c r="A25" s="155" t="s">
        <v>16</v>
      </c>
      <c r="B25" s="155"/>
      <c r="C25" s="155"/>
      <c r="D25" s="155"/>
      <c r="E25" s="150" t="s">
        <v>17</v>
      </c>
      <c r="F25" s="150"/>
      <c r="G25" s="150"/>
      <c r="H25" s="150"/>
      <c r="S25" s="46"/>
      <c r="T25" s="46"/>
      <c r="U25" s="46"/>
      <c r="V25" s="46" t="s">
        <v>203</v>
      </c>
      <c r="W25" s="46" t="s">
        <v>220</v>
      </c>
      <c r="X25"/>
      <c r="Y25"/>
      <c r="Z25"/>
    </row>
    <row r="26" spans="1:26" ht="15" customHeight="1" x14ac:dyDescent="0.35">
      <c r="A26" s="116" t="s">
        <v>18</v>
      </c>
      <c r="B26" s="116"/>
      <c r="C26" s="116"/>
      <c r="D26" s="116"/>
      <c r="E26" s="150" t="str">
        <f>IF(AND(G20="Mumbai"),"Upper Class","Middle Class")</f>
        <v>Middle Class</v>
      </c>
      <c r="F26" s="150"/>
      <c r="G26" s="150"/>
      <c r="H26" s="150"/>
      <c r="S26" s="46"/>
      <c r="T26" s="46"/>
      <c r="U26" s="46"/>
      <c r="V26" s="46" t="s">
        <v>204</v>
      </c>
      <c r="W26" s="46" t="s">
        <v>221</v>
      </c>
      <c r="X26"/>
      <c r="Y26"/>
      <c r="Z26"/>
    </row>
    <row r="27" spans="1:26" x14ac:dyDescent="0.35">
      <c r="A27" s="116" t="s">
        <v>19</v>
      </c>
      <c r="B27" s="116"/>
      <c r="C27" s="116"/>
      <c r="D27" s="116"/>
      <c r="E27" s="150" t="s">
        <v>20</v>
      </c>
      <c r="F27" s="150"/>
      <c r="G27" s="150"/>
      <c r="H27" s="150"/>
      <c r="S27" s="46"/>
      <c r="T27" s="46"/>
      <c r="U27" s="46"/>
      <c r="V27" s="46" t="s">
        <v>205</v>
      </c>
      <c r="W27" s="46" t="s">
        <v>222</v>
      </c>
      <c r="X27"/>
      <c r="Y27"/>
      <c r="Z27"/>
    </row>
    <row r="28" spans="1:26" ht="15.75" customHeight="1" x14ac:dyDescent="0.35">
      <c r="A28" s="116" t="s">
        <v>21</v>
      </c>
      <c r="B28" s="116"/>
      <c r="C28" s="116"/>
      <c r="D28" s="116"/>
      <c r="E28" s="150" t="str">
        <f>IF(AND(G20="Mumbai"),"Developed","Developing")</f>
        <v>Developing</v>
      </c>
      <c r="F28" s="150"/>
      <c r="G28" s="150"/>
      <c r="H28" s="150"/>
    </row>
    <row r="29" spans="1:26" x14ac:dyDescent="0.35">
      <c r="A29" s="116" t="s">
        <v>22</v>
      </c>
      <c r="B29" s="116"/>
      <c r="C29" s="116"/>
      <c r="D29" s="116"/>
      <c r="E29" s="150" t="s">
        <v>23</v>
      </c>
      <c r="F29" s="150"/>
      <c r="G29" s="150"/>
      <c r="H29" s="150"/>
    </row>
    <row r="30" spans="1:26" ht="15.75" customHeight="1" x14ac:dyDescent="0.35">
      <c r="A30" s="116" t="s">
        <v>78</v>
      </c>
      <c r="B30" s="116"/>
      <c r="C30" s="116"/>
      <c r="D30" s="116"/>
      <c r="E30" s="150" t="s">
        <v>79</v>
      </c>
      <c r="F30" s="150"/>
      <c r="G30" s="150"/>
      <c r="H30" s="150"/>
    </row>
    <row r="31" spans="1:26" ht="15" customHeight="1" x14ac:dyDescent="0.35">
      <c r="A31" s="116" t="s">
        <v>30</v>
      </c>
      <c r="B31" s="116"/>
      <c r="C31" s="116"/>
      <c r="D31" s="116"/>
      <c r="E31" s="15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50"/>
      <c r="G31" s="150"/>
      <c r="H31" s="150"/>
    </row>
    <row r="32" spans="1:26" ht="15.75" customHeight="1" x14ac:dyDescent="0.35">
      <c r="A32" s="116" t="s">
        <v>89</v>
      </c>
      <c r="B32" s="116"/>
      <c r="C32" s="116"/>
      <c r="D32" s="116"/>
      <c r="E32" s="150" t="s">
        <v>31</v>
      </c>
      <c r="F32" s="150"/>
      <c r="G32" s="150"/>
      <c r="H32" s="150"/>
    </row>
    <row r="33" spans="1:19" s="19" customFormat="1" x14ac:dyDescent="0.35">
      <c r="A33" s="183" t="s">
        <v>90</v>
      </c>
      <c r="B33" s="183"/>
      <c r="C33" s="182" t="s">
        <v>171</v>
      </c>
      <c r="D33" s="182"/>
      <c r="E33" s="182"/>
      <c r="F33" s="182" t="s">
        <v>29</v>
      </c>
      <c r="G33" s="182"/>
      <c r="H33" s="182"/>
      <c r="S33" s="19" t="e">
        <f ca="1">OFFSET($S$13,1,MATCH($G20,$S$13:$W$13,0)-1,15,1)</f>
        <v>#VALUE!</v>
      </c>
    </row>
    <row r="34" spans="1:19" s="19" customFormat="1" x14ac:dyDescent="0.35">
      <c r="A34" s="170" t="s">
        <v>24</v>
      </c>
      <c r="B34" s="170" t="s">
        <v>28</v>
      </c>
      <c r="C34" s="171" t="s">
        <v>350</v>
      </c>
      <c r="D34" s="171"/>
      <c r="E34" s="171"/>
      <c r="F34" s="171" t="s">
        <v>348</v>
      </c>
      <c r="G34" s="171"/>
      <c r="H34" s="171"/>
    </row>
    <row r="35" spans="1:19" x14ac:dyDescent="0.35">
      <c r="A35" s="170" t="s">
        <v>25</v>
      </c>
      <c r="B35" s="170" t="s">
        <v>28</v>
      </c>
      <c r="C35" s="171" t="s">
        <v>382</v>
      </c>
      <c r="D35" s="171"/>
      <c r="E35" s="171"/>
      <c r="F35" s="171" t="s">
        <v>349</v>
      </c>
      <c r="G35" s="171"/>
      <c r="H35" s="171"/>
    </row>
    <row r="36" spans="1:19" s="19" customFormat="1" x14ac:dyDescent="0.35">
      <c r="A36" s="170" t="s">
        <v>27</v>
      </c>
      <c r="B36" s="170" t="s">
        <v>28</v>
      </c>
      <c r="C36" s="171" t="s">
        <v>384</v>
      </c>
      <c r="D36" s="171"/>
      <c r="E36" s="171"/>
      <c r="F36" s="171" t="s">
        <v>346</v>
      </c>
      <c r="G36" s="171"/>
      <c r="H36" s="171"/>
    </row>
    <row r="37" spans="1:19" x14ac:dyDescent="0.35">
      <c r="A37" s="170" t="s">
        <v>26</v>
      </c>
      <c r="B37" s="170" t="s">
        <v>28</v>
      </c>
      <c r="C37" s="171" t="s">
        <v>383</v>
      </c>
      <c r="D37" s="171"/>
      <c r="E37" s="171"/>
      <c r="F37" s="171" t="s">
        <v>347</v>
      </c>
      <c r="G37" s="171"/>
      <c r="H37" s="171"/>
    </row>
    <row r="38" spans="1:19" x14ac:dyDescent="0.35">
      <c r="A38" s="116" t="s">
        <v>276</v>
      </c>
      <c r="B38" s="116"/>
      <c r="C38" s="116"/>
      <c r="D38" s="116"/>
      <c r="E38" s="116"/>
      <c r="F38" s="116"/>
      <c r="G38" s="116"/>
      <c r="H38" s="116"/>
    </row>
    <row r="39" spans="1:19" ht="15.75" customHeight="1" x14ac:dyDescent="0.35">
      <c r="A39" s="116" t="s">
        <v>163</v>
      </c>
      <c r="B39" s="116"/>
      <c r="C39" s="124" t="s">
        <v>351</v>
      </c>
      <c r="D39" s="124"/>
      <c r="E39" s="124"/>
      <c r="F39" s="124"/>
      <c r="G39" s="124"/>
      <c r="H39" s="124"/>
    </row>
    <row r="40" spans="1:19" x14ac:dyDescent="0.35">
      <c r="A40" s="116" t="s">
        <v>159</v>
      </c>
      <c r="B40" s="116"/>
      <c r="C40" s="149" t="s">
        <v>352</v>
      </c>
      <c r="D40" s="150"/>
      <c r="E40" s="150"/>
      <c r="F40" s="150"/>
      <c r="G40" s="150"/>
      <c r="H40" s="150"/>
    </row>
    <row r="41" spans="1:19" x14ac:dyDescent="0.35">
      <c r="A41" s="124" t="s">
        <v>32</v>
      </c>
      <c r="B41" s="124"/>
      <c r="C41" s="124"/>
      <c r="D41" s="124"/>
      <c r="E41" s="124"/>
      <c r="F41" s="124"/>
      <c r="G41" s="124"/>
      <c r="H41" s="124"/>
    </row>
    <row r="42" spans="1:19" x14ac:dyDescent="0.35">
      <c r="A42" s="116" t="s">
        <v>33</v>
      </c>
      <c r="B42" s="116"/>
      <c r="C42" s="116"/>
      <c r="D42" s="116"/>
      <c r="E42" s="173">
        <v>18629.150000000001</v>
      </c>
      <c r="F42" s="173"/>
      <c r="G42" s="173"/>
      <c r="H42" s="173"/>
    </row>
    <row r="43" spans="1:19" x14ac:dyDescent="0.35">
      <c r="A43" s="116" t="s">
        <v>34</v>
      </c>
      <c r="B43" s="116"/>
      <c r="C43" s="116"/>
      <c r="D43" s="116"/>
      <c r="E43" s="178">
        <f>20492.06/E42</f>
        <v>1.099999731603428</v>
      </c>
      <c r="F43" s="178"/>
      <c r="G43" s="178"/>
      <c r="H43" s="178"/>
    </row>
    <row r="44" spans="1:19" x14ac:dyDescent="0.35">
      <c r="A44" s="116" t="s">
        <v>35</v>
      </c>
      <c r="B44" s="116"/>
      <c r="C44" s="116"/>
      <c r="D44" s="116"/>
      <c r="E44" s="178">
        <f>E46/E42-E43</f>
        <v>2.4692141079974124</v>
      </c>
      <c r="F44" s="178"/>
      <c r="G44" s="178"/>
      <c r="H44" s="178"/>
    </row>
    <row r="45" spans="1:19" x14ac:dyDescent="0.35">
      <c r="A45" s="116" t="s">
        <v>36</v>
      </c>
      <c r="B45" s="116"/>
      <c r="C45" s="116"/>
      <c r="D45" s="116"/>
      <c r="E45" s="178">
        <f>E43+E44</f>
        <v>3.5692138396008404</v>
      </c>
      <c r="F45" s="178"/>
      <c r="G45" s="178"/>
      <c r="H45" s="178"/>
    </row>
    <row r="46" spans="1:19" x14ac:dyDescent="0.35">
      <c r="A46" s="116" t="s">
        <v>88</v>
      </c>
      <c r="B46" s="116"/>
      <c r="C46" s="116"/>
      <c r="D46" s="116"/>
      <c r="E46" s="179">
        <v>66491.42</v>
      </c>
      <c r="F46" s="179"/>
      <c r="G46" s="179"/>
      <c r="H46" s="179"/>
    </row>
    <row r="47" spans="1:19" x14ac:dyDescent="0.35">
      <c r="A47" s="163" t="s">
        <v>37</v>
      </c>
      <c r="B47" s="163"/>
      <c r="C47" s="163"/>
      <c r="D47" s="163"/>
      <c r="E47" s="156" t="s">
        <v>385</v>
      </c>
      <c r="F47" s="156"/>
      <c r="G47" s="156"/>
      <c r="H47" s="156"/>
    </row>
    <row r="48" spans="1:19" x14ac:dyDescent="0.35">
      <c r="A48" s="124" t="s">
        <v>38</v>
      </c>
      <c r="B48" s="124"/>
      <c r="C48" s="124"/>
      <c r="D48" s="124"/>
      <c r="E48" s="124"/>
      <c r="F48" s="124"/>
      <c r="G48" s="124"/>
      <c r="H48" s="124"/>
    </row>
    <row r="49" spans="1:24" ht="33.75" customHeight="1" x14ac:dyDescent="0.35">
      <c r="A49" s="125" t="s">
        <v>149</v>
      </c>
      <c r="B49" s="126"/>
      <c r="C49" s="127" t="s">
        <v>258</v>
      </c>
      <c r="D49" s="128"/>
      <c r="E49" s="128"/>
      <c r="F49" s="128"/>
      <c r="G49" s="128"/>
      <c r="H49" s="129"/>
      <c r="R49" t="s">
        <v>249</v>
      </c>
      <c r="S49" t="s">
        <v>170</v>
      </c>
      <c r="T49" t="s">
        <v>176</v>
      </c>
      <c r="U49" t="s">
        <v>191</v>
      </c>
      <c r="V49" t="s">
        <v>186</v>
      </c>
    </row>
    <row r="50" spans="1:24" ht="15.75" customHeight="1" x14ac:dyDescent="0.35">
      <c r="A50" s="125" t="s">
        <v>39</v>
      </c>
      <c r="B50" s="126"/>
      <c r="C50" s="125" t="s">
        <v>338</v>
      </c>
      <c r="D50" s="180"/>
      <c r="E50" s="126"/>
      <c r="F50" s="15" t="s">
        <v>40</v>
      </c>
      <c r="G50" s="205">
        <v>44743</v>
      </c>
      <c r="H50" s="126"/>
      <c r="R50"/>
      <c r="S50" t="s">
        <v>250</v>
      </c>
      <c r="T50" t="s">
        <v>255</v>
      </c>
      <c r="U50" t="s">
        <v>266</v>
      </c>
      <c r="V50" t="s">
        <v>271</v>
      </c>
    </row>
    <row r="51" spans="1:24" x14ac:dyDescent="0.35">
      <c r="A51" s="125" t="s">
        <v>41</v>
      </c>
      <c r="B51" s="126"/>
      <c r="C51" s="125" t="str">
        <f>C50</f>
        <v>KBNP/NRV/BP/6190-105</v>
      </c>
      <c r="D51" s="180"/>
      <c r="E51" s="126"/>
      <c r="F51" s="15" t="s">
        <v>40</v>
      </c>
      <c r="G51" s="205">
        <v>44743</v>
      </c>
      <c r="H51" s="126"/>
      <c r="R51"/>
      <c r="S51" t="s">
        <v>251</v>
      </c>
      <c r="T51" t="s">
        <v>256</v>
      </c>
      <c r="U51" t="s">
        <v>264</v>
      </c>
      <c r="V51" t="s">
        <v>272</v>
      </c>
    </row>
    <row r="52" spans="1:24" s="20" customFormat="1" ht="32.25" customHeight="1" x14ac:dyDescent="0.35">
      <c r="A52" s="217" t="s">
        <v>152</v>
      </c>
      <c r="B52" s="218"/>
      <c r="C52" s="125" t="s">
        <v>339</v>
      </c>
      <c r="D52" s="180"/>
      <c r="E52" s="126"/>
      <c r="F52" s="15" t="s">
        <v>40</v>
      </c>
      <c r="G52" s="205">
        <v>44743</v>
      </c>
      <c r="H52" s="126"/>
      <c r="I52" s="20" t="s">
        <v>379</v>
      </c>
      <c r="R52"/>
      <c r="S52" t="s">
        <v>252</v>
      </c>
      <c r="T52" t="s">
        <v>257</v>
      </c>
      <c r="U52" t="s">
        <v>254</v>
      </c>
      <c r="V52" t="s">
        <v>273</v>
      </c>
    </row>
    <row r="53" spans="1:24" s="20" customFormat="1" ht="47.25" customHeight="1" x14ac:dyDescent="0.35">
      <c r="A53" s="219"/>
      <c r="B53" s="220"/>
      <c r="C53" s="125" t="s">
        <v>386</v>
      </c>
      <c r="D53" s="180"/>
      <c r="E53" s="180"/>
      <c r="F53" s="180"/>
      <c r="G53" s="180"/>
      <c r="H53" s="126"/>
      <c r="R53"/>
      <c r="S53" t="s">
        <v>253</v>
      </c>
      <c r="T53" t="s">
        <v>260</v>
      </c>
      <c r="U53" t="s">
        <v>267</v>
      </c>
    </row>
    <row r="54" spans="1:24" s="20" customFormat="1" hidden="1" x14ac:dyDescent="0.35">
      <c r="A54" s="209" t="s">
        <v>277</v>
      </c>
      <c r="B54" s="210"/>
      <c r="C54" s="125" t="str">
        <f>C53</f>
        <v>Building No.1(Wing A &amp; B) = Stilt(Pt) + 1st to 16th Floors.
Building No.2( Wing A, B &amp; C) = Stilt(Pt) + 1st to 16th Floors.
(B.U.A = 66491.42sqm)</v>
      </c>
      <c r="D54" s="180"/>
      <c r="E54" s="126"/>
      <c r="F54" s="15" t="s">
        <v>40</v>
      </c>
      <c r="G54" s="125"/>
      <c r="H54" s="126"/>
      <c r="R54"/>
      <c r="S54" t="s">
        <v>252</v>
      </c>
      <c r="T54" t="s">
        <v>257</v>
      </c>
      <c r="U54" t="s">
        <v>254</v>
      </c>
      <c r="V54" t="s">
        <v>273</v>
      </c>
    </row>
    <row r="55" spans="1:24" s="20" customFormat="1" ht="32.25" hidden="1" customHeight="1" x14ac:dyDescent="0.35">
      <c r="A55" s="211"/>
      <c r="B55" s="212"/>
      <c r="C55" s="152"/>
      <c r="D55" s="153"/>
      <c r="E55" s="153"/>
      <c r="F55" s="153"/>
      <c r="G55" s="153"/>
      <c r="H55" s="154"/>
      <c r="R55"/>
      <c r="S55" t="s">
        <v>254</v>
      </c>
      <c r="T55" t="s">
        <v>258</v>
      </c>
      <c r="U55" t="s">
        <v>268</v>
      </c>
      <c r="V55" s="18"/>
      <c r="W55" s="18"/>
      <c r="X55" s="18"/>
    </row>
    <row r="56" spans="1:24" s="20" customFormat="1" x14ac:dyDescent="0.35">
      <c r="A56" s="213" t="s">
        <v>278</v>
      </c>
      <c r="B56" s="214"/>
      <c r="C56" s="125" t="s">
        <v>401</v>
      </c>
      <c r="D56" s="180"/>
      <c r="E56" s="126"/>
      <c r="F56" s="15" t="s">
        <v>40</v>
      </c>
      <c r="G56" s="205">
        <v>44980</v>
      </c>
      <c r="H56" s="126"/>
      <c r="R56"/>
      <c r="S56" s="18"/>
      <c r="T56" t="s">
        <v>259</v>
      </c>
      <c r="U56" t="s">
        <v>269</v>
      </c>
      <c r="V56" s="18"/>
      <c r="W56" s="18"/>
      <c r="X56" s="18"/>
    </row>
    <row r="57" spans="1:24" s="20" customFormat="1" ht="63.75" customHeight="1" x14ac:dyDescent="0.35">
      <c r="A57" s="215"/>
      <c r="B57" s="216"/>
      <c r="C57" s="125" t="s">
        <v>402</v>
      </c>
      <c r="D57" s="180"/>
      <c r="E57" s="180"/>
      <c r="F57" s="180"/>
      <c r="G57" s="180"/>
      <c r="H57" s="126"/>
      <c r="R57"/>
      <c r="S57" s="18"/>
      <c r="T57" t="s">
        <v>261</v>
      </c>
      <c r="U57" t="s">
        <v>270</v>
      </c>
      <c r="V57" s="18"/>
      <c r="W57" s="18"/>
      <c r="X57" s="18"/>
    </row>
    <row r="58" spans="1:24" s="20" customFormat="1" ht="15.75" hidden="1" customHeight="1" x14ac:dyDescent="0.35">
      <c r="A58" s="209" t="s">
        <v>279</v>
      </c>
      <c r="B58" s="210"/>
      <c r="C58" s="125" t="str">
        <f>C57</f>
        <v>Gut. No. 31, 32/1/1, 32/1/2, 32/2 &amp; 221
Proposed Builtup Area = 78230.57 Sq.M
Bldg 1 (Wing A &amp; B) = Gr/St (Pt) + 1st to 16th Floor (49.95m Height)
Bldg 2 (Wing A, B &amp; C) = Stilt + 1st to 16th Floor (49.95m Height)</v>
      </c>
      <c r="D58" s="180"/>
      <c r="E58" s="126"/>
      <c r="F58" s="15" t="s">
        <v>40</v>
      </c>
      <c r="G58" s="125">
        <f>G57</f>
        <v>0</v>
      </c>
      <c r="H58" s="126"/>
      <c r="R58"/>
      <c r="S58" s="18"/>
      <c r="T58" t="s">
        <v>262</v>
      </c>
      <c r="U58" s="18" t="s">
        <v>293</v>
      </c>
      <c r="V58" s="18"/>
      <c r="W58" s="18"/>
      <c r="X58" s="18"/>
    </row>
    <row r="59" spans="1:24" s="20" customFormat="1" ht="33.75" hidden="1" customHeight="1" x14ac:dyDescent="0.35">
      <c r="A59" s="211"/>
      <c r="B59" s="212"/>
      <c r="C59" s="125"/>
      <c r="D59" s="180"/>
      <c r="E59" s="180"/>
      <c r="F59" s="180"/>
      <c r="G59" s="180"/>
      <c r="H59" s="126"/>
      <c r="R59"/>
      <c r="S59" s="18"/>
      <c r="T59" t="s">
        <v>263</v>
      </c>
      <c r="U59" s="18"/>
      <c r="V59" s="18"/>
      <c r="W59" s="18"/>
      <c r="X59" s="18"/>
    </row>
    <row r="60" spans="1:24" x14ac:dyDescent="0.35">
      <c r="A60" s="224" t="s">
        <v>42</v>
      </c>
      <c r="B60" s="225"/>
      <c r="C60" s="224" t="s">
        <v>102</v>
      </c>
      <c r="D60" s="226"/>
      <c r="E60" s="225"/>
      <c r="F60" s="40" t="s">
        <v>40</v>
      </c>
      <c r="G60" s="207" t="s">
        <v>28</v>
      </c>
      <c r="H60" s="208"/>
      <c r="R60"/>
      <c r="T60" t="s">
        <v>265</v>
      </c>
    </row>
    <row r="61" spans="1:24" x14ac:dyDescent="0.35">
      <c r="A61" s="192" t="s">
        <v>44</v>
      </c>
      <c r="B61" s="192"/>
      <c r="C61" s="192"/>
      <c r="D61" s="192"/>
      <c r="E61" s="192"/>
      <c r="F61" s="192"/>
      <c r="G61" s="192"/>
      <c r="H61" s="192"/>
      <c r="T61" t="s">
        <v>274</v>
      </c>
    </row>
    <row r="62" spans="1:24" ht="49.5" customHeight="1" x14ac:dyDescent="0.35">
      <c r="A62" s="206" t="s">
        <v>399</v>
      </c>
      <c r="B62" s="206"/>
      <c r="C62" s="206"/>
      <c r="D62" s="142">
        <f>17794.71+25866.35</f>
        <v>43661.06</v>
      </c>
      <c r="E62" s="142"/>
      <c r="F62" s="142"/>
      <c r="G62" s="142"/>
      <c r="H62" s="142"/>
      <c r="R62"/>
    </row>
    <row r="63" spans="1:24" x14ac:dyDescent="0.35">
      <c r="A63" s="150" t="s">
        <v>45</v>
      </c>
      <c r="B63" s="163"/>
      <c r="C63" s="163"/>
      <c r="D63" s="156" t="s">
        <v>377</v>
      </c>
      <c r="E63" s="156"/>
      <c r="F63" s="156"/>
      <c r="G63" s="156"/>
      <c r="H63" s="156"/>
      <c r="I63" s="21"/>
      <c r="R63"/>
    </row>
    <row r="64" spans="1:24" ht="32.25" customHeight="1" x14ac:dyDescent="0.35">
      <c r="A64" s="166" t="s">
        <v>46</v>
      </c>
      <c r="B64" s="167"/>
      <c r="C64" s="168"/>
      <c r="D64" s="164" t="s">
        <v>340</v>
      </c>
      <c r="E64" s="165"/>
      <c r="F64" s="165"/>
      <c r="G64" s="165"/>
      <c r="H64" s="165"/>
      <c r="R64"/>
    </row>
    <row r="65" spans="1:19" ht="15.75" customHeight="1" x14ac:dyDescent="0.35">
      <c r="A65" s="150" t="s">
        <v>86</v>
      </c>
      <c r="B65" s="150"/>
      <c r="C65" s="150"/>
      <c r="D65" s="156" t="s">
        <v>397</v>
      </c>
      <c r="E65" s="156"/>
      <c r="F65" s="156"/>
      <c r="G65" s="156"/>
      <c r="H65" s="156"/>
      <c r="R65"/>
    </row>
    <row r="66" spans="1:19" ht="15.75" hidden="1" customHeight="1" x14ac:dyDescent="0.35">
      <c r="A66" s="150"/>
      <c r="B66" s="150"/>
      <c r="C66" s="150"/>
      <c r="D66" s="156" t="s">
        <v>341</v>
      </c>
      <c r="E66" s="156"/>
      <c r="F66" s="156"/>
      <c r="G66" s="156"/>
      <c r="H66" s="156"/>
      <c r="R66"/>
    </row>
    <row r="67" spans="1:19" ht="15.75" customHeight="1" x14ac:dyDescent="0.35">
      <c r="A67" s="150"/>
      <c r="B67" s="150"/>
      <c r="C67" s="150"/>
      <c r="D67" s="156" t="s">
        <v>342</v>
      </c>
      <c r="E67" s="156"/>
      <c r="F67" s="156"/>
      <c r="G67" s="156"/>
      <c r="H67" s="156"/>
      <c r="S67"/>
    </row>
    <row r="68" spans="1:19" ht="15.75" customHeight="1" x14ac:dyDescent="0.35">
      <c r="A68" s="150"/>
      <c r="B68" s="150"/>
      <c r="C68" s="150"/>
      <c r="D68" s="156" t="s">
        <v>343</v>
      </c>
      <c r="E68" s="156"/>
      <c r="F68" s="156"/>
      <c r="G68" s="156"/>
      <c r="H68" s="156"/>
      <c r="S68"/>
    </row>
    <row r="69" spans="1:19" ht="15.75" customHeight="1" x14ac:dyDescent="0.35">
      <c r="A69" s="150"/>
      <c r="B69" s="150"/>
      <c r="C69" s="150"/>
      <c r="D69" s="156" t="s">
        <v>344</v>
      </c>
      <c r="E69" s="156"/>
      <c r="F69" s="156"/>
      <c r="G69" s="156"/>
      <c r="H69" s="156"/>
      <c r="S69"/>
    </row>
    <row r="70" spans="1:19" ht="15.75" customHeight="1" x14ac:dyDescent="0.35">
      <c r="A70" s="116" t="s">
        <v>43</v>
      </c>
      <c r="B70" s="116"/>
      <c r="C70" s="116"/>
      <c r="D70" s="155" t="s">
        <v>345</v>
      </c>
      <c r="E70" s="155"/>
      <c r="F70" s="155"/>
      <c r="G70" s="155"/>
      <c r="H70" s="155"/>
      <c r="J70" s="22"/>
      <c r="K70" s="21"/>
      <c r="N70" s="21"/>
      <c r="S70"/>
    </row>
    <row r="71" spans="1:19" ht="15.75" customHeight="1" x14ac:dyDescent="0.35">
      <c r="A71" s="116" t="s">
        <v>84</v>
      </c>
      <c r="B71" s="116"/>
      <c r="C71" s="116"/>
      <c r="D71" s="177" t="str">
        <f>(IF(G60="NA","60 Years After Completion",IF(G60&lt;&gt;"NA",""&amp;60-ROUNDDOWN((E3-G60)/360,0)&amp;" Years"," ")))</f>
        <v>60 Years After Completion</v>
      </c>
      <c r="E71" s="177"/>
      <c r="F71" s="177"/>
      <c r="G71" s="177"/>
      <c r="H71" s="177"/>
      <c r="N71" s="21"/>
      <c r="S71"/>
    </row>
    <row r="72" spans="1:19" ht="15.75" customHeight="1" x14ac:dyDescent="0.35">
      <c r="A72" s="116" t="s">
        <v>85</v>
      </c>
      <c r="B72" s="116"/>
      <c r="C72" s="116"/>
      <c r="D72" s="155" t="s">
        <v>23</v>
      </c>
      <c r="E72" s="155"/>
      <c r="F72" s="155"/>
      <c r="G72" s="155"/>
      <c r="H72" s="155"/>
      <c r="J72" s="23"/>
      <c r="K72" s="23"/>
      <c r="S72"/>
    </row>
    <row r="73" spans="1:19" ht="16.5" customHeight="1" x14ac:dyDescent="0.35">
      <c r="A73" s="156" t="s">
        <v>388</v>
      </c>
      <c r="B73" s="156"/>
      <c r="C73" s="156"/>
      <c r="D73" s="157" t="s">
        <v>387</v>
      </c>
      <c r="E73" s="157"/>
      <c r="F73" s="157"/>
      <c r="G73" s="157"/>
      <c r="H73" s="157"/>
      <c r="I73" s="18" t="s">
        <v>375</v>
      </c>
      <c r="K73" s="78" t="s">
        <v>376</v>
      </c>
      <c r="S73"/>
    </row>
    <row r="74" spans="1:19" x14ac:dyDescent="0.35">
      <c r="A74" s="155" t="s">
        <v>145</v>
      </c>
      <c r="B74" s="155"/>
      <c r="C74" s="155"/>
      <c r="D74" s="155" t="s">
        <v>28</v>
      </c>
      <c r="E74" s="155"/>
      <c r="F74" s="155"/>
      <c r="G74" s="155"/>
      <c r="H74" s="155"/>
      <c r="I74" s="24"/>
      <c r="J74" s="24"/>
      <c r="K74" s="24"/>
      <c r="L74" s="24"/>
      <c r="M74" s="24"/>
      <c r="N74" s="24"/>
    </row>
    <row r="75" spans="1:19" ht="15.75" customHeight="1" x14ac:dyDescent="0.35">
      <c r="A75" s="116" t="s">
        <v>83</v>
      </c>
      <c r="B75" s="116"/>
      <c r="C75" s="116"/>
      <c r="D75" s="150" t="str">
        <f ca="1">(IF(G81&gt;95%,"Nothing",IF(G81&gt;0%,"Cement, Aggregate, Steel, etc",IF(G81=0%,"Work not yet Started"))))</f>
        <v>Cement, Aggregate, Steel, etc</v>
      </c>
      <c r="E75" s="150"/>
      <c r="F75" s="150"/>
      <c r="G75" s="150"/>
      <c r="H75" s="150"/>
      <c r="J75" s="23"/>
      <c r="S75"/>
    </row>
    <row r="76" spans="1:19" ht="33.75" customHeight="1" thickBot="1" x14ac:dyDescent="0.4">
      <c r="A76" s="155" t="s">
        <v>115</v>
      </c>
      <c r="B76" s="155"/>
      <c r="C76" s="155"/>
      <c r="D76" s="150" t="str">
        <f ca="1">(IF(D75="Nothing","Yes",IF(D75="Cement, Aggregate, Steel, etc","Under Construction",IF(D75="Work not yet Started","Work not yet Started"))))</f>
        <v>Under Construction</v>
      </c>
      <c r="E76" s="150"/>
      <c r="F76" s="150" t="str">
        <f ca="1">(IF(D75="Nothing","Yes",IF(D75="Cement, Aggregate, Steel, etc","Under Construction",IF(D75="Work not yet Started","Work not yet Started"))))</f>
        <v>Under Construction</v>
      </c>
      <c r="G76" s="150"/>
      <c r="H76" s="150"/>
      <c r="S76"/>
    </row>
    <row r="77" spans="1:19" ht="15.75" customHeight="1" x14ac:dyDescent="0.35">
      <c r="A77" s="115" t="s">
        <v>135</v>
      </c>
      <c r="B77" s="115"/>
      <c r="C77" s="115" t="s">
        <v>423</v>
      </c>
      <c r="D77" s="115"/>
      <c r="E77" s="115"/>
      <c r="F77" s="115"/>
      <c r="G77" s="115"/>
      <c r="H77" s="115"/>
      <c r="I77" s="99" t="str">
        <f ca="1">IF(D90=100%,"All work Completed. Possession granted to the Building.",IF(D89=100%,"All work Completed, Waiting for OC",I78&amp;""&amp;I79&amp;""&amp;J78&amp;""&amp;J77&amp;" "&amp;J79))</f>
        <v>Excavation, Plinth Completed, RCC upto 3 Slab Completed</v>
      </c>
      <c r="J77" s="42"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3 Slab</v>
      </c>
      <c r="S77"/>
    </row>
    <row r="78" spans="1:19" x14ac:dyDescent="0.35">
      <c r="A78" s="90" t="s">
        <v>137</v>
      </c>
      <c r="B78" s="90">
        <f>IF(AND(ISNUMBER(SEARCH("1B",C77))),1,IF(AND(ISNUMBER(SEARCH("2B",C77))),2,IF(AND(ISNUMBER(SEARCH("3B",C77))),3,IF(AND(ISNUMBER(SEARCH("4B",C77))),4,IF(ISNUMBER(SEARCH("5B",C77)),5,0)))))</f>
        <v>0</v>
      </c>
      <c r="C78" s="90" t="s">
        <v>69</v>
      </c>
      <c r="D78" s="90">
        <v>1</v>
      </c>
      <c r="E78" s="90" t="s">
        <v>68</v>
      </c>
      <c r="F78" s="90">
        <v>0</v>
      </c>
      <c r="G78" s="90" t="s">
        <v>77</v>
      </c>
      <c r="H78" s="90">
        <f ca="1">--TRIM(RIGHT(SUBSTITUTE(LEFT(C77,_xlfn.AGGREGATE(16,6,FIND({0,1,2,3,4,5,6,7,8,9},C77,ROW(INDIRECT("1:"&amp;LEN(C77)))),1))," ",REPT(" ",LEN(C77))),LEN(C77)))</f>
        <v>16</v>
      </c>
      <c r="I78" s="100" t="str">
        <f ca="1">IF(D81=100%,"Excavation","")&amp;IF(D82=100%,", Plinth","")&amp;IF(D83=100%,", RCC Slab","")&amp;IF(D84=100%,", Brickwork","")&amp;IF(D85=100%,", Internal Plaster","")&amp;IF(D86=100%,", External Plaster","")&amp;IF(D87=100%,", Flooring","")&amp;IF(D88=100%,", Painting","")&amp;IF(D89=100%,", Building common Amenities","")</f>
        <v>Excavation, Plinth</v>
      </c>
      <c r="J78" s="44"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x14ac:dyDescent="0.35">
      <c r="A79" s="144" t="s">
        <v>87</v>
      </c>
      <c r="B79" s="144"/>
      <c r="C79" s="115" t="str">
        <f ca="1">I77</f>
        <v>Excavation, Plinth Completed, RCC upto 3 Slab Completed</v>
      </c>
      <c r="D79" s="115"/>
      <c r="E79" s="115"/>
      <c r="F79" s="115"/>
      <c r="G79" s="115"/>
      <c r="H79" s="115"/>
      <c r="I79" s="100" t="str">
        <f ca="1">IF(I78&lt;&gt;""," Completed","")</f>
        <v xml:space="preserve"> Completed</v>
      </c>
      <c r="J79" s="44" t="str">
        <f ca="1">IF(J77&lt;&gt;"","Completed","")</f>
        <v>Completed</v>
      </c>
      <c r="S79"/>
    </row>
    <row r="80" spans="1:19" ht="15.75" customHeight="1" x14ac:dyDescent="0.35">
      <c r="A80" s="114" t="s">
        <v>47</v>
      </c>
      <c r="B80" s="114"/>
      <c r="C80" s="97" t="s">
        <v>134</v>
      </c>
      <c r="D80" s="97" t="s">
        <v>80</v>
      </c>
      <c r="E80" s="114" t="s">
        <v>82</v>
      </c>
      <c r="F80" s="114"/>
      <c r="G80" s="114" t="s">
        <v>81</v>
      </c>
      <c r="H80" s="114"/>
      <c r="I80" s="13" t="s">
        <v>136</v>
      </c>
      <c r="J80" s="25">
        <f ca="1">H78*25%</f>
        <v>4</v>
      </c>
      <c r="S80"/>
    </row>
    <row r="81" spans="1:19" x14ac:dyDescent="0.35">
      <c r="A81" s="139" t="s">
        <v>123</v>
      </c>
      <c r="B81" s="114"/>
      <c r="C81" s="81">
        <f ca="1">J82</f>
        <v>16</v>
      </c>
      <c r="D81" s="16">
        <f ca="1">((100/H78)*C81)/100</f>
        <v>1</v>
      </c>
      <c r="E81" s="133">
        <f ca="1">(((C82/H78*10)+(40/(D78+F78+H78)*C83)+(7.5/(H78)*C84)+(7.5/(H78)*C85)+(10/H78*C86)+(10/H78*C87)+(5/H78*C88)+(5/H78*C89)+(5/H78*C90))/100)</f>
        <v>0.17058823529411765</v>
      </c>
      <c r="F81" s="174"/>
      <c r="G81" s="133">
        <f ca="1">((((C81/H78)*20)+((C82/H78)*25)+(30/(H78+F78+D78)*C83)+(5/H78*C84)+(5/H78*C85)+(5/H78*C86)+(5/H78*C87)+(0/H78*C88)+(0/H78*C89)+(5/H78*C90))/100)</f>
        <v>0.50294117647058822</v>
      </c>
      <c r="H81" s="134"/>
      <c r="I81" s="13" t="s">
        <v>97</v>
      </c>
      <c r="J81" s="26">
        <f ca="1">H78*50%</f>
        <v>8</v>
      </c>
    </row>
    <row r="82" spans="1:19" x14ac:dyDescent="0.35">
      <c r="A82" s="139" t="s">
        <v>48</v>
      </c>
      <c r="B82" s="114"/>
      <c r="C82" s="73">
        <f ca="1">J90</f>
        <v>16</v>
      </c>
      <c r="D82" s="16">
        <f ca="1">((100/H78)*C82)/100</f>
        <v>1</v>
      </c>
      <c r="E82" s="135"/>
      <c r="F82" s="175"/>
      <c r="G82" s="135"/>
      <c r="H82" s="136"/>
      <c r="I82" s="13" t="s">
        <v>98</v>
      </c>
      <c r="J82" s="26">
        <f ca="1">H78</f>
        <v>16</v>
      </c>
      <c r="S82"/>
    </row>
    <row r="83" spans="1:19" ht="15.75" customHeight="1" x14ac:dyDescent="0.35">
      <c r="A83" s="139" t="s">
        <v>124</v>
      </c>
      <c r="B83" s="114"/>
      <c r="C83" s="81">
        <v>3</v>
      </c>
      <c r="D83" s="16">
        <f ca="1">((100/(D78+F78+H78))*C83)/100</f>
        <v>0.17647058823529413</v>
      </c>
      <c r="E83" s="135"/>
      <c r="F83" s="175"/>
      <c r="G83" s="135"/>
      <c r="H83" s="136"/>
      <c r="I83" s="13" t="s">
        <v>99</v>
      </c>
      <c r="J83" s="27">
        <f ca="1">(IF(B78&gt;1,(H78/(B78+2)),H78/4))</f>
        <v>4</v>
      </c>
      <c r="S83"/>
    </row>
    <row r="84" spans="1:19" ht="15.75" customHeight="1" x14ac:dyDescent="0.35">
      <c r="A84" s="139" t="s">
        <v>131</v>
      </c>
      <c r="B84" s="114" t="s">
        <v>125</v>
      </c>
      <c r="C84" s="81">
        <v>0</v>
      </c>
      <c r="D84" s="16">
        <f ca="1">((100/H78)*C84)/100</f>
        <v>0</v>
      </c>
      <c r="E84" s="135"/>
      <c r="F84" s="175"/>
      <c r="G84" s="135"/>
      <c r="H84" s="136"/>
      <c r="I84" s="13" t="s">
        <v>100</v>
      </c>
      <c r="J84" s="27">
        <f ca="1">(IF(B78&gt;1,(H78/(B78+2)+J83),H78/4+J83))</f>
        <v>8</v>
      </c>
    </row>
    <row r="85" spans="1:19" ht="15.75" customHeight="1" x14ac:dyDescent="0.35">
      <c r="A85" s="139" t="s">
        <v>132</v>
      </c>
      <c r="B85" s="114" t="s">
        <v>125</v>
      </c>
      <c r="C85" s="81">
        <v>0</v>
      </c>
      <c r="D85" s="16">
        <f ca="1">((100/H78)*C85)/100</f>
        <v>0</v>
      </c>
      <c r="E85" s="135"/>
      <c r="F85" s="175"/>
      <c r="G85" s="135"/>
      <c r="H85" s="136"/>
      <c r="I85" s="13" t="s">
        <v>143</v>
      </c>
      <c r="J85" s="27">
        <f>(IF(B78&gt;1,(H78/(B78+2)+J84),0))</f>
        <v>0</v>
      </c>
    </row>
    <row r="86" spans="1:19" ht="15" customHeight="1" x14ac:dyDescent="0.35">
      <c r="A86" s="139" t="s">
        <v>130</v>
      </c>
      <c r="B86" s="114" t="s">
        <v>127</v>
      </c>
      <c r="C86" s="81">
        <v>0</v>
      </c>
      <c r="D86" s="16">
        <f ca="1">((100/(H78))*C86)/100</f>
        <v>0</v>
      </c>
      <c r="E86" s="135"/>
      <c r="F86" s="175"/>
      <c r="G86" s="135"/>
      <c r="H86" s="136"/>
      <c r="I86" s="13" t="s">
        <v>138</v>
      </c>
      <c r="J86" s="27">
        <f>(IF(B78&gt;2,(H78/(B78+2)+J85),0))</f>
        <v>0</v>
      </c>
    </row>
    <row r="87" spans="1:19" ht="15.75" customHeight="1" x14ac:dyDescent="0.35">
      <c r="A87" s="139" t="s">
        <v>126</v>
      </c>
      <c r="B87" s="114" t="s">
        <v>126</v>
      </c>
      <c r="C87" s="81">
        <v>0</v>
      </c>
      <c r="D87" s="16">
        <f ca="1">((100/H78)*C87)/100</f>
        <v>0</v>
      </c>
      <c r="E87" s="135"/>
      <c r="F87" s="175"/>
      <c r="G87" s="135"/>
      <c r="H87" s="136"/>
      <c r="I87" s="13" t="s">
        <v>139</v>
      </c>
      <c r="J87" s="28">
        <f>(IF(B78&gt;3,(H78/(B78+2)+J86),0))</f>
        <v>0</v>
      </c>
    </row>
    <row r="88" spans="1:19" ht="15.75" customHeight="1" x14ac:dyDescent="0.35">
      <c r="A88" s="139" t="s">
        <v>133</v>
      </c>
      <c r="B88" s="114"/>
      <c r="C88" s="81">
        <v>0</v>
      </c>
      <c r="D88" s="16">
        <f ca="1">((100/H78)*C88)/100</f>
        <v>0</v>
      </c>
      <c r="E88" s="135"/>
      <c r="F88" s="175"/>
      <c r="G88" s="135"/>
      <c r="H88" s="136"/>
      <c r="I88" s="13" t="s">
        <v>140</v>
      </c>
      <c r="J88" s="27">
        <f>(IF(B78&gt;4,(H78/(B78+2)+J87),0))</f>
        <v>0</v>
      </c>
    </row>
    <row r="89" spans="1:19" ht="15.75" customHeight="1" x14ac:dyDescent="0.35">
      <c r="A89" s="139" t="s">
        <v>128</v>
      </c>
      <c r="B89" s="114" t="s">
        <v>128</v>
      </c>
      <c r="C89" s="81">
        <v>0</v>
      </c>
      <c r="D89" s="16">
        <f ca="1">((100/(H78))*C89)/100</f>
        <v>0</v>
      </c>
      <c r="E89" s="135"/>
      <c r="F89" s="175"/>
      <c r="G89" s="135"/>
      <c r="H89" s="136"/>
      <c r="I89" s="13" t="s">
        <v>144</v>
      </c>
      <c r="J89" s="27">
        <f ca="1">(IF(B78=1,(H78/(B78+3)+J84),IF(B78=0,(H78/4+J84),IF(B78&gt;1,0))))</f>
        <v>12</v>
      </c>
    </row>
    <row r="90" spans="1:19" ht="16" thickBot="1" x14ac:dyDescent="0.4">
      <c r="A90" s="112" t="s">
        <v>129</v>
      </c>
      <c r="B90" s="113"/>
      <c r="C90" s="82">
        <v>0</v>
      </c>
      <c r="D90" s="17">
        <f ca="1">((100/(H78))*C90)/100</f>
        <v>0</v>
      </c>
      <c r="E90" s="137"/>
      <c r="F90" s="176"/>
      <c r="G90" s="137"/>
      <c r="H90" s="138"/>
      <c r="I90" s="14" t="s">
        <v>101</v>
      </c>
      <c r="J90" s="29">
        <f ca="1">(IF(B78&gt;1.5,(H78/(B78+2)+J84+MAX(0,J85-J84)+MAX(0,J86-J85)+MAX(0,J87-J86)+MAX(0,J88-J87)+MAX(0,J89-J88)),IF(B78=1,(H78/(B78+3)+J89),IF(B78=0,H78/4+J89))))</f>
        <v>16</v>
      </c>
    </row>
    <row r="91" spans="1:19" ht="15.75" customHeight="1" x14ac:dyDescent="0.35">
      <c r="A91" s="158" t="s">
        <v>135</v>
      </c>
      <c r="B91" s="159"/>
      <c r="C91" s="160" t="str">
        <f>D66</f>
        <v>Building No.1(Wing B) = Stilt(Pt) + 1st to 16th Floors.</v>
      </c>
      <c r="D91" s="161"/>
      <c r="E91" s="161"/>
      <c r="F91" s="161"/>
      <c r="G91" s="161"/>
      <c r="H91" s="162"/>
      <c r="I91" s="41" t="str">
        <f ca="1">IF(D104=100%,"All work Completed. Possession granted to the Building.",IF(D103=100%,"All work Completed, Waiting for OC",I92&amp;""&amp;I93&amp;""&amp;J92&amp;""&amp;J91&amp;" "&amp;J93))</f>
        <v xml:space="preserve">Excavation, Plinth Completed </v>
      </c>
      <c r="J91" s="42"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row>
    <row r="92" spans="1:19" x14ac:dyDescent="0.35">
      <c r="A92" s="89" t="s">
        <v>137</v>
      </c>
      <c r="B92" s="90">
        <f>IF(AND(ISNUMBER(SEARCH("1B",C91))),1,IF(AND(ISNUMBER(SEARCH("2B",C91))),2,IF(AND(ISNUMBER(SEARCH("3B",C91))),3,IF(AND(ISNUMBER(SEARCH("4B",C91))),4,IF(ISNUMBER(SEARCH("5B",C91)),5,0)))))</f>
        <v>0</v>
      </c>
      <c r="C92" s="90" t="s">
        <v>69</v>
      </c>
      <c r="D92" s="90">
        <v>1</v>
      </c>
      <c r="E92" s="90" t="s">
        <v>68</v>
      </c>
      <c r="F92" s="90">
        <v>0</v>
      </c>
      <c r="G92" s="90" t="s">
        <v>77</v>
      </c>
      <c r="H92" s="91">
        <f ca="1">--TRIM(RIGHT(SUBSTITUTE(LEFT(C91,_xlfn.AGGREGATE(16,6,FIND({0,1,2,3,4,5,6,7,8,9},C91,ROW(INDIRECT("1:"&amp;LEN(C91)))),1))," ",REPT(" ",LEN(C91))),LEN(C91)))</f>
        <v>16</v>
      </c>
      <c r="I92" s="43" t="str">
        <f ca="1">IF(D95=100%,"Excavation","")&amp;IF(D96=100%,", Plinth","")&amp;IF(D97=100%,", RCC Slab","")&amp;IF(D98=100%,", Brickwork","")&amp;IF(D99=100%,", Internal Plaster","")&amp;IF(D100=100%,", External Plaster","")&amp;IF(D101=100%,", Flooring","")&amp;IF(D102=100%,", Painting","")&amp;IF(D103=100%,", Building common Amenities","")</f>
        <v>Excavation, Plinth</v>
      </c>
      <c r="J92" s="44"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row>
    <row r="93" spans="1:19" x14ac:dyDescent="0.35">
      <c r="A93" s="181" t="s">
        <v>87</v>
      </c>
      <c r="B93" s="144"/>
      <c r="C93" s="115" t="str">
        <f ca="1">(IF($G$60="NA",I91,"All work Completed. OC Received."))</f>
        <v xml:space="preserve">Excavation, Plinth Completed </v>
      </c>
      <c r="D93" s="115"/>
      <c r="E93" s="115"/>
      <c r="F93" s="115"/>
      <c r="G93" s="115"/>
      <c r="H93" s="169"/>
      <c r="I93" s="43" t="str">
        <f ca="1">IF(I92&lt;&gt;""," Completed","")</f>
        <v xml:space="preserve"> Completed</v>
      </c>
      <c r="J93" s="44" t="str">
        <f ca="1">IF(J91&lt;&gt;"","Completed","")</f>
        <v/>
      </c>
    </row>
    <row r="94" spans="1:19" ht="15.75" customHeight="1" x14ac:dyDescent="0.35">
      <c r="A94" s="139" t="s">
        <v>47</v>
      </c>
      <c r="B94" s="114"/>
      <c r="C94" s="84" t="s">
        <v>134</v>
      </c>
      <c r="D94" s="84" t="s">
        <v>80</v>
      </c>
      <c r="E94" s="114" t="s">
        <v>82</v>
      </c>
      <c r="F94" s="114"/>
      <c r="G94" s="114" t="s">
        <v>81</v>
      </c>
      <c r="H94" s="232"/>
      <c r="I94" s="13" t="s">
        <v>136</v>
      </c>
      <c r="J94" s="25">
        <f ca="1">H92*25%</f>
        <v>4</v>
      </c>
    </row>
    <row r="95" spans="1:19" x14ac:dyDescent="0.35">
      <c r="A95" s="139" t="s">
        <v>123</v>
      </c>
      <c r="B95" s="114"/>
      <c r="C95" s="84">
        <f ca="1">J96</f>
        <v>16</v>
      </c>
      <c r="D95" s="16">
        <f ca="1">((100/H92)*C95)/100</f>
        <v>1</v>
      </c>
      <c r="E95" s="133">
        <f ca="1">(((C96/H92*10)+(40/(D92+F92+H92)*C97)+(7.5/(H92)*C98)+(7.5/(H92)*C99)+(10/H92*C100)+(10/H92*C101)+(5/H92*C102)+(5/H92*C103)+(5/H92*C104))/100)</f>
        <v>0.1</v>
      </c>
      <c r="F95" s="174"/>
      <c r="G95" s="133">
        <f ca="1">((((C95/H92)*20)+((C96/H92)*25)+(30/(H92+F92+D92)*C97)+(5/H92*C98)+(5/H92*C99)+(5/H92*C100)+(5/H92*C101)+(0/H92*C102)+(0/H92*C103)+(5/H92*C104))/100)</f>
        <v>0.45</v>
      </c>
      <c r="H95" s="134"/>
      <c r="I95" s="13" t="s">
        <v>97</v>
      </c>
      <c r="J95" s="26">
        <f ca="1">H92*50%</f>
        <v>8</v>
      </c>
    </row>
    <row r="96" spans="1:19" x14ac:dyDescent="0.35">
      <c r="A96" s="139" t="s">
        <v>48</v>
      </c>
      <c r="B96" s="114"/>
      <c r="C96" s="73">
        <f ca="1">J104</f>
        <v>16</v>
      </c>
      <c r="D96" s="16">
        <f ca="1">((100/H92)*C96)/100</f>
        <v>1</v>
      </c>
      <c r="E96" s="135"/>
      <c r="F96" s="175"/>
      <c r="G96" s="135"/>
      <c r="H96" s="136"/>
      <c r="I96" s="13" t="s">
        <v>98</v>
      </c>
      <c r="J96" s="26">
        <f ca="1">H92</f>
        <v>16</v>
      </c>
    </row>
    <row r="97" spans="1:10" ht="15.75" customHeight="1" x14ac:dyDescent="0.35">
      <c r="A97" s="139" t="s">
        <v>124</v>
      </c>
      <c r="B97" s="114"/>
      <c r="C97" s="84">
        <v>0</v>
      </c>
      <c r="D97" s="16">
        <f ca="1">((100/(D92+F92+H92))*C97)/100</f>
        <v>0</v>
      </c>
      <c r="E97" s="135"/>
      <c r="F97" s="175"/>
      <c r="G97" s="135"/>
      <c r="H97" s="136"/>
      <c r="I97" s="13" t="s">
        <v>99</v>
      </c>
      <c r="J97" s="27">
        <f ca="1">(IF(B92&gt;1,(H92/(B92+2)),H92/4))</f>
        <v>4</v>
      </c>
    </row>
    <row r="98" spans="1:10" ht="15.75" customHeight="1" x14ac:dyDescent="0.35">
      <c r="A98" s="139" t="s">
        <v>131</v>
      </c>
      <c r="B98" s="114" t="s">
        <v>125</v>
      </c>
      <c r="C98" s="84">
        <v>0</v>
      </c>
      <c r="D98" s="16">
        <f ca="1">((100/H92)*C98)/100</f>
        <v>0</v>
      </c>
      <c r="E98" s="135"/>
      <c r="F98" s="175"/>
      <c r="G98" s="135"/>
      <c r="H98" s="136"/>
      <c r="I98" s="13" t="s">
        <v>100</v>
      </c>
      <c r="J98" s="27">
        <f ca="1">(IF(B92&gt;1,(H92/(B92+2)+J97),H92/4+J97))</f>
        <v>8</v>
      </c>
    </row>
    <row r="99" spans="1:10" ht="15.75" customHeight="1" x14ac:dyDescent="0.35">
      <c r="A99" s="139" t="s">
        <v>132</v>
      </c>
      <c r="B99" s="114" t="s">
        <v>125</v>
      </c>
      <c r="C99" s="84">
        <v>0</v>
      </c>
      <c r="D99" s="16">
        <f ca="1">((100/H92)*C99)/100</f>
        <v>0</v>
      </c>
      <c r="E99" s="135"/>
      <c r="F99" s="175"/>
      <c r="G99" s="135"/>
      <c r="H99" s="136"/>
      <c r="I99" s="13" t="s">
        <v>143</v>
      </c>
      <c r="J99" s="27">
        <f>(IF(B92&gt;1,(H92/(B92+2)+J98),0))</f>
        <v>0</v>
      </c>
    </row>
    <row r="100" spans="1:10" ht="15" customHeight="1" x14ac:dyDescent="0.35">
      <c r="A100" s="139" t="s">
        <v>130</v>
      </c>
      <c r="B100" s="114" t="s">
        <v>127</v>
      </c>
      <c r="C100" s="84">
        <v>0</v>
      </c>
      <c r="D100" s="16">
        <f ca="1">((100/(H92))*C100)/100</f>
        <v>0</v>
      </c>
      <c r="E100" s="135"/>
      <c r="F100" s="175"/>
      <c r="G100" s="135"/>
      <c r="H100" s="136"/>
      <c r="I100" s="13" t="s">
        <v>138</v>
      </c>
      <c r="J100" s="27">
        <f>(IF(B92&gt;2,(H92/(B92+2)+J99),0))</f>
        <v>0</v>
      </c>
    </row>
    <row r="101" spans="1:10" ht="15.75" customHeight="1" x14ac:dyDescent="0.35">
      <c r="A101" s="139" t="s">
        <v>126</v>
      </c>
      <c r="B101" s="114" t="s">
        <v>126</v>
      </c>
      <c r="C101" s="84">
        <v>0</v>
      </c>
      <c r="D101" s="16">
        <f ca="1">((100/H92)*C101)/100</f>
        <v>0</v>
      </c>
      <c r="E101" s="135"/>
      <c r="F101" s="175"/>
      <c r="G101" s="135"/>
      <c r="H101" s="136"/>
      <c r="I101" s="13" t="s">
        <v>139</v>
      </c>
      <c r="J101" s="28">
        <f>(IF(B92&gt;3,(H92/(B92+2)+J100),0))</f>
        <v>0</v>
      </c>
    </row>
    <row r="102" spans="1:10" ht="15.75" customHeight="1" x14ac:dyDescent="0.35">
      <c r="A102" s="139" t="s">
        <v>133</v>
      </c>
      <c r="B102" s="114"/>
      <c r="C102" s="84">
        <v>0</v>
      </c>
      <c r="D102" s="16">
        <f ca="1">((100/H92)*C102)/100</f>
        <v>0</v>
      </c>
      <c r="E102" s="135"/>
      <c r="F102" s="175"/>
      <c r="G102" s="135"/>
      <c r="H102" s="136"/>
      <c r="I102" s="13" t="s">
        <v>140</v>
      </c>
      <c r="J102" s="27">
        <f>(IF(B92&gt;4,(H92/(B92+2)+J101),0))</f>
        <v>0</v>
      </c>
    </row>
    <row r="103" spans="1:10" ht="15.75" customHeight="1" x14ac:dyDescent="0.35">
      <c r="A103" s="139" t="s">
        <v>128</v>
      </c>
      <c r="B103" s="114" t="s">
        <v>128</v>
      </c>
      <c r="C103" s="84">
        <v>0</v>
      </c>
      <c r="D103" s="16">
        <f ca="1">((100/(H92))*C103)/100</f>
        <v>0</v>
      </c>
      <c r="E103" s="135"/>
      <c r="F103" s="175"/>
      <c r="G103" s="135"/>
      <c r="H103" s="136"/>
      <c r="I103" s="13" t="s">
        <v>144</v>
      </c>
      <c r="J103" s="27">
        <f ca="1">(IF(B92=1,(H92/(B92+3)+J98),IF(B92=0,(H92/4+J98),IF(B92&gt;1,0))))</f>
        <v>12</v>
      </c>
    </row>
    <row r="104" spans="1:10" ht="16" thickBot="1" x14ac:dyDescent="0.4">
      <c r="A104" s="112" t="s">
        <v>129</v>
      </c>
      <c r="B104" s="113"/>
      <c r="C104" s="83">
        <v>0</v>
      </c>
      <c r="D104" s="17">
        <f ca="1">((100/(H92))*C104)/100</f>
        <v>0</v>
      </c>
      <c r="E104" s="137"/>
      <c r="F104" s="176"/>
      <c r="G104" s="137"/>
      <c r="H104" s="138"/>
      <c r="I104" s="14" t="s">
        <v>101</v>
      </c>
      <c r="J104" s="29">
        <f ca="1">(IF(B92&gt;1.5,(H92/(B92+2)+J98+MAX(0,J99-J98)+MAX(0,J100-J99)+MAX(0,J101-J100)+MAX(0,J102-J101)+MAX(0,J103-J102)),IF(B92=1,(H92/(B92+3)+J103),IF(B92=0,H92/4+J103))))</f>
        <v>16</v>
      </c>
    </row>
    <row r="105" spans="1:10" ht="15.75" customHeight="1" x14ac:dyDescent="0.35">
      <c r="A105" s="158" t="s">
        <v>135</v>
      </c>
      <c r="B105" s="159"/>
      <c r="C105" s="160" t="str">
        <f>D67</f>
        <v>Building No.2(Wing A) = Stilt(Pt) + 1st to 16th Floors.</v>
      </c>
      <c r="D105" s="161"/>
      <c r="E105" s="161"/>
      <c r="F105" s="161"/>
      <c r="G105" s="161"/>
      <c r="H105" s="162"/>
      <c r="I105" s="41" t="str">
        <f ca="1">IF(D118=100%,"All work Completed. Possession granted to the Building.",IF(D117=100%,"All work Completed, Waiting for OC",I106&amp;""&amp;I107&amp;""&amp;J106&amp;""&amp;J105&amp;" "&amp;J107))</f>
        <v>Excavation, Plinth, RCC Slab Completed, Brickwork upto 13 Floor, Internal Plaster upto 3 Floor, External Plaster upto 1 Floor Completed</v>
      </c>
      <c r="J105" s="42"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Brickwork upto 13 Floor, Internal Plaster upto 3 Floor, External Plaster upto 1 Floor</v>
      </c>
    </row>
    <row r="106" spans="1:10" x14ac:dyDescent="0.35">
      <c r="A106" s="89" t="s">
        <v>137</v>
      </c>
      <c r="B106" s="90">
        <f>IF(AND(ISNUMBER(SEARCH("1B",C105))),1,IF(AND(ISNUMBER(SEARCH("2B",C105))),2,IF(AND(ISNUMBER(SEARCH("3B",C105))),3,IF(AND(ISNUMBER(SEARCH("4B",C105))),4,IF(ISNUMBER(SEARCH("5B",C105)),5,0)))))</f>
        <v>0</v>
      </c>
      <c r="C106" s="90" t="s">
        <v>69</v>
      </c>
      <c r="D106" s="90">
        <v>1</v>
      </c>
      <c r="E106" s="90" t="s">
        <v>68</v>
      </c>
      <c r="F106" s="90">
        <v>0</v>
      </c>
      <c r="G106" s="90" t="s">
        <v>77</v>
      </c>
      <c r="H106" s="91">
        <f ca="1">--TRIM(RIGHT(SUBSTITUTE(LEFT(C105,_xlfn.AGGREGATE(16,6,FIND({0,1,2,3,4,5,6,7,8,9},C105,ROW(INDIRECT("1:"&amp;LEN(C105)))),1))," ",REPT(" ",LEN(C105))),LEN(C105)))</f>
        <v>16</v>
      </c>
      <c r="I106" s="43" t="str">
        <f ca="1">IF(D109=100%,"Excavation","")&amp;IF(D110=100%,", Plinth","")&amp;IF(D111=100%,", RCC Slab","")&amp;IF(D112=100%,", Brickwork","")&amp;IF(D113=100%,", Internal Plaster","")&amp;IF(D114=100%,", External Plaster","")&amp;IF(D115=100%,", Flooring","")&amp;IF(D116=100%,", Painting","")&amp;IF(D117=100%,", Building common Amenities","")</f>
        <v>Excavation, Plinth, RCC Slab</v>
      </c>
      <c r="J106" s="44"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row>
    <row r="107" spans="1:10" ht="33.75" customHeight="1" x14ac:dyDescent="0.35">
      <c r="A107" s="144" t="s">
        <v>87</v>
      </c>
      <c r="B107" s="144"/>
      <c r="C107" s="115" t="str">
        <f ca="1">(IF($G$60="NA",I105,"All work Completed. OC Received."))</f>
        <v>Excavation, Plinth, RCC Slab Completed, Brickwork upto 13 Floor, Internal Plaster upto 3 Floor, External Plaster upto 1 Floor Completed</v>
      </c>
      <c r="D107" s="115"/>
      <c r="E107" s="115"/>
      <c r="F107" s="115"/>
      <c r="G107" s="115"/>
      <c r="H107" s="115"/>
      <c r="I107" s="100" t="str">
        <f ca="1">IF(I106&lt;&gt;""," Completed","")</f>
        <v xml:space="preserve"> Completed</v>
      </c>
      <c r="J107" s="44" t="str">
        <f ca="1">IF(J105&lt;&gt;"","Completed","")</f>
        <v>Completed</v>
      </c>
    </row>
    <row r="108" spans="1:10" ht="15.75" customHeight="1" x14ac:dyDescent="0.35">
      <c r="A108" s="114" t="s">
        <v>47</v>
      </c>
      <c r="B108" s="114"/>
      <c r="C108" s="98" t="s">
        <v>134</v>
      </c>
      <c r="D108" s="98" t="s">
        <v>80</v>
      </c>
      <c r="E108" s="114" t="s">
        <v>82</v>
      </c>
      <c r="F108" s="114"/>
      <c r="G108" s="114" t="s">
        <v>81</v>
      </c>
      <c r="H108" s="114"/>
      <c r="I108" s="13" t="s">
        <v>136</v>
      </c>
      <c r="J108" s="25">
        <f ca="1">H106*25%</f>
        <v>4</v>
      </c>
    </row>
    <row r="109" spans="1:10" x14ac:dyDescent="0.35">
      <c r="A109" s="114" t="s">
        <v>123</v>
      </c>
      <c r="B109" s="114"/>
      <c r="C109" s="98">
        <f ca="1">J110</f>
        <v>16</v>
      </c>
      <c r="D109" s="16">
        <f ca="1">((100/H106)*C109)/100</f>
        <v>1</v>
      </c>
      <c r="E109" s="172">
        <f ca="1">(((C110/H106*10)+(40/(D106+F106+H106)*C111)+(7.5/(H106)*C112)+(7.5/(H106)*C113)+(10/H106*C114)+(10/H106*C115)+(5/H106*C116)+(5/H106*C117)+(5/H106*C118))/100)</f>
        <v>0.58125000000000004</v>
      </c>
      <c r="F109" s="172"/>
      <c r="G109" s="172">
        <f ca="1">((((C109/H106)*20)+((C110/H106)*25)+(30/(H106+F106+D106)*C111)+(5/H106*C112)+(5/H106*C113)+(5/H106*C114)+(5/H106*C115)+(0/H106*C116)+(0/H106*C117)+(5/H106*C118))/100)</f>
        <v>0.80312499999999998</v>
      </c>
      <c r="H109" s="172"/>
      <c r="I109" s="13" t="s">
        <v>97</v>
      </c>
      <c r="J109" s="26">
        <f ca="1">H106*50%</f>
        <v>8</v>
      </c>
    </row>
    <row r="110" spans="1:10" x14ac:dyDescent="0.35">
      <c r="A110" s="114" t="s">
        <v>48</v>
      </c>
      <c r="B110" s="114"/>
      <c r="C110" s="98">
        <f ca="1">J118</f>
        <v>16</v>
      </c>
      <c r="D110" s="16">
        <f ca="1">((100/H106)*C110)/100</f>
        <v>1</v>
      </c>
      <c r="E110" s="172"/>
      <c r="F110" s="172"/>
      <c r="G110" s="172"/>
      <c r="H110" s="172"/>
      <c r="I110" s="13" t="s">
        <v>98</v>
      </c>
      <c r="J110" s="26">
        <f ca="1">H106</f>
        <v>16</v>
      </c>
    </row>
    <row r="111" spans="1:10" ht="15.75" customHeight="1" x14ac:dyDescent="0.35">
      <c r="A111" s="114" t="s">
        <v>124</v>
      </c>
      <c r="B111" s="114"/>
      <c r="C111" s="98">
        <v>17</v>
      </c>
      <c r="D111" s="16">
        <f ca="1">((100/(D106+F106+H106))*C111)/100</f>
        <v>1</v>
      </c>
      <c r="E111" s="172"/>
      <c r="F111" s="172"/>
      <c r="G111" s="172"/>
      <c r="H111" s="172"/>
      <c r="I111" s="13" t="s">
        <v>99</v>
      </c>
      <c r="J111" s="27">
        <f ca="1">(IF(B106&gt;1,(H106/(B106+2)),H106/4))</f>
        <v>4</v>
      </c>
    </row>
    <row r="112" spans="1:10" ht="15.75" customHeight="1" x14ac:dyDescent="0.35">
      <c r="A112" s="114" t="s">
        <v>131</v>
      </c>
      <c r="B112" s="114" t="s">
        <v>125</v>
      </c>
      <c r="C112" s="98">
        <v>13</v>
      </c>
      <c r="D112" s="16">
        <f ca="1">((100/H106)*C112)/100</f>
        <v>0.8125</v>
      </c>
      <c r="E112" s="172"/>
      <c r="F112" s="172"/>
      <c r="G112" s="172"/>
      <c r="H112" s="172"/>
      <c r="I112" s="13" t="s">
        <v>100</v>
      </c>
      <c r="J112" s="27">
        <f ca="1">(IF(B106&gt;1,(H106/(B106+2)+J111),H106/4+J111))</f>
        <v>8</v>
      </c>
    </row>
    <row r="113" spans="1:10" ht="15.75" customHeight="1" x14ac:dyDescent="0.35">
      <c r="A113" s="114" t="s">
        <v>132</v>
      </c>
      <c r="B113" s="114" t="s">
        <v>125</v>
      </c>
      <c r="C113" s="98">
        <v>3</v>
      </c>
      <c r="D113" s="16">
        <f ca="1">((100/H106)*C113)/100</f>
        <v>0.1875</v>
      </c>
      <c r="E113" s="172"/>
      <c r="F113" s="172"/>
      <c r="G113" s="172"/>
      <c r="H113" s="172"/>
      <c r="I113" s="13" t="s">
        <v>143</v>
      </c>
      <c r="J113" s="27">
        <f>(IF(B106&gt;1,(H106/(B106+2)+J112),0))</f>
        <v>0</v>
      </c>
    </row>
    <row r="114" spans="1:10" ht="15" customHeight="1" x14ac:dyDescent="0.35">
      <c r="A114" s="114" t="s">
        <v>130</v>
      </c>
      <c r="B114" s="114" t="s">
        <v>127</v>
      </c>
      <c r="C114" s="98">
        <v>1</v>
      </c>
      <c r="D114" s="16">
        <f ca="1">((100/(H106))*C114)/100</f>
        <v>6.25E-2</v>
      </c>
      <c r="E114" s="172"/>
      <c r="F114" s="172"/>
      <c r="G114" s="172"/>
      <c r="H114" s="172"/>
      <c r="I114" s="13" t="s">
        <v>138</v>
      </c>
      <c r="J114" s="27">
        <f>(IF(B106&gt;2,(H106/(B106+2)+J113),0))</f>
        <v>0</v>
      </c>
    </row>
    <row r="115" spans="1:10" ht="15.75" customHeight="1" x14ac:dyDescent="0.35">
      <c r="A115" s="114" t="s">
        <v>126</v>
      </c>
      <c r="B115" s="114" t="s">
        <v>126</v>
      </c>
      <c r="C115" s="98">
        <v>0</v>
      </c>
      <c r="D115" s="16">
        <f ca="1">((100/H106)*C115)/100</f>
        <v>0</v>
      </c>
      <c r="E115" s="172"/>
      <c r="F115" s="172"/>
      <c r="G115" s="172"/>
      <c r="H115" s="172"/>
      <c r="I115" s="13" t="s">
        <v>139</v>
      </c>
      <c r="J115" s="28">
        <f>(IF(B106&gt;3,(H106/(B106+2)+J114),0))</f>
        <v>0</v>
      </c>
    </row>
    <row r="116" spans="1:10" ht="15.75" customHeight="1" x14ac:dyDescent="0.35">
      <c r="A116" s="114" t="s">
        <v>133</v>
      </c>
      <c r="B116" s="114"/>
      <c r="C116" s="98">
        <v>0</v>
      </c>
      <c r="D116" s="16">
        <f ca="1">((100/H106)*C116)/100</f>
        <v>0</v>
      </c>
      <c r="E116" s="172"/>
      <c r="F116" s="172"/>
      <c r="G116" s="172"/>
      <c r="H116" s="172"/>
      <c r="I116" s="13" t="s">
        <v>140</v>
      </c>
      <c r="J116" s="27">
        <f>(IF(B106&gt;4,(H106/(B106+2)+J115),0))</f>
        <v>0</v>
      </c>
    </row>
    <row r="117" spans="1:10" ht="15.75" customHeight="1" x14ac:dyDescent="0.35">
      <c r="A117" s="114" t="s">
        <v>128</v>
      </c>
      <c r="B117" s="114" t="s">
        <v>128</v>
      </c>
      <c r="C117" s="98">
        <v>0</v>
      </c>
      <c r="D117" s="16">
        <f ca="1">((100/(H106))*C117)/100</f>
        <v>0</v>
      </c>
      <c r="E117" s="172"/>
      <c r="F117" s="172"/>
      <c r="G117" s="172"/>
      <c r="H117" s="172"/>
      <c r="I117" s="13" t="s">
        <v>144</v>
      </c>
      <c r="J117" s="27">
        <f ca="1">(IF(B106=1,(H106/(B106+3)+J112),IF(B106=0,(H106/4+J112),IF(B106&gt;1,0))))</f>
        <v>12</v>
      </c>
    </row>
    <row r="118" spans="1:10" ht="16" thickBot="1" x14ac:dyDescent="0.4">
      <c r="A118" s="114" t="s">
        <v>129</v>
      </c>
      <c r="B118" s="114"/>
      <c r="C118" s="98">
        <v>0</v>
      </c>
      <c r="D118" s="16">
        <f ca="1">((100/(H106))*C118)/100</f>
        <v>0</v>
      </c>
      <c r="E118" s="172"/>
      <c r="F118" s="172"/>
      <c r="G118" s="172"/>
      <c r="H118" s="172"/>
      <c r="I118" s="14" t="s">
        <v>101</v>
      </c>
      <c r="J118" s="29">
        <f ca="1">(IF(B106&gt;1.5,(H106/(B106+2)+J112+MAX(0,J113-J112)+MAX(0,J114-J113)+MAX(0,J115-J114)+MAX(0,J116-J115)+MAX(0,J117-J116)),IF(B106=1,(H106/(B106+3)+J117),IF(B106=0,H106/4+J117))))</f>
        <v>16</v>
      </c>
    </row>
    <row r="119" spans="1:10" ht="15.75" customHeight="1" x14ac:dyDescent="0.35">
      <c r="A119" s="227" t="s">
        <v>135</v>
      </c>
      <c r="B119" s="228"/>
      <c r="C119" s="229" t="str">
        <f>D68</f>
        <v>Building No.2(Wing B) = Stilt(Pt) + 1st to 16th Floors.</v>
      </c>
      <c r="D119" s="230"/>
      <c r="E119" s="230"/>
      <c r="F119" s="230"/>
      <c r="G119" s="230"/>
      <c r="H119" s="231"/>
      <c r="I119" s="41" t="str">
        <f ca="1">IF(D132=100%,"All work Completed. Possession granted to the Building.",IF(D131=100%,"All work Completed, Waiting for OC",I120&amp;""&amp;I121&amp;""&amp;J120&amp;""&amp;J119&amp;" "&amp;J121))</f>
        <v>Excavation, Plinth, RCC Slab Completed, Brickwork upto 13 Floor Completed</v>
      </c>
      <c r="J119" s="42" t="str">
        <f ca="1">(IF(C125=(D120+F120+H120),"",IF(C125&gt;0,", RCC upto "&amp;C125&amp;" Slab","")))&amp;(IF(C126=H120,"",IF(C126&gt;0,", Brickwork upto "&amp;C126&amp;" Floor","")))&amp;(IF(C127=H120,"",IF(C127&gt;0,", Internal Plaster upto "&amp;C127&amp;" Floor","")))&amp;(IF(C128=H120,"",IF(C128&gt;0,", External Plaster upto "&amp;C128&amp;" Floor","")))&amp;(IF(C129=H120,"",IF(C129&gt;0,", Flooring upto "&amp;C129&amp;" Floor","")))&amp;(IF(C130=H120,"",IF(C130&gt;0,", Painting upto "&amp;C130&amp;" Floor","")))&amp;(IF(C131=H120,"",IF(C131&gt;0,", Finishing upto "&amp;C131&amp;" Floor","")))&amp;(IF(C132=H120,"",IF(C132&gt;0,", Possession upto "&amp;C132&amp;" Floor","")))</f>
        <v>, Brickwork upto 13 Floor</v>
      </c>
    </row>
    <row r="120" spans="1:10" x14ac:dyDescent="0.35">
      <c r="A120" s="89" t="s">
        <v>137</v>
      </c>
      <c r="B120" s="90">
        <f>IF(AND(ISNUMBER(SEARCH("1B",C119))),1,IF(AND(ISNUMBER(SEARCH("2B",C119))),2,IF(AND(ISNUMBER(SEARCH("3B",C119))),3,IF(AND(ISNUMBER(SEARCH("4B",C119))),4,IF(ISNUMBER(SEARCH("5B",C119)),5,0)))))</f>
        <v>0</v>
      </c>
      <c r="C120" s="90" t="s">
        <v>69</v>
      </c>
      <c r="D120" s="90">
        <v>1</v>
      </c>
      <c r="E120" s="90" t="s">
        <v>68</v>
      </c>
      <c r="F120" s="90">
        <v>0</v>
      </c>
      <c r="G120" s="90" t="s">
        <v>77</v>
      </c>
      <c r="H120" s="91">
        <f ca="1">--TRIM(RIGHT(SUBSTITUTE(LEFT(C119,_xlfn.AGGREGATE(16,6,FIND({0,1,2,3,4,5,6,7,8,9},C119,ROW(INDIRECT("1:"&amp;LEN(C119)))),1))," ",REPT(" ",LEN(C119))),LEN(C119)))</f>
        <v>16</v>
      </c>
      <c r="I120" s="43" t="str">
        <f ca="1">IF(D123=100%,"Excavation","")&amp;IF(D124=100%,", Plinth","")&amp;IF(D125=100%,", RCC Slab","")&amp;IF(D126=100%,", Brickwork","")&amp;IF(D127=100%,", Internal Plaster","")&amp;IF(D128=100%,", External Plaster","")&amp;IF(D129=100%,", Flooring","")&amp;IF(D130=100%,", Painting","")&amp;IF(D131=100%,", Building common Amenities","")</f>
        <v>Excavation, Plinth, RCC Slab</v>
      </c>
      <c r="J120" s="44" t="str">
        <f ca="1">(IF(C123=0,"Work not yet Started.",IF(D123=25%,"Piling work in process",IF(D123=50%,"Excavation work in process",IF(D123=100%,"","0")))))&amp;(IF(C124=0%,"",IF(C124=J125,", Footing work is process",IF(C124=J126,", Footing work Completed",IF(C124=J127,", 1st Basement Completed",IF(C124=J128,", 1st &amp; 2nd Basement Completed",IF(C124=J129,", 1st to 3rd Basement Completed",IF(C124=J130,", 1st to 4th Basement Completed",IF(C124=J131,", Plinth work is process",IF(C124=J132,"","0"))))))))))</f>
        <v/>
      </c>
    </row>
    <row r="121" spans="1:10" x14ac:dyDescent="0.35">
      <c r="A121" s="181" t="s">
        <v>87</v>
      </c>
      <c r="B121" s="144"/>
      <c r="C121" s="115" t="str">
        <f ca="1">(IF($G$60="NA",I119,"All work Completed. OC Received."))</f>
        <v>Excavation, Plinth, RCC Slab Completed, Brickwork upto 13 Floor Completed</v>
      </c>
      <c r="D121" s="115"/>
      <c r="E121" s="115"/>
      <c r="F121" s="115"/>
      <c r="G121" s="115"/>
      <c r="H121" s="169"/>
      <c r="I121" s="43" t="str">
        <f ca="1">IF(I120&lt;&gt;""," Completed","")</f>
        <v xml:space="preserve"> Completed</v>
      </c>
      <c r="J121" s="44" t="str">
        <f ca="1">IF(J119&lt;&gt;"","Completed","")</f>
        <v>Completed</v>
      </c>
    </row>
    <row r="122" spans="1:10" ht="15.75" customHeight="1" x14ac:dyDescent="0.35">
      <c r="A122" s="139" t="s">
        <v>47</v>
      </c>
      <c r="B122" s="114"/>
      <c r="C122" s="81" t="s">
        <v>134</v>
      </c>
      <c r="D122" s="81" t="s">
        <v>80</v>
      </c>
      <c r="E122" s="114" t="s">
        <v>82</v>
      </c>
      <c r="F122" s="114"/>
      <c r="G122" s="114" t="s">
        <v>81</v>
      </c>
      <c r="H122" s="232"/>
      <c r="I122" s="13" t="s">
        <v>136</v>
      </c>
      <c r="J122" s="25">
        <f ca="1">H120*25%</f>
        <v>4</v>
      </c>
    </row>
    <row r="123" spans="1:10" x14ac:dyDescent="0.35">
      <c r="A123" s="139" t="s">
        <v>123</v>
      </c>
      <c r="B123" s="114"/>
      <c r="C123" s="81">
        <f ca="1">J124</f>
        <v>16</v>
      </c>
      <c r="D123" s="16">
        <f ca="1">((100/H120)*C123)/100</f>
        <v>1</v>
      </c>
      <c r="E123" s="133">
        <f ca="1">(((C124/H120*10)+(40/(D120+F120+H120)*C125)+(7.5/(H120)*C126)+(7.5/(H120)*C127)+(10/H120*C128)+(10/H120*C129)+(5/H120*C130)+(5/H120*C131)+(5/H120*C132))/100)</f>
        <v>0.56093749999999998</v>
      </c>
      <c r="F123" s="174"/>
      <c r="G123" s="133">
        <f ca="1">((((C123/H120)*20)+((C124/H120)*25)+(30/(H120+F120+D120)*C125)+(5/H120*C126)+(5/H120*C127)+(5/H120*C128)+(5/H120*C129)+(0/H120*C130)+(0/H120*C131)+(5/H120*C132))/100)</f>
        <v>0.79062500000000002</v>
      </c>
      <c r="H123" s="134"/>
      <c r="I123" s="13" t="s">
        <v>97</v>
      </c>
      <c r="J123" s="26">
        <f ca="1">H120*50%</f>
        <v>8</v>
      </c>
    </row>
    <row r="124" spans="1:10" x14ac:dyDescent="0.35">
      <c r="A124" s="139" t="s">
        <v>48</v>
      </c>
      <c r="B124" s="114"/>
      <c r="C124" s="81">
        <f ca="1">J132</f>
        <v>16</v>
      </c>
      <c r="D124" s="16">
        <f ca="1">((100/H120)*C124)/100</f>
        <v>1</v>
      </c>
      <c r="E124" s="135"/>
      <c r="F124" s="175"/>
      <c r="G124" s="135"/>
      <c r="H124" s="136"/>
      <c r="I124" s="13" t="s">
        <v>98</v>
      </c>
      <c r="J124" s="26">
        <f ca="1">H120</f>
        <v>16</v>
      </c>
    </row>
    <row r="125" spans="1:10" ht="15.75" customHeight="1" x14ac:dyDescent="0.35">
      <c r="A125" s="139" t="s">
        <v>124</v>
      </c>
      <c r="B125" s="114"/>
      <c r="C125" s="81">
        <v>17</v>
      </c>
      <c r="D125" s="16">
        <f ca="1">((100/(D120+F120+H120))*C125)/100</f>
        <v>1</v>
      </c>
      <c r="E125" s="135"/>
      <c r="F125" s="175"/>
      <c r="G125" s="135"/>
      <c r="H125" s="136"/>
      <c r="I125" s="13" t="s">
        <v>99</v>
      </c>
      <c r="J125" s="27">
        <f ca="1">(IF(B120&gt;1,(H120/(B120+2)),H120/4))</f>
        <v>4</v>
      </c>
    </row>
    <row r="126" spans="1:10" ht="15.75" customHeight="1" x14ac:dyDescent="0.35">
      <c r="A126" s="139" t="s">
        <v>131</v>
      </c>
      <c r="B126" s="114" t="s">
        <v>125</v>
      </c>
      <c r="C126" s="81">
        <v>13</v>
      </c>
      <c r="D126" s="16">
        <f ca="1">((100/H120)*C126)/100</f>
        <v>0.8125</v>
      </c>
      <c r="E126" s="135"/>
      <c r="F126" s="175"/>
      <c r="G126" s="135"/>
      <c r="H126" s="136"/>
      <c r="I126" s="13" t="s">
        <v>100</v>
      </c>
      <c r="J126" s="27">
        <f ca="1">(IF(B120&gt;1,(H120/(B120+2)+J125),H120/4+J125))</f>
        <v>8</v>
      </c>
    </row>
    <row r="127" spans="1:10" ht="15.75" customHeight="1" x14ac:dyDescent="0.35">
      <c r="A127" s="139" t="s">
        <v>132</v>
      </c>
      <c r="B127" s="114" t="s">
        <v>125</v>
      </c>
      <c r="C127" s="81">
        <v>0</v>
      </c>
      <c r="D127" s="16">
        <f ca="1">((100/H120)*C127)/100</f>
        <v>0</v>
      </c>
      <c r="E127" s="135"/>
      <c r="F127" s="175"/>
      <c r="G127" s="135"/>
      <c r="H127" s="136"/>
      <c r="I127" s="13" t="s">
        <v>143</v>
      </c>
      <c r="J127" s="27">
        <f>(IF(B120&gt;1,(H120/(B120+2)+J126),0))</f>
        <v>0</v>
      </c>
    </row>
    <row r="128" spans="1:10" ht="15" customHeight="1" x14ac:dyDescent="0.35">
      <c r="A128" s="139" t="s">
        <v>130</v>
      </c>
      <c r="B128" s="114" t="s">
        <v>127</v>
      </c>
      <c r="C128" s="81">
        <v>0</v>
      </c>
      <c r="D128" s="16">
        <f ca="1">((100/(H120))*C128)/100</f>
        <v>0</v>
      </c>
      <c r="E128" s="135"/>
      <c r="F128" s="175"/>
      <c r="G128" s="135"/>
      <c r="H128" s="136"/>
      <c r="I128" s="13" t="s">
        <v>138</v>
      </c>
      <c r="J128" s="27">
        <f>(IF(B120&gt;2,(H120/(B120+2)+J127),0))</f>
        <v>0</v>
      </c>
    </row>
    <row r="129" spans="1:10" ht="15.75" customHeight="1" x14ac:dyDescent="0.35">
      <c r="A129" s="139" t="s">
        <v>126</v>
      </c>
      <c r="B129" s="114" t="s">
        <v>126</v>
      </c>
      <c r="C129" s="81">
        <v>0</v>
      </c>
      <c r="D129" s="16">
        <f ca="1">((100/H120)*C129)/100</f>
        <v>0</v>
      </c>
      <c r="E129" s="135"/>
      <c r="F129" s="175"/>
      <c r="G129" s="135"/>
      <c r="H129" s="136"/>
      <c r="I129" s="13" t="s">
        <v>139</v>
      </c>
      <c r="J129" s="28">
        <f>(IF(B120&gt;3,(H120/(B120+2)+J128),0))</f>
        <v>0</v>
      </c>
    </row>
    <row r="130" spans="1:10" ht="15.75" customHeight="1" x14ac:dyDescent="0.35">
      <c r="A130" s="139" t="s">
        <v>133</v>
      </c>
      <c r="B130" s="114"/>
      <c r="C130" s="81">
        <v>0</v>
      </c>
      <c r="D130" s="16">
        <f ca="1">((100/H120)*C130)/100</f>
        <v>0</v>
      </c>
      <c r="E130" s="135"/>
      <c r="F130" s="175"/>
      <c r="G130" s="135"/>
      <c r="H130" s="136"/>
      <c r="I130" s="13" t="s">
        <v>140</v>
      </c>
      <c r="J130" s="27">
        <f>(IF(B120&gt;4,(H120/(B120+2)+J129),0))</f>
        <v>0</v>
      </c>
    </row>
    <row r="131" spans="1:10" ht="15.75" customHeight="1" x14ac:dyDescent="0.35">
      <c r="A131" s="139" t="s">
        <v>128</v>
      </c>
      <c r="B131" s="114" t="s">
        <v>128</v>
      </c>
      <c r="C131" s="81">
        <v>0</v>
      </c>
      <c r="D131" s="16">
        <f ca="1">((100/(H120))*C131)/100</f>
        <v>0</v>
      </c>
      <c r="E131" s="135"/>
      <c r="F131" s="175"/>
      <c r="G131" s="135"/>
      <c r="H131" s="136"/>
      <c r="I131" s="13" t="s">
        <v>144</v>
      </c>
      <c r="J131" s="27">
        <f ca="1">(IF(B120=1,(H120/(B120+3)+J126),IF(B120=0,(H120/4+J126),IF(B120&gt;1,0))))</f>
        <v>12</v>
      </c>
    </row>
    <row r="132" spans="1:10" ht="16" thickBot="1" x14ac:dyDescent="0.4">
      <c r="A132" s="112" t="s">
        <v>129</v>
      </c>
      <c r="B132" s="113"/>
      <c r="C132" s="82">
        <v>0</v>
      </c>
      <c r="D132" s="17">
        <f ca="1">((100/(H120))*C132)/100</f>
        <v>0</v>
      </c>
      <c r="E132" s="137"/>
      <c r="F132" s="176"/>
      <c r="G132" s="137"/>
      <c r="H132" s="138"/>
      <c r="I132" s="14" t="s">
        <v>101</v>
      </c>
      <c r="J132" s="29">
        <f ca="1">(IF(B120&gt;1.5,(H120/(B120+2)+J126+MAX(0,J127-J126)+MAX(0,J128-J127)+MAX(0,J129-J128)+MAX(0,J130-J129)+MAX(0,J131-J130)),IF(B120=1,(H120/(B120+3)+J131),IF(B120=0,H120/4+J131))))</f>
        <v>16</v>
      </c>
    </row>
    <row r="133" spans="1:10" ht="15.75" customHeight="1" x14ac:dyDescent="0.35">
      <c r="A133" s="158" t="s">
        <v>135</v>
      </c>
      <c r="B133" s="159"/>
      <c r="C133" s="160" t="str">
        <f>D69</f>
        <v>Building No.2(Wing C) = Stilt(Pt) + 1st to 16th Floors.</v>
      </c>
      <c r="D133" s="161"/>
      <c r="E133" s="161"/>
      <c r="F133" s="161"/>
      <c r="G133" s="161"/>
      <c r="H133" s="162"/>
      <c r="I133" s="41" t="str">
        <f ca="1">IF(D146=100%,"All work Completed. Possession granted to the Building.",IF(D145=100%,"All work Completed, Waiting for OC",I134&amp;""&amp;I135&amp;""&amp;J134&amp;""&amp;J133&amp;" "&amp;J135))</f>
        <v>Excavation, Plinth, RCC Slab Completed, Brickwork upto 15 Floor, External Plaster upto 4 Floor Completed</v>
      </c>
      <c r="J133" s="42" t="str">
        <f ca="1">(IF(C139=(D134+F134+H134),"",IF(C139&gt;0,", RCC upto "&amp;C139&amp;" Slab","")))&amp;(IF(C140=H134,"",IF(C140&gt;0,", Brickwork upto "&amp;C140&amp;" Floor","")))&amp;(IF(C141=H134,"",IF(C141&gt;0,", Internal Plaster upto "&amp;C141&amp;" Floor","")))&amp;(IF(C142=H134,"",IF(C142&gt;0,", External Plaster upto "&amp;C142&amp;" Floor","")))&amp;(IF(C143=H134,"",IF(C143&gt;0,", Flooring upto "&amp;C143&amp;" Floor","")))&amp;(IF(C144=H134,"",IF(C144&gt;0,", Painting upto "&amp;C144&amp;" Floor","")))&amp;(IF(C145=H134,"",IF(C145&gt;0,", Finishing upto "&amp;C145&amp;" Floor","")))&amp;(IF(C146=H134,"",IF(C146&gt;0,", Possession upto "&amp;C146&amp;" Floor","")))</f>
        <v>, Brickwork upto 15 Floor, External Plaster upto 4 Floor</v>
      </c>
    </row>
    <row r="134" spans="1:10" x14ac:dyDescent="0.35">
      <c r="A134" s="89" t="s">
        <v>137</v>
      </c>
      <c r="B134" s="90">
        <f>IF(AND(ISNUMBER(SEARCH("1B",C133))),1,IF(AND(ISNUMBER(SEARCH("2B",C133))),2,IF(AND(ISNUMBER(SEARCH("3B",C133))),3,IF(AND(ISNUMBER(SEARCH("4B",C133))),4,IF(ISNUMBER(SEARCH("5B",C133)),5,0)))))</f>
        <v>0</v>
      </c>
      <c r="C134" s="90" t="s">
        <v>69</v>
      </c>
      <c r="D134" s="90">
        <v>1</v>
      </c>
      <c r="E134" s="90" t="s">
        <v>68</v>
      </c>
      <c r="F134" s="90">
        <v>0</v>
      </c>
      <c r="G134" s="90" t="s">
        <v>77</v>
      </c>
      <c r="H134" s="91">
        <f ca="1">--TRIM(RIGHT(SUBSTITUTE(LEFT(C133,_xlfn.AGGREGATE(16,6,FIND({0,1,2,3,4,5,6,7,8,9},C133,ROW(INDIRECT("1:"&amp;LEN(C133)))),1))," ",REPT(" ",LEN(C133))),LEN(C133)))</f>
        <v>16</v>
      </c>
      <c r="I134" s="43" t="str">
        <f ca="1">IF(D137=100%,"Excavation","")&amp;IF(D138=100%,", Plinth","")&amp;IF(D139=100%,", RCC Slab","")&amp;IF(D140=100%,", Brickwork","")&amp;IF(D141=100%,", Internal Plaster","")&amp;IF(D142=100%,", External Plaster","")&amp;IF(D143=100%,", Flooring","")&amp;IF(D144=100%,", Painting","")&amp;IF(D145=100%,", Building common Amenities","")</f>
        <v>Excavation, Plinth, RCC Slab</v>
      </c>
      <c r="J134" s="44" t="str">
        <f ca="1">(IF(C137=0,"Work not yet Started.",IF(D137=25%,"Piling work in process",IF(D137=50%,"Excavation work in process",IF(D137=100%,"","0")))))&amp;(IF(C138=0%,"",IF(C138=J139,", Footing work is process",IF(C138=J140,", Footing work Completed",IF(C138=J141,", 1st Basement Completed",IF(C138=J142,", 1st &amp; 2nd Basement Completed",IF(C138=J143,", 1st to 3rd Basement Completed",IF(C138=J144,", 1st to 4th Basement Completed",IF(C138=J145,", Plinth work is process",IF(C138=J146,"","0"))))))))))</f>
        <v/>
      </c>
    </row>
    <row r="135" spans="1:10" ht="32.25" customHeight="1" x14ac:dyDescent="0.35">
      <c r="A135" s="181" t="s">
        <v>87</v>
      </c>
      <c r="B135" s="144"/>
      <c r="C135" s="115" t="str">
        <f ca="1">(IF($G$60="NA",I133,"All work Completed. OC Received."))</f>
        <v>Excavation, Plinth, RCC Slab Completed, Brickwork upto 15 Floor, External Plaster upto 4 Floor Completed</v>
      </c>
      <c r="D135" s="115"/>
      <c r="E135" s="115"/>
      <c r="F135" s="115"/>
      <c r="G135" s="115"/>
      <c r="H135" s="169"/>
      <c r="I135" s="43" t="str">
        <f ca="1">IF(I134&lt;&gt;""," Completed","")</f>
        <v xml:space="preserve"> Completed</v>
      </c>
      <c r="J135" s="44" t="str">
        <f ca="1">IF(J133&lt;&gt;"","Completed","")</f>
        <v>Completed</v>
      </c>
    </row>
    <row r="136" spans="1:10" ht="15.75" customHeight="1" x14ac:dyDescent="0.35">
      <c r="A136" s="139" t="s">
        <v>47</v>
      </c>
      <c r="B136" s="114"/>
      <c r="C136" s="81" t="s">
        <v>134</v>
      </c>
      <c r="D136" s="81" t="s">
        <v>80</v>
      </c>
      <c r="E136" s="114" t="s">
        <v>82</v>
      </c>
      <c r="F136" s="114"/>
      <c r="G136" s="114" t="s">
        <v>81</v>
      </c>
      <c r="H136" s="232"/>
      <c r="I136" s="13" t="s">
        <v>136</v>
      </c>
      <c r="J136" s="25">
        <f ca="1">H134*25%</f>
        <v>4</v>
      </c>
    </row>
    <row r="137" spans="1:10" x14ac:dyDescent="0.35">
      <c r="A137" s="139" t="s">
        <v>123</v>
      </c>
      <c r="B137" s="114"/>
      <c r="C137" s="81">
        <f ca="1">J138</f>
        <v>16</v>
      </c>
      <c r="D137" s="16">
        <f ca="1">((100/H134)*C137)/100</f>
        <v>1</v>
      </c>
      <c r="E137" s="133">
        <f ca="1">(((C138/H134*10)+(40/(D134+F134+H134)*C139)+(7.5/(H134)*C140)+(7.5/(H134)*C141)+(10/H134*C142)+(10/H134*C143)+(5/H134*C144)+(5/H134*C145)+(5/H134*C146))/100)</f>
        <v>0.59531250000000002</v>
      </c>
      <c r="F137" s="174"/>
      <c r="G137" s="133">
        <f ca="1">((((C137/H134)*20)+((C138/H134)*25)+(30/(H134+F134+D134)*C139)+(5/H134*C140)+(5/H134*C141)+(5/H134*C142)+(5/H134*C143)+(0/H134*C144)+(0/H134*C145)+(5/H134*C146))/100)</f>
        <v>0.80937499999999996</v>
      </c>
      <c r="H137" s="134"/>
      <c r="I137" s="13" t="s">
        <v>97</v>
      </c>
      <c r="J137" s="26">
        <f ca="1">H134*50%</f>
        <v>8</v>
      </c>
    </row>
    <row r="138" spans="1:10" x14ac:dyDescent="0.35">
      <c r="A138" s="139" t="s">
        <v>48</v>
      </c>
      <c r="B138" s="114"/>
      <c r="C138" s="81">
        <f ca="1">J146</f>
        <v>16</v>
      </c>
      <c r="D138" s="16">
        <f ca="1">((100/H134)*C138)/100</f>
        <v>1</v>
      </c>
      <c r="E138" s="135"/>
      <c r="F138" s="175"/>
      <c r="G138" s="135"/>
      <c r="H138" s="136"/>
      <c r="I138" s="13" t="s">
        <v>98</v>
      </c>
      <c r="J138" s="26">
        <f ca="1">H134</f>
        <v>16</v>
      </c>
    </row>
    <row r="139" spans="1:10" ht="15.75" customHeight="1" x14ac:dyDescent="0.35">
      <c r="A139" s="139" t="s">
        <v>124</v>
      </c>
      <c r="B139" s="114"/>
      <c r="C139" s="81">
        <v>17</v>
      </c>
      <c r="D139" s="16">
        <f ca="1">((100/(D134+F134+H134))*C139)/100</f>
        <v>1</v>
      </c>
      <c r="E139" s="135"/>
      <c r="F139" s="175"/>
      <c r="G139" s="135"/>
      <c r="H139" s="136"/>
      <c r="I139" s="13" t="s">
        <v>99</v>
      </c>
      <c r="J139" s="27">
        <f ca="1">(IF(B134&gt;1,(H134/(B134+2)),H134/4))</f>
        <v>4</v>
      </c>
    </row>
    <row r="140" spans="1:10" ht="15.75" customHeight="1" x14ac:dyDescent="0.35">
      <c r="A140" s="139" t="s">
        <v>131</v>
      </c>
      <c r="B140" s="114" t="s">
        <v>125</v>
      </c>
      <c r="C140" s="81">
        <v>15</v>
      </c>
      <c r="D140" s="16">
        <f ca="1">((100/H134)*C140)/100</f>
        <v>0.9375</v>
      </c>
      <c r="E140" s="135"/>
      <c r="F140" s="175"/>
      <c r="G140" s="135"/>
      <c r="H140" s="136"/>
      <c r="I140" s="13" t="s">
        <v>100</v>
      </c>
      <c r="J140" s="27">
        <f ca="1">(IF(B134&gt;1,(H134/(B134+2)+J139),H134/4+J139))</f>
        <v>8</v>
      </c>
    </row>
    <row r="141" spans="1:10" ht="15.75" customHeight="1" x14ac:dyDescent="0.35">
      <c r="A141" s="139" t="s">
        <v>132</v>
      </c>
      <c r="B141" s="114" t="s">
        <v>125</v>
      </c>
      <c r="C141" s="81">
        <v>0</v>
      </c>
      <c r="D141" s="16">
        <f ca="1">((100/H134)*C141)/100</f>
        <v>0</v>
      </c>
      <c r="E141" s="135"/>
      <c r="F141" s="175"/>
      <c r="G141" s="135"/>
      <c r="H141" s="136"/>
      <c r="I141" s="13" t="s">
        <v>143</v>
      </c>
      <c r="J141" s="27">
        <f>(IF(B134&gt;1,(H134/(B134+2)+J140),0))</f>
        <v>0</v>
      </c>
    </row>
    <row r="142" spans="1:10" ht="15" customHeight="1" x14ac:dyDescent="0.35">
      <c r="A142" s="139" t="s">
        <v>130</v>
      </c>
      <c r="B142" s="114" t="s">
        <v>127</v>
      </c>
      <c r="C142" s="81">
        <v>4</v>
      </c>
      <c r="D142" s="16">
        <f ca="1">((100/(H134))*C142)/100</f>
        <v>0.25</v>
      </c>
      <c r="E142" s="135"/>
      <c r="F142" s="175"/>
      <c r="G142" s="135"/>
      <c r="H142" s="136"/>
      <c r="I142" s="13" t="s">
        <v>138</v>
      </c>
      <c r="J142" s="27">
        <f>(IF(B134&gt;2,(H134/(B134+2)+J141),0))</f>
        <v>0</v>
      </c>
    </row>
    <row r="143" spans="1:10" ht="15.75" customHeight="1" x14ac:dyDescent="0.35">
      <c r="A143" s="139" t="s">
        <v>126</v>
      </c>
      <c r="B143" s="114" t="s">
        <v>126</v>
      </c>
      <c r="C143" s="81">
        <v>0</v>
      </c>
      <c r="D143" s="16">
        <f ca="1">((100/H134)*C143)/100</f>
        <v>0</v>
      </c>
      <c r="E143" s="135"/>
      <c r="F143" s="175"/>
      <c r="G143" s="135"/>
      <c r="H143" s="136"/>
      <c r="I143" s="13" t="s">
        <v>139</v>
      </c>
      <c r="J143" s="28">
        <f>(IF(B134&gt;3,(H134/(B134+2)+J142),0))</f>
        <v>0</v>
      </c>
    </row>
    <row r="144" spans="1:10" ht="15.75" customHeight="1" x14ac:dyDescent="0.35">
      <c r="A144" s="139" t="s">
        <v>133</v>
      </c>
      <c r="B144" s="114"/>
      <c r="C144" s="81">
        <v>0</v>
      </c>
      <c r="D144" s="16">
        <f ca="1">((100/H134)*C144)/100</f>
        <v>0</v>
      </c>
      <c r="E144" s="135"/>
      <c r="F144" s="175"/>
      <c r="G144" s="135"/>
      <c r="H144" s="136"/>
      <c r="I144" s="13" t="s">
        <v>140</v>
      </c>
      <c r="J144" s="27">
        <f>(IF(B134&gt;4,(H134/(B134+2)+J143),0))</f>
        <v>0</v>
      </c>
    </row>
    <row r="145" spans="1:22" ht="15.75" customHeight="1" x14ac:dyDescent="0.35">
      <c r="A145" s="139" t="s">
        <v>128</v>
      </c>
      <c r="B145" s="114" t="s">
        <v>128</v>
      </c>
      <c r="C145" s="81">
        <v>0</v>
      </c>
      <c r="D145" s="16">
        <f ca="1">((100/(H134))*C145)/100</f>
        <v>0</v>
      </c>
      <c r="E145" s="135"/>
      <c r="F145" s="175"/>
      <c r="G145" s="135"/>
      <c r="H145" s="136"/>
      <c r="I145" s="13" t="s">
        <v>144</v>
      </c>
      <c r="J145" s="27">
        <f ca="1">(IF(B134=1,(H134/(B134+3)+J140),IF(B134=0,(H134/4+J140),IF(B134&gt;1,0))))</f>
        <v>12</v>
      </c>
    </row>
    <row r="146" spans="1:22" ht="16" thickBot="1" x14ac:dyDescent="0.4">
      <c r="A146" s="112" t="s">
        <v>129</v>
      </c>
      <c r="B146" s="113"/>
      <c r="C146" s="82">
        <v>0</v>
      </c>
      <c r="D146" s="17">
        <f ca="1">((100/(H134))*C146)/100</f>
        <v>0</v>
      </c>
      <c r="E146" s="137"/>
      <c r="F146" s="176"/>
      <c r="G146" s="137"/>
      <c r="H146" s="138"/>
      <c r="I146" s="14" t="s">
        <v>101</v>
      </c>
      <c r="J146" s="29">
        <f ca="1">(IF(B134&gt;1.5,(H134/(B134+2)+J140+MAX(0,J141-J140)+MAX(0,J142-J141)+MAX(0,J143-J142)+MAX(0,J144-J143)+MAX(0,J145-J144)),IF(B134=1,(H134/(B134+3)+J145),IF(B134=0,H134/4+J145))))</f>
        <v>16</v>
      </c>
    </row>
    <row r="147" spans="1:22" x14ac:dyDescent="0.35">
      <c r="A147" s="143" t="s">
        <v>154</v>
      </c>
      <c r="B147" s="143"/>
      <c r="C147" s="143"/>
      <c r="D147" s="143"/>
      <c r="E147" s="143"/>
      <c r="F147" s="197" t="s">
        <v>158</v>
      </c>
      <c r="G147" s="197"/>
      <c r="H147" s="197"/>
      <c r="R147" t="s">
        <v>249</v>
      </c>
      <c r="S147" t="s">
        <v>170</v>
      </c>
      <c r="T147" t="s">
        <v>176</v>
      </c>
      <c r="U147" t="s">
        <v>191</v>
      </c>
      <c r="V147" t="s">
        <v>186</v>
      </c>
    </row>
    <row r="148" spans="1:22" x14ac:dyDescent="0.35">
      <c r="A148" s="116" t="s">
        <v>156</v>
      </c>
      <c r="B148" s="116"/>
      <c r="C148" s="116"/>
      <c r="D148" s="116"/>
      <c r="E148" s="116"/>
      <c r="F148" s="123">
        <v>4500</v>
      </c>
      <c r="G148" s="123"/>
      <c r="H148" s="123"/>
      <c r="I148" s="18" t="s">
        <v>398</v>
      </c>
      <c r="J148" s="18" t="s">
        <v>425</v>
      </c>
      <c r="R148"/>
      <c r="S148">
        <v>800000</v>
      </c>
      <c r="T148">
        <v>150000</v>
      </c>
      <c r="U148">
        <v>100000</v>
      </c>
      <c r="V148">
        <v>100000</v>
      </c>
    </row>
    <row r="149" spans="1:22" x14ac:dyDescent="0.35">
      <c r="A149" s="116" t="s">
        <v>155</v>
      </c>
      <c r="B149" s="116"/>
      <c r="C149" s="116"/>
      <c r="D149" s="116"/>
      <c r="E149" s="116"/>
      <c r="F149" s="123">
        <v>8000</v>
      </c>
      <c r="G149" s="123"/>
      <c r="H149" s="123"/>
      <c r="R149"/>
      <c r="S149">
        <v>900000</v>
      </c>
      <c r="T149">
        <v>200000</v>
      </c>
      <c r="U149">
        <v>150000</v>
      </c>
      <c r="V149">
        <v>150000</v>
      </c>
    </row>
    <row r="150" spans="1:22" hidden="1" x14ac:dyDescent="0.35">
      <c r="A150" s="116" t="s">
        <v>157</v>
      </c>
      <c r="B150" s="116"/>
      <c r="C150" s="116"/>
      <c r="D150" s="116"/>
      <c r="E150" s="116"/>
      <c r="F150" s="123"/>
      <c r="G150" s="123"/>
      <c r="H150" s="123"/>
      <c r="R150"/>
      <c r="S150">
        <v>1000000</v>
      </c>
      <c r="T150">
        <v>250000</v>
      </c>
      <c r="U150">
        <v>200000</v>
      </c>
      <c r="V150">
        <v>200000</v>
      </c>
    </row>
    <row r="151" spans="1:22" s="30" customFormat="1" x14ac:dyDescent="0.35">
      <c r="A151" s="142" t="s">
        <v>404</v>
      </c>
      <c r="B151" s="142"/>
      <c r="C151" s="142"/>
      <c r="D151" s="142"/>
      <c r="E151" s="142"/>
      <c r="F151" s="123">
        <v>60000</v>
      </c>
      <c r="G151" s="123"/>
      <c r="H151" s="123"/>
      <c r="I151" s="30" t="s">
        <v>406</v>
      </c>
      <c r="R151"/>
      <c r="S151">
        <v>1100000</v>
      </c>
      <c r="T151">
        <v>300000</v>
      </c>
      <c r="U151">
        <v>250000</v>
      </c>
      <c r="V151" s="20">
        <v>250000</v>
      </c>
    </row>
    <row r="152" spans="1:22" s="30" customFormat="1" x14ac:dyDescent="0.35">
      <c r="A152" s="116" t="s">
        <v>91</v>
      </c>
      <c r="B152" s="116"/>
      <c r="C152" s="116"/>
      <c r="D152" s="116"/>
      <c r="E152" s="116"/>
      <c r="F152" s="123">
        <v>140000</v>
      </c>
      <c r="G152" s="123"/>
      <c r="H152" s="123"/>
      <c r="I152" s="30" t="s">
        <v>427</v>
      </c>
      <c r="R152"/>
      <c r="S152">
        <v>1200000</v>
      </c>
      <c r="T152">
        <v>350000</v>
      </c>
      <c r="U152">
        <v>300000</v>
      </c>
      <c r="V152">
        <v>300000</v>
      </c>
    </row>
    <row r="153" spans="1:22" s="30" customFormat="1" hidden="1" x14ac:dyDescent="0.35">
      <c r="A153" s="116" t="s">
        <v>92</v>
      </c>
      <c r="B153" s="116"/>
      <c r="C153" s="116"/>
      <c r="D153" s="116"/>
      <c r="E153" s="116"/>
      <c r="F153" s="123"/>
      <c r="G153" s="123"/>
      <c r="H153" s="123"/>
      <c r="R153"/>
      <c r="S153">
        <v>1300000</v>
      </c>
      <c r="T153">
        <v>400000</v>
      </c>
      <c r="U153">
        <v>350000</v>
      </c>
      <c r="V153" s="20">
        <v>400000</v>
      </c>
    </row>
    <row r="154" spans="1:22" s="30" customFormat="1" hidden="1" x14ac:dyDescent="0.35">
      <c r="A154" s="116" t="s">
        <v>93</v>
      </c>
      <c r="B154" s="116"/>
      <c r="C154" s="116"/>
      <c r="D154" s="116"/>
      <c r="E154" s="116"/>
      <c r="F154" s="123"/>
      <c r="G154" s="123"/>
      <c r="H154" s="123"/>
      <c r="R154"/>
      <c r="S154">
        <v>1400000</v>
      </c>
      <c r="T154">
        <v>500000</v>
      </c>
      <c r="U154">
        <v>400000</v>
      </c>
      <c r="V154"/>
    </row>
    <row r="155" spans="1:22" s="30" customFormat="1" hidden="1" x14ac:dyDescent="0.35">
      <c r="A155" s="116" t="s">
        <v>94</v>
      </c>
      <c r="B155" s="116"/>
      <c r="C155" s="116"/>
      <c r="D155" s="116"/>
      <c r="E155" s="116"/>
      <c r="F155" s="123"/>
      <c r="G155" s="123"/>
      <c r="H155" s="123"/>
      <c r="R155"/>
      <c r="S155">
        <v>1500000</v>
      </c>
      <c r="T155">
        <v>600000</v>
      </c>
      <c r="U155">
        <v>500000</v>
      </c>
      <c r="V155" s="20"/>
    </row>
    <row r="156" spans="1:22" s="30" customFormat="1" hidden="1" x14ac:dyDescent="0.35">
      <c r="A156" s="116" t="s">
        <v>95</v>
      </c>
      <c r="B156" s="116"/>
      <c r="C156" s="116"/>
      <c r="D156" s="116"/>
      <c r="E156" s="116"/>
      <c r="F156" s="123"/>
      <c r="G156" s="123"/>
      <c r="H156" s="123"/>
      <c r="R156"/>
      <c r="S156">
        <v>1600000</v>
      </c>
      <c r="T156">
        <v>700000</v>
      </c>
      <c r="U156">
        <v>600000</v>
      </c>
      <c r="V156"/>
    </row>
    <row r="157" spans="1:22" s="30" customFormat="1" hidden="1" x14ac:dyDescent="0.35">
      <c r="A157" s="116" t="s">
        <v>96</v>
      </c>
      <c r="B157" s="116"/>
      <c r="C157" s="116"/>
      <c r="D157" s="116"/>
      <c r="E157" s="116"/>
      <c r="F157" s="123"/>
      <c r="G157" s="123"/>
      <c r="H157" s="123"/>
      <c r="R157"/>
      <c r="S157">
        <v>1700000</v>
      </c>
      <c r="T157">
        <v>800000</v>
      </c>
      <c r="U157"/>
      <c r="V157" s="20"/>
    </row>
    <row r="158" spans="1:22" x14ac:dyDescent="0.35">
      <c r="A158" s="116" t="s">
        <v>49</v>
      </c>
      <c r="B158" s="116"/>
      <c r="C158" s="116"/>
      <c r="D158" s="116"/>
      <c r="E158" s="116"/>
      <c r="F158" s="123">
        <v>200000</v>
      </c>
      <c r="G158" s="123"/>
      <c r="H158" s="123"/>
      <c r="R158"/>
      <c r="S158">
        <v>1800000</v>
      </c>
      <c r="T158">
        <v>900000</v>
      </c>
      <c r="U158"/>
    </row>
    <row r="159" spans="1:22" s="31" customFormat="1" x14ac:dyDescent="0.35">
      <c r="A159" s="124" t="s">
        <v>50</v>
      </c>
      <c r="B159" s="124"/>
      <c r="C159" s="124"/>
      <c r="D159" s="124"/>
      <c r="E159" s="124"/>
      <c r="F159" s="200">
        <f>F148*0.8</f>
        <v>3600</v>
      </c>
      <c r="G159" s="200"/>
      <c r="H159" s="200"/>
      <c r="R159" s="18"/>
      <c r="S159" s="18"/>
      <c r="T159">
        <v>1000000</v>
      </c>
      <c r="U159"/>
      <c r="V159" s="18"/>
    </row>
    <row r="160" spans="1:22" s="32" customFormat="1" ht="15.75" customHeight="1" x14ac:dyDescent="0.35">
      <c r="A160" s="120" t="s">
        <v>72</v>
      </c>
      <c r="B160" s="120"/>
      <c r="C160" s="120"/>
      <c r="D160" s="120"/>
      <c r="E160" s="120"/>
      <c r="F160" s="120"/>
      <c r="G160" s="120"/>
      <c r="H160" s="120"/>
      <c r="R160"/>
      <c r="S160" s="18"/>
      <c r="T160"/>
      <c r="U160"/>
      <c r="V160" s="18"/>
    </row>
    <row r="161" spans="1:22" s="32" customFormat="1" ht="15.75" customHeight="1" x14ac:dyDescent="0.35">
      <c r="A161" s="151" t="s">
        <v>51</v>
      </c>
      <c r="B161" s="151"/>
      <c r="C161" s="122" t="s">
        <v>75</v>
      </c>
      <c r="D161" s="122"/>
      <c r="E161" s="196" t="s">
        <v>52</v>
      </c>
      <c r="F161" s="196"/>
      <c r="G161" s="151" t="s">
        <v>53</v>
      </c>
      <c r="H161" s="151"/>
      <c r="R161"/>
      <c r="S161" s="18"/>
      <c r="T161"/>
      <c r="U161" s="18"/>
      <c r="V161" s="18"/>
    </row>
    <row r="162" spans="1:22" s="32" customFormat="1" ht="15.75" customHeight="1" x14ac:dyDescent="0.35">
      <c r="A162" s="108" t="s">
        <v>361</v>
      </c>
      <c r="B162" s="108"/>
      <c r="C162" s="109">
        <f>COUNT(D182:D194)</f>
        <v>13</v>
      </c>
      <c r="D162" s="117"/>
      <c r="E162" s="109">
        <f t="shared" ref="E162" si="0">SUM(F182:F194)</f>
        <v>2443.2127199999995</v>
      </c>
      <c r="F162" s="117"/>
      <c r="G162" s="109">
        <f t="shared" ref="G162" si="1">SUM(H182:H194)</f>
        <v>3664.8190799999993</v>
      </c>
      <c r="H162" s="117"/>
      <c r="R162"/>
      <c r="S162" s="18"/>
      <c r="T162"/>
      <c r="U162" s="18"/>
      <c r="V162" s="18"/>
    </row>
    <row r="163" spans="1:22" s="32" customFormat="1" hidden="1" x14ac:dyDescent="0.35">
      <c r="A163" s="108"/>
      <c r="B163" s="108"/>
      <c r="C163" s="117"/>
      <c r="D163" s="117"/>
      <c r="E163" s="118"/>
      <c r="F163" s="118"/>
      <c r="G163" s="119"/>
      <c r="H163" s="119"/>
      <c r="R163"/>
      <c r="S163" s="18"/>
      <c r="T163"/>
      <c r="U163" s="18"/>
      <c r="V163" s="18"/>
    </row>
    <row r="164" spans="1:22" s="32" customFormat="1" x14ac:dyDescent="0.35">
      <c r="A164" s="120" t="s">
        <v>148</v>
      </c>
      <c r="B164" s="120"/>
      <c r="C164" s="121">
        <f>C162</f>
        <v>13</v>
      </c>
      <c r="D164" s="122"/>
      <c r="E164" s="121">
        <f t="shared" ref="E164" si="2">E162</f>
        <v>2443.2127199999995</v>
      </c>
      <c r="F164" s="122"/>
      <c r="G164" s="121">
        <f t="shared" ref="G164" si="3">G162</f>
        <v>3664.8190799999993</v>
      </c>
      <c r="H164" s="122"/>
      <c r="R164"/>
      <c r="S164" s="18"/>
      <c r="T164"/>
      <c r="U164" s="18"/>
      <c r="V164" s="18"/>
    </row>
    <row r="165" spans="1:22" s="32" customFormat="1" x14ac:dyDescent="0.35">
      <c r="A165" s="120" t="s">
        <v>67</v>
      </c>
      <c r="B165" s="120"/>
      <c r="C165" s="120"/>
      <c r="D165" s="120"/>
      <c r="E165" s="120"/>
      <c r="F165" s="120"/>
      <c r="G165" s="120"/>
      <c r="H165" s="120"/>
      <c r="T165"/>
    </row>
    <row r="166" spans="1:22" s="32" customFormat="1" ht="15.75" customHeight="1" x14ac:dyDescent="0.35">
      <c r="A166" s="151" t="s">
        <v>51</v>
      </c>
      <c r="B166" s="151"/>
      <c r="C166" s="122" t="s">
        <v>75</v>
      </c>
      <c r="D166" s="122"/>
      <c r="E166" s="196" t="s">
        <v>52</v>
      </c>
      <c r="F166" s="196"/>
      <c r="G166" s="151" t="s">
        <v>53</v>
      </c>
      <c r="H166" s="151"/>
      <c r="T166"/>
    </row>
    <row r="167" spans="1:22" s="32" customFormat="1" x14ac:dyDescent="0.35">
      <c r="A167" s="108" t="s">
        <v>359</v>
      </c>
      <c r="B167" s="108"/>
      <c r="C167" s="109">
        <f>COUNT(D203:D212)*14+COUNT(D226:D234)*2</f>
        <v>158</v>
      </c>
      <c r="D167" s="109"/>
      <c r="E167" s="109">
        <f>SUM(F203:F212)*14+SUM(F226:F234)*2</f>
        <v>93313.116000000024</v>
      </c>
      <c r="F167" s="109"/>
      <c r="G167" s="109">
        <f>SUM(H203:H212)*14+SUM(H226:H234)*2</f>
        <v>139969.67399999997</v>
      </c>
      <c r="H167" s="109"/>
      <c r="T167"/>
    </row>
    <row r="168" spans="1:22" s="32" customFormat="1" x14ac:dyDescent="0.35">
      <c r="A168" s="108" t="s">
        <v>361</v>
      </c>
      <c r="B168" s="108"/>
      <c r="C168" s="109">
        <f>COUNT(D238:D245)+COUNT(D247:D254)*13+COUNT(D257:D263)*2</f>
        <v>126</v>
      </c>
      <c r="D168" s="109"/>
      <c r="E168" s="109">
        <f>SUM(F238:F245)+SUM(F247:F254)*13+SUM(F257:F263)*2</f>
        <v>71741.198879999996</v>
      </c>
      <c r="F168" s="109"/>
      <c r="G168" s="109">
        <f>SUM(H238:H245)+SUM(H247:H254)*13+SUM(H257:H263)*2</f>
        <v>107926.10711999997</v>
      </c>
      <c r="H168" s="109"/>
      <c r="T168"/>
    </row>
    <row r="169" spans="1:22" s="32" customFormat="1" x14ac:dyDescent="0.35">
      <c r="A169" s="108" t="s">
        <v>370</v>
      </c>
      <c r="B169" s="108"/>
      <c r="C169" s="109">
        <f>COUNT(D268:D275)*14+COUNT(D277:D283)*2</f>
        <v>126</v>
      </c>
      <c r="D169" s="109"/>
      <c r="E169" s="109">
        <f>SUM(F268:F275)*14+SUM(F277:F283)*2</f>
        <v>68142.578399999984</v>
      </c>
      <c r="F169" s="109"/>
      <c r="G169" s="109">
        <f>SUM(H268:H275)*14+SUM(H277:H283)*2</f>
        <v>102213.8676</v>
      </c>
      <c r="H169" s="109"/>
      <c r="T169"/>
    </row>
    <row r="170" spans="1:22" s="32" customFormat="1" x14ac:dyDescent="0.35">
      <c r="A170" s="108" t="s">
        <v>371</v>
      </c>
      <c r="B170" s="108"/>
      <c r="C170" s="109">
        <f>COUNT(D288:D299)*14+COUNT(D301:D309,D311:D312)*2</f>
        <v>190</v>
      </c>
      <c r="D170" s="109"/>
      <c r="E170" s="109">
        <f>SUM(F288:F299)*14+SUM(F301:F309,F311:F312)*2</f>
        <v>96612.927840000004</v>
      </c>
      <c r="F170" s="109"/>
      <c r="G170" s="109">
        <f>SUM(H288:H299)*14+SUM(H301:H309,H311:H312)*2</f>
        <v>144919.39175999997</v>
      </c>
      <c r="H170" s="109"/>
      <c r="T170"/>
    </row>
    <row r="171" spans="1:22" s="32" customFormat="1" x14ac:dyDescent="0.35">
      <c r="A171" s="108" t="s">
        <v>372</v>
      </c>
      <c r="B171" s="108"/>
      <c r="C171" s="109">
        <f>COUNT(D316:D325)*14+COUNT(D327:D334,D336)*2</f>
        <v>158</v>
      </c>
      <c r="D171" s="109"/>
      <c r="E171" s="109">
        <f>SUM(F316:F325)*14+SUM(F327:F334,F336)*2</f>
        <v>76373.163359999991</v>
      </c>
      <c r="F171" s="109"/>
      <c r="G171" s="109">
        <f>SUM(H316:H325)*14+SUM(H327:H334,H336)*2</f>
        <v>114559.74503999998</v>
      </c>
      <c r="H171" s="109"/>
      <c r="T171"/>
    </row>
    <row r="172" spans="1:22" s="32" customFormat="1" x14ac:dyDescent="0.35">
      <c r="A172" s="120" t="s">
        <v>148</v>
      </c>
      <c r="B172" s="120"/>
      <c r="C172" s="121">
        <f>SUM(C167:C171)</f>
        <v>758</v>
      </c>
      <c r="D172" s="122"/>
      <c r="E172" s="121">
        <f>SUM(E167:E171)</f>
        <v>406182.98448000004</v>
      </c>
      <c r="F172" s="122"/>
      <c r="G172" s="121">
        <f>SUM(G167:G171)</f>
        <v>609588.78551999992</v>
      </c>
      <c r="H172" s="122"/>
      <c r="T172"/>
    </row>
    <row r="173" spans="1:22" s="32" customFormat="1" ht="16" thickBot="1" x14ac:dyDescent="0.4">
      <c r="A173" s="247" t="s">
        <v>164</v>
      </c>
      <c r="B173" s="248"/>
      <c r="C173" s="249">
        <f>C164+C172</f>
        <v>771</v>
      </c>
      <c r="D173" s="249"/>
      <c r="E173" s="250">
        <f>E164+E172</f>
        <v>408626.19720000005</v>
      </c>
      <c r="F173" s="250"/>
      <c r="G173" s="251">
        <f>G164+G172</f>
        <v>613253.60459999996</v>
      </c>
      <c r="H173" s="252"/>
      <c r="T173"/>
    </row>
    <row r="174" spans="1:22" s="31" customFormat="1" x14ac:dyDescent="0.35">
      <c r="A174" s="197" t="s">
        <v>54</v>
      </c>
      <c r="B174" s="197"/>
      <c r="C174" s="197"/>
      <c r="D174" s="197"/>
      <c r="E174" s="197"/>
      <c r="F174" s="197"/>
      <c r="G174" s="197"/>
      <c r="H174" s="197"/>
      <c r="T174" s="32"/>
    </row>
    <row r="175" spans="1:22" x14ac:dyDescent="0.35">
      <c r="A175" s="223" t="s">
        <v>172</v>
      </c>
      <c r="B175" s="223"/>
      <c r="C175" s="223"/>
      <c r="D175" s="223"/>
      <c r="E175" s="223"/>
      <c r="F175" s="223"/>
      <c r="G175" s="223"/>
      <c r="H175" s="223"/>
      <c r="T175" s="32"/>
    </row>
    <row r="176" spans="1:22" ht="47.25" customHeight="1" x14ac:dyDescent="0.35">
      <c r="A176" s="140" t="s">
        <v>389</v>
      </c>
      <c r="B176" s="140" t="s">
        <v>173</v>
      </c>
      <c r="C176" s="140" t="s">
        <v>55</v>
      </c>
      <c r="D176" s="140" t="s">
        <v>355</v>
      </c>
      <c r="E176" s="145" t="s">
        <v>153</v>
      </c>
      <c r="F176" s="140" t="s">
        <v>56</v>
      </c>
      <c r="G176" s="145" t="s">
        <v>57</v>
      </c>
      <c r="H176" s="85" t="s">
        <v>146</v>
      </c>
      <c r="T176" s="32"/>
    </row>
    <row r="177" spans="1:20" s="34" customFormat="1" x14ac:dyDescent="0.35">
      <c r="A177" s="141"/>
      <c r="B177" s="141"/>
      <c r="C177" s="141"/>
      <c r="D177" s="141"/>
      <c r="E177" s="146"/>
      <c r="F177" s="141"/>
      <c r="G177" s="146"/>
      <c r="H177" s="86">
        <v>0.5</v>
      </c>
      <c r="T177" s="32"/>
    </row>
    <row r="178" spans="1:20" s="70" customFormat="1" hidden="1" x14ac:dyDescent="0.35">
      <c r="A178" s="105" t="s">
        <v>359</v>
      </c>
      <c r="B178" s="106"/>
      <c r="C178" s="106"/>
      <c r="D178" s="106"/>
      <c r="E178" s="106"/>
      <c r="F178" s="106"/>
      <c r="G178" s="106"/>
      <c r="H178" s="107"/>
      <c r="J178" s="33"/>
    </row>
    <row r="179" spans="1:20" s="70" customFormat="1" hidden="1" x14ac:dyDescent="0.35">
      <c r="A179" s="105" t="s">
        <v>362</v>
      </c>
      <c r="B179" s="106"/>
      <c r="C179" s="106"/>
      <c r="D179" s="106"/>
      <c r="E179" s="106"/>
      <c r="F179" s="106"/>
      <c r="G179" s="106"/>
      <c r="H179" s="107"/>
      <c r="J179" s="33"/>
      <c r="T179" s="32"/>
    </row>
    <row r="180" spans="1:20" s="70" customFormat="1" x14ac:dyDescent="0.35">
      <c r="A180" s="105" t="s">
        <v>390</v>
      </c>
      <c r="B180" s="106"/>
      <c r="C180" s="106"/>
      <c r="D180" s="106"/>
      <c r="E180" s="106"/>
      <c r="F180" s="106"/>
      <c r="G180" s="106"/>
      <c r="H180" s="107"/>
      <c r="J180" s="33"/>
    </row>
    <row r="181" spans="1:20" s="34" customFormat="1" x14ac:dyDescent="0.35">
      <c r="A181" s="105" t="s">
        <v>363</v>
      </c>
      <c r="B181" s="106"/>
      <c r="C181" s="106"/>
      <c r="D181" s="106"/>
      <c r="E181" s="106"/>
      <c r="F181" s="106"/>
      <c r="G181" s="106"/>
      <c r="H181" s="107"/>
      <c r="J181" s="33"/>
      <c r="T181" s="32"/>
    </row>
    <row r="182" spans="1:20" s="34" customFormat="1" ht="15.75" customHeight="1" x14ac:dyDescent="0.35">
      <c r="A182" s="147">
        <v>1</v>
      </c>
      <c r="B182" s="148"/>
      <c r="C182" s="39" t="s">
        <v>360</v>
      </c>
      <c r="D182" s="71">
        <f>(30.12)*10.764</f>
        <v>324.21168</v>
      </c>
      <c r="E182" s="39">
        <v>0</v>
      </c>
      <c r="F182" s="53">
        <f>D182+(IF(E182&lt;201,E182,IF(E182&lt;301,E182/2,E182/3)))</f>
        <v>324.21168</v>
      </c>
      <c r="G182" s="54">
        <v>0</v>
      </c>
      <c r="H182" s="53">
        <f>(F182+(IF(G182&lt;101,G182,IF(G182&lt;201,G182/2,IF(G182&lt;=301,G182/3,G182/4)))))*(($H$177)+1)</f>
        <v>486.31752</v>
      </c>
      <c r="I182" s="33">
        <f>4.67*6.45</f>
        <v>30.121500000000001</v>
      </c>
      <c r="J182" s="71">
        <v>10.763999999999999</v>
      </c>
      <c r="L182" s="110"/>
      <c r="M182" s="110"/>
      <c r="N182" s="33"/>
      <c r="T182" s="32"/>
    </row>
    <row r="183" spans="1:20" s="34" customFormat="1" ht="15.75" customHeight="1" x14ac:dyDescent="0.35">
      <c r="A183" s="147">
        <f>A182+1</f>
        <v>2</v>
      </c>
      <c r="B183" s="148"/>
      <c r="C183" s="69" t="s">
        <v>360</v>
      </c>
      <c r="D183" s="71">
        <f>(14.18)*10.764</f>
        <v>152.63351999999998</v>
      </c>
      <c r="E183" s="39">
        <v>0</v>
      </c>
      <c r="F183" s="53">
        <f t="shared" ref="F183:F185" si="4">D183+(IF(E183&lt;201,E183,IF(E183&lt;301,E183/2,E183/3)))</f>
        <v>152.63351999999998</v>
      </c>
      <c r="G183" s="47">
        <v>0</v>
      </c>
      <c r="H183" s="53">
        <f t="shared" ref="H183:H185" si="5">(F183+(IF(G183&lt;101,G183,IF(G183&lt;201,G183/2,IF(G183&lt;=301,G183/3,G183/4)))))*(($H$177)+1)</f>
        <v>228.95027999999996</v>
      </c>
      <c r="I183" s="33">
        <f>2.2*6.45</f>
        <v>14.190000000000001</v>
      </c>
      <c r="L183" s="110"/>
      <c r="M183" s="110"/>
      <c r="N183" s="33"/>
      <c r="T183" s="31"/>
    </row>
    <row r="184" spans="1:20" s="34" customFormat="1" ht="15.75" customHeight="1" x14ac:dyDescent="0.35">
      <c r="A184" s="147">
        <f>A183+1</f>
        <v>3</v>
      </c>
      <c r="B184" s="148"/>
      <c r="C184" s="69" t="s">
        <v>360</v>
      </c>
      <c r="D184" s="71">
        <f>(13.39)*10.764</f>
        <v>144.12996000000001</v>
      </c>
      <c r="E184" s="39">
        <v>0</v>
      </c>
      <c r="F184" s="53">
        <f t="shared" si="4"/>
        <v>144.12996000000001</v>
      </c>
      <c r="G184" s="47">
        <v>0</v>
      </c>
      <c r="H184" s="53">
        <f t="shared" si="5"/>
        <v>216.19494000000003</v>
      </c>
      <c r="I184" s="33"/>
      <c r="L184" s="110"/>
      <c r="M184" s="110"/>
      <c r="N184" s="33"/>
      <c r="T184" s="18"/>
    </row>
    <row r="185" spans="1:20" s="34" customFormat="1" ht="15.75" customHeight="1" x14ac:dyDescent="0.35">
      <c r="A185" s="147">
        <f>A184+1</f>
        <v>4</v>
      </c>
      <c r="B185" s="148"/>
      <c r="C185" s="69" t="s">
        <v>360</v>
      </c>
      <c r="D185" s="71">
        <f>(13.39)*10.764</f>
        <v>144.12996000000001</v>
      </c>
      <c r="E185" s="39">
        <v>0</v>
      </c>
      <c r="F185" s="53">
        <f t="shared" si="4"/>
        <v>144.12996000000001</v>
      </c>
      <c r="G185" s="47">
        <v>0</v>
      </c>
      <c r="H185" s="53">
        <f t="shared" si="5"/>
        <v>216.19494000000003</v>
      </c>
      <c r="I185" s="33">
        <f>2.05*6.45</f>
        <v>13.222499999999998</v>
      </c>
      <c r="L185" s="110"/>
      <c r="M185" s="110"/>
      <c r="N185" s="33"/>
      <c r="T185" s="18"/>
    </row>
    <row r="186" spans="1:20" s="70" customFormat="1" ht="15.75" customHeight="1" x14ac:dyDescent="0.35">
      <c r="A186" s="147">
        <f>A185+1</f>
        <v>5</v>
      </c>
      <c r="B186" s="148"/>
      <c r="C186" s="69" t="s">
        <v>360</v>
      </c>
      <c r="D186" s="71">
        <f>(14.18)*10.764</f>
        <v>152.63351999999998</v>
      </c>
      <c r="E186" s="69">
        <v>0</v>
      </c>
      <c r="F186" s="69">
        <f t="shared" ref="F186" si="6">D186+(IF(E186&lt;201,E186,IF(E186&lt;301,E186/2,E186/3)))</f>
        <v>152.63351999999998</v>
      </c>
      <c r="G186" s="69">
        <v>0</v>
      </c>
      <c r="H186" s="69">
        <f t="shared" ref="H186" si="7">(F186+(IF(G186&lt;101,G186,IF(G186&lt;201,G186/2,IF(G186&lt;=301,G186/3,G186/4)))))*(($H$177)+1)</f>
        <v>228.95027999999996</v>
      </c>
      <c r="I186" s="33"/>
      <c r="L186" s="110"/>
      <c r="M186" s="110"/>
      <c r="N186" s="33"/>
      <c r="T186" s="18"/>
    </row>
    <row r="187" spans="1:20" s="70" customFormat="1" ht="15.75" customHeight="1" x14ac:dyDescent="0.35">
      <c r="A187" s="147">
        <f t="shared" ref="A187:A191" si="8">A186+1</f>
        <v>6</v>
      </c>
      <c r="B187" s="148"/>
      <c r="C187" s="69" t="s">
        <v>360</v>
      </c>
      <c r="D187" s="71">
        <f>(18.38)*10.764</f>
        <v>197.84231999999997</v>
      </c>
      <c r="E187" s="69">
        <v>0</v>
      </c>
      <c r="F187" s="69">
        <f>D187+(IF(E187&lt;201,E187,IF(E187&lt;301,E187/2,E187/3)))</f>
        <v>197.84231999999997</v>
      </c>
      <c r="G187" s="54">
        <v>0</v>
      </c>
      <c r="H187" s="69">
        <f>(F187+(IF(G187&lt;101,G187,IF(G187&lt;201,G187/2,IF(G187&lt;=301,G187/3,G187/4)))))*(($H$177)+1)</f>
        <v>296.76347999999996</v>
      </c>
      <c r="I187" s="33"/>
      <c r="L187" s="110"/>
      <c r="M187" s="110"/>
      <c r="N187" s="33"/>
      <c r="T187" s="32"/>
    </row>
    <row r="188" spans="1:20" s="70" customFormat="1" ht="15.75" customHeight="1" x14ac:dyDescent="0.35">
      <c r="A188" s="147">
        <f t="shared" si="8"/>
        <v>7</v>
      </c>
      <c r="B188" s="148"/>
      <c r="C188" s="69" t="s">
        <v>360</v>
      </c>
      <c r="D188" s="71">
        <f>(22.57)*10.764</f>
        <v>242.94347999999999</v>
      </c>
      <c r="E188" s="69">
        <v>0</v>
      </c>
      <c r="F188" s="69">
        <f t="shared" ref="F188:F191" si="9">D188+(IF(E188&lt;201,E188,IF(E188&lt;301,E188/2,E188/3)))</f>
        <v>242.94347999999999</v>
      </c>
      <c r="G188" s="69">
        <v>0</v>
      </c>
      <c r="H188" s="69">
        <f t="shared" ref="H188:H191" si="10">(F188+(IF(G188&lt;101,G188,IF(G188&lt;201,G188/2,IF(G188&lt;=301,G188/3,G188/4)))))*(($H$177)+1)</f>
        <v>364.41521999999998</v>
      </c>
      <c r="I188" s="33">
        <f>3.5*6.45</f>
        <v>22.574999999999999</v>
      </c>
      <c r="L188" s="110"/>
      <c r="M188" s="110"/>
      <c r="N188" s="33"/>
      <c r="T188" s="31"/>
    </row>
    <row r="189" spans="1:20" s="70" customFormat="1" ht="15.75" customHeight="1" x14ac:dyDescent="0.35">
      <c r="A189" s="147">
        <f t="shared" si="8"/>
        <v>8</v>
      </c>
      <c r="B189" s="148"/>
      <c r="C189" s="69" t="s">
        <v>360</v>
      </c>
      <c r="D189" s="71">
        <f>(18.38)*10.764</f>
        <v>197.84231999999997</v>
      </c>
      <c r="E189" s="69">
        <v>0</v>
      </c>
      <c r="F189" s="69">
        <f t="shared" si="9"/>
        <v>197.84231999999997</v>
      </c>
      <c r="G189" s="69">
        <v>0</v>
      </c>
      <c r="H189" s="69">
        <f t="shared" si="10"/>
        <v>296.76347999999996</v>
      </c>
      <c r="I189" s="33"/>
      <c r="L189" s="110"/>
      <c r="M189" s="110"/>
      <c r="N189" s="33"/>
      <c r="T189" s="18"/>
    </row>
    <row r="190" spans="1:20" s="70" customFormat="1" ht="15.75" customHeight="1" x14ac:dyDescent="0.35">
      <c r="A190" s="147">
        <f t="shared" si="8"/>
        <v>9</v>
      </c>
      <c r="B190" s="148"/>
      <c r="C190" s="69" t="s">
        <v>360</v>
      </c>
      <c r="D190" s="71">
        <f>(14.18)*10.764</f>
        <v>152.63351999999998</v>
      </c>
      <c r="E190" s="69">
        <v>0</v>
      </c>
      <c r="F190" s="69">
        <f t="shared" si="9"/>
        <v>152.63351999999998</v>
      </c>
      <c r="G190" s="69">
        <v>0</v>
      </c>
      <c r="H190" s="69">
        <f t="shared" si="10"/>
        <v>228.95027999999996</v>
      </c>
      <c r="I190" s="33"/>
      <c r="L190" s="110"/>
      <c r="M190" s="110"/>
      <c r="N190" s="33"/>
      <c r="T190" s="18"/>
    </row>
    <row r="191" spans="1:20" s="70" customFormat="1" ht="15.75" customHeight="1" x14ac:dyDescent="0.35">
      <c r="A191" s="147">
        <f t="shared" si="8"/>
        <v>10</v>
      </c>
      <c r="B191" s="148"/>
      <c r="C191" s="69" t="s">
        <v>360</v>
      </c>
      <c r="D191" s="71">
        <f>(13.39)*10.764</f>
        <v>144.12996000000001</v>
      </c>
      <c r="E191" s="69">
        <v>0</v>
      </c>
      <c r="F191" s="69">
        <f t="shared" si="9"/>
        <v>144.12996000000001</v>
      </c>
      <c r="G191" s="69">
        <v>0</v>
      </c>
      <c r="H191" s="69">
        <f t="shared" si="10"/>
        <v>216.19494000000003</v>
      </c>
      <c r="I191" s="33"/>
      <c r="L191" s="110"/>
      <c r="M191" s="110"/>
      <c r="N191" s="33"/>
      <c r="T191" s="18"/>
    </row>
    <row r="192" spans="1:20" s="70" customFormat="1" ht="15.75" customHeight="1" x14ac:dyDescent="0.35">
      <c r="A192" s="147">
        <f t="shared" ref="A192:A194" si="11">A191+1</f>
        <v>11</v>
      </c>
      <c r="B192" s="148"/>
      <c r="C192" s="69" t="s">
        <v>360</v>
      </c>
      <c r="D192" s="71">
        <f>(13.39)*10.764</f>
        <v>144.12996000000001</v>
      </c>
      <c r="E192" s="69">
        <v>0</v>
      </c>
      <c r="F192" s="69">
        <f t="shared" ref="F192:F194" si="12">D192+(IF(E192&lt;201,E192,IF(E192&lt;301,E192/2,E192/3)))</f>
        <v>144.12996000000001</v>
      </c>
      <c r="G192" s="69">
        <v>0</v>
      </c>
      <c r="H192" s="69">
        <f t="shared" ref="H192:H194" si="13">(F192+(IF(G192&lt;101,G192,IF(G192&lt;201,G192/2,IF(G192&lt;=301,G192/3,G192/4)))))*(($H$177)+1)</f>
        <v>216.19494000000003</v>
      </c>
      <c r="I192" s="33"/>
      <c r="L192" s="110"/>
      <c r="M192" s="110"/>
      <c r="N192" s="33"/>
      <c r="T192" s="18"/>
    </row>
    <row r="193" spans="1:20" s="70" customFormat="1" ht="15.75" customHeight="1" x14ac:dyDescent="0.35">
      <c r="A193" s="147">
        <f t="shared" si="11"/>
        <v>12</v>
      </c>
      <c r="B193" s="148"/>
      <c r="C193" s="69" t="s">
        <v>360</v>
      </c>
      <c r="D193" s="71">
        <f>(14.18)*10.764</f>
        <v>152.63351999999998</v>
      </c>
      <c r="E193" s="69">
        <v>0</v>
      </c>
      <c r="F193" s="69">
        <f t="shared" si="12"/>
        <v>152.63351999999998</v>
      </c>
      <c r="G193" s="69">
        <v>0</v>
      </c>
      <c r="H193" s="69">
        <f t="shared" si="13"/>
        <v>228.95027999999996</v>
      </c>
      <c r="I193" s="33"/>
      <c r="L193" s="110"/>
      <c r="M193" s="110"/>
      <c r="N193" s="33"/>
      <c r="T193" s="18"/>
    </row>
    <row r="194" spans="1:20" s="70" customFormat="1" ht="15.75" customHeight="1" x14ac:dyDescent="0.35">
      <c r="A194" s="147">
        <f t="shared" si="11"/>
        <v>13</v>
      </c>
      <c r="B194" s="148"/>
      <c r="C194" s="69" t="s">
        <v>360</v>
      </c>
      <c r="D194" s="71">
        <f>(27.25)*10.764</f>
        <v>293.31899999999996</v>
      </c>
      <c r="E194" s="69">
        <v>0</v>
      </c>
      <c r="F194" s="69">
        <f t="shared" si="12"/>
        <v>293.31899999999996</v>
      </c>
      <c r="G194" s="69">
        <v>0</v>
      </c>
      <c r="H194" s="69">
        <f t="shared" si="13"/>
        <v>439.97849999999994</v>
      </c>
      <c r="I194" s="33"/>
      <c r="L194" s="110"/>
      <c r="M194" s="110"/>
      <c r="N194" s="33"/>
      <c r="T194" s="18"/>
    </row>
    <row r="195" spans="1:20" s="75" customFormat="1" hidden="1" x14ac:dyDescent="0.35">
      <c r="A195" s="105" t="s">
        <v>378</v>
      </c>
      <c r="B195" s="106"/>
      <c r="C195" s="106"/>
      <c r="D195" s="106"/>
      <c r="E195" s="106"/>
      <c r="F195" s="106"/>
      <c r="G195" s="106"/>
      <c r="H195" s="107"/>
      <c r="J195" s="33"/>
    </row>
    <row r="196" spans="1:20" s="75" customFormat="1" hidden="1" x14ac:dyDescent="0.35">
      <c r="A196" s="105" t="s">
        <v>362</v>
      </c>
      <c r="B196" s="106"/>
      <c r="C196" s="106"/>
      <c r="D196" s="106"/>
      <c r="E196" s="106"/>
      <c r="F196" s="106"/>
      <c r="G196" s="106"/>
      <c r="H196" s="107"/>
      <c r="J196" s="33"/>
      <c r="T196" s="32"/>
    </row>
    <row r="197" spans="1:20" s="75" customFormat="1" x14ac:dyDescent="0.35">
      <c r="A197" s="147"/>
      <c r="B197" s="233"/>
      <c r="C197" s="233"/>
      <c r="D197" s="233"/>
      <c r="E197" s="233"/>
      <c r="F197" s="233"/>
      <c r="G197" s="233"/>
      <c r="H197" s="148"/>
      <c r="I197" s="33"/>
      <c r="N197" s="33"/>
    </row>
    <row r="198" spans="1:20" ht="47.25" customHeight="1" x14ac:dyDescent="0.35">
      <c r="A198" s="198" t="s">
        <v>391</v>
      </c>
      <c r="B198" s="140" t="s">
        <v>174</v>
      </c>
      <c r="C198" s="140" t="s">
        <v>55</v>
      </c>
      <c r="D198" s="140" t="s">
        <v>355</v>
      </c>
      <c r="E198" s="140" t="s">
        <v>364</v>
      </c>
      <c r="F198" s="140" t="s">
        <v>56</v>
      </c>
      <c r="G198" s="145" t="s">
        <v>57</v>
      </c>
      <c r="H198" s="85" t="s">
        <v>146</v>
      </c>
      <c r="I198" s="33"/>
      <c r="T198" s="34"/>
    </row>
    <row r="199" spans="1:20" s="34" customFormat="1" x14ac:dyDescent="0.35">
      <c r="A199" s="199"/>
      <c r="B199" s="141"/>
      <c r="C199" s="141"/>
      <c r="D199" s="141"/>
      <c r="E199" s="141"/>
      <c r="F199" s="141"/>
      <c r="G199" s="146"/>
      <c r="H199" s="86">
        <v>0.5</v>
      </c>
      <c r="I199" s="33"/>
    </row>
    <row r="200" spans="1:20" s="70" customFormat="1" x14ac:dyDescent="0.35">
      <c r="A200" s="105" t="s">
        <v>392</v>
      </c>
      <c r="B200" s="106"/>
      <c r="C200" s="106"/>
      <c r="D200" s="106"/>
      <c r="E200" s="106"/>
      <c r="F200" s="106"/>
      <c r="G200" s="106"/>
      <c r="H200" s="107"/>
      <c r="J200" s="33"/>
    </row>
    <row r="201" spans="1:20" s="70" customFormat="1" x14ac:dyDescent="0.35">
      <c r="A201" s="105" t="s">
        <v>362</v>
      </c>
      <c r="B201" s="106"/>
      <c r="C201" s="106"/>
      <c r="D201" s="106"/>
      <c r="E201" s="106"/>
      <c r="F201" s="106"/>
      <c r="G201" s="106"/>
      <c r="H201" s="107"/>
      <c r="J201" s="33"/>
      <c r="T201" s="32"/>
    </row>
    <row r="202" spans="1:20" s="34" customFormat="1" x14ac:dyDescent="0.35">
      <c r="A202" s="111" t="s">
        <v>395</v>
      </c>
      <c r="B202" s="111"/>
      <c r="C202" s="111"/>
      <c r="D202" s="111"/>
      <c r="E202" s="111"/>
      <c r="F202" s="111"/>
      <c r="G202" s="111"/>
      <c r="H202" s="111"/>
      <c r="J202" s="33"/>
    </row>
    <row r="203" spans="1:20" s="34" customFormat="1" ht="15.75" customHeight="1" x14ac:dyDescent="0.35">
      <c r="A203" s="104">
        <v>1</v>
      </c>
      <c r="B203" s="104"/>
      <c r="C203" s="95" t="s">
        <v>357</v>
      </c>
      <c r="D203" s="95">
        <f>(36.4)*10.764</f>
        <v>391.80959999999999</v>
      </c>
      <c r="E203" s="95">
        <f>(2.75*1.2+2.2*1.2+2.1*1.2)*10.764</f>
        <v>91.063439999999986</v>
      </c>
      <c r="F203" s="95">
        <f t="shared" ref="F203:F212" si="14">D203+E203</f>
        <v>482.87303999999995</v>
      </c>
      <c r="G203" s="95">
        <v>0</v>
      </c>
      <c r="H203" s="95">
        <f t="shared" ref="H203:H212" si="15">F203*(($H$199)+1)+(IF(G203&lt;101,G203,IF(G203&lt;201,G203/2,IF(G203&lt;=301,G203/3,G203/4))))</f>
        <v>724.30955999999992</v>
      </c>
      <c r="I203" s="87">
        <f>2.9*4.05+2.2*2.45+2.75*3.5+1.2*2+1.2*0.85+1.2*2+0.9*1.6</f>
        <v>34.019999999999996</v>
      </c>
      <c r="J203" s="33">
        <f>1.2*(2.1+2.2+2.75)</f>
        <v>8.4600000000000009</v>
      </c>
      <c r="K203" s="88">
        <f>I203+J203</f>
        <v>42.48</v>
      </c>
      <c r="L203" s="110"/>
      <c r="M203" s="110"/>
      <c r="N203" s="33"/>
    </row>
    <row r="204" spans="1:20" s="34" customFormat="1" ht="15.75" customHeight="1" x14ac:dyDescent="0.35">
      <c r="A204" s="104">
        <f>A203+1</f>
        <v>2</v>
      </c>
      <c r="B204" s="104"/>
      <c r="C204" s="95" t="s">
        <v>358</v>
      </c>
      <c r="D204" s="95">
        <f t="shared" ref="D204:D209" si="16">(50.95)*10.764</f>
        <v>548.42579999999998</v>
      </c>
      <c r="E204" s="95">
        <f>(2*1.2+2.2*1.2+2.85*1.2+1.6*1.2)*10.764</f>
        <v>111.73032000000001</v>
      </c>
      <c r="F204" s="95">
        <f t="shared" si="14"/>
        <v>660.15611999999999</v>
      </c>
      <c r="G204" s="95">
        <v>0</v>
      </c>
      <c r="H204" s="95">
        <f t="shared" si="15"/>
        <v>990.23417999999992</v>
      </c>
      <c r="I204" s="33">
        <f>2.9*5.9+2.25*2.3+2.85*3.15+3.5*2.75+1.2*2.1+1.2*2.1+2.7*0.9</f>
        <v>48.357500000000009</v>
      </c>
      <c r="J204" s="33">
        <f>2.9*5.9+2.2*2.3+2.85*3.15+3.5*2.75+1.2*2.1+1.2*2.1+0.9*2.5</f>
        <v>48.0625</v>
      </c>
      <c r="L204" s="110"/>
      <c r="M204" s="110"/>
      <c r="N204" s="33"/>
    </row>
    <row r="205" spans="1:20" s="34" customFormat="1" ht="15.75" customHeight="1" x14ac:dyDescent="0.35">
      <c r="A205" s="104">
        <f>A204+1</f>
        <v>3</v>
      </c>
      <c r="B205" s="104"/>
      <c r="C205" s="95" t="s">
        <v>358</v>
      </c>
      <c r="D205" s="95">
        <f t="shared" si="16"/>
        <v>548.42579999999998</v>
      </c>
      <c r="E205" s="95">
        <f t="shared" ref="E205:E209" si="17">(2*1.2+2.2*1.2+2.85*1.2+1.6*1.2)*10.764</f>
        <v>111.73032000000001</v>
      </c>
      <c r="F205" s="95">
        <f t="shared" si="14"/>
        <v>660.15611999999999</v>
      </c>
      <c r="G205" s="95">
        <v>0</v>
      </c>
      <c r="H205" s="95">
        <f t="shared" si="15"/>
        <v>990.23417999999992</v>
      </c>
      <c r="I205" s="33"/>
      <c r="J205" s="33"/>
      <c r="L205" s="110"/>
      <c r="M205" s="110"/>
      <c r="N205" s="33"/>
    </row>
    <row r="206" spans="1:20" s="34" customFormat="1" ht="15.75" customHeight="1" x14ac:dyDescent="0.35">
      <c r="A206" s="104">
        <f>A205+1</f>
        <v>4</v>
      </c>
      <c r="B206" s="104"/>
      <c r="C206" s="95" t="s">
        <v>358</v>
      </c>
      <c r="D206" s="95">
        <f t="shared" si="16"/>
        <v>548.42579999999998</v>
      </c>
      <c r="E206" s="95">
        <f t="shared" si="17"/>
        <v>111.73032000000001</v>
      </c>
      <c r="F206" s="95">
        <f t="shared" si="14"/>
        <v>660.15611999999999</v>
      </c>
      <c r="G206" s="95">
        <v>0</v>
      </c>
      <c r="H206" s="95">
        <f t="shared" si="15"/>
        <v>990.23417999999992</v>
      </c>
      <c r="I206" s="33"/>
      <c r="J206" s="33">
        <f>(2.75*1.2+2.2*1.2+2.85*1.2+1.75*1.2)</f>
        <v>11.459999999999999</v>
      </c>
      <c r="L206" s="110"/>
      <c r="M206" s="110"/>
      <c r="N206" s="33"/>
      <c r="T206" s="18"/>
    </row>
    <row r="207" spans="1:20" s="70" customFormat="1" ht="15.75" customHeight="1" x14ac:dyDescent="0.35">
      <c r="A207" s="104">
        <f>A206+1</f>
        <v>5</v>
      </c>
      <c r="B207" s="104"/>
      <c r="C207" s="95" t="s">
        <v>358</v>
      </c>
      <c r="D207" s="95">
        <f t="shared" si="16"/>
        <v>548.42579999999998</v>
      </c>
      <c r="E207" s="95">
        <f t="shared" si="17"/>
        <v>111.73032000000001</v>
      </c>
      <c r="F207" s="95">
        <f t="shared" si="14"/>
        <v>660.15611999999999</v>
      </c>
      <c r="G207" s="95">
        <v>0</v>
      </c>
      <c r="H207" s="95">
        <f t="shared" si="15"/>
        <v>990.23417999999992</v>
      </c>
      <c r="I207" s="33"/>
      <c r="J207" s="33"/>
      <c r="L207" s="110"/>
      <c r="M207" s="110"/>
      <c r="N207" s="33"/>
      <c r="T207" s="18"/>
    </row>
    <row r="208" spans="1:20" s="70" customFormat="1" ht="15.75" customHeight="1" x14ac:dyDescent="0.35">
      <c r="A208" s="104">
        <f t="shared" ref="A208:A212" si="18">A207+1</f>
        <v>6</v>
      </c>
      <c r="B208" s="104"/>
      <c r="C208" s="95" t="s">
        <v>358</v>
      </c>
      <c r="D208" s="95">
        <f t="shared" si="16"/>
        <v>548.42579999999998</v>
      </c>
      <c r="E208" s="95">
        <f t="shared" si="17"/>
        <v>111.73032000000001</v>
      </c>
      <c r="F208" s="95">
        <f t="shared" si="14"/>
        <v>660.15611999999999</v>
      </c>
      <c r="G208" s="95">
        <v>0</v>
      </c>
      <c r="H208" s="95">
        <f t="shared" si="15"/>
        <v>990.23417999999992</v>
      </c>
      <c r="I208" s="33"/>
      <c r="J208" s="33"/>
      <c r="L208" s="110"/>
      <c r="M208" s="110"/>
      <c r="N208" s="33"/>
    </row>
    <row r="209" spans="1:20" s="70" customFormat="1" ht="15.75" customHeight="1" x14ac:dyDescent="0.35">
      <c r="A209" s="104">
        <f t="shared" si="18"/>
        <v>7</v>
      </c>
      <c r="B209" s="104"/>
      <c r="C209" s="95" t="s">
        <v>358</v>
      </c>
      <c r="D209" s="95">
        <f t="shared" si="16"/>
        <v>548.42579999999998</v>
      </c>
      <c r="E209" s="95">
        <f t="shared" si="17"/>
        <v>111.73032000000001</v>
      </c>
      <c r="F209" s="95">
        <f t="shared" si="14"/>
        <v>660.15611999999999</v>
      </c>
      <c r="G209" s="95">
        <v>0</v>
      </c>
      <c r="H209" s="95">
        <f t="shared" si="15"/>
        <v>990.23417999999992</v>
      </c>
      <c r="I209" s="33"/>
      <c r="J209" s="33"/>
      <c r="L209" s="110"/>
      <c r="M209" s="110"/>
      <c r="N209" s="33"/>
    </row>
    <row r="210" spans="1:20" s="70" customFormat="1" ht="15.75" customHeight="1" x14ac:dyDescent="0.35">
      <c r="A210" s="147">
        <f t="shared" si="18"/>
        <v>8</v>
      </c>
      <c r="B210" s="148"/>
      <c r="C210" s="69" t="s">
        <v>357</v>
      </c>
      <c r="D210" s="71">
        <f>(36.4)*10.764</f>
        <v>391.80959999999999</v>
      </c>
      <c r="E210" s="79">
        <f t="shared" ref="E210:E212" si="19">(2.75*1.2+2.2*1.2+2.1*1.2)*10.764</f>
        <v>91.063439999999986</v>
      </c>
      <c r="F210" s="69">
        <f t="shared" si="14"/>
        <v>482.87303999999995</v>
      </c>
      <c r="G210" s="69">
        <v>0</v>
      </c>
      <c r="H210" s="69">
        <f t="shared" si="15"/>
        <v>724.30955999999992</v>
      </c>
      <c r="I210" s="33">
        <f>2.9*4.05+2.2*2.45+2.75*3.5+1.2*2+1.2*2+1.2*0.85+1.15*0.85+1.45*0.9</f>
        <v>34.862499999999997</v>
      </c>
      <c r="J210" s="33"/>
      <c r="L210" s="110"/>
      <c r="M210" s="110"/>
      <c r="N210" s="33"/>
    </row>
    <row r="211" spans="1:20" s="70" customFormat="1" ht="15.75" customHeight="1" x14ac:dyDescent="0.35">
      <c r="A211" s="147">
        <f t="shared" si="18"/>
        <v>9</v>
      </c>
      <c r="B211" s="148"/>
      <c r="C211" s="69" t="s">
        <v>357</v>
      </c>
      <c r="D211" s="71">
        <f>(36.4)*10.764</f>
        <v>391.80959999999999</v>
      </c>
      <c r="E211" s="79">
        <f t="shared" si="19"/>
        <v>91.063439999999986</v>
      </c>
      <c r="F211" s="69">
        <f t="shared" si="14"/>
        <v>482.87303999999995</v>
      </c>
      <c r="G211" s="69">
        <v>0</v>
      </c>
      <c r="H211" s="69">
        <f t="shared" si="15"/>
        <v>724.30955999999992</v>
      </c>
      <c r="I211" s="33"/>
      <c r="J211" s="33"/>
      <c r="L211" s="110"/>
      <c r="M211" s="110"/>
      <c r="N211" s="33"/>
      <c r="T211" s="18"/>
    </row>
    <row r="212" spans="1:20" s="70" customFormat="1" ht="15.75" customHeight="1" x14ac:dyDescent="0.35">
      <c r="A212" s="147">
        <f t="shared" si="18"/>
        <v>10</v>
      </c>
      <c r="B212" s="148"/>
      <c r="C212" s="69" t="s">
        <v>357</v>
      </c>
      <c r="D212" s="71">
        <f>(36.4)*10.764</f>
        <v>391.80959999999999</v>
      </c>
      <c r="E212" s="79">
        <f t="shared" si="19"/>
        <v>91.063439999999986</v>
      </c>
      <c r="F212" s="69">
        <f t="shared" si="14"/>
        <v>482.87303999999995</v>
      </c>
      <c r="G212" s="69">
        <v>0</v>
      </c>
      <c r="H212" s="69">
        <f t="shared" si="15"/>
        <v>724.30955999999992</v>
      </c>
      <c r="I212" s="33"/>
      <c r="J212" s="33"/>
      <c r="L212" s="110"/>
      <c r="M212" s="110"/>
      <c r="N212" s="33"/>
      <c r="T212" s="18"/>
    </row>
    <row r="213" spans="1:20" s="80" customFormat="1" x14ac:dyDescent="0.35">
      <c r="A213" s="105" t="s">
        <v>396</v>
      </c>
      <c r="B213" s="106"/>
      <c r="C213" s="106"/>
      <c r="D213" s="106"/>
      <c r="E213" s="106"/>
      <c r="F213" s="106"/>
      <c r="G213" s="106"/>
      <c r="H213" s="107"/>
      <c r="J213" s="33"/>
    </row>
    <row r="214" spans="1:20" s="80" customFormat="1" ht="15.75" customHeight="1" x14ac:dyDescent="0.35">
      <c r="A214" s="147">
        <v>1</v>
      </c>
      <c r="B214" s="148"/>
      <c r="C214" s="79" t="s">
        <v>357</v>
      </c>
      <c r="D214" s="79">
        <f>(36.4)*10.764</f>
        <v>391.80959999999999</v>
      </c>
      <c r="E214" s="79">
        <f>(2.75*1.2+2.2*1.2+2.1*1.2)*10.764</f>
        <v>91.063439999999986</v>
      </c>
      <c r="F214" s="79">
        <f t="shared" ref="F214:F223" si="20">D214+E214</f>
        <v>482.87303999999995</v>
      </c>
      <c r="G214" s="79">
        <v>0</v>
      </c>
      <c r="H214" s="79">
        <f t="shared" ref="H214:H223" si="21">F214*(($H$199)+1)+(IF(G214&lt;101,G214,IF(G214&lt;201,G214/2,IF(G214&lt;=301,G214/3,G214/4))))</f>
        <v>724.30955999999992</v>
      </c>
      <c r="I214" s="87">
        <f>3400000/H214</f>
        <v>4694.1255338394267</v>
      </c>
      <c r="J214" s="33">
        <f>3400000*0.07</f>
        <v>238000.00000000003</v>
      </c>
      <c r="K214" s="88">
        <f>3400000-J214</f>
        <v>3162000</v>
      </c>
      <c r="L214" s="110">
        <f>K214/H214</f>
        <v>4365.5367464706669</v>
      </c>
      <c r="M214" s="110"/>
      <c r="N214" s="33"/>
    </row>
    <row r="215" spans="1:20" s="80" customFormat="1" ht="15.75" customHeight="1" x14ac:dyDescent="0.35">
      <c r="A215" s="147">
        <f>A214+1</f>
        <v>2</v>
      </c>
      <c r="B215" s="148"/>
      <c r="C215" s="79" t="s">
        <v>358</v>
      </c>
      <c r="D215" s="79">
        <f t="shared" ref="D215:D220" si="22">(50.95)*10.764</f>
        <v>548.42579999999998</v>
      </c>
      <c r="E215" s="79">
        <f>(2*1.2+2.2*1.2+2.85*1.2+1.6*1.2)*10.764</f>
        <v>111.73032000000001</v>
      </c>
      <c r="F215" s="79">
        <f t="shared" si="20"/>
        <v>660.15611999999999</v>
      </c>
      <c r="G215" s="79">
        <v>0</v>
      </c>
      <c r="H215" s="79">
        <f t="shared" si="21"/>
        <v>990.23417999999992</v>
      </c>
      <c r="I215" s="33">
        <f>5400000/H215</f>
        <v>5453.2555117416778</v>
      </c>
      <c r="J215" s="33">
        <f>5400000*0.12</f>
        <v>648000</v>
      </c>
      <c r="K215" s="33">
        <f>5400000-J215</f>
        <v>4752000</v>
      </c>
      <c r="L215" s="110">
        <f>K215/H215</f>
        <v>4798.8648503326758</v>
      </c>
      <c r="M215" s="110"/>
      <c r="N215" s="33"/>
    </row>
    <row r="216" spans="1:20" s="80" customFormat="1" ht="15.75" customHeight="1" x14ac:dyDescent="0.35">
      <c r="A216" s="147">
        <f>A215+1</f>
        <v>3</v>
      </c>
      <c r="B216" s="148"/>
      <c r="C216" s="79" t="s">
        <v>358</v>
      </c>
      <c r="D216" s="79">
        <f t="shared" si="22"/>
        <v>548.42579999999998</v>
      </c>
      <c r="E216" s="79">
        <f t="shared" ref="E216:E220" si="23">(2*1.2+2.2*1.2+2.85*1.2+1.6*1.2)*10.764</f>
        <v>111.73032000000001</v>
      </c>
      <c r="F216" s="79">
        <f t="shared" si="20"/>
        <v>660.15611999999999</v>
      </c>
      <c r="G216" s="79">
        <v>0</v>
      </c>
      <c r="H216" s="79">
        <f t="shared" si="21"/>
        <v>990.23417999999992</v>
      </c>
      <c r="I216" s="33"/>
      <c r="J216" s="33"/>
      <c r="L216" s="110"/>
      <c r="M216" s="110"/>
      <c r="N216" s="33"/>
    </row>
    <row r="217" spans="1:20" s="80" customFormat="1" ht="15.75" customHeight="1" x14ac:dyDescent="0.35">
      <c r="A217" s="147">
        <f>A216+1</f>
        <v>4</v>
      </c>
      <c r="B217" s="148"/>
      <c r="C217" s="79" t="s">
        <v>358</v>
      </c>
      <c r="D217" s="79">
        <f t="shared" si="22"/>
        <v>548.42579999999998</v>
      </c>
      <c r="E217" s="79">
        <f t="shared" si="23"/>
        <v>111.73032000000001</v>
      </c>
      <c r="F217" s="79">
        <f t="shared" si="20"/>
        <v>660.15611999999999</v>
      </c>
      <c r="G217" s="79">
        <v>0</v>
      </c>
      <c r="H217" s="79">
        <f t="shared" si="21"/>
        <v>990.23417999999992</v>
      </c>
      <c r="I217" s="33"/>
      <c r="J217" s="33"/>
      <c r="L217" s="110"/>
      <c r="M217" s="110"/>
      <c r="N217" s="33"/>
      <c r="T217" s="18"/>
    </row>
    <row r="218" spans="1:20" s="80" customFormat="1" ht="15.75" customHeight="1" x14ac:dyDescent="0.35">
      <c r="A218" s="147">
        <f>A217+1</f>
        <v>5</v>
      </c>
      <c r="B218" s="148"/>
      <c r="C218" s="79" t="s">
        <v>358</v>
      </c>
      <c r="D218" s="79">
        <f t="shared" si="22"/>
        <v>548.42579999999998</v>
      </c>
      <c r="E218" s="79">
        <f t="shared" si="23"/>
        <v>111.73032000000001</v>
      </c>
      <c r="F218" s="79">
        <f t="shared" si="20"/>
        <v>660.15611999999999</v>
      </c>
      <c r="G218" s="79">
        <v>0</v>
      </c>
      <c r="H218" s="79">
        <f t="shared" si="21"/>
        <v>990.23417999999992</v>
      </c>
      <c r="I218" s="33"/>
      <c r="J218" s="33"/>
      <c r="L218" s="110"/>
      <c r="M218" s="110"/>
      <c r="N218" s="33"/>
      <c r="T218" s="18"/>
    </row>
    <row r="219" spans="1:20" s="80" customFormat="1" ht="15.75" customHeight="1" x14ac:dyDescent="0.35">
      <c r="A219" s="147">
        <f t="shared" ref="A219:A223" si="24">A218+1</f>
        <v>6</v>
      </c>
      <c r="B219" s="148"/>
      <c r="C219" s="79" t="s">
        <v>358</v>
      </c>
      <c r="D219" s="79">
        <f t="shared" si="22"/>
        <v>548.42579999999998</v>
      </c>
      <c r="E219" s="79">
        <f t="shared" si="23"/>
        <v>111.73032000000001</v>
      </c>
      <c r="F219" s="79">
        <f t="shared" si="20"/>
        <v>660.15611999999999</v>
      </c>
      <c r="G219" s="79">
        <v>0</v>
      </c>
      <c r="H219" s="79">
        <f t="shared" si="21"/>
        <v>990.23417999999992</v>
      </c>
      <c r="I219" s="33"/>
      <c r="J219" s="33"/>
      <c r="L219" s="110"/>
      <c r="M219" s="110"/>
      <c r="N219" s="33"/>
    </row>
    <row r="220" spans="1:20" s="80" customFormat="1" ht="15.75" customHeight="1" x14ac:dyDescent="0.35">
      <c r="A220" s="147">
        <f t="shared" si="24"/>
        <v>7</v>
      </c>
      <c r="B220" s="148"/>
      <c r="C220" s="79" t="s">
        <v>358</v>
      </c>
      <c r="D220" s="79">
        <f t="shared" si="22"/>
        <v>548.42579999999998</v>
      </c>
      <c r="E220" s="79">
        <f t="shared" si="23"/>
        <v>111.73032000000001</v>
      </c>
      <c r="F220" s="79">
        <f t="shared" si="20"/>
        <v>660.15611999999999</v>
      </c>
      <c r="G220" s="79">
        <v>0</v>
      </c>
      <c r="H220" s="79">
        <f t="shared" si="21"/>
        <v>990.23417999999992</v>
      </c>
      <c r="I220" s="33"/>
      <c r="J220" s="33"/>
      <c r="L220" s="110"/>
      <c r="M220" s="110"/>
      <c r="N220" s="33"/>
    </row>
    <row r="221" spans="1:20" s="80" customFormat="1" ht="15.75" customHeight="1" x14ac:dyDescent="0.35">
      <c r="A221" s="147">
        <f t="shared" si="24"/>
        <v>8</v>
      </c>
      <c r="B221" s="148"/>
      <c r="C221" s="79" t="s">
        <v>357</v>
      </c>
      <c r="D221" s="79">
        <f>(36.4)*10.764</f>
        <v>391.80959999999999</v>
      </c>
      <c r="E221" s="79">
        <f t="shared" ref="E221:E223" si="25">(2.75*1.2+2.2*1.2+2.1*1.2)*10.764</f>
        <v>91.063439999999986</v>
      </c>
      <c r="F221" s="79">
        <f t="shared" si="20"/>
        <v>482.87303999999995</v>
      </c>
      <c r="G221" s="79">
        <v>0</v>
      </c>
      <c r="H221" s="79">
        <f t="shared" si="21"/>
        <v>724.30955999999992</v>
      </c>
      <c r="I221" s="33"/>
      <c r="J221" s="33"/>
      <c r="L221" s="110"/>
      <c r="M221" s="110"/>
      <c r="N221" s="33"/>
    </row>
    <row r="222" spans="1:20" s="80" customFormat="1" ht="15.75" customHeight="1" x14ac:dyDescent="0.35">
      <c r="A222" s="147">
        <f t="shared" si="24"/>
        <v>9</v>
      </c>
      <c r="B222" s="148"/>
      <c r="C222" s="79" t="s">
        <v>357</v>
      </c>
      <c r="D222" s="79">
        <f>(36.4)*10.764</f>
        <v>391.80959999999999</v>
      </c>
      <c r="E222" s="79">
        <f t="shared" si="25"/>
        <v>91.063439999999986</v>
      </c>
      <c r="F222" s="79">
        <f t="shared" si="20"/>
        <v>482.87303999999995</v>
      </c>
      <c r="G222" s="79">
        <v>0</v>
      </c>
      <c r="H222" s="79">
        <f t="shared" si="21"/>
        <v>724.30955999999992</v>
      </c>
      <c r="I222" s="33"/>
      <c r="J222" s="33"/>
      <c r="L222" s="110"/>
      <c r="M222" s="110"/>
      <c r="N222" s="33"/>
      <c r="T222" s="18"/>
    </row>
    <row r="223" spans="1:20" s="80" customFormat="1" ht="15.75" customHeight="1" x14ac:dyDescent="0.35">
      <c r="A223" s="147">
        <f t="shared" si="24"/>
        <v>10</v>
      </c>
      <c r="B223" s="148"/>
      <c r="C223" s="79" t="s">
        <v>357</v>
      </c>
      <c r="D223" s="79">
        <f>(36.4)*10.764</f>
        <v>391.80959999999999</v>
      </c>
      <c r="E223" s="79">
        <f t="shared" si="25"/>
        <v>91.063439999999986</v>
      </c>
      <c r="F223" s="79">
        <f t="shared" si="20"/>
        <v>482.87303999999995</v>
      </c>
      <c r="G223" s="79">
        <v>0</v>
      </c>
      <c r="H223" s="79">
        <f t="shared" si="21"/>
        <v>724.30955999999992</v>
      </c>
      <c r="I223" s="33"/>
      <c r="J223" s="33"/>
      <c r="L223" s="110"/>
      <c r="M223" s="110"/>
      <c r="N223" s="33"/>
      <c r="T223" s="18"/>
    </row>
    <row r="224" spans="1:20" s="70" customFormat="1" x14ac:dyDescent="0.35">
      <c r="A224" s="105" t="s">
        <v>394</v>
      </c>
      <c r="B224" s="106"/>
      <c r="C224" s="106"/>
      <c r="D224" s="106"/>
      <c r="E224" s="106"/>
      <c r="F224" s="106"/>
      <c r="G224" s="106"/>
      <c r="H224" s="107"/>
      <c r="J224" s="33">
        <v>4500</v>
      </c>
    </row>
    <row r="225" spans="1:20" s="72" customFormat="1" ht="15.75" customHeight="1" x14ac:dyDescent="0.35">
      <c r="A225" s="147" t="s">
        <v>393</v>
      </c>
      <c r="B225" s="148"/>
      <c r="C225" s="235" t="s">
        <v>367</v>
      </c>
      <c r="D225" s="236"/>
      <c r="E225" s="236"/>
      <c r="F225" s="236"/>
      <c r="G225" s="237"/>
      <c r="H225" s="79" t="s">
        <v>393</v>
      </c>
      <c r="I225" s="33"/>
      <c r="J225" s="72" t="e">
        <f>J$224*H225</f>
        <v>#VALUE!</v>
      </c>
      <c r="L225" s="110"/>
      <c r="M225" s="110"/>
      <c r="N225" s="33"/>
    </row>
    <row r="226" spans="1:20" s="70" customFormat="1" ht="15.75" customHeight="1" x14ac:dyDescent="0.35">
      <c r="A226" s="147">
        <v>1</v>
      </c>
      <c r="B226" s="148"/>
      <c r="C226" s="54" t="s">
        <v>358</v>
      </c>
      <c r="D226" s="71">
        <f t="shared" ref="D226:D231" si="26">(50.95)*10.764</f>
        <v>548.42579999999998</v>
      </c>
      <c r="E226" s="79">
        <f t="shared" ref="E226:E231" si="27">(2*1.2+2.2*1.2+2.85*1.2+1.6*1.2)*10.764</f>
        <v>111.73032000000001</v>
      </c>
      <c r="F226" s="69">
        <f t="shared" ref="F226:F234" si="28">D226+E226</f>
        <v>660.15611999999999</v>
      </c>
      <c r="G226" s="69">
        <v>0</v>
      </c>
      <c r="H226" s="69">
        <f t="shared" ref="H226:H234" si="29">F226*(($H$199)+1)+(IF(G226&lt;101,G226,IF(G226&lt;201,G226/2,IF(G226&lt;=301,G226/3,G226/4))))</f>
        <v>990.23417999999992</v>
      </c>
      <c r="I226" s="33">
        <f>2.9*5.9+2.2*2.3+2.85*3.1+3.5*2.75+1.2*2.1+1.2*2.1+2.7*0.9</f>
        <v>48.1</v>
      </c>
      <c r="J226" s="80">
        <f t="shared" ref="J226:J234" si="30">J$224*H226</f>
        <v>4456053.8099999996</v>
      </c>
      <c r="L226" s="110"/>
      <c r="M226" s="110"/>
      <c r="N226" s="33"/>
    </row>
    <row r="227" spans="1:20" s="70" customFormat="1" ht="15.75" customHeight="1" x14ac:dyDescent="0.35">
      <c r="A227" s="147">
        <f>A226+1</f>
        <v>2</v>
      </c>
      <c r="B227" s="148"/>
      <c r="C227" s="54" t="s">
        <v>358</v>
      </c>
      <c r="D227" s="71">
        <f t="shared" si="26"/>
        <v>548.42579999999998</v>
      </c>
      <c r="E227" s="79">
        <f t="shared" si="27"/>
        <v>111.73032000000001</v>
      </c>
      <c r="F227" s="69">
        <f t="shared" si="28"/>
        <v>660.15611999999999</v>
      </c>
      <c r="G227" s="69">
        <v>0</v>
      </c>
      <c r="H227" s="69">
        <f t="shared" si="29"/>
        <v>990.23417999999992</v>
      </c>
      <c r="I227" s="33"/>
      <c r="J227" s="80">
        <f t="shared" si="30"/>
        <v>4456053.8099999996</v>
      </c>
      <c r="L227" s="110"/>
      <c r="M227" s="110"/>
      <c r="N227" s="33"/>
    </row>
    <row r="228" spans="1:20" s="70" customFormat="1" ht="15.75" customHeight="1" x14ac:dyDescent="0.35">
      <c r="A228" s="147">
        <f>A227+1</f>
        <v>3</v>
      </c>
      <c r="B228" s="148"/>
      <c r="C228" s="54" t="s">
        <v>358</v>
      </c>
      <c r="D228" s="71">
        <f t="shared" si="26"/>
        <v>548.42579999999998</v>
      </c>
      <c r="E228" s="79">
        <f t="shared" si="27"/>
        <v>111.73032000000001</v>
      </c>
      <c r="F228" s="69">
        <f t="shared" si="28"/>
        <v>660.15611999999999</v>
      </c>
      <c r="G228" s="69">
        <v>0</v>
      </c>
      <c r="H228" s="69">
        <f t="shared" si="29"/>
        <v>990.23417999999992</v>
      </c>
      <c r="I228" s="33"/>
      <c r="J228" s="80">
        <f t="shared" si="30"/>
        <v>4456053.8099999996</v>
      </c>
      <c r="L228" s="110"/>
      <c r="M228" s="110"/>
      <c r="N228" s="33"/>
    </row>
    <row r="229" spans="1:20" s="70" customFormat="1" ht="15.75" customHeight="1" x14ac:dyDescent="0.35">
      <c r="A229" s="147">
        <f>A228+1</f>
        <v>4</v>
      </c>
      <c r="B229" s="148"/>
      <c r="C229" s="54" t="s">
        <v>358</v>
      </c>
      <c r="D229" s="71">
        <f t="shared" si="26"/>
        <v>548.42579999999998</v>
      </c>
      <c r="E229" s="79">
        <f t="shared" si="27"/>
        <v>111.73032000000001</v>
      </c>
      <c r="F229" s="69">
        <f t="shared" si="28"/>
        <v>660.15611999999999</v>
      </c>
      <c r="G229" s="69">
        <v>0</v>
      </c>
      <c r="H229" s="69">
        <f t="shared" si="29"/>
        <v>990.23417999999992</v>
      </c>
      <c r="I229" s="33"/>
      <c r="J229" s="80">
        <f t="shared" si="30"/>
        <v>4456053.8099999996</v>
      </c>
      <c r="L229" s="110"/>
      <c r="M229" s="110"/>
      <c r="N229" s="33"/>
      <c r="T229" s="18"/>
    </row>
    <row r="230" spans="1:20" s="70" customFormat="1" ht="15.75" customHeight="1" x14ac:dyDescent="0.35">
      <c r="A230" s="147">
        <f>A229+1</f>
        <v>5</v>
      </c>
      <c r="B230" s="148"/>
      <c r="C230" s="54" t="s">
        <v>358</v>
      </c>
      <c r="D230" s="71">
        <f t="shared" si="26"/>
        <v>548.42579999999998</v>
      </c>
      <c r="E230" s="79">
        <f t="shared" si="27"/>
        <v>111.73032000000001</v>
      </c>
      <c r="F230" s="69">
        <f t="shared" si="28"/>
        <v>660.15611999999999</v>
      </c>
      <c r="G230" s="69">
        <v>0</v>
      </c>
      <c r="H230" s="69">
        <f t="shared" si="29"/>
        <v>990.23417999999992</v>
      </c>
      <c r="I230" s="33"/>
      <c r="J230" s="80">
        <f t="shared" si="30"/>
        <v>4456053.8099999996</v>
      </c>
      <c r="L230" s="110"/>
      <c r="M230" s="110"/>
      <c r="N230" s="33"/>
      <c r="T230" s="18"/>
    </row>
    <row r="231" spans="1:20" s="70" customFormat="1" ht="15.75" customHeight="1" x14ac:dyDescent="0.35">
      <c r="A231" s="147">
        <f t="shared" ref="A231:A233" si="31">A230+1</f>
        <v>6</v>
      </c>
      <c r="B231" s="148"/>
      <c r="C231" s="54" t="s">
        <v>358</v>
      </c>
      <c r="D231" s="71">
        <f t="shared" si="26"/>
        <v>548.42579999999998</v>
      </c>
      <c r="E231" s="79">
        <f t="shared" si="27"/>
        <v>111.73032000000001</v>
      </c>
      <c r="F231" s="69">
        <f t="shared" si="28"/>
        <v>660.15611999999999</v>
      </c>
      <c r="G231" s="69">
        <v>0</v>
      </c>
      <c r="H231" s="69">
        <f t="shared" si="29"/>
        <v>990.23417999999992</v>
      </c>
      <c r="I231" s="33"/>
      <c r="J231" s="80">
        <f t="shared" si="30"/>
        <v>4456053.8099999996</v>
      </c>
      <c r="L231" s="110"/>
      <c r="M231" s="110"/>
      <c r="N231" s="33"/>
    </row>
    <row r="232" spans="1:20" s="70" customFormat="1" ht="15.75" customHeight="1" x14ac:dyDescent="0.35">
      <c r="A232" s="147">
        <f t="shared" si="31"/>
        <v>7</v>
      </c>
      <c r="B232" s="148"/>
      <c r="C232" s="54" t="s">
        <v>357</v>
      </c>
      <c r="D232" s="71">
        <f>(36.4)*10.764</f>
        <v>391.80959999999999</v>
      </c>
      <c r="E232" s="79">
        <f t="shared" ref="E232:E234" si="32">(2.75*1.2+2.2*1.2+2.1*1.2)*10.764</f>
        <v>91.063439999999986</v>
      </c>
      <c r="F232" s="69">
        <f t="shared" si="28"/>
        <v>482.87303999999995</v>
      </c>
      <c r="G232" s="69">
        <v>0</v>
      </c>
      <c r="H232" s="69">
        <f t="shared" si="29"/>
        <v>724.30955999999992</v>
      </c>
      <c r="I232" s="33"/>
      <c r="J232" s="80">
        <f t="shared" si="30"/>
        <v>3259393.0199999996</v>
      </c>
      <c r="L232" s="110"/>
      <c r="M232" s="110"/>
      <c r="N232" s="33"/>
    </row>
    <row r="233" spans="1:20" s="70" customFormat="1" ht="15.75" customHeight="1" x14ac:dyDescent="0.35">
      <c r="A233" s="147">
        <f t="shared" si="31"/>
        <v>8</v>
      </c>
      <c r="B233" s="148"/>
      <c r="C233" s="69" t="s">
        <v>357</v>
      </c>
      <c r="D233" s="71">
        <f>(36.4)*10.764</f>
        <v>391.80959999999999</v>
      </c>
      <c r="E233" s="79">
        <f t="shared" si="32"/>
        <v>91.063439999999986</v>
      </c>
      <c r="F233" s="69">
        <f t="shared" si="28"/>
        <v>482.87303999999995</v>
      </c>
      <c r="G233" s="69">
        <v>0</v>
      </c>
      <c r="H233" s="69">
        <f t="shared" si="29"/>
        <v>724.30955999999992</v>
      </c>
      <c r="I233" s="33">
        <f>2.9*4.05+2.2*2.45+2.75*3.5+1.2*2+1.2*2+1.75*0.9+1.2*0.85+1.35*0.85</f>
        <v>35.302500000000002</v>
      </c>
      <c r="J233" s="80">
        <f t="shared" si="30"/>
        <v>3259393.0199999996</v>
      </c>
      <c r="L233" s="110"/>
      <c r="M233" s="110"/>
      <c r="N233" s="33"/>
    </row>
    <row r="234" spans="1:20" s="70" customFormat="1" ht="15.75" customHeight="1" x14ac:dyDescent="0.35">
      <c r="A234" s="147">
        <f>A233+1</f>
        <v>9</v>
      </c>
      <c r="B234" s="148"/>
      <c r="C234" s="69" t="s">
        <v>357</v>
      </c>
      <c r="D234" s="71">
        <f>(36.4)*10.764</f>
        <v>391.80959999999999</v>
      </c>
      <c r="E234" s="79">
        <f t="shared" si="32"/>
        <v>91.063439999999986</v>
      </c>
      <c r="F234" s="69">
        <f t="shared" si="28"/>
        <v>482.87303999999995</v>
      </c>
      <c r="G234" s="69">
        <v>0</v>
      </c>
      <c r="H234" s="69">
        <f t="shared" si="29"/>
        <v>724.30955999999992</v>
      </c>
      <c r="I234" s="33"/>
      <c r="J234" s="80">
        <f t="shared" si="30"/>
        <v>3259393.0199999996</v>
      </c>
      <c r="L234" s="110"/>
      <c r="M234" s="110"/>
      <c r="N234" s="33"/>
      <c r="T234" s="18"/>
    </row>
    <row r="235" spans="1:20" s="70" customFormat="1" x14ac:dyDescent="0.35">
      <c r="A235" s="105" t="s">
        <v>361</v>
      </c>
      <c r="B235" s="106"/>
      <c r="C235" s="106"/>
      <c r="D235" s="106"/>
      <c r="E235" s="106"/>
      <c r="F235" s="106"/>
      <c r="G235" s="106"/>
      <c r="H235" s="107"/>
      <c r="J235" s="33"/>
    </row>
    <row r="236" spans="1:20" s="72" customFormat="1" x14ac:dyDescent="0.35">
      <c r="A236" s="105" t="s">
        <v>363</v>
      </c>
      <c r="B236" s="106"/>
      <c r="C236" s="106"/>
      <c r="D236" s="106"/>
      <c r="E236" s="106"/>
      <c r="F236" s="106"/>
      <c r="G236" s="106"/>
      <c r="H236" s="107"/>
      <c r="J236" s="33"/>
      <c r="T236" s="32"/>
    </row>
    <row r="237" spans="1:20" s="72" customFormat="1" x14ac:dyDescent="0.35">
      <c r="A237" s="111" t="s">
        <v>368</v>
      </c>
      <c r="B237" s="111"/>
      <c r="C237" s="111"/>
      <c r="D237" s="111"/>
      <c r="E237" s="111"/>
      <c r="F237" s="111"/>
      <c r="G237" s="111"/>
      <c r="H237" s="111"/>
      <c r="I237" s="33"/>
      <c r="L237" s="110"/>
      <c r="M237" s="110"/>
    </row>
    <row r="238" spans="1:20" s="72" customFormat="1" x14ac:dyDescent="0.35">
      <c r="A238" s="104">
        <v>1</v>
      </c>
      <c r="B238" s="104"/>
      <c r="C238" s="71" t="s">
        <v>357</v>
      </c>
      <c r="D238" s="71">
        <f>(36.4)*10.764</f>
        <v>391.80959999999999</v>
      </c>
      <c r="E238" s="79">
        <f t="shared" ref="E238:E240" si="33">(2.75*1.2+2.2*1.2+2.1*1.2)*10.764</f>
        <v>91.063439999999986</v>
      </c>
      <c r="F238" s="71">
        <f t="shared" ref="F238:F245" si="34">D238+E238</f>
        <v>482.87303999999995</v>
      </c>
      <c r="G238" s="71">
        <v>0</v>
      </c>
      <c r="H238" s="71">
        <f t="shared" ref="H238:H245" si="35">F238*(($H$199)+1)+(IF(G238&lt;101,G238,IF(G238&lt;201,G238/2,IF(G238&lt;=301,G238/3,G238/4))))</f>
        <v>724.30955999999992</v>
      </c>
      <c r="I238" s="33"/>
      <c r="N238" s="33"/>
    </row>
    <row r="239" spans="1:20" s="72" customFormat="1" x14ac:dyDescent="0.35">
      <c r="A239" s="104">
        <v>2</v>
      </c>
      <c r="B239" s="104"/>
      <c r="C239" s="71" t="s">
        <v>357</v>
      </c>
      <c r="D239" s="71">
        <f>(36.4)*10.764</f>
        <v>391.80959999999999</v>
      </c>
      <c r="E239" s="79">
        <f t="shared" si="33"/>
        <v>91.063439999999986</v>
      </c>
      <c r="F239" s="71">
        <f t="shared" si="34"/>
        <v>482.87303999999995</v>
      </c>
      <c r="G239" s="71">
        <v>0</v>
      </c>
      <c r="H239" s="71">
        <f t="shared" si="35"/>
        <v>724.30955999999992</v>
      </c>
      <c r="I239" s="33"/>
      <c r="N239" s="33"/>
    </row>
    <row r="240" spans="1:20" s="72" customFormat="1" x14ac:dyDescent="0.35">
      <c r="A240" s="104">
        <v>3</v>
      </c>
      <c r="B240" s="104"/>
      <c r="C240" s="71" t="s">
        <v>357</v>
      </c>
      <c r="D240" s="71">
        <f>(36.4)*10.764</f>
        <v>391.80959999999999</v>
      </c>
      <c r="E240" s="79">
        <f t="shared" si="33"/>
        <v>91.063439999999986</v>
      </c>
      <c r="F240" s="71">
        <f t="shared" si="34"/>
        <v>482.87303999999995</v>
      </c>
      <c r="G240" s="71">
        <v>0</v>
      </c>
      <c r="H240" s="71">
        <f t="shared" si="35"/>
        <v>724.30955999999992</v>
      </c>
      <c r="I240" s="33"/>
      <c r="N240" s="33"/>
    </row>
    <row r="241" spans="1:14" s="72" customFormat="1" x14ac:dyDescent="0.35">
      <c r="A241" s="104">
        <v>4</v>
      </c>
      <c r="B241" s="104"/>
      <c r="C241" s="71" t="s">
        <v>358</v>
      </c>
      <c r="D241" s="71">
        <f>(50.95)*10.764</f>
        <v>548.42579999999998</v>
      </c>
      <c r="E241" s="71">
        <v>0</v>
      </c>
      <c r="F241" s="71">
        <f t="shared" si="34"/>
        <v>548.42579999999998</v>
      </c>
      <c r="G241" s="71">
        <f>(21.9)*10.764</f>
        <v>235.73159999999996</v>
      </c>
      <c r="H241" s="71">
        <f t="shared" si="35"/>
        <v>901.21589999999992</v>
      </c>
      <c r="I241" s="33">
        <f>2*4.15+2.2*1.7+3.2*0.9+1.7*4.15</f>
        <v>21.975000000000001</v>
      </c>
      <c r="N241" s="33"/>
    </row>
    <row r="242" spans="1:14" s="72" customFormat="1" x14ac:dyDescent="0.35">
      <c r="A242" s="104">
        <v>5</v>
      </c>
      <c r="B242" s="104"/>
      <c r="C242" s="71" t="s">
        <v>358</v>
      </c>
      <c r="D242" s="71">
        <f>(50.95)*10.764</f>
        <v>548.42579999999998</v>
      </c>
      <c r="E242" s="71">
        <v>0</v>
      </c>
      <c r="F242" s="71">
        <f t="shared" si="34"/>
        <v>548.42579999999998</v>
      </c>
      <c r="G242" s="71">
        <f>(21.9)*10.764</f>
        <v>235.73159999999996</v>
      </c>
      <c r="H242" s="71">
        <f t="shared" si="35"/>
        <v>901.21589999999992</v>
      </c>
      <c r="I242" s="33"/>
      <c r="N242" s="33"/>
    </row>
    <row r="243" spans="1:14" s="72" customFormat="1" x14ac:dyDescent="0.35">
      <c r="A243" s="104">
        <v>6</v>
      </c>
      <c r="B243" s="104"/>
      <c r="C243" s="71" t="s">
        <v>358</v>
      </c>
      <c r="D243" s="71">
        <f>(50.95)*10.764</f>
        <v>548.42579999999998</v>
      </c>
      <c r="E243" s="71">
        <v>0</v>
      </c>
      <c r="F243" s="71">
        <f t="shared" si="34"/>
        <v>548.42579999999998</v>
      </c>
      <c r="G243" s="71">
        <f>(21.9)*10.764</f>
        <v>235.73159999999996</v>
      </c>
      <c r="H243" s="71">
        <f t="shared" si="35"/>
        <v>901.21589999999992</v>
      </c>
      <c r="I243" s="33"/>
      <c r="N243" s="33"/>
    </row>
    <row r="244" spans="1:14" s="72" customFormat="1" x14ac:dyDescent="0.35">
      <c r="A244" s="104">
        <v>7</v>
      </c>
      <c r="B244" s="104"/>
      <c r="C244" s="71" t="s">
        <v>358</v>
      </c>
      <c r="D244" s="71">
        <f>(50.95)*10.764</f>
        <v>548.42579999999998</v>
      </c>
      <c r="E244" s="71">
        <v>0</v>
      </c>
      <c r="F244" s="71">
        <f t="shared" si="34"/>
        <v>548.42579999999998</v>
      </c>
      <c r="G244" s="71">
        <f>(21.9)*10.764</f>
        <v>235.73159999999996</v>
      </c>
      <c r="H244" s="71">
        <f t="shared" si="35"/>
        <v>901.21589999999992</v>
      </c>
      <c r="I244" s="33"/>
      <c r="N244" s="33"/>
    </row>
    <row r="245" spans="1:14" s="72" customFormat="1" x14ac:dyDescent="0.35">
      <c r="A245" s="104">
        <v>8</v>
      </c>
      <c r="B245" s="104"/>
      <c r="C245" s="71" t="s">
        <v>357</v>
      </c>
      <c r="D245" s="71">
        <f>(36.4)*10.764</f>
        <v>391.80959999999999</v>
      </c>
      <c r="E245" s="79">
        <f t="shared" ref="E245" si="36">(2.75*1.2+2.2*1.2+2.1*1.2)*10.764</f>
        <v>91.063439999999986</v>
      </c>
      <c r="F245" s="71">
        <f t="shared" si="34"/>
        <v>482.87303999999995</v>
      </c>
      <c r="G245" s="71">
        <v>0</v>
      </c>
      <c r="H245" s="71">
        <f t="shared" si="35"/>
        <v>724.30955999999992</v>
      </c>
      <c r="I245" s="33"/>
      <c r="N245" s="33"/>
    </row>
    <row r="246" spans="1:14" s="72" customFormat="1" x14ac:dyDescent="0.35">
      <c r="A246" s="111" t="s">
        <v>369</v>
      </c>
      <c r="B246" s="111"/>
      <c r="C246" s="111"/>
      <c r="D246" s="111"/>
      <c r="E246" s="111"/>
      <c r="F246" s="111"/>
      <c r="G246" s="111"/>
      <c r="H246" s="111"/>
      <c r="I246" s="33"/>
      <c r="L246" s="110"/>
      <c r="M246" s="110"/>
    </row>
    <row r="247" spans="1:14" s="72" customFormat="1" x14ac:dyDescent="0.35">
      <c r="A247" s="104">
        <v>1</v>
      </c>
      <c r="B247" s="104"/>
      <c r="C247" s="95" t="s">
        <v>357</v>
      </c>
      <c r="D247" s="95">
        <f>(36.4)*10.764</f>
        <v>391.80959999999999</v>
      </c>
      <c r="E247" s="95">
        <f t="shared" ref="E247:E249" si="37">(2.75*1.2+2.2*1.2+2.1*1.2)*10.764</f>
        <v>91.063439999999986</v>
      </c>
      <c r="F247" s="95">
        <f t="shared" ref="F247:F254" si="38">D247+E247</f>
        <v>482.87303999999995</v>
      </c>
      <c r="G247" s="95">
        <v>0</v>
      </c>
      <c r="H247" s="95">
        <f t="shared" ref="H247:H254" si="39">F247*(($H$199)+1)+(IF(G247&lt;101,G247,IF(G247&lt;201,G247/2,IF(G247&lt;=301,G247/3,G247/4))))</f>
        <v>724.30955999999992</v>
      </c>
      <c r="I247" s="33"/>
      <c r="N247" s="33"/>
    </row>
    <row r="248" spans="1:14" s="72" customFormat="1" x14ac:dyDescent="0.35">
      <c r="A248" s="104">
        <v>2</v>
      </c>
      <c r="B248" s="104"/>
      <c r="C248" s="95" t="s">
        <v>357</v>
      </c>
      <c r="D248" s="95">
        <f>(36.4)*10.764</f>
        <v>391.80959999999999</v>
      </c>
      <c r="E248" s="95">
        <f t="shared" si="37"/>
        <v>91.063439999999986</v>
      </c>
      <c r="F248" s="95">
        <f t="shared" si="38"/>
        <v>482.87303999999995</v>
      </c>
      <c r="G248" s="95">
        <v>0</v>
      </c>
      <c r="H248" s="95">
        <f t="shared" si="39"/>
        <v>724.30955999999992</v>
      </c>
      <c r="I248" s="33"/>
      <c r="N248" s="33"/>
    </row>
    <row r="249" spans="1:14" s="72" customFormat="1" x14ac:dyDescent="0.35">
      <c r="A249" s="104">
        <v>3</v>
      </c>
      <c r="B249" s="104"/>
      <c r="C249" s="95" t="s">
        <v>357</v>
      </c>
      <c r="D249" s="95">
        <f>(36.4)*10.764</f>
        <v>391.80959999999999</v>
      </c>
      <c r="E249" s="95">
        <f t="shared" si="37"/>
        <v>91.063439999999986</v>
      </c>
      <c r="F249" s="95">
        <f t="shared" si="38"/>
        <v>482.87303999999995</v>
      </c>
      <c r="G249" s="95">
        <v>0</v>
      </c>
      <c r="H249" s="95">
        <f t="shared" si="39"/>
        <v>724.30955999999992</v>
      </c>
      <c r="I249" s="33"/>
      <c r="N249" s="33"/>
    </row>
    <row r="250" spans="1:14" s="72" customFormat="1" x14ac:dyDescent="0.35">
      <c r="A250" s="104">
        <v>4</v>
      </c>
      <c r="B250" s="104"/>
      <c r="C250" s="95" t="s">
        <v>358</v>
      </c>
      <c r="D250" s="95">
        <f>(50.95)*10.764</f>
        <v>548.42579999999998</v>
      </c>
      <c r="E250" s="95">
        <f t="shared" ref="E250:E253" si="40">(2*1.2+2.2*1.2+2.85*1.2+1.6*1.2)*10.764</f>
        <v>111.73032000000001</v>
      </c>
      <c r="F250" s="95">
        <f t="shared" si="38"/>
        <v>660.15611999999999</v>
      </c>
      <c r="G250" s="95">
        <v>0</v>
      </c>
      <c r="H250" s="95">
        <f t="shared" si="39"/>
        <v>990.23417999999992</v>
      </c>
      <c r="I250" s="33"/>
      <c r="N250" s="33"/>
    </row>
    <row r="251" spans="1:14" s="72" customFormat="1" x14ac:dyDescent="0.35">
      <c r="A251" s="104">
        <v>5</v>
      </c>
      <c r="B251" s="104"/>
      <c r="C251" s="95" t="s">
        <v>358</v>
      </c>
      <c r="D251" s="95">
        <f>(50.95)*10.764</f>
        <v>548.42579999999998</v>
      </c>
      <c r="E251" s="95">
        <f t="shared" si="40"/>
        <v>111.73032000000001</v>
      </c>
      <c r="F251" s="95">
        <f t="shared" si="38"/>
        <v>660.15611999999999</v>
      </c>
      <c r="G251" s="95">
        <v>0</v>
      </c>
      <c r="H251" s="95">
        <f t="shared" si="39"/>
        <v>990.23417999999992</v>
      </c>
      <c r="I251" s="33"/>
      <c r="N251" s="33"/>
    </row>
    <row r="252" spans="1:14" s="72" customFormat="1" x14ac:dyDescent="0.35">
      <c r="A252" s="104">
        <v>6</v>
      </c>
      <c r="B252" s="104"/>
      <c r="C252" s="95" t="s">
        <v>358</v>
      </c>
      <c r="D252" s="95">
        <f>(50.95)*10.764</f>
        <v>548.42579999999998</v>
      </c>
      <c r="E252" s="95">
        <f t="shared" si="40"/>
        <v>111.73032000000001</v>
      </c>
      <c r="F252" s="95">
        <f t="shared" si="38"/>
        <v>660.15611999999999</v>
      </c>
      <c r="G252" s="95">
        <v>0</v>
      </c>
      <c r="H252" s="95">
        <f t="shared" si="39"/>
        <v>990.23417999999992</v>
      </c>
      <c r="I252" s="33"/>
      <c r="N252" s="33"/>
    </row>
    <row r="253" spans="1:14" s="72" customFormat="1" x14ac:dyDescent="0.35">
      <c r="A253" s="104">
        <v>7</v>
      </c>
      <c r="B253" s="104"/>
      <c r="C253" s="95" t="s">
        <v>358</v>
      </c>
      <c r="D253" s="95">
        <f>(50.95)*10.764</f>
        <v>548.42579999999998</v>
      </c>
      <c r="E253" s="95">
        <f t="shared" si="40"/>
        <v>111.73032000000001</v>
      </c>
      <c r="F253" s="95">
        <f t="shared" si="38"/>
        <v>660.15611999999999</v>
      </c>
      <c r="G253" s="95">
        <v>0</v>
      </c>
      <c r="H253" s="95">
        <f t="shared" si="39"/>
        <v>990.23417999999992</v>
      </c>
      <c r="I253" s="33"/>
      <c r="N253" s="33"/>
    </row>
    <row r="254" spans="1:14" s="72" customFormat="1" x14ac:dyDescent="0.35">
      <c r="A254" s="104">
        <v>8</v>
      </c>
      <c r="B254" s="104"/>
      <c r="C254" s="95" t="s">
        <v>357</v>
      </c>
      <c r="D254" s="95">
        <f>(36.4)*10.764</f>
        <v>391.80959999999999</v>
      </c>
      <c r="E254" s="95">
        <f t="shared" ref="E254" si="41">(2.75*1.2+2.2*1.2+2.1*1.2)*10.764</f>
        <v>91.063439999999986</v>
      </c>
      <c r="F254" s="95">
        <f t="shared" si="38"/>
        <v>482.87303999999995</v>
      </c>
      <c r="G254" s="95">
        <v>0</v>
      </c>
      <c r="H254" s="95">
        <f t="shared" si="39"/>
        <v>724.30955999999992</v>
      </c>
      <c r="I254" s="33"/>
      <c r="N254" s="33"/>
    </row>
    <row r="255" spans="1:14" s="34" customFormat="1" hidden="1" x14ac:dyDescent="0.35">
      <c r="A255" s="111" t="s">
        <v>116</v>
      </c>
      <c r="B255" s="111"/>
      <c r="C255" s="111"/>
      <c r="D255" s="111"/>
      <c r="E255" s="111"/>
      <c r="F255" s="111"/>
      <c r="G255" s="111"/>
      <c r="H255" s="111"/>
      <c r="I255" s="33"/>
      <c r="L255" s="110"/>
      <c r="M255" s="110"/>
    </row>
    <row r="256" spans="1:14" s="72" customFormat="1" x14ac:dyDescent="0.35">
      <c r="A256" s="105" t="s">
        <v>394</v>
      </c>
      <c r="B256" s="106"/>
      <c r="C256" s="106"/>
      <c r="D256" s="106"/>
      <c r="E256" s="106"/>
      <c r="F256" s="106"/>
      <c r="G256" s="106"/>
      <c r="H256" s="107"/>
      <c r="J256" s="33"/>
    </row>
    <row r="257" spans="1:20" s="72" customFormat="1" x14ac:dyDescent="0.35">
      <c r="A257" s="147">
        <v>1</v>
      </c>
      <c r="B257" s="148"/>
      <c r="C257" s="71" t="s">
        <v>357</v>
      </c>
      <c r="D257" s="71">
        <f>(36.4)*10.764</f>
        <v>391.80959999999999</v>
      </c>
      <c r="E257" s="79">
        <f t="shared" ref="E257:E259" si="42">(2.75*1.2+2.2*1.2+2.1*1.2)*10.764</f>
        <v>91.063439999999986</v>
      </c>
      <c r="F257" s="71">
        <f t="shared" ref="F257:F263" si="43">D257+E257</f>
        <v>482.87303999999995</v>
      </c>
      <c r="G257" s="71">
        <v>0</v>
      </c>
      <c r="H257" s="71">
        <f t="shared" ref="H257:H263" si="44">F257*(($H$199)+1)+(IF(G257&lt;101,G257,IF(G257&lt;201,G257/2,IF(G257&lt;=301,G257/3,G257/4))))</f>
        <v>724.30955999999992</v>
      </c>
      <c r="I257" s="33"/>
      <c r="N257" s="33"/>
    </row>
    <row r="258" spans="1:20" s="34" customFormat="1" x14ac:dyDescent="0.35">
      <c r="A258" s="104">
        <v>2</v>
      </c>
      <c r="B258" s="104"/>
      <c r="C258" s="71" t="s">
        <v>357</v>
      </c>
      <c r="D258" s="71">
        <f>(36.4)*10.764</f>
        <v>391.80959999999999</v>
      </c>
      <c r="E258" s="79">
        <f t="shared" si="42"/>
        <v>91.063439999999986</v>
      </c>
      <c r="F258" s="47">
        <f t="shared" si="43"/>
        <v>482.87303999999995</v>
      </c>
      <c r="G258" s="47">
        <v>0</v>
      </c>
      <c r="H258" s="47">
        <f t="shared" si="44"/>
        <v>724.30955999999992</v>
      </c>
      <c r="I258" s="33"/>
      <c r="N258" s="33"/>
    </row>
    <row r="259" spans="1:20" s="34" customFormat="1" x14ac:dyDescent="0.35">
      <c r="A259" s="104">
        <v>3</v>
      </c>
      <c r="B259" s="104"/>
      <c r="C259" s="71" t="s">
        <v>357</v>
      </c>
      <c r="D259" s="71">
        <f>(36.4)*10.764</f>
        <v>391.80959999999999</v>
      </c>
      <c r="E259" s="79">
        <f t="shared" si="42"/>
        <v>91.063439999999986</v>
      </c>
      <c r="F259" s="47">
        <f t="shared" si="43"/>
        <v>482.87303999999995</v>
      </c>
      <c r="G259" s="47">
        <v>0</v>
      </c>
      <c r="H259" s="47">
        <f t="shared" si="44"/>
        <v>724.30955999999992</v>
      </c>
      <c r="I259" s="33"/>
      <c r="N259" s="33"/>
    </row>
    <row r="260" spans="1:20" s="34" customFormat="1" x14ac:dyDescent="0.35">
      <c r="A260" s="104">
        <v>4</v>
      </c>
      <c r="B260" s="104"/>
      <c r="C260" s="39" t="s">
        <v>358</v>
      </c>
      <c r="D260" s="71">
        <f>(50.95)*10.764</f>
        <v>548.42579999999998</v>
      </c>
      <c r="E260" s="79">
        <f t="shared" ref="E260:E263" si="45">(2*1.2+2.2*1.2+2.85*1.2+1.6*1.2)*10.764</f>
        <v>111.73032000000001</v>
      </c>
      <c r="F260" s="47">
        <f t="shared" si="43"/>
        <v>660.15611999999999</v>
      </c>
      <c r="G260" s="47">
        <v>0</v>
      </c>
      <c r="H260" s="47">
        <f t="shared" si="44"/>
        <v>990.23417999999992</v>
      </c>
      <c r="I260" s="33"/>
      <c r="N260" s="33"/>
    </row>
    <row r="261" spans="1:20" s="34" customFormat="1" x14ac:dyDescent="0.35">
      <c r="A261" s="104">
        <v>5</v>
      </c>
      <c r="B261" s="104"/>
      <c r="C261" s="71" t="s">
        <v>358</v>
      </c>
      <c r="D261" s="71">
        <f>(50.95)*10.764</f>
        <v>548.42579999999998</v>
      </c>
      <c r="E261" s="79">
        <f t="shared" si="45"/>
        <v>111.73032000000001</v>
      </c>
      <c r="F261" s="47">
        <f t="shared" si="43"/>
        <v>660.15611999999999</v>
      </c>
      <c r="G261" s="47">
        <v>0</v>
      </c>
      <c r="H261" s="47">
        <f t="shared" si="44"/>
        <v>990.23417999999992</v>
      </c>
      <c r="I261" s="33"/>
      <c r="N261" s="33"/>
    </row>
    <row r="262" spans="1:20" s="72" customFormat="1" x14ac:dyDescent="0.35">
      <c r="A262" s="104">
        <v>6</v>
      </c>
      <c r="B262" s="104"/>
      <c r="C262" s="71" t="s">
        <v>358</v>
      </c>
      <c r="D262" s="71">
        <f>(50.95)*10.764</f>
        <v>548.42579999999998</v>
      </c>
      <c r="E262" s="79">
        <f t="shared" si="45"/>
        <v>111.73032000000001</v>
      </c>
      <c r="F262" s="71">
        <f t="shared" si="43"/>
        <v>660.15611999999999</v>
      </c>
      <c r="G262" s="71">
        <v>0</v>
      </c>
      <c r="H262" s="71">
        <f t="shared" si="44"/>
        <v>990.23417999999992</v>
      </c>
      <c r="I262" s="33"/>
      <c r="N262" s="33"/>
    </row>
    <row r="263" spans="1:20" s="72" customFormat="1" x14ac:dyDescent="0.35">
      <c r="A263" s="104">
        <v>7</v>
      </c>
      <c r="B263" s="104"/>
      <c r="C263" s="71" t="s">
        <v>358</v>
      </c>
      <c r="D263" s="71">
        <f>(50.95)*10.764</f>
        <v>548.42579999999998</v>
      </c>
      <c r="E263" s="79">
        <f t="shared" si="45"/>
        <v>111.73032000000001</v>
      </c>
      <c r="F263" s="71">
        <f t="shared" si="43"/>
        <v>660.15611999999999</v>
      </c>
      <c r="G263" s="71">
        <v>0</v>
      </c>
      <c r="H263" s="71">
        <f t="shared" si="44"/>
        <v>990.23417999999992</v>
      </c>
      <c r="I263" s="33"/>
      <c r="N263" s="33"/>
    </row>
    <row r="264" spans="1:20" s="72" customFormat="1" x14ac:dyDescent="0.35">
      <c r="A264" s="104">
        <v>8</v>
      </c>
      <c r="B264" s="104"/>
      <c r="C264" s="147" t="s">
        <v>367</v>
      </c>
      <c r="D264" s="233"/>
      <c r="E264" s="233"/>
      <c r="F264" s="233"/>
      <c r="G264" s="148"/>
      <c r="H264" s="79" t="s">
        <v>393</v>
      </c>
      <c r="I264" s="33"/>
      <c r="N264" s="33"/>
    </row>
    <row r="265" spans="1:20" s="72" customFormat="1" x14ac:dyDescent="0.35">
      <c r="A265" s="105" t="s">
        <v>370</v>
      </c>
      <c r="B265" s="106"/>
      <c r="C265" s="106"/>
      <c r="D265" s="106"/>
      <c r="E265" s="106"/>
      <c r="F265" s="106"/>
      <c r="G265" s="106"/>
      <c r="H265" s="107"/>
      <c r="J265" s="33"/>
    </row>
    <row r="266" spans="1:20" s="72" customFormat="1" x14ac:dyDescent="0.35">
      <c r="A266" s="105" t="s">
        <v>362</v>
      </c>
      <c r="B266" s="106"/>
      <c r="C266" s="106"/>
      <c r="D266" s="106"/>
      <c r="E266" s="106"/>
      <c r="F266" s="106"/>
      <c r="G266" s="106"/>
      <c r="H266" s="107"/>
      <c r="J266" s="33"/>
      <c r="T266" s="32"/>
    </row>
    <row r="267" spans="1:20" s="72" customFormat="1" x14ac:dyDescent="0.35">
      <c r="A267" s="105" t="s">
        <v>356</v>
      </c>
      <c r="B267" s="106"/>
      <c r="C267" s="106"/>
      <c r="D267" s="106"/>
      <c r="E267" s="106"/>
      <c r="F267" s="106"/>
      <c r="G267" s="106"/>
      <c r="H267" s="107"/>
      <c r="J267" s="33"/>
    </row>
    <row r="268" spans="1:20" s="72" customFormat="1" x14ac:dyDescent="0.35">
      <c r="A268" s="104">
        <v>1</v>
      </c>
      <c r="B268" s="104"/>
      <c r="C268" s="71" t="s">
        <v>358</v>
      </c>
      <c r="D268" s="77">
        <f>(48.61)*10.764</f>
        <v>523.23803999999996</v>
      </c>
      <c r="E268" s="77">
        <f>(2*1.2+1.2*2.2+1.2*2.85+1.6*1.2)*10.764</f>
        <v>111.73032000000001</v>
      </c>
      <c r="F268" s="71">
        <f t="shared" ref="F268:F275" si="46">D268+E268</f>
        <v>634.96835999999996</v>
      </c>
      <c r="G268" s="71">
        <v>0</v>
      </c>
      <c r="H268" s="71">
        <f t="shared" ref="H268:H275" si="47">F268*(($H$199)+1)+(IF(G268&lt;101,G268,IF(G268&lt;201,G268/2,IF(G268&lt;=301,G268/3,G268/4))))</f>
        <v>952.45254</v>
      </c>
      <c r="I268" s="33">
        <f>2.9*4.1+2.3*2.2+2.85*2.85+2.8*3.5+1.2*2.2+1.85*1.2+1.85*2+2.15*0.9+0.9*0.4</f>
        <v>45.727499999999999</v>
      </c>
      <c r="N268" s="33"/>
    </row>
    <row r="269" spans="1:20" s="72" customFormat="1" x14ac:dyDescent="0.35">
      <c r="A269" s="104">
        <v>2</v>
      </c>
      <c r="B269" s="104"/>
      <c r="C269" s="71" t="s">
        <v>358</v>
      </c>
      <c r="D269" s="77">
        <f>(48.61)*10.764</f>
        <v>523.23803999999996</v>
      </c>
      <c r="E269" s="77">
        <f>(2*1.2+1.2*2.2+1.2*2.85+1.6*1.2)*10.764</f>
        <v>111.73032000000001</v>
      </c>
      <c r="F269" s="71">
        <f t="shared" si="46"/>
        <v>634.96835999999996</v>
      </c>
      <c r="G269" s="71">
        <v>0</v>
      </c>
      <c r="H269" s="71">
        <f t="shared" si="47"/>
        <v>952.45254</v>
      </c>
      <c r="I269" s="33"/>
      <c r="N269" s="33"/>
    </row>
    <row r="270" spans="1:20" s="72" customFormat="1" x14ac:dyDescent="0.35">
      <c r="A270" s="104">
        <v>3</v>
      </c>
      <c r="B270" s="104"/>
      <c r="C270" s="71" t="s">
        <v>357</v>
      </c>
      <c r="D270" s="77">
        <f>(36.4)*10.764</f>
        <v>391.80959999999999</v>
      </c>
      <c r="E270" s="79">
        <f t="shared" ref="E270:E272" si="48">(2.75*1.2+2.2*1.2+2.1*1.2)*10.764</f>
        <v>91.063439999999986</v>
      </c>
      <c r="F270" s="71">
        <f t="shared" si="46"/>
        <v>482.87303999999995</v>
      </c>
      <c r="G270" s="71">
        <v>0</v>
      </c>
      <c r="H270" s="71">
        <f t="shared" si="47"/>
        <v>724.30955999999992</v>
      </c>
      <c r="I270" s="33"/>
      <c r="N270" s="33"/>
    </row>
    <row r="271" spans="1:20" s="72" customFormat="1" x14ac:dyDescent="0.35">
      <c r="A271" s="104">
        <v>4</v>
      </c>
      <c r="B271" s="104"/>
      <c r="C271" s="71" t="s">
        <v>357</v>
      </c>
      <c r="D271" s="77">
        <f>(36.4)*10.764</f>
        <v>391.80959999999999</v>
      </c>
      <c r="E271" s="79">
        <f t="shared" si="48"/>
        <v>91.063439999999986</v>
      </c>
      <c r="F271" s="71">
        <f t="shared" si="46"/>
        <v>482.87303999999995</v>
      </c>
      <c r="G271" s="71">
        <v>0</v>
      </c>
      <c r="H271" s="71">
        <f t="shared" si="47"/>
        <v>724.30955999999992</v>
      </c>
      <c r="I271" s="33"/>
      <c r="N271" s="33"/>
    </row>
    <row r="272" spans="1:20" s="72" customFormat="1" x14ac:dyDescent="0.35">
      <c r="A272" s="104">
        <v>5</v>
      </c>
      <c r="B272" s="104"/>
      <c r="C272" s="71" t="s">
        <v>357</v>
      </c>
      <c r="D272" s="77">
        <f>(36.4)*10.764</f>
        <v>391.80959999999999</v>
      </c>
      <c r="E272" s="79">
        <f t="shared" si="48"/>
        <v>91.063439999999986</v>
      </c>
      <c r="F272" s="71">
        <f t="shared" si="46"/>
        <v>482.87303999999995</v>
      </c>
      <c r="G272" s="71">
        <v>0</v>
      </c>
      <c r="H272" s="71">
        <f t="shared" si="47"/>
        <v>724.30955999999992</v>
      </c>
      <c r="I272" s="33"/>
      <c r="N272" s="33"/>
    </row>
    <row r="273" spans="1:20" s="72" customFormat="1" x14ac:dyDescent="0.35">
      <c r="A273" s="104">
        <v>6</v>
      </c>
      <c r="B273" s="104"/>
      <c r="C273" s="71" t="s">
        <v>358</v>
      </c>
      <c r="D273" s="77">
        <f>(48.61)*10.764</f>
        <v>523.23803999999996</v>
      </c>
      <c r="E273" s="77">
        <f>(2*1.2+1.2*2.2+1.2*2.85+1.2*1.6)*10.764</f>
        <v>111.73032000000001</v>
      </c>
      <c r="F273" s="71">
        <f t="shared" si="46"/>
        <v>634.96835999999996</v>
      </c>
      <c r="G273" s="71">
        <v>0</v>
      </c>
      <c r="H273" s="71">
        <f t="shared" si="47"/>
        <v>952.45254</v>
      </c>
      <c r="I273" s="33"/>
      <c r="N273" s="33"/>
    </row>
    <row r="274" spans="1:20" s="72" customFormat="1" x14ac:dyDescent="0.35">
      <c r="A274" s="104">
        <v>7</v>
      </c>
      <c r="B274" s="104"/>
      <c r="C274" s="71" t="s">
        <v>357</v>
      </c>
      <c r="D274" s="77">
        <f>(36.4)*10.764</f>
        <v>391.80959999999999</v>
      </c>
      <c r="E274" s="79">
        <f t="shared" ref="E274:E275" si="49">(2.75*1.2+2.2*1.2+2.1*1.2)*10.764</f>
        <v>91.063439999999986</v>
      </c>
      <c r="F274" s="71">
        <f t="shared" si="46"/>
        <v>482.87303999999995</v>
      </c>
      <c r="G274" s="71">
        <v>0</v>
      </c>
      <c r="H274" s="71">
        <f t="shared" si="47"/>
        <v>724.30955999999992</v>
      </c>
      <c r="I274" s="33"/>
      <c r="N274" s="33"/>
    </row>
    <row r="275" spans="1:20" s="72" customFormat="1" x14ac:dyDescent="0.35">
      <c r="A275" s="104">
        <v>8</v>
      </c>
      <c r="B275" s="104"/>
      <c r="C275" s="71" t="s">
        <v>357</v>
      </c>
      <c r="D275" s="77">
        <f>(36.4)*10.764</f>
        <v>391.80959999999999</v>
      </c>
      <c r="E275" s="79">
        <f t="shared" si="49"/>
        <v>91.063439999999986</v>
      </c>
      <c r="F275" s="71">
        <f t="shared" si="46"/>
        <v>482.87303999999995</v>
      </c>
      <c r="G275" s="71">
        <v>0</v>
      </c>
      <c r="H275" s="71">
        <f t="shared" si="47"/>
        <v>724.30955999999992</v>
      </c>
      <c r="I275" s="33"/>
      <c r="N275" s="33"/>
    </row>
    <row r="276" spans="1:20" s="72" customFormat="1" x14ac:dyDescent="0.35">
      <c r="A276" s="105" t="s">
        <v>394</v>
      </c>
      <c r="B276" s="106"/>
      <c r="C276" s="106"/>
      <c r="D276" s="106"/>
      <c r="E276" s="106"/>
      <c r="F276" s="106"/>
      <c r="G276" s="106"/>
      <c r="H276" s="107"/>
      <c r="J276" s="33"/>
    </row>
    <row r="277" spans="1:20" s="72" customFormat="1" x14ac:dyDescent="0.35">
      <c r="A277" s="104">
        <v>1</v>
      </c>
      <c r="B277" s="104"/>
      <c r="C277" s="71" t="s">
        <v>358</v>
      </c>
      <c r="D277" s="77">
        <f>(48.61)*10.764</f>
        <v>523.23803999999996</v>
      </c>
      <c r="E277" s="77">
        <f>(1.2*2+1.2*2.2+1.2*2.85+1.2*1.6)*10.764</f>
        <v>111.73032000000001</v>
      </c>
      <c r="F277" s="71">
        <f t="shared" ref="F277:F283" si="50">D277+E277</f>
        <v>634.96835999999996</v>
      </c>
      <c r="G277" s="71">
        <v>0</v>
      </c>
      <c r="H277" s="71">
        <f t="shared" ref="H277:H283" si="51">F277*(($H$199)+1)+(IF(G277&lt;101,G277,IF(G277&lt;201,G277/2,IF(G277&lt;=301,G277/3,G277/4))))</f>
        <v>952.45254</v>
      </c>
      <c r="I277" s="33"/>
      <c r="N277" s="33"/>
    </row>
    <row r="278" spans="1:20" s="72" customFormat="1" x14ac:dyDescent="0.35">
      <c r="A278" s="104">
        <v>2</v>
      </c>
      <c r="B278" s="104"/>
      <c r="C278" s="77" t="s">
        <v>358</v>
      </c>
      <c r="D278" s="77">
        <f>(48.61)*10.764</f>
        <v>523.23803999999996</v>
      </c>
      <c r="E278" s="77">
        <f>(1.2*2+1.2*2.2+1.2*2.85+1.2*1.6)*10.764</f>
        <v>111.73032000000001</v>
      </c>
      <c r="F278" s="71">
        <f t="shared" si="50"/>
        <v>634.96835999999996</v>
      </c>
      <c r="G278" s="71">
        <v>0</v>
      </c>
      <c r="H278" s="71">
        <f t="shared" si="51"/>
        <v>952.45254</v>
      </c>
      <c r="I278" s="33"/>
      <c r="N278" s="33"/>
    </row>
    <row r="279" spans="1:20" s="72" customFormat="1" x14ac:dyDescent="0.35">
      <c r="A279" s="104">
        <v>3</v>
      </c>
      <c r="B279" s="104"/>
      <c r="C279" s="71" t="s">
        <v>357</v>
      </c>
      <c r="D279" s="77">
        <f>(36.4)*10.764</f>
        <v>391.80959999999999</v>
      </c>
      <c r="E279" s="79">
        <f t="shared" ref="E279:E281" si="52">(2.75*1.2+2.2*1.2+2.1*1.2)*10.764</f>
        <v>91.063439999999986</v>
      </c>
      <c r="F279" s="71">
        <f t="shared" si="50"/>
        <v>482.87303999999995</v>
      </c>
      <c r="G279" s="71">
        <v>0</v>
      </c>
      <c r="H279" s="71">
        <f t="shared" si="51"/>
        <v>724.30955999999992</v>
      </c>
      <c r="I279" s="33"/>
      <c r="N279" s="33"/>
    </row>
    <row r="280" spans="1:20" s="72" customFormat="1" x14ac:dyDescent="0.35">
      <c r="A280" s="104">
        <v>4</v>
      </c>
      <c r="B280" s="104"/>
      <c r="C280" s="77" t="s">
        <v>357</v>
      </c>
      <c r="D280" s="77">
        <f>(36.4)*10.764</f>
        <v>391.80959999999999</v>
      </c>
      <c r="E280" s="79">
        <f t="shared" si="52"/>
        <v>91.063439999999986</v>
      </c>
      <c r="F280" s="71">
        <f t="shared" si="50"/>
        <v>482.87303999999995</v>
      </c>
      <c r="G280" s="71">
        <v>0</v>
      </c>
      <c r="H280" s="71">
        <f t="shared" si="51"/>
        <v>724.30955999999992</v>
      </c>
      <c r="I280" s="33"/>
      <c r="N280" s="33"/>
    </row>
    <row r="281" spans="1:20" s="72" customFormat="1" x14ac:dyDescent="0.35">
      <c r="A281" s="104">
        <v>5</v>
      </c>
      <c r="B281" s="104"/>
      <c r="C281" s="77" t="s">
        <v>357</v>
      </c>
      <c r="D281" s="77">
        <f>(36.4)*10.764</f>
        <v>391.80959999999999</v>
      </c>
      <c r="E281" s="79">
        <f t="shared" si="52"/>
        <v>91.063439999999986</v>
      </c>
      <c r="F281" s="71">
        <f t="shared" si="50"/>
        <v>482.87303999999995</v>
      </c>
      <c r="G281" s="71">
        <v>0</v>
      </c>
      <c r="H281" s="71">
        <f t="shared" si="51"/>
        <v>724.30955999999992</v>
      </c>
      <c r="I281" s="33"/>
      <c r="N281" s="33"/>
    </row>
    <row r="282" spans="1:20" s="72" customFormat="1" x14ac:dyDescent="0.35">
      <c r="A282" s="104">
        <v>6</v>
      </c>
      <c r="B282" s="104"/>
      <c r="C282" s="71" t="s">
        <v>358</v>
      </c>
      <c r="D282" s="77">
        <f>(48.61)*10.764</f>
        <v>523.23803999999996</v>
      </c>
      <c r="E282" s="77">
        <f>(1.2*2+1.2*2.2+1.2*2.85+1.2*1.6)*10.764</f>
        <v>111.73032000000001</v>
      </c>
      <c r="F282" s="71">
        <f t="shared" si="50"/>
        <v>634.96835999999996</v>
      </c>
      <c r="G282" s="71">
        <v>0</v>
      </c>
      <c r="H282" s="71">
        <f t="shared" si="51"/>
        <v>952.45254</v>
      </c>
      <c r="I282" s="33"/>
      <c r="N282" s="33"/>
    </row>
    <row r="283" spans="1:20" s="72" customFormat="1" x14ac:dyDescent="0.35">
      <c r="A283" s="104">
        <v>7</v>
      </c>
      <c r="B283" s="104"/>
      <c r="C283" s="77" t="s">
        <v>357</v>
      </c>
      <c r="D283" s="77">
        <f>(36.4)*10.764</f>
        <v>391.80959999999999</v>
      </c>
      <c r="E283" s="79">
        <f t="shared" ref="E283" si="53">(2.75*1.2+2.2*1.2+2.1*1.2)*10.764</f>
        <v>91.063439999999986</v>
      </c>
      <c r="F283" s="71">
        <f t="shared" si="50"/>
        <v>482.87303999999995</v>
      </c>
      <c r="G283" s="71">
        <v>0</v>
      </c>
      <c r="H283" s="71">
        <f t="shared" si="51"/>
        <v>724.30955999999992</v>
      </c>
      <c r="I283" s="33"/>
      <c r="N283" s="33"/>
    </row>
    <row r="284" spans="1:20" s="72" customFormat="1" x14ac:dyDescent="0.35">
      <c r="A284" s="104">
        <v>8</v>
      </c>
      <c r="B284" s="104"/>
      <c r="C284" s="147" t="s">
        <v>367</v>
      </c>
      <c r="D284" s="233"/>
      <c r="E284" s="233"/>
      <c r="F284" s="233"/>
      <c r="G284" s="148"/>
      <c r="H284" s="79" t="s">
        <v>393</v>
      </c>
      <c r="I284" s="33"/>
      <c r="N284" s="33"/>
    </row>
    <row r="285" spans="1:20" s="72" customFormat="1" x14ac:dyDescent="0.35">
      <c r="A285" s="105" t="s">
        <v>371</v>
      </c>
      <c r="B285" s="106"/>
      <c r="C285" s="106"/>
      <c r="D285" s="106"/>
      <c r="E285" s="106"/>
      <c r="F285" s="106"/>
      <c r="G285" s="106"/>
      <c r="H285" s="107"/>
      <c r="J285" s="33"/>
    </row>
    <row r="286" spans="1:20" s="72" customFormat="1" x14ac:dyDescent="0.35">
      <c r="A286" s="111" t="s">
        <v>362</v>
      </c>
      <c r="B286" s="111"/>
      <c r="C286" s="111"/>
      <c r="D286" s="111"/>
      <c r="E286" s="111"/>
      <c r="F286" s="111"/>
      <c r="G286" s="111"/>
      <c r="H286" s="111"/>
      <c r="J286" s="33"/>
      <c r="T286" s="32"/>
    </row>
    <row r="287" spans="1:20" s="72" customFormat="1" x14ac:dyDescent="0.35">
      <c r="A287" s="111" t="s">
        <v>356</v>
      </c>
      <c r="B287" s="111"/>
      <c r="C287" s="111"/>
      <c r="D287" s="111"/>
      <c r="E287" s="111"/>
      <c r="F287" s="111"/>
      <c r="G287" s="111"/>
      <c r="H287" s="111"/>
      <c r="J287" s="33"/>
    </row>
    <row r="288" spans="1:20" s="72" customFormat="1" x14ac:dyDescent="0.35">
      <c r="A288" s="104">
        <v>1</v>
      </c>
      <c r="B288" s="104"/>
      <c r="C288" s="95" t="s">
        <v>358</v>
      </c>
      <c r="D288" s="95">
        <f>(48.61)*10.764</f>
        <v>523.23803999999996</v>
      </c>
      <c r="E288" s="95">
        <f>(2*1.2+2.2*1.2+2.85*1.2+1.6*1.2)*10.764</f>
        <v>111.73032000000001</v>
      </c>
      <c r="F288" s="95">
        <f t="shared" ref="F288:F299" si="54">D288+E288</f>
        <v>634.96835999999996</v>
      </c>
      <c r="G288" s="95">
        <v>0</v>
      </c>
      <c r="H288" s="95">
        <f t="shared" ref="H288:H299" si="55">F288*(($H$199)+1)+(IF(G288&lt;101,G288,IF(G288&lt;201,G288/2,IF(G288&lt;=301,G288/3,G288/4))))</f>
        <v>952.45254</v>
      </c>
      <c r="I288" s="33"/>
      <c r="N288" s="33"/>
    </row>
    <row r="289" spans="1:14" s="72" customFormat="1" x14ac:dyDescent="0.35">
      <c r="A289" s="104">
        <v>2</v>
      </c>
      <c r="B289" s="104"/>
      <c r="C289" s="95" t="s">
        <v>357</v>
      </c>
      <c r="D289" s="95">
        <f>(36.4)*10.764</f>
        <v>391.80959999999999</v>
      </c>
      <c r="E289" s="95">
        <f t="shared" ref="E289:E292" si="56">(2.75*1.2+2.2*1.2+2.1*1.2)*10.764</f>
        <v>91.063439999999986</v>
      </c>
      <c r="F289" s="95">
        <f t="shared" si="54"/>
        <v>482.87303999999995</v>
      </c>
      <c r="G289" s="95">
        <v>0</v>
      </c>
      <c r="H289" s="95">
        <f t="shared" si="55"/>
        <v>724.30955999999992</v>
      </c>
      <c r="I289" s="33"/>
      <c r="N289" s="33"/>
    </row>
    <row r="290" spans="1:14" s="72" customFormat="1" x14ac:dyDescent="0.35">
      <c r="A290" s="104">
        <v>3</v>
      </c>
      <c r="B290" s="104"/>
      <c r="C290" s="95" t="s">
        <v>357</v>
      </c>
      <c r="D290" s="95">
        <f>(36.4)*10.764</f>
        <v>391.80959999999999</v>
      </c>
      <c r="E290" s="95">
        <f t="shared" si="56"/>
        <v>91.063439999999986</v>
      </c>
      <c r="F290" s="95">
        <f t="shared" si="54"/>
        <v>482.87303999999995</v>
      </c>
      <c r="G290" s="95">
        <v>0</v>
      </c>
      <c r="H290" s="95">
        <f t="shared" si="55"/>
        <v>724.30955999999992</v>
      </c>
      <c r="I290" s="33"/>
      <c r="N290" s="33"/>
    </row>
    <row r="291" spans="1:14" s="72" customFormat="1" x14ac:dyDescent="0.35">
      <c r="A291" s="104">
        <v>4</v>
      </c>
      <c r="B291" s="104"/>
      <c r="C291" s="95" t="s">
        <v>357</v>
      </c>
      <c r="D291" s="95">
        <f>(36.4)*10.764</f>
        <v>391.80959999999999</v>
      </c>
      <c r="E291" s="95">
        <f t="shared" si="56"/>
        <v>91.063439999999986</v>
      </c>
      <c r="F291" s="95">
        <f t="shared" si="54"/>
        <v>482.87303999999995</v>
      </c>
      <c r="G291" s="95">
        <v>0</v>
      </c>
      <c r="H291" s="95">
        <f t="shared" si="55"/>
        <v>724.30955999999992</v>
      </c>
      <c r="I291" s="33"/>
      <c r="N291" s="33"/>
    </row>
    <row r="292" spans="1:14" s="72" customFormat="1" x14ac:dyDescent="0.35">
      <c r="A292" s="104">
        <v>5</v>
      </c>
      <c r="B292" s="104"/>
      <c r="C292" s="95" t="s">
        <v>357</v>
      </c>
      <c r="D292" s="95">
        <f>(36.4)*10.764</f>
        <v>391.80959999999999</v>
      </c>
      <c r="E292" s="95">
        <f t="shared" si="56"/>
        <v>91.063439999999986</v>
      </c>
      <c r="F292" s="95">
        <f t="shared" si="54"/>
        <v>482.87303999999995</v>
      </c>
      <c r="G292" s="95">
        <v>0</v>
      </c>
      <c r="H292" s="95">
        <f t="shared" si="55"/>
        <v>724.30955999999992</v>
      </c>
      <c r="I292" s="33"/>
      <c r="N292" s="33"/>
    </row>
    <row r="293" spans="1:14" s="72" customFormat="1" x14ac:dyDescent="0.35">
      <c r="A293" s="104">
        <v>6</v>
      </c>
      <c r="B293" s="104"/>
      <c r="C293" s="95" t="s">
        <v>358</v>
      </c>
      <c r="D293" s="95">
        <f>(48.61)*10.764</f>
        <v>523.23803999999996</v>
      </c>
      <c r="E293" s="95">
        <f>(2*1.2+2.2*1.2+2.85*1.2+1.6*1.2)*10.764</f>
        <v>111.73032000000001</v>
      </c>
      <c r="F293" s="95">
        <f t="shared" si="54"/>
        <v>634.96835999999996</v>
      </c>
      <c r="G293" s="95">
        <v>0</v>
      </c>
      <c r="H293" s="95">
        <f t="shared" si="55"/>
        <v>952.45254</v>
      </c>
      <c r="I293" s="33"/>
      <c r="N293" s="33"/>
    </row>
    <row r="294" spans="1:14" s="72" customFormat="1" x14ac:dyDescent="0.35">
      <c r="A294" s="104">
        <v>7</v>
      </c>
      <c r="B294" s="104"/>
      <c r="C294" s="95" t="s">
        <v>357</v>
      </c>
      <c r="D294" s="95">
        <f t="shared" ref="D294:D299" si="57">(36.4)*10.764</f>
        <v>391.80959999999999</v>
      </c>
      <c r="E294" s="95">
        <f t="shared" ref="E294:E299" si="58">(2.75*1.2+2.2*1.2+2.1*1.2)*10.764</f>
        <v>91.063439999999986</v>
      </c>
      <c r="F294" s="95">
        <f t="shared" si="54"/>
        <v>482.87303999999995</v>
      </c>
      <c r="G294" s="95">
        <v>0</v>
      </c>
      <c r="H294" s="95">
        <f t="shared" si="55"/>
        <v>724.30955999999992</v>
      </c>
      <c r="I294" s="33"/>
      <c r="N294" s="33"/>
    </row>
    <row r="295" spans="1:14" s="72" customFormat="1" x14ac:dyDescent="0.35">
      <c r="A295" s="104">
        <v>8</v>
      </c>
      <c r="B295" s="104"/>
      <c r="C295" s="95" t="s">
        <v>357</v>
      </c>
      <c r="D295" s="95">
        <f t="shared" si="57"/>
        <v>391.80959999999999</v>
      </c>
      <c r="E295" s="95">
        <f t="shared" si="58"/>
        <v>91.063439999999986</v>
      </c>
      <c r="F295" s="95">
        <f t="shared" si="54"/>
        <v>482.87303999999995</v>
      </c>
      <c r="G295" s="95">
        <v>0</v>
      </c>
      <c r="H295" s="95">
        <f t="shared" si="55"/>
        <v>724.30955999999992</v>
      </c>
      <c r="I295" s="33"/>
      <c r="N295" s="33"/>
    </row>
    <row r="296" spans="1:14" s="72" customFormat="1" x14ac:dyDescent="0.35">
      <c r="A296" s="104">
        <v>9</v>
      </c>
      <c r="B296" s="104"/>
      <c r="C296" s="95" t="s">
        <v>357</v>
      </c>
      <c r="D296" s="95">
        <f t="shared" si="57"/>
        <v>391.80959999999999</v>
      </c>
      <c r="E296" s="95">
        <f t="shared" si="58"/>
        <v>91.063439999999986</v>
      </c>
      <c r="F296" s="95">
        <f t="shared" si="54"/>
        <v>482.87303999999995</v>
      </c>
      <c r="G296" s="95">
        <v>0</v>
      </c>
      <c r="H296" s="95">
        <f t="shared" si="55"/>
        <v>724.30955999999992</v>
      </c>
      <c r="I296" s="33"/>
      <c r="N296" s="33"/>
    </row>
    <row r="297" spans="1:14" s="72" customFormat="1" x14ac:dyDescent="0.35">
      <c r="A297" s="104">
        <v>10</v>
      </c>
      <c r="B297" s="104"/>
      <c r="C297" s="95" t="s">
        <v>357</v>
      </c>
      <c r="D297" s="95">
        <f t="shared" si="57"/>
        <v>391.80959999999999</v>
      </c>
      <c r="E297" s="95">
        <f t="shared" si="58"/>
        <v>91.063439999999986</v>
      </c>
      <c r="F297" s="95">
        <f t="shared" si="54"/>
        <v>482.87303999999995</v>
      </c>
      <c r="G297" s="95">
        <v>0</v>
      </c>
      <c r="H297" s="95">
        <f t="shared" si="55"/>
        <v>724.30955999999992</v>
      </c>
      <c r="I297" s="33"/>
      <c r="N297" s="33"/>
    </row>
    <row r="298" spans="1:14" s="72" customFormat="1" x14ac:dyDescent="0.35">
      <c r="A298" s="104">
        <v>11</v>
      </c>
      <c r="B298" s="104"/>
      <c r="C298" s="71" t="s">
        <v>357</v>
      </c>
      <c r="D298" s="77">
        <f t="shared" si="57"/>
        <v>391.80959999999999</v>
      </c>
      <c r="E298" s="79">
        <f t="shared" si="58"/>
        <v>91.063439999999986</v>
      </c>
      <c r="F298" s="71">
        <f t="shared" si="54"/>
        <v>482.87303999999995</v>
      </c>
      <c r="G298" s="71">
        <v>0</v>
      </c>
      <c r="H298" s="71">
        <f t="shared" si="55"/>
        <v>724.30955999999992</v>
      </c>
      <c r="I298" s="33"/>
      <c r="N298" s="33"/>
    </row>
    <row r="299" spans="1:14" s="72" customFormat="1" x14ac:dyDescent="0.35">
      <c r="A299" s="104">
        <v>12</v>
      </c>
      <c r="B299" s="104"/>
      <c r="C299" s="71" t="s">
        <v>357</v>
      </c>
      <c r="D299" s="77">
        <f t="shared" si="57"/>
        <v>391.80959999999999</v>
      </c>
      <c r="E299" s="79">
        <f t="shared" si="58"/>
        <v>91.063439999999986</v>
      </c>
      <c r="F299" s="71">
        <f t="shared" si="54"/>
        <v>482.87303999999995</v>
      </c>
      <c r="G299" s="71">
        <v>0</v>
      </c>
      <c r="H299" s="71">
        <f t="shared" si="55"/>
        <v>724.30955999999992</v>
      </c>
      <c r="I299" s="33"/>
      <c r="N299" s="33"/>
    </row>
    <row r="300" spans="1:14" s="72" customFormat="1" x14ac:dyDescent="0.35">
      <c r="A300" s="105" t="s">
        <v>394</v>
      </c>
      <c r="B300" s="106"/>
      <c r="C300" s="106"/>
      <c r="D300" s="106"/>
      <c r="E300" s="106"/>
      <c r="F300" s="106"/>
      <c r="G300" s="106"/>
      <c r="H300" s="107"/>
      <c r="J300" s="33"/>
    </row>
    <row r="301" spans="1:14" s="72" customFormat="1" x14ac:dyDescent="0.35">
      <c r="A301" s="104">
        <v>1</v>
      </c>
      <c r="B301" s="104"/>
      <c r="C301" s="71" t="s">
        <v>358</v>
      </c>
      <c r="D301" s="77">
        <f>(48.61)*10.764</f>
        <v>523.23803999999996</v>
      </c>
      <c r="E301" s="77">
        <f>(2*1.2+2.2*1.2+2.85*1.2+1.6*1.2)*10.764</f>
        <v>111.73032000000001</v>
      </c>
      <c r="F301" s="71">
        <f t="shared" ref="F301:F308" si="59">D301+E301</f>
        <v>634.96835999999996</v>
      </c>
      <c r="G301" s="71">
        <v>0</v>
      </c>
      <c r="H301" s="71">
        <f t="shared" ref="H301:H308" si="60">F301*(($H$199)+1)+(IF(G301&lt;101,G301,IF(G301&lt;201,G301/2,IF(G301&lt;=301,G301/3,G301/4))))</f>
        <v>952.45254</v>
      </c>
      <c r="I301" s="33"/>
      <c r="N301" s="33"/>
    </row>
    <row r="302" spans="1:14" s="72" customFormat="1" x14ac:dyDescent="0.35">
      <c r="A302" s="104">
        <v>2</v>
      </c>
      <c r="B302" s="104"/>
      <c r="C302" s="71" t="s">
        <v>357</v>
      </c>
      <c r="D302" s="77">
        <f>(36.4)*10.764</f>
        <v>391.80959999999999</v>
      </c>
      <c r="E302" s="79">
        <f t="shared" ref="E302:E305" si="61">(2.75*1.2+2.2*1.2+2.1*1.2)*10.764</f>
        <v>91.063439999999986</v>
      </c>
      <c r="F302" s="71">
        <f t="shared" si="59"/>
        <v>482.87303999999995</v>
      </c>
      <c r="G302" s="71">
        <v>0</v>
      </c>
      <c r="H302" s="71">
        <f t="shared" si="60"/>
        <v>724.30955999999992</v>
      </c>
      <c r="I302" s="33"/>
      <c r="N302" s="33"/>
    </row>
    <row r="303" spans="1:14" s="72" customFormat="1" x14ac:dyDescent="0.35">
      <c r="A303" s="104">
        <v>3</v>
      </c>
      <c r="B303" s="104"/>
      <c r="C303" s="77" t="s">
        <v>357</v>
      </c>
      <c r="D303" s="77">
        <f>(36.4)*10.764</f>
        <v>391.80959999999999</v>
      </c>
      <c r="E303" s="79">
        <f t="shared" si="61"/>
        <v>91.063439999999986</v>
      </c>
      <c r="F303" s="71">
        <f t="shared" si="59"/>
        <v>482.87303999999995</v>
      </c>
      <c r="G303" s="71">
        <v>0</v>
      </c>
      <c r="H303" s="71">
        <f t="shared" si="60"/>
        <v>724.30955999999992</v>
      </c>
      <c r="I303" s="33"/>
      <c r="N303" s="33"/>
    </row>
    <row r="304" spans="1:14" s="72" customFormat="1" x14ac:dyDescent="0.35">
      <c r="A304" s="104">
        <v>4</v>
      </c>
      <c r="B304" s="104"/>
      <c r="C304" s="77" t="s">
        <v>357</v>
      </c>
      <c r="D304" s="77">
        <f>(36.4)*10.764</f>
        <v>391.80959999999999</v>
      </c>
      <c r="E304" s="79">
        <f t="shared" si="61"/>
        <v>91.063439999999986</v>
      </c>
      <c r="F304" s="71">
        <f t="shared" si="59"/>
        <v>482.87303999999995</v>
      </c>
      <c r="G304" s="71">
        <v>0</v>
      </c>
      <c r="H304" s="71">
        <f t="shared" si="60"/>
        <v>724.30955999999992</v>
      </c>
      <c r="I304" s="33"/>
      <c r="N304" s="33"/>
    </row>
    <row r="305" spans="1:20" s="72" customFormat="1" x14ac:dyDescent="0.35">
      <c r="A305" s="104">
        <v>5</v>
      </c>
      <c r="B305" s="104"/>
      <c r="C305" s="77" t="s">
        <v>357</v>
      </c>
      <c r="D305" s="77">
        <f>(36.4)*10.764</f>
        <v>391.80959999999999</v>
      </c>
      <c r="E305" s="79">
        <f t="shared" si="61"/>
        <v>91.063439999999986</v>
      </c>
      <c r="F305" s="71">
        <f t="shared" si="59"/>
        <v>482.87303999999995</v>
      </c>
      <c r="G305" s="71">
        <v>0</v>
      </c>
      <c r="H305" s="71">
        <f t="shared" si="60"/>
        <v>724.30955999999992</v>
      </c>
      <c r="I305" s="33"/>
      <c r="N305" s="33"/>
    </row>
    <row r="306" spans="1:20" s="72" customFormat="1" x14ac:dyDescent="0.35">
      <c r="A306" s="104">
        <v>6</v>
      </c>
      <c r="B306" s="104"/>
      <c r="C306" s="71" t="s">
        <v>358</v>
      </c>
      <c r="D306" s="77">
        <f>(48.61)*10.764</f>
        <v>523.23803999999996</v>
      </c>
      <c r="E306" s="77">
        <f>(2*1.2+2.2*1.2+2.85*1.2+1.6*1.2)*10.764</f>
        <v>111.73032000000001</v>
      </c>
      <c r="F306" s="71">
        <f t="shared" si="59"/>
        <v>634.96835999999996</v>
      </c>
      <c r="G306" s="71">
        <v>0</v>
      </c>
      <c r="H306" s="71">
        <f t="shared" si="60"/>
        <v>952.45254</v>
      </c>
      <c r="I306" s="33"/>
      <c r="N306" s="33"/>
    </row>
    <row r="307" spans="1:20" s="72" customFormat="1" x14ac:dyDescent="0.35">
      <c r="A307" s="104">
        <v>7</v>
      </c>
      <c r="B307" s="104"/>
      <c r="C307" s="71" t="s">
        <v>357</v>
      </c>
      <c r="D307" s="77">
        <f>(36.4)*10.764</f>
        <v>391.80959999999999</v>
      </c>
      <c r="E307" s="79">
        <f t="shared" ref="E307:E309" si="62">(2.75*1.2+2.2*1.2+2.1*1.2)*10.764</f>
        <v>91.063439999999986</v>
      </c>
      <c r="F307" s="71">
        <f t="shared" si="59"/>
        <v>482.87303999999995</v>
      </c>
      <c r="G307" s="71">
        <v>0</v>
      </c>
      <c r="H307" s="71">
        <f t="shared" si="60"/>
        <v>724.30955999999992</v>
      </c>
      <c r="I307" s="33"/>
      <c r="N307" s="33"/>
    </row>
    <row r="308" spans="1:20" s="72" customFormat="1" x14ac:dyDescent="0.35">
      <c r="A308" s="104">
        <v>8</v>
      </c>
      <c r="B308" s="104"/>
      <c r="C308" s="77" t="s">
        <v>357</v>
      </c>
      <c r="D308" s="77">
        <f>(36.4)*10.764</f>
        <v>391.80959999999999</v>
      </c>
      <c r="E308" s="79">
        <f t="shared" si="62"/>
        <v>91.063439999999986</v>
      </c>
      <c r="F308" s="71">
        <f t="shared" si="59"/>
        <v>482.87303999999995</v>
      </c>
      <c r="G308" s="71">
        <v>0</v>
      </c>
      <c r="H308" s="71">
        <f t="shared" si="60"/>
        <v>724.30955999999992</v>
      </c>
      <c r="I308" s="33"/>
      <c r="N308" s="33"/>
    </row>
    <row r="309" spans="1:20" s="75" customFormat="1" x14ac:dyDescent="0.35">
      <c r="A309" s="104">
        <v>9</v>
      </c>
      <c r="B309" s="104"/>
      <c r="C309" s="77" t="s">
        <v>357</v>
      </c>
      <c r="D309" s="77">
        <f>(36.4)*10.764</f>
        <v>391.80959999999999</v>
      </c>
      <c r="E309" s="79">
        <f t="shared" si="62"/>
        <v>91.063439999999986</v>
      </c>
      <c r="F309" s="77">
        <f t="shared" ref="F309:F311" si="63">D309+E309</f>
        <v>482.87303999999995</v>
      </c>
      <c r="G309" s="77">
        <v>0</v>
      </c>
      <c r="H309" s="77">
        <f t="shared" ref="H309:H311" si="64">F309*(($H$199)+1)+(IF(G309&lt;101,G309,IF(G309&lt;201,G309/2,IF(G309&lt;=301,G309/3,G309/4))))</f>
        <v>724.30955999999992</v>
      </c>
      <c r="I309" s="33"/>
      <c r="N309" s="33"/>
    </row>
    <row r="310" spans="1:20" s="75" customFormat="1" ht="15.75" customHeight="1" x14ac:dyDescent="0.35">
      <c r="A310" s="104" t="s">
        <v>393</v>
      </c>
      <c r="B310" s="104"/>
      <c r="C310" s="147" t="s">
        <v>367</v>
      </c>
      <c r="D310" s="233"/>
      <c r="E310" s="233"/>
      <c r="F310" s="233"/>
      <c r="G310" s="148"/>
      <c r="H310" s="79" t="s">
        <v>393</v>
      </c>
      <c r="I310" s="33"/>
      <c r="N310" s="33"/>
    </row>
    <row r="311" spans="1:20" s="75" customFormat="1" x14ac:dyDescent="0.35">
      <c r="A311" s="104">
        <v>10</v>
      </c>
      <c r="B311" s="104"/>
      <c r="C311" s="77" t="s">
        <v>357</v>
      </c>
      <c r="D311" s="77">
        <f>(36.4)*10.764</f>
        <v>391.80959999999999</v>
      </c>
      <c r="E311" s="79">
        <f t="shared" ref="E311:E312" si="65">(2.75*1.2+2.2*1.2+2.1*1.2)*10.764</f>
        <v>91.063439999999986</v>
      </c>
      <c r="F311" s="77">
        <f t="shared" si="63"/>
        <v>482.87303999999995</v>
      </c>
      <c r="G311" s="77">
        <v>0</v>
      </c>
      <c r="H311" s="77">
        <f t="shared" si="64"/>
        <v>724.30955999999992</v>
      </c>
      <c r="I311" s="33"/>
      <c r="N311" s="33"/>
    </row>
    <row r="312" spans="1:20" s="75" customFormat="1" x14ac:dyDescent="0.35">
      <c r="A312" s="104">
        <v>11</v>
      </c>
      <c r="B312" s="104"/>
      <c r="C312" s="77" t="s">
        <v>357</v>
      </c>
      <c r="D312" s="77">
        <f>(36.4)*10.764</f>
        <v>391.80959999999999</v>
      </c>
      <c r="E312" s="79">
        <f t="shared" si="65"/>
        <v>91.063439999999986</v>
      </c>
      <c r="F312" s="77">
        <f t="shared" ref="F312" si="66">D312+E312</f>
        <v>482.87303999999995</v>
      </c>
      <c r="G312" s="77">
        <v>0</v>
      </c>
      <c r="H312" s="77">
        <f t="shared" ref="H312" si="67">F312*(($H$199)+1)+(IF(G312&lt;101,G312,IF(G312&lt;201,G312/2,IF(G312&lt;=301,G312/3,G312/4))))</f>
        <v>724.30955999999992</v>
      </c>
      <c r="I312" s="33"/>
      <c r="N312" s="33"/>
    </row>
    <row r="313" spans="1:20" s="72" customFormat="1" x14ac:dyDescent="0.35">
      <c r="A313" s="105" t="s">
        <v>372</v>
      </c>
      <c r="B313" s="106"/>
      <c r="C313" s="106"/>
      <c r="D313" s="106"/>
      <c r="E313" s="106"/>
      <c r="F313" s="106"/>
      <c r="G313" s="106"/>
      <c r="H313" s="107"/>
      <c r="J313" s="33"/>
    </row>
    <row r="314" spans="1:20" s="72" customFormat="1" x14ac:dyDescent="0.35">
      <c r="A314" s="105" t="s">
        <v>362</v>
      </c>
      <c r="B314" s="106"/>
      <c r="C314" s="106"/>
      <c r="D314" s="106"/>
      <c r="E314" s="106"/>
      <c r="F314" s="106"/>
      <c r="G314" s="106"/>
      <c r="H314" s="107"/>
      <c r="J314" s="33"/>
      <c r="T314" s="32"/>
    </row>
    <row r="315" spans="1:20" s="72" customFormat="1" x14ac:dyDescent="0.35">
      <c r="A315" s="105" t="s">
        <v>356</v>
      </c>
      <c r="B315" s="106"/>
      <c r="C315" s="106"/>
      <c r="D315" s="106"/>
      <c r="E315" s="106"/>
      <c r="F315" s="106"/>
      <c r="G315" s="106"/>
      <c r="H315" s="107"/>
      <c r="J315" s="33"/>
    </row>
    <row r="316" spans="1:20" s="72" customFormat="1" x14ac:dyDescent="0.35">
      <c r="A316" s="104">
        <v>1</v>
      </c>
      <c r="B316" s="104"/>
      <c r="C316" s="71" t="s">
        <v>357</v>
      </c>
      <c r="D316" s="77">
        <f>(36.4)*10.764</f>
        <v>391.80959999999999</v>
      </c>
      <c r="E316" s="79">
        <f t="shared" ref="E316:E319" si="68">(2.75*1.2+2.2*1.2+2.1*1.2)*10.764</f>
        <v>91.063439999999986</v>
      </c>
      <c r="F316" s="71">
        <f t="shared" ref="F316:F323" si="69">D316+E316</f>
        <v>482.87303999999995</v>
      </c>
      <c r="G316" s="71">
        <v>0</v>
      </c>
      <c r="H316" s="71">
        <f t="shared" ref="H316:H323" si="70">F316*(($H$199)+1)+(IF(G316&lt;101,G316,IF(G316&lt;201,G316/2,IF(G316&lt;=301,G316/3,G316/4))))</f>
        <v>724.30955999999992</v>
      </c>
      <c r="I316" s="33"/>
      <c r="N316" s="33"/>
    </row>
    <row r="317" spans="1:20" s="72" customFormat="1" x14ac:dyDescent="0.35">
      <c r="A317" s="104">
        <v>2</v>
      </c>
      <c r="B317" s="104"/>
      <c r="C317" s="77" t="s">
        <v>357</v>
      </c>
      <c r="D317" s="77">
        <f>(36.4)*10.764</f>
        <v>391.80959999999999</v>
      </c>
      <c r="E317" s="79">
        <f t="shared" si="68"/>
        <v>91.063439999999986</v>
      </c>
      <c r="F317" s="71">
        <f t="shared" si="69"/>
        <v>482.87303999999995</v>
      </c>
      <c r="G317" s="71">
        <v>0</v>
      </c>
      <c r="H317" s="71">
        <f t="shared" si="70"/>
        <v>724.30955999999992</v>
      </c>
      <c r="I317" s="33"/>
      <c r="N317" s="33"/>
    </row>
    <row r="318" spans="1:20" s="72" customFormat="1" x14ac:dyDescent="0.35">
      <c r="A318" s="104">
        <v>3</v>
      </c>
      <c r="B318" s="104"/>
      <c r="C318" s="77" t="s">
        <v>357</v>
      </c>
      <c r="D318" s="77">
        <f>(36.4)*10.764</f>
        <v>391.80959999999999</v>
      </c>
      <c r="E318" s="79">
        <f t="shared" si="68"/>
        <v>91.063439999999986</v>
      </c>
      <c r="F318" s="71">
        <f t="shared" si="69"/>
        <v>482.87303999999995</v>
      </c>
      <c r="G318" s="71">
        <v>0</v>
      </c>
      <c r="H318" s="71">
        <f t="shared" si="70"/>
        <v>724.30955999999992</v>
      </c>
      <c r="I318" s="33"/>
      <c r="N318" s="33"/>
    </row>
    <row r="319" spans="1:20" s="72" customFormat="1" x14ac:dyDescent="0.35">
      <c r="A319" s="104">
        <v>4</v>
      </c>
      <c r="B319" s="104"/>
      <c r="C319" s="77" t="s">
        <v>357</v>
      </c>
      <c r="D319" s="77">
        <f>(36.4)*10.764</f>
        <v>391.80959999999999</v>
      </c>
      <c r="E319" s="79">
        <f t="shared" si="68"/>
        <v>91.063439999999986</v>
      </c>
      <c r="F319" s="71">
        <f t="shared" si="69"/>
        <v>482.87303999999995</v>
      </c>
      <c r="G319" s="71">
        <v>0</v>
      </c>
      <c r="H319" s="71">
        <f t="shared" si="70"/>
        <v>724.30955999999992</v>
      </c>
      <c r="I319" s="33"/>
      <c r="N319" s="33"/>
    </row>
    <row r="320" spans="1:20" s="72" customFormat="1" x14ac:dyDescent="0.35">
      <c r="A320" s="104">
        <v>5</v>
      </c>
      <c r="B320" s="104"/>
      <c r="C320" s="77" t="s">
        <v>357</v>
      </c>
      <c r="D320" s="77">
        <f>(35.73)*10.764</f>
        <v>384.59771999999992</v>
      </c>
      <c r="E320" s="77">
        <f>(2.85*1.2+2.2*1.2+2.75*1.2)*10.764</f>
        <v>100.75103999999999</v>
      </c>
      <c r="F320" s="71">
        <f t="shared" si="69"/>
        <v>485.34875999999991</v>
      </c>
      <c r="G320" s="71">
        <v>0</v>
      </c>
      <c r="H320" s="71">
        <f t="shared" si="70"/>
        <v>728.0231399999999</v>
      </c>
      <c r="I320" s="33">
        <f>2.85*4.05+2.2*2.45+2.75*3.5+0.9*1.2+1.2*1.8+1.2*1.05+1.05*1.45+2.2*0.9</f>
        <v>34.56</v>
      </c>
      <c r="N320" s="33"/>
    </row>
    <row r="321" spans="1:14" s="72" customFormat="1" x14ac:dyDescent="0.35">
      <c r="A321" s="104">
        <v>6</v>
      </c>
      <c r="B321" s="104"/>
      <c r="C321" s="77" t="s">
        <v>357</v>
      </c>
      <c r="D321" s="77">
        <f>(36.4)*10.764</f>
        <v>391.80959999999999</v>
      </c>
      <c r="E321" s="79">
        <f t="shared" ref="E321:E322" si="71">(2.75*1.2+2.2*1.2+2.1*1.2)*10.764</f>
        <v>91.063439999999986</v>
      </c>
      <c r="F321" s="71">
        <f t="shared" si="69"/>
        <v>482.87303999999995</v>
      </c>
      <c r="G321" s="71">
        <v>0</v>
      </c>
      <c r="H321" s="71">
        <f t="shared" si="70"/>
        <v>724.30955999999992</v>
      </c>
      <c r="I321" s="33"/>
      <c r="N321" s="33"/>
    </row>
    <row r="322" spans="1:14" s="72" customFormat="1" x14ac:dyDescent="0.35">
      <c r="A322" s="104">
        <v>7</v>
      </c>
      <c r="B322" s="104"/>
      <c r="C322" s="77" t="s">
        <v>357</v>
      </c>
      <c r="D322" s="77">
        <f>(36.4)*10.764</f>
        <v>391.80959999999999</v>
      </c>
      <c r="E322" s="79">
        <f t="shared" si="71"/>
        <v>91.063439999999986</v>
      </c>
      <c r="F322" s="71">
        <f t="shared" si="69"/>
        <v>482.87303999999995</v>
      </c>
      <c r="G322" s="71">
        <v>0</v>
      </c>
      <c r="H322" s="71">
        <f t="shared" si="70"/>
        <v>724.30955999999992</v>
      </c>
      <c r="I322" s="33"/>
      <c r="N322" s="33"/>
    </row>
    <row r="323" spans="1:14" s="72" customFormat="1" x14ac:dyDescent="0.35">
      <c r="A323" s="104">
        <v>8</v>
      </c>
      <c r="B323" s="104"/>
      <c r="C323" s="77" t="s">
        <v>357</v>
      </c>
      <c r="D323" s="77">
        <f>(35.73)*10.764</f>
        <v>384.59771999999992</v>
      </c>
      <c r="E323" s="77">
        <f>(2.85*1.2+2.2*1.2+2.75*1.2)*10.764</f>
        <v>100.75103999999999</v>
      </c>
      <c r="F323" s="71">
        <f t="shared" si="69"/>
        <v>485.34875999999991</v>
      </c>
      <c r="G323" s="71">
        <v>0</v>
      </c>
      <c r="H323" s="71">
        <f t="shared" si="70"/>
        <v>728.0231399999999</v>
      </c>
      <c r="I323" s="33"/>
      <c r="N323" s="33"/>
    </row>
    <row r="324" spans="1:14" s="75" customFormat="1" x14ac:dyDescent="0.35">
      <c r="A324" s="104">
        <v>9</v>
      </c>
      <c r="B324" s="104"/>
      <c r="C324" s="77" t="s">
        <v>357</v>
      </c>
      <c r="D324" s="77">
        <f>(36.4)*10.764</f>
        <v>391.80959999999999</v>
      </c>
      <c r="E324" s="79">
        <f t="shared" ref="E324:E325" si="72">(2.75*1.2+2.2*1.2+2.1*1.2)*10.764</f>
        <v>91.063439999999986</v>
      </c>
      <c r="F324" s="77">
        <f t="shared" ref="F324" si="73">D324+E324</f>
        <v>482.87303999999995</v>
      </c>
      <c r="G324" s="77">
        <v>0</v>
      </c>
      <c r="H324" s="77">
        <f t="shared" ref="H324" si="74">F324*(($H$199)+1)+(IF(G324&lt;101,G324,IF(G324&lt;201,G324/2,IF(G324&lt;=301,G324/3,G324/4))))</f>
        <v>724.30955999999992</v>
      </c>
      <c r="I324" s="33"/>
      <c r="N324" s="33"/>
    </row>
    <row r="325" spans="1:14" s="75" customFormat="1" x14ac:dyDescent="0.35">
      <c r="A325" s="104">
        <v>10</v>
      </c>
      <c r="B325" s="104"/>
      <c r="C325" s="77" t="s">
        <v>357</v>
      </c>
      <c r="D325" s="77">
        <f>(36.4)*10.764</f>
        <v>391.80959999999999</v>
      </c>
      <c r="E325" s="79">
        <f t="shared" si="72"/>
        <v>91.063439999999986</v>
      </c>
      <c r="F325" s="77">
        <f t="shared" ref="F325" si="75">D325+E325</f>
        <v>482.87303999999995</v>
      </c>
      <c r="G325" s="77">
        <v>0</v>
      </c>
      <c r="H325" s="77">
        <f t="shared" ref="H325" si="76">F325*(($H$199)+1)+(IF(G325&lt;101,G325,IF(G325&lt;201,G325/2,IF(G325&lt;=301,G325/3,G325/4))))</f>
        <v>724.30955999999992</v>
      </c>
      <c r="I325" s="33"/>
      <c r="N325" s="33"/>
    </row>
    <row r="326" spans="1:14" s="72" customFormat="1" x14ac:dyDescent="0.35">
      <c r="A326" s="105" t="s">
        <v>394</v>
      </c>
      <c r="B326" s="106"/>
      <c r="C326" s="106"/>
      <c r="D326" s="106"/>
      <c r="E326" s="106"/>
      <c r="F326" s="106"/>
      <c r="G326" s="106"/>
      <c r="H326" s="107"/>
      <c r="J326" s="33"/>
    </row>
    <row r="327" spans="1:14" s="72" customFormat="1" x14ac:dyDescent="0.35">
      <c r="A327" s="104">
        <v>1</v>
      </c>
      <c r="B327" s="104"/>
      <c r="C327" s="71" t="s">
        <v>357</v>
      </c>
      <c r="D327" s="77">
        <f>(36.4)*10.764</f>
        <v>391.80959999999999</v>
      </c>
      <c r="E327" s="79">
        <f t="shared" ref="E327:E330" si="77">(2.75*1.2+2.2*1.2+2.1*1.2)*10.764</f>
        <v>91.063439999999986</v>
      </c>
      <c r="F327" s="71">
        <f t="shared" ref="F327:F331" si="78">D327+E327</f>
        <v>482.87303999999995</v>
      </c>
      <c r="G327" s="71">
        <v>0</v>
      </c>
      <c r="H327" s="71">
        <f t="shared" ref="H327:H333" si="79">F327*(($H$199)+1)+(IF(G327&lt;101,G327,IF(G327&lt;201,G327/2,IF(G327&lt;=301,G327/3,G327/4))))</f>
        <v>724.30955999999992</v>
      </c>
      <c r="I327" s="33"/>
      <c r="N327" s="33"/>
    </row>
    <row r="328" spans="1:14" s="72" customFormat="1" x14ac:dyDescent="0.35">
      <c r="A328" s="104">
        <v>2</v>
      </c>
      <c r="B328" s="104"/>
      <c r="C328" s="77" t="s">
        <v>357</v>
      </c>
      <c r="D328" s="77">
        <f>(36.4)*10.764</f>
        <v>391.80959999999999</v>
      </c>
      <c r="E328" s="79">
        <f t="shared" si="77"/>
        <v>91.063439999999986</v>
      </c>
      <c r="F328" s="71">
        <f t="shared" si="78"/>
        <v>482.87303999999995</v>
      </c>
      <c r="G328" s="71">
        <v>0</v>
      </c>
      <c r="H328" s="71">
        <f t="shared" si="79"/>
        <v>724.30955999999992</v>
      </c>
      <c r="I328" s="33"/>
      <c r="N328" s="33"/>
    </row>
    <row r="329" spans="1:14" s="72" customFormat="1" x14ac:dyDescent="0.35">
      <c r="A329" s="104">
        <v>3</v>
      </c>
      <c r="B329" s="104"/>
      <c r="C329" s="77" t="s">
        <v>357</v>
      </c>
      <c r="D329" s="77">
        <f>(36.4)*10.764</f>
        <v>391.80959999999999</v>
      </c>
      <c r="E329" s="79">
        <f t="shared" si="77"/>
        <v>91.063439999999986</v>
      </c>
      <c r="F329" s="71">
        <f t="shared" si="78"/>
        <v>482.87303999999995</v>
      </c>
      <c r="G329" s="71">
        <v>0</v>
      </c>
      <c r="H329" s="71">
        <f t="shared" si="79"/>
        <v>724.30955999999992</v>
      </c>
      <c r="I329" s="33"/>
      <c r="N329" s="33"/>
    </row>
    <row r="330" spans="1:14" s="72" customFormat="1" x14ac:dyDescent="0.35">
      <c r="A330" s="104">
        <v>4</v>
      </c>
      <c r="B330" s="104"/>
      <c r="C330" s="77" t="s">
        <v>357</v>
      </c>
      <c r="D330" s="77">
        <f>(36.4)*10.764</f>
        <v>391.80959999999999</v>
      </c>
      <c r="E330" s="79">
        <f t="shared" si="77"/>
        <v>91.063439999999986</v>
      </c>
      <c r="F330" s="71">
        <f t="shared" si="78"/>
        <v>482.87303999999995</v>
      </c>
      <c r="G330" s="71">
        <v>0</v>
      </c>
      <c r="H330" s="71">
        <f t="shared" si="79"/>
        <v>724.30955999999992</v>
      </c>
      <c r="I330" s="33"/>
      <c r="N330" s="33"/>
    </row>
    <row r="331" spans="1:14" s="72" customFormat="1" x14ac:dyDescent="0.35">
      <c r="A331" s="104">
        <v>5</v>
      </c>
      <c r="B331" s="104"/>
      <c r="C331" s="77" t="s">
        <v>357</v>
      </c>
      <c r="D331" s="77">
        <f>(35.73)*10.764</f>
        <v>384.59771999999992</v>
      </c>
      <c r="E331" s="77">
        <f>(2.85*1.2+2.2*1.2+2.75*1.2)*10.764</f>
        <v>100.75103999999999</v>
      </c>
      <c r="F331" s="71">
        <f t="shared" si="78"/>
        <v>485.34875999999991</v>
      </c>
      <c r="G331" s="71">
        <v>0</v>
      </c>
      <c r="H331" s="71">
        <f t="shared" si="79"/>
        <v>728.0231399999999</v>
      </c>
      <c r="I331" s="33"/>
      <c r="N331" s="33"/>
    </row>
    <row r="332" spans="1:14" s="72" customFormat="1" x14ac:dyDescent="0.35">
      <c r="A332" s="104">
        <v>6</v>
      </c>
      <c r="B332" s="104"/>
      <c r="C332" s="77" t="s">
        <v>357</v>
      </c>
      <c r="D332" s="77">
        <f>(36.4)*10.764</f>
        <v>391.80959999999999</v>
      </c>
      <c r="E332" s="79">
        <f t="shared" ref="E332:E333" si="80">(2.75*1.2+2.2*1.2+2.1*1.2)*10.764</f>
        <v>91.063439999999986</v>
      </c>
      <c r="F332" s="71">
        <f>D332+E332</f>
        <v>482.87303999999995</v>
      </c>
      <c r="G332" s="71">
        <v>0</v>
      </c>
      <c r="H332" s="71">
        <f t="shared" si="79"/>
        <v>724.30955999999992</v>
      </c>
      <c r="I332" s="33"/>
      <c r="N332" s="33"/>
    </row>
    <row r="333" spans="1:14" s="72" customFormat="1" x14ac:dyDescent="0.35">
      <c r="A333" s="104">
        <v>7</v>
      </c>
      <c r="B333" s="104"/>
      <c r="C333" s="77" t="s">
        <v>357</v>
      </c>
      <c r="D333" s="77">
        <f>(36.4)*10.764</f>
        <v>391.80959999999999</v>
      </c>
      <c r="E333" s="79">
        <f t="shared" si="80"/>
        <v>91.063439999999986</v>
      </c>
      <c r="F333" s="71">
        <f>D333+E333</f>
        <v>482.87303999999995</v>
      </c>
      <c r="G333" s="71">
        <v>0</v>
      </c>
      <c r="H333" s="71">
        <f t="shared" si="79"/>
        <v>724.30955999999992</v>
      </c>
      <c r="I333" s="33"/>
      <c r="N333" s="33"/>
    </row>
    <row r="334" spans="1:14" s="75" customFormat="1" x14ac:dyDescent="0.35">
      <c r="A334" s="104">
        <v>8</v>
      </c>
      <c r="B334" s="104"/>
      <c r="C334" s="77" t="s">
        <v>357</v>
      </c>
      <c r="D334" s="77">
        <f>(35.73)*10.764</f>
        <v>384.59771999999992</v>
      </c>
      <c r="E334" s="77">
        <f>(2.85*1.2+2.2*1.2+2.75*1.2)*10.764</f>
        <v>100.75103999999999</v>
      </c>
      <c r="F334" s="77">
        <f t="shared" ref="F334:F336" si="81">D334+E334</f>
        <v>485.34875999999991</v>
      </c>
      <c r="G334" s="77">
        <v>0</v>
      </c>
      <c r="H334" s="77">
        <f t="shared" ref="H334:H336" si="82">F334*(($H$199)+1)+(IF(G334&lt;101,G334,IF(G334&lt;201,G334/2,IF(G334&lt;=301,G334/3,G334/4))))</f>
        <v>728.0231399999999</v>
      </c>
      <c r="I334" s="33"/>
      <c r="N334" s="33"/>
    </row>
    <row r="335" spans="1:14" s="72" customFormat="1" ht="15.75" customHeight="1" x14ac:dyDescent="0.35">
      <c r="A335" s="104" t="s">
        <v>393</v>
      </c>
      <c r="B335" s="104"/>
      <c r="C335" s="147" t="s">
        <v>367</v>
      </c>
      <c r="D335" s="233"/>
      <c r="E335" s="233"/>
      <c r="F335" s="233"/>
      <c r="G335" s="148"/>
      <c r="H335" s="79" t="s">
        <v>393</v>
      </c>
      <c r="I335" s="33"/>
      <c r="N335" s="33"/>
    </row>
    <row r="336" spans="1:14" s="75" customFormat="1" x14ac:dyDescent="0.35">
      <c r="A336" s="104">
        <v>9</v>
      </c>
      <c r="B336" s="104"/>
      <c r="C336" s="77" t="s">
        <v>357</v>
      </c>
      <c r="D336" s="77">
        <f>(36.4)*10.764</f>
        <v>391.80959999999999</v>
      </c>
      <c r="E336" s="79">
        <f t="shared" ref="E336" si="83">(2.75*1.2+2.2*1.2+2.1*1.2)*10.764</f>
        <v>91.063439999999986</v>
      </c>
      <c r="F336" s="77">
        <f t="shared" si="81"/>
        <v>482.87303999999995</v>
      </c>
      <c r="G336" s="77">
        <v>0</v>
      </c>
      <c r="H336" s="77">
        <f t="shared" si="82"/>
        <v>724.30955999999992</v>
      </c>
      <c r="I336" s="33"/>
      <c r="N336" s="33"/>
    </row>
    <row r="337" spans="1:9" s="34" customFormat="1" ht="15.75" hidden="1" customHeight="1" x14ac:dyDescent="0.35">
      <c r="A337" s="105" t="s">
        <v>147</v>
      </c>
      <c r="B337" s="106"/>
      <c r="C337" s="106"/>
      <c r="D337" s="106"/>
      <c r="E337" s="106"/>
      <c r="F337" s="106"/>
      <c r="G337" s="106"/>
      <c r="H337" s="107"/>
      <c r="I337" s="33"/>
    </row>
    <row r="338" spans="1:9" s="34" customFormat="1" ht="15.75" hidden="1" customHeight="1" x14ac:dyDescent="0.35">
      <c r="A338" s="147" t="str">
        <f ca="1">(SUMPRODUCT(MID(0&amp;(LEFT(A337,SUM(LEN(A337)-LEN(SUBSTITUTE(A337,{"0","1","2"},""))))), LARGE(INDEX(ISNUMBER(--MID((LEFT(A337,SUM(LEN(A337)-LEN(SUBSTITUTE(A337,{"0","1","2"},""))))), ROW(INDIRECT("1:"&amp;LEN((LEFT(A337,SUM(LEN(A337)-LEN(SUBSTITUTE(A337,{"0","1","2"},"")))))))), 1)) * ROW(INDIRECT("1:"&amp;LEN((LEFT(A337,SUM(LEN(A337)-LEN(SUBSTITUTE(A337,{"0","1","2"},"")))))))), 0), ROW(INDIRECT("1:"&amp;LEN((LEFT(A337,SUM(LEN(A337)-LEN(SUBSTITUTE(A337,{"0","1","2"},"")))))))))+1, 1) * 10^ROW(INDIRECT("1:"&amp;LEN((LEFT(A337,SUM(LEN(A337)-LEN(SUBSTITUTE(A337,{"0","1","2"},""))))))))/10))*100+1&amp;""&amp;" ,.., "&amp;""&amp;(SUMPRODUCT(MID(0&amp;(--TRIM(RIGHT(SUBSTITUTE(LEFT(A337,_xlfn.AGGREGATE(16,6,FIND({0,1,2,3,4,5,6,7,8,9},A337,ROW(INDIRECT("1:"&amp;LEN(A337)))),1))," ",REPT(" ",LEN(A337))),LEN(A337)))), LARGE(INDEX(ISNUMBER(--MID((--TRIM(RIGHT(SUBSTITUTE(LEFT(A337,_xlfn.AGGREGATE(16,6,FIND({0,1,2,3,4,5,6,7,8,9},A337,ROW(INDIRECT("1:"&amp;LEN(A337)))),1))," ",REPT(" ",LEN(A337))),LEN(A337)))), ROW(INDIRECT("1:"&amp;LEN((--TRIM(RIGHT(SUBSTITUTE(LEFT(A337,_xlfn.AGGREGATE(16,6,FIND({0,1,2,3,4,5,6,7,8,9},A337,ROW(INDIRECT("1:"&amp;LEN(A337)))),1))," ",REPT(" ",LEN(A337))),LEN(A337))))))), 1)) * ROW(INDIRECT("1:"&amp;LEN((--TRIM(RIGHT(SUBSTITUTE(LEFT(A337,_xlfn.AGGREGATE(16,6,FIND({0,1,2,3,4,5,6,7,8,9},A337,ROW(INDIRECT("1:"&amp;LEN(A337)))),1))," ",REPT(" ",LEN(A337))),LEN(A337))))))), 0), ROW(INDIRECT("1:"&amp;LEN((--TRIM(RIGHT(SUBSTITUTE(LEFT(A337,_xlfn.AGGREGATE(16,6,FIND({0,1,2,3,4,5,6,7,8,9},A337,ROW(INDIRECT("1:"&amp;LEN(A337)))),1))," ",REPT(" ",LEN(A337))),LEN(A337))))))))+1, 1) * 10^ROW(INDIRECT("1:"&amp;LEN((--TRIM(RIGHT(SUBSTITUTE(LEFT(A337,_xlfn.AGGREGATE(16,6,FIND({0,1,2,3,4,5,6,7,8,9},A337,ROW(INDIRECT("1:"&amp;LEN(A337)))),1))," ",REPT(" ",LEN(A337))),LEN(A337)))))))/10))*100+1</f>
        <v>301 ,.., 1501</v>
      </c>
      <c r="B338" s="148"/>
      <c r="C338" s="39"/>
      <c r="D338" s="39"/>
      <c r="E338" s="47">
        <v>0</v>
      </c>
      <c r="F338" s="47">
        <f>D338+E338</f>
        <v>0</v>
      </c>
      <c r="G338" s="47">
        <v>0</v>
      </c>
      <c r="H338" s="47">
        <f>F338*(($H$199)+1)+(IF(G338&lt;101,G338,IF(G338&lt;201,G338/2,IF(G338&lt;=301,G338/3,G338/4))))</f>
        <v>0</v>
      </c>
      <c r="I338" s="33"/>
    </row>
    <row r="339" spans="1:9" s="34" customFormat="1" ht="15.75" hidden="1" customHeight="1" x14ac:dyDescent="0.35">
      <c r="A339" s="147" t="str">
        <f ca="1">(SUMPRODUCT(MID(0&amp;(LEFT(A338,SUM(LEN(A338)-LEN(SUBSTITUTE(A338,{"0","1","2"},""))))), LARGE(INDEX(ISNUMBER(--MID((LEFT(A338,SUM(LEN(A338)-LEN(SUBSTITUTE(A338,{"0","1","2"},""))))), ROW(INDIRECT("1:"&amp;LEN((LEFT(A338,SUM(LEN(A338)-LEN(SUBSTITUTE(A338,{"0","1","2"},"")))))))), 1)) * ROW(INDIRECT("1:"&amp;LEN((LEFT(A338,SUM(LEN(A338)-LEN(SUBSTITUTE(A338,{"0","1","2"},"")))))))), 0), ROW(INDIRECT("1:"&amp;LEN((LEFT(A338,SUM(LEN(A338)-LEN(SUBSTITUTE(A338,{"0","1","2"},"")))))))))+1, 1) * 10^ROW(INDIRECT("1:"&amp;LEN((LEFT(A338,SUM(LEN(A338)-LEN(SUBSTITUTE(A338,{"0","1","2"},""))))))))/10))*1+1&amp;""&amp;" ,.., "&amp;""&amp;(SUMPRODUCT(MID(0&amp;(--TRIM(RIGHT(SUBSTITUTE(LEFT(A338,_xlfn.AGGREGATE(16,6,FIND({0,1,2,3,4,5,6,7,8,9},A338,ROW(INDIRECT("1:"&amp;LEN(A338)))),1))," ",REPT(" ",LEN(A338))),LEN(A338)))), LARGE(INDEX(ISNUMBER(--MID((--TRIM(RIGHT(SUBSTITUTE(LEFT(A338,_xlfn.AGGREGATE(16,6,FIND({0,1,2,3,4,5,6,7,8,9},A338,ROW(INDIRECT("1:"&amp;LEN(A338)))),1))," ",REPT(" ",LEN(A338))),LEN(A338)))), ROW(INDIRECT("1:"&amp;LEN((--TRIM(RIGHT(SUBSTITUTE(LEFT(A338,_xlfn.AGGREGATE(16,6,FIND({0,1,2,3,4,5,6,7,8,9},A338,ROW(INDIRECT("1:"&amp;LEN(A338)))),1))," ",REPT(" ",LEN(A338))),LEN(A338))))))), 1)) * ROW(INDIRECT("1:"&amp;LEN((--TRIM(RIGHT(SUBSTITUTE(LEFT(A338,_xlfn.AGGREGATE(16,6,FIND({0,1,2,3,4,5,6,7,8,9},A338,ROW(INDIRECT("1:"&amp;LEN(A338)))),1))," ",REPT(" ",LEN(A338))),LEN(A338))))))), 0), ROW(INDIRECT("1:"&amp;LEN((--TRIM(RIGHT(SUBSTITUTE(LEFT(A338,_xlfn.AGGREGATE(16,6,FIND({0,1,2,3,4,5,6,7,8,9},A338,ROW(INDIRECT("1:"&amp;LEN(A338)))),1))," ",REPT(" ",LEN(A338))),LEN(A338))))))))+1, 1) * 10^ROW(INDIRECT("1:"&amp;LEN((--TRIM(RIGHT(SUBSTITUTE(LEFT(A338,_xlfn.AGGREGATE(16,6,FIND({0,1,2,3,4,5,6,7,8,9},A338,ROW(INDIRECT("1:"&amp;LEN(A338)))),1))," ",REPT(" ",LEN(A338))),LEN(A338)))))))/10))*1+1</f>
        <v>302 ,.., 1502</v>
      </c>
      <c r="B339" s="148"/>
      <c r="C339" s="39"/>
      <c r="D339" s="39"/>
      <c r="E339" s="47">
        <v>0</v>
      </c>
      <c r="F339" s="47">
        <f>D339+E339</f>
        <v>0</v>
      </c>
      <c r="G339" s="47">
        <v>0</v>
      </c>
      <c r="H339" s="47">
        <f>F339*(($H$199)+1)+(IF(G339&lt;101,G339,IF(G339&lt;201,G339/2,IF(G339&lt;=301,G339/3,G339/4))))</f>
        <v>0</v>
      </c>
      <c r="I339" s="33"/>
    </row>
    <row r="340" spans="1:9" s="34" customFormat="1" ht="15.75" hidden="1" customHeight="1" x14ac:dyDescent="0.35">
      <c r="A340" s="147" t="str">
        <f ca="1">(SUMPRODUCT(MID(0&amp;(LEFT(A339,SUM(LEN(A339)-LEN(SUBSTITUTE(A339,{"0","1","2"},""))))), LARGE(INDEX(ISNUMBER(--MID((LEFT(A339,SUM(LEN(A339)-LEN(SUBSTITUTE(A339,{"0","1","2"},""))))), ROW(INDIRECT("1:"&amp;LEN((LEFT(A339,SUM(LEN(A339)-LEN(SUBSTITUTE(A339,{"0","1","2"},"")))))))), 1)) * ROW(INDIRECT("1:"&amp;LEN((LEFT(A339,SUM(LEN(A339)-LEN(SUBSTITUTE(A339,{"0","1","2"},"")))))))), 0), ROW(INDIRECT("1:"&amp;LEN((LEFT(A339,SUM(LEN(A339)-LEN(SUBSTITUTE(A339,{"0","1","2"},"")))))))))+1, 1) * 10^ROW(INDIRECT("1:"&amp;LEN((LEFT(A339,SUM(LEN(A339)-LEN(SUBSTITUTE(A339,{"0","1","2"},""))))))))/10))*1+1&amp;""&amp;" ,.., "&amp;""&amp;(SUMPRODUCT(MID(0&amp;(--TRIM(RIGHT(SUBSTITUTE(LEFT(A339,_xlfn.AGGREGATE(16,6,FIND({0,1,2,3,4,5,6,7,8,9},A339,ROW(INDIRECT("1:"&amp;LEN(A339)))),1))," ",REPT(" ",LEN(A339))),LEN(A339)))), LARGE(INDEX(ISNUMBER(--MID((--TRIM(RIGHT(SUBSTITUTE(LEFT(A339,_xlfn.AGGREGATE(16,6,FIND({0,1,2,3,4,5,6,7,8,9},A339,ROW(INDIRECT("1:"&amp;LEN(A339)))),1))," ",REPT(" ",LEN(A339))),LEN(A339)))), ROW(INDIRECT("1:"&amp;LEN((--TRIM(RIGHT(SUBSTITUTE(LEFT(A339,_xlfn.AGGREGATE(16,6,FIND({0,1,2,3,4,5,6,7,8,9},A339,ROW(INDIRECT("1:"&amp;LEN(A339)))),1))," ",REPT(" ",LEN(A339))),LEN(A339))))))), 1)) * ROW(INDIRECT("1:"&amp;LEN((--TRIM(RIGHT(SUBSTITUTE(LEFT(A339,_xlfn.AGGREGATE(16,6,FIND({0,1,2,3,4,5,6,7,8,9},A339,ROW(INDIRECT("1:"&amp;LEN(A339)))),1))," ",REPT(" ",LEN(A339))),LEN(A339))))))), 0), ROW(INDIRECT("1:"&amp;LEN((--TRIM(RIGHT(SUBSTITUTE(LEFT(A339,_xlfn.AGGREGATE(16,6,FIND({0,1,2,3,4,5,6,7,8,9},A339,ROW(INDIRECT("1:"&amp;LEN(A339)))),1))," ",REPT(" ",LEN(A339))),LEN(A339))))))))+1, 1) * 10^ROW(INDIRECT("1:"&amp;LEN((--TRIM(RIGHT(SUBSTITUTE(LEFT(A339,_xlfn.AGGREGATE(16,6,FIND({0,1,2,3,4,5,6,7,8,9},A339,ROW(INDIRECT("1:"&amp;LEN(A339)))),1))," ",REPT(" ",LEN(A339))),LEN(A339)))))))/10))*1+1</f>
        <v>303 ,.., 1503</v>
      </c>
      <c r="B340" s="148"/>
      <c r="C340" s="39"/>
      <c r="D340" s="39"/>
      <c r="E340" s="47">
        <v>0</v>
      </c>
      <c r="F340" s="47">
        <f>D340+E340</f>
        <v>0</v>
      </c>
      <c r="G340" s="47">
        <v>0</v>
      </c>
      <c r="H340" s="47">
        <f>F340*(($H$199)+1)+(IF(G340&lt;101,G340,IF(G340&lt;201,G340/2,IF(G340&lt;=301,G340/3,G340/4))))</f>
        <v>0</v>
      </c>
      <c r="I340" s="33"/>
    </row>
    <row r="341" spans="1:9" s="34" customFormat="1" ht="15.75" hidden="1" customHeight="1" x14ac:dyDescent="0.35">
      <c r="A341" s="147" t="str">
        <f ca="1">(SUMPRODUCT(MID(0&amp;(LEFT(A340,SUM(LEN(A340)-LEN(SUBSTITUTE(A340,{"0","1","2"},""))))), LARGE(INDEX(ISNUMBER(--MID((LEFT(A340,SUM(LEN(A340)-LEN(SUBSTITUTE(A340,{"0","1","2"},""))))), ROW(INDIRECT("1:"&amp;LEN((LEFT(A340,SUM(LEN(A340)-LEN(SUBSTITUTE(A340,{"0","1","2"},"")))))))), 1)) * ROW(INDIRECT("1:"&amp;LEN((LEFT(A340,SUM(LEN(A340)-LEN(SUBSTITUTE(A340,{"0","1","2"},"")))))))), 0), ROW(INDIRECT("1:"&amp;LEN((LEFT(A340,SUM(LEN(A340)-LEN(SUBSTITUTE(A340,{"0","1","2"},"")))))))))+1, 1) * 10^ROW(INDIRECT("1:"&amp;LEN((LEFT(A340,SUM(LEN(A340)-LEN(SUBSTITUTE(A340,{"0","1","2"},""))))))))/10))*1+1&amp;""&amp;" ,.., "&amp;""&amp;(SUMPRODUCT(MID(0&amp;(--TRIM(RIGHT(SUBSTITUTE(LEFT(A340,_xlfn.AGGREGATE(16,6,FIND({0,1,2,3,4,5,6,7,8,9},A340,ROW(INDIRECT("1:"&amp;LEN(A340)))),1))," ",REPT(" ",LEN(A340))),LEN(A340)))), LARGE(INDEX(ISNUMBER(--MID((--TRIM(RIGHT(SUBSTITUTE(LEFT(A340,_xlfn.AGGREGATE(16,6,FIND({0,1,2,3,4,5,6,7,8,9},A340,ROW(INDIRECT("1:"&amp;LEN(A340)))),1))," ",REPT(" ",LEN(A340))),LEN(A340)))), ROW(INDIRECT("1:"&amp;LEN((--TRIM(RIGHT(SUBSTITUTE(LEFT(A340,_xlfn.AGGREGATE(16,6,FIND({0,1,2,3,4,5,6,7,8,9},A340,ROW(INDIRECT("1:"&amp;LEN(A340)))),1))," ",REPT(" ",LEN(A340))),LEN(A340))))))), 1)) * ROW(INDIRECT("1:"&amp;LEN((--TRIM(RIGHT(SUBSTITUTE(LEFT(A340,_xlfn.AGGREGATE(16,6,FIND({0,1,2,3,4,5,6,7,8,9},A340,ROW(INDIRECT("1:"&amp;LEN(A340)))),1))," ",REPT(" ",LEN(A340))),LEN(A340))))))), 0), ROW(INDIRECT("1:"&amp;LEN((--TRIM(RIGHT(SUBSTITUTE(LEFT(A340,_xlfn.AGGREGATE(16,6,FIND({0,1,2,3,4,5,6,7,8,9},A340,ROW(INDIRECT("1:"&amp;LEN(A340)))),1))," ",REPT(" ",LEN(A340))),LEN(A340))))))))+1, 1) * 10^ROW(INDIRECT("1:"&amp;LEN((--TRIM(RIGHT(SUBSTITUTE(LEFT(A340,_xlfn.AGGREGATE(16,6,FIND({0,1,2,3,4,5,6,7,8,9},A340,ROW(INDIRECT("1:"&amp;LEN(A340)))),1))," ",REPT(" ",LEN(A340))),LEN(A340)))))))/10))*1+1</f>
        <v>304 ,.., 1504</v>
      </c>
      <c r="B341" s="148"/>
      <c r="C341" s="39"/>
      <c r="D341" s="39"/>
      <c r="E341" s="47">
        <v>0</v>
      </c>
      <c r="F341" s="47">
        <f>D341+E341</f>
        <v>0</v>
      </c>
      <c r="G341" s="47">
        <v>0</v>
      </c>
      <c r="H341" s="47">
        <f>F341*(($H$199)+1)+(IF(G341&lt;101,G341,IF(G341&lt;201,G341/2,IF(G341&lt;=301,G341/3,G341/4))))</f>
        <v>0</v>
      </c>
      <c r="I341" s="33"/>
    </row>
    <row r="342" spans="1:9" s="34" customFormat="1" ht="15.75" hidden="1" customHeight="1" x14ac:dyDescent="0.35">
      <c r="A342" s="147" t="str">
        <f ca="1">(SUMPRODUCT(MID(0&amp;(LEFT(A341,SUM(LEN(A341)-LEN(SUBSTITUTE(A341,{"0","1","2"},""))))), LARGE(INDEX(ISNUMBER(--MID((LEFT(A341,SUM(LEN(A341)-LEN(SUBSTITUTE(A341,{"0","1","2"},""))))), ROW(INDIRECT("1:"&amp;LEN((LEFT(A341,SUM(LEN(A341)-LEN(SUBSTITUTE(A341,{"0","1","2"},"")))))))), 1)) * ROW(INDIRECT("1:"&amp;LEN((LEFT(A341,SUM(LEN(A341)-LEN(SUBSTITUTE(A341,{"0","1","2"},"")))))))), 0), ROW(INDIRECT("1:"&amp;LEN((LEFT(A341,SUM(LEN(A341)-LEN(SUBSTITUTE(A341,{"0","1","2"},"")))))))))+1, 1) * 10^ROW(INDIRECT("1:"&amp;LEN((LEFT(A341,SUM(LEN(A341)-LEN(SUBSTITUTE(A341,{"0","1","2"},""))))))))/10))*1+1&amp;""&amp;" ,.., "&amp;""&amp;(SUMPRODUCT(MID(0&amp;(--TRIM(RIGHT(SUBSTITUTE(LEFT(A341,_xlfn.AGGREGATE(16,6,FIND({0,1,2,3,4,5,6,7,8,9},A341,ROW(INDIRECT("1:"&amp;LEN(A341)))),1))," ",REPT(" ",LEN(A341))),LEN(A341)))), LARGE(INDEX(ISNUMBER(--MID((--TRIM(RIGHT(SUBSTITUTE(LEFT(A341,_xlfn.AGGREGATE(16,6,FIND({0,1,2,3,4,5,6,7,8,9},A341,ROW(INDIRECT("1:"&amp;LEN(A341)))),1))," ",REPT(" ",LEN(A341))),LEN(A341)))), ROW(INDIRECT("1:"&amp;LEN((--TRIM(RIGHT(SUBSTITUTE(LEFT(A341,_xlfn.AGGREGATE(16,6,FIND({0,1,2,3,4,5,6,7,8,9},A341,ROW(INDIRECT("1:"&amp;LEN(A341)))),1))," ",REPT(" ",LEN(A341))),LEN(A341))))))), 1)) * ROW(INDIRECT("1:"&amp;LEN((--TRIM(RIGHT(SUBSTITUTE(LEFT(A341,_xlfn.AGGREGATE(16,6,FIND({0,1,2,3,4,5,6,7,8,9},A341,ROW(INDIRECT("1:"&amp;LEN(A341)))),1))," ",REPT(" ",LEN(A341))),LEN(A341))))))), 0), ROW(INDIRECT("1:"&amp;LEN((--TRIM(RIGHT(SUBSTITUTE(LEFT(A341,_xlfn.AGGREGATE(16,6,FIND({0,1,2,3,4,5,6,7,8,9},A341,ROW(INDIRECT("1:"&amp;LEN(A341)))),1))," ",REPT(" ",LEN(A341))),LEN(A341))))))))+1, 1) * 10^ROW(INDIRECT("1:"&amp;LEN((--TRIM(RIGHT(SUBSTITUTE(LEFT(A341,_xlfn.AGGREGATE(16,6,FIND({0,1,2,3,4,5,6,7,8,9},A341,ROW(INDIRECT("1:"&amp;LEN(A341)))),1))," ",REPT(" ",LEN(A341))),LEN(A341)))))))/10))*1+1</f>
        <v>305 ,.., 1505</v>
      </c>
      <c r="B342" s="148"/>
      <c r="C342" s="39"/>
      <c r="D342" s="39"/>
      <c r="E342" s="47">
        <v>0</v>
      </c>
      <c r="F342" s="47">
        <f>D342+E342</f>
        <v>0</v>
      </c>
      <c r="G342" s="47">
        <v>0</v>
      </c>
      <c r="H342" s="47">
        <f>F342*(($H$199)+1)+(IF(G342&lt;101,G342,IF(G342&lt;201,G342/2,IF(G342&lt;=301,G342/3,G342/4))))</f>
        <v>0</v>
      </c>
      <c r="I342" s="33"/>
    </row>
    <row r="343" spans="1:9" s="34" customFormat="1" hidden="1" x14ac:dyDescent="0.35">
      <c r="A343" s="105" t="s">
        <v>141</v>
      </c>
      <c r="B343" s="106"/>
      <c r="C343" s="106"/>
      <c r="D343" s="106"/>
      <c r="E343" s="106"/>
      <c r="F343" s="106"/>
      <c r="G343" s="106"/>
      <c r="H343" s="107"/>
      <c r="I343" s="33"/>
    </row>
    <row r="344" spans="1:9" s="34" customFormat="1" ht="15.75" hidden="1" customHeight="1" x14ac:dyDescent="0.35">
      <c r="A344" s="147" t="str">
        <f ca="1">(SUMPRODUCT(MID(0&amp;(LEFT(A343,SUM(LEN(A343)-LEN(SUBSTITUTE(A343,{"0","1","2"},""))))), LARGE(INDEX(ISNUMBER(--MID((LEFT(A343,SUM(LEN(A343)-LEN(SUBSTITUTE(A343,{"0","1","2"},""))))), ROW(INDIRECT("1:"&amp;LEN((LEFT(A343,SUM(LEN(A343)-LEN(SUBSTITUTE(A343,{"0","1","2"},"")))))))), 1)) * ROW(INDIRECT("1:"&amp;LEN((LEFT(A343,SUM(LEN(A343)-LEN(SUBSTITUTE(A343,{"0","1","2"},"")))))))), 0), ROW(INDIRECT("1:"&amp;LEN((LEFT(A343,SUM(LEN(A343)-LEN(SUBSTITUTE(A343,{"0","1","2"},"")))))))))+1, 1) * 10^ROW(INDIRECT("1:"&amp;LEN((LEFT(A343,SUM(LEN(A343)-LEN(SUBSTITUTE(A343,{"0","1","2"},""))))))))/10))*100+1&amp;""&amp;" to "&amp;""&amp;(SUMPRODUCT(MID(0&amp;(--TRIM(RIGHT(SUBSTITUTE(LEFT(A343,_xlfn.AGGREGATE(16,6,FIND({0,1,2,3,4,5,6,7,8,9},A343,ROW(INDIRECT("1:"&amp;LEN(A343)))),1))," ",REPT(" ",LEN(A343))),LEN(A343)))), LARGE(INDEX(ISNUMBER(--MID((--TRIM(RIGHT(SUBSTITUTE(LEFT(A343,_xlfn.AGGREGATE(16,6,FIND({0,1,2,3,4,5,6,7,8,9},A343,ROW(INDIRECT("1:"&amp;LEN(A343)))),1))," ",REPT(" ",LEN(A343))),LEN(A343)))), ROW(INDIRECT("1:"&amp;LEN((--TRIM(RIGHT(SUBSTITUTE(LEFT(A343,_xlfn.AGGREGATE(16,6,FIND({0,1,2,3,4,5,6,7,8,9},A343,ROW(INDIRECT("1:"&amp;LEN(A343)))),1))," ",REPT(" ",LEN(A343))),LEN(A343))))))), 1)) * ROW(INDIRECT("1:"&amp;LEN((--TRIM(RIGHT(SUBSTITUTE(LEFT(A343,_xlfn.AGGREGATE(16,6,FIND({0,1,2,3,4,5,6,7,8,9},A343,ROW(INDIRECT("1:"&amp;LEN(A343)))),1))," ",REPT(" ",LEN(A343))),LEN(A343))))))), 0), ROW(INDIRECT("1:"&amp;LEN((--TRIM(RIGHT(SUBSTITUTE(LEFT(A343,_xlfn.AGGREGATE(16,6,FIND({0,1,2,3,4,5,6,7,8,9},A343,ROW(INDIRECT("1:"&amp;LEN(A343)))),1))," ",REPT(" ",LEN(A343))),LEN(A343))))))))+1, 1) * 10^ROW(INDIRECT("1:"&amp;LEN((--TRIM(RIGHT(SUBSTITUTE(LEFT(A343,_xlfn.AGGREGATE(16,6,FIND({0,1,2,3,4,5,6,7,8,9},A343,ROW(INDIRECT("1:"&amp;LEN(A343)))),1))," ",REPT(" ",LEN(A343))),LEN(A343)))))))/10))*100+1</f>
        <v>201 to 501</v>
      </c>
      <c r="B344" s="148"/>
      <c r="C344" s="39"/>
      <c r="D344" s="39"/>
      <c r="E344" s="47">
        <v>0</v>
      </c>
      <c r="F344" s="47">
        <f>D344+E344</f>
        <v>0</v>
      </c>
      <c r="G344" s="47">
        <v>0</v>
      </c>
      <c r="H344" s="47">
        <f>F344*(($H$199)+1)+(IF(G344&lt;101,G344,IF(G344&lt;201,G344/2,IF(G344&lt;=301,G344/3,G344/4))))</f>
        <v>0</v>
      </c>
      <c r="I344" s="33"/>
    </row>
    <row r="345" spans="1:9" s="34" customFormat="1" ht="15.75" hidden="1" customHeight="1" x14ac:dyDescent="0.35">
      <c r="A345" s="147" t="str">
        <f ca="1">(SUMPRODUCT(MID(0&amp;(LEFT(A344,SUM(LEN(A344)-LEN(SUBSTITUTE(A344,{"0","1","2"},""))))), LARGE(INDEX(ISNUMBER(--MID((LEFT(A344,SUM(LEN(A344)-LEN(SUBSTITUTE(A344,{"0","1","2"},""))))), ROW(INDIRECT("1:"&amp;LEN((LEFT(A344,SUM(LEN(A344)-LEN(SUBSTITUTE(A344,{"0","1","2"},"")))))))), 1)) * ROW(INDIRECT("1:"&amp;LEN((LEFT(A344,SUM(LEN(A344)-LEN(SUBSTITUTE(A344,{"0","1","2"},"")))))))), 0), ROW(INDIRECT("1:"&amp;LEN((LEFT(A344,SUM(LEN(A344)-LEN(SUBSTITUTE(A344,{"0","1","2"},"")))))))))+1, 1) * 10^ROW(INDIRECT("1:"&amp;LEN((LEFT(A344,SUM(LEN(A344)-LEN(SUBSTITUTE(A344,{"0","1","2"},""))))))))/10))*1+1&amp;""&amp;" to "&amp;""&amp;(SUMPRODUCT(MID(0&amp;(--TRIM(RIGHT(SUBSTITUTE(LEFT(A344,_xlfn.AGGREGATE(16,6,FIND({0,1,2,3,4,5,6,7,8,9},A344,ROW(INDIRECT("1:"&amp;LEN(A344)))),1))," ",REPT(" ",LEN(A344))),LEN(A344)))), LARGE(INDEX(ISNUMBER(--MID((--TRIM(RIGHT(SUBSTITUTE(LEFT(A344,_xlfn.AGGREGATE(16,6,FIND({0,1,2,3,4,5,6,7,8,9},A344,ROW(INDIRECT("1:"&amp;LEN(A344)))),1))," ",REPT(" ",LEN(A344))),LEN(A344)))), ROW(INDIRECT("1:"&amp;LEN((--TRIM(RIGHT(SUBSTITUTE(LEFT(A344,_xlfn.AGGREGATE(16,6,FIND({0,1,2,3,4,5,6,7,8,9},A344,ROW(INDIRECT("1:"&amp;LEN(A344)))),1))," ",REPT(" ",LEN(A344))),LEN(A344))))))), 1)) * ROW(INDIRECT("1:"&amp;LEN((--TRIM(RIGHT(SUBSTITUTE(LEFT(A344,_xlfn.AGGREGATE(16,6,FIND({0,1,2,3,4,5,6,7,8,9},A344,ROW(INDIRECT("1:"&amp;LEN(A344)))),1))," ",REPT(" ",LEN(A344))),LEN(A344))))))), 0), ROW(INDIRECT("1:"&amp;LEN((--TRIM(RIGHT(SUBSTITUTE(LEFT(A344,_xlfn.AGGREGATE(16,6,FIND({0,1,2,3,4,5,6,7,8,9},A344,ROW(INDIRECT("1:"&amp;LEN(A344)))),1))," ",REPT(" ",LEN(A344))),LEN(A344))))))))+1, 1) * 10^ROW(INDIRECT("1:"&amp;LEN((--TRIM(RIGHT(SUBSTITUTE(LEFT(A344,_xlfn.AGGREGATE(16,6,FIND({0,1,2,3,4,5,6,7,8,9},A344,ROW(INDIRECT("1:"&amp;LEN(A344)))),1))," ",REPT(" ",LEN(A344))),LEN(A344)))))))/10))*1+1</f>
        <v>202 to 502</v>
      </c>
      <c r="B345" s="148"/>
      <c r="C345" s="39"/>
      <c r="D345" s="39"/>
      <c r="E345" s="47">
        <v>0</v>
      </c>
      <c r="F345" s="47">
        <f>D345+E345</f>
        <v>0</v>
      </c>
      <c r="G345" s="47">
        <v>0</v>
      </c>
      <c r="H345" s="47">
        <f>F345*(($H$199)+1)+(IF(G345&lt;101,G345,IF(G345&lt;201,G345/2,IF(G345&lt;=301,G345/3,G345/4))))</f>
        <v>0</v>
      </c>
      <c r="I345" s="33"/>
    </row>
    <row r="346" spans="1:9" s="34" customFormat="1" ht="15.75" hidden="1" customHeight="1" x14ac:dyDescent="0.35">
      <c r="A346" s="147" t="str">
        <f ca="1">(SUMPRODUCT(MID(0&amp;(LEFT(A345,SUM(LEN(A345)-LEN(SUBSTITUTE(A345,{"0","1","2"},""))))), LARGE(INDEX(ISNUMBER(--MID((LEFT(A345,SUM(LEN(A345)-LEN(SUBSTITUTE(A345,{"0","1","2"},""))))), ROW(INDIRECT("1:"&amp;LEN((LEFT(A345,SUM(LEN(A345)-LEN(SUBSTITUTE(A345,{"0","1","2"},"")))))))), 1)) * ROW(INDIRECT("1:"&amp;LEN((LEFT(A345,SUM(LEN(A345)-LEN(SUBSTITUTE(A345,{"0","1","2"},"")))))))), 0), ROW(INDIRECT("1:"&amp;LEN((LEFT(A345,SUM(LEN(A345)-LEN(SUBSTITUTE(A345,{"0","1","2"},"")))))))))+1, 1) * 10^ROW(INDIRECT("1:"&amp;LEN((LEFT(A345,SUM(LEN(A345)-LEN(SUBSTITUTE(A345,{"0","1","2"},""))))))))/10))*1+1&amp;""&amp;" to "&amp;""&amp;(SUMPRODUCT(MID(0&amp;(--TRIM(RIGHT(SUBSTITUTE(LEFT(A345,_xlfn.AGGREGATE(16,6,FIND({0,1,2,3,4,5,6,7,8,9},A345,ROW(INDIRECT("1:"&amp;LEN(A345)))),1))," ",REPT(" ",LEN(A345))),LEN(A345)))), LARGE(INDEX(ISNUMBER(--MID((--TRIM(RIGHT(SUBSTITUTE(LEFT(A345,_xlfn.AGGREGATE(16,6,FIND({0,1,2,3,4,5,6,7,8,9},A345,ROW(INDIRECT("1:"&amp;LEN(A345)))),1))," ",REPT(" ",LEN(A345))),LEN(A345)))), ROW(INDIRECT("1:"&amp;LEN((--TRIM(RIGHT(SUBSTITUTE(LEFT(A345,_xlfn.AGGREGATE(16,6,FIND({0,1,2,3,4,5,6,7,8,9},A345,ROW(INDIRECT("1:"&amp;LEN(A345)))),1))," ",REPT(" ",LEN(A345))),LEN(A345))))))), 1)) * ROW(INDIRECT("1:"&amp;LEN((--TRIM(RIGHT(SUBSTITUTE(LEFT(A345,_xlfn.AGGREGATE(16,6,FIND({0,1,2,3,4,5,6,7,8,9},A345,ROW(INDIRECT("1:"&amp;LEN(A345)))),1))," ",REPT(" ",LEN(A345))),LEN(A345))))))), 0), ROW(INDIRECT("1:"&amp;LEN((--TRIM(RIGHT(SUBSTITUTE(LEFT(A345,_xlfn.AGGREGATE(16,6,FIND({0,1,2,3,4,5,6,7,8,9},A345,ROW(INDIRECT("1:"&amp;LEN(A345)))),1))," ",REPT(" ",LEN(A345))),LEN(A345))))))))+1, 1) * 10^ROW(INDIRECT("1:"&amp;LEN((--TRIM(RIGHT(SUBSTITUTE(LEFT(A345,_xlfn.AGGREGATE(16,6,FIND({0,1,2,3,4,5,6,7,8,9},A345,ROW(INDIRECT("1:"&amp;LEN(A345)))),1))," ",REPT(" ",LEN(A345))),LEN(A345)))))))/10))*1+1</f>
        <v>203 to 503</v>
      </c>
      <c r="B346" s="148"/>
      <c r="C346" s="39"/>
      <c r="D346" s="39"/>
      <c r="E346" s="47">
        <v>0</v>
      </c>
      <c r="F346" s="47">
        <f>D346+E346</f>
        <v>0</v>
      </c>
      <c r="G346" s="47">
        <v>0</v>
      </c>
      <c r="H346" s="47">
        <f>F346*(($H$199)+1)+(IF(G346&lt;101,G346,IF(G346&lt;201,G346/2,IF(G346&lt;=301,G346/3,G346/4))))</f>
        <v>0</v>
      </c>
      <c r="I346" s="33"/>
    </row>
    <row r="347" spans="1:9" s="34" customFormat="1" ht="15.75" hidden="1" customHeight="1" x14ac:dyDescent="0.35">
      <c r="A347" s="147" t="str">
        <f ca="1">(SUMPRODUCT(MID(0&amp;(LEFT(A346,SUM(LEN(A346)-LEN(SUBSTITUTE(A346,{"0","1","2"},""))))), LARGE(INDEX(ISNUMBER(--MID((LEFT(A346,SUM(LEN(A346)-LEN(SUBSTITUTE(A346,{"0","1","2"},""))))), ROW(INDIRECT("1:"&amp;LEN((LEFT(A346,SUM(LEN(A346)-LEN(SUBSTITUTE(A346,{"0","1","2"},"")))))))), 1)) * ROW(INDIRECT("1:"&amp;LEN((LEFT(A346,SUM(LEN(A346)-LEN(SUBSTITUTE(A346,{"0","1","2"},"")))))))), 0), ROW(INDIRECT("1:"&amp;LEN((LEFT(A346,SUM(LEN(A346)-LEN(SUBSTITUTE(A346,{"0","1","2"},"")))))))))+1, 1) * 10^ROW(INDIRECT("1:"&amp;LEN((LEFT(A346,SUM(LEN(A346)-LEN(SUBSTITUTE(A346,{"0","1","2"},""))))))))/10))*1+1&amp;""&amp;" to "&amp;""&amp;(SUMPRODUCT(MID(0&amp;(--TRIM(RIGHT(SUBSTITUTE(LEFT(A346,_xlfn.AGGREGATE(16,6,FIND({0,1,2,3,4,5,6,7,8,9},A346,ROW(INDIRECT("1:"&amp;LEN(A346)))),1))," ",REPT(" ",LEN(A346))),LEN(A346)))), LARGE(INDEX(ISNUMBER(--MID((--TRIM(RIGHT(SUBSTITUTE(LEFT(A346,_xlfn.AGGREGATE(16,6,FIND({0,1,2,3,4,5,6,7,8,9},A346,ROW(INDIRECT("1:"&amp;LEN(A346)))),1))," ",REPT(" ",LEN(A346))),LEN(A346)))), ROW(INDIRECT("1:"&amp;LEN((--TRIM(RIGHT(SUBSTITUTE(LEFT(A346,_xlfn.AGGREGATE(16,6,FIND({0,1,2,3,4,5,6,7,8,9},A346,ROW(INDIRECT("1:"&amp;LEN(A346)))),1))," ",REPT(" ",LEN(A346))),LEN(A346))))))), 1)) * ROW(INDIRECT("1:"&amp;LEN((--TRIM(RIGHT(SUBSTITUTE(LEFT(A346,_xlfn.AGGREGATE(16,6,FIND({0,1,2,3,4,5,6,7,8,9},A346,ROW(INDIRECT("1:"&amp;LEN(A346)))),1))," ",REPT(" ",LEN(A346))),LEN(A346))))))), 0), ROW(INDIRECT("1:"&amp;LEN((--TRIM(RIGHT(SUBSTITUTE(LEFT(A346,_xlfn.AGGREGATE(16,6,FIND({0,1,2,3,4,5,6,7,8,9},A346,ROW(INDIRECT("1:"&amp;LEN(A346)))),1))," ",REPT(" ",LEN(A346))),LEN(A346))))))))+1, 1) * 10^ROW(INDIRECT("1:"&amp;LEN((--TRIM(RIGHT(SUBSTITUTE(LEFT(A346,_xlfn.AGGREGATE(16,6,FIND({0,1,2,3,4,5,6,7,8,9},A346,ROW(INDIRECT("1:"&amp;LEN(A346)))),1))," ",REPT(" ",LEN(A346))),LEN(A346)))))))/10))*1+1</f>
        <v>204 to 504</v>
      </c>
      <c r="B347" s="148"/>
      <c r="C347" s="39"/>
      <c r="D347" s="39"/>
      <c r="E347" s="47">
        <v>0</v>
      </c>
      <c r="F347" s="47">
        <f>D347+E347</f>
        <v>0</v>
      </c>
      <c r="G347" s="47">
        <v>0</v>
      </c>
      <c r="H347" s="47">
        <f>F347*(($H$199)+1)+(IF(G347&lt;101,G347,IF(G347&lt;201,G347/2,IF(G347&lt;=301,G347/3,G347/4))))</f>
        <v>0</v>
      </c>
      <c r="I347" s="33"/>
    </row>
    <row r="348" spans="1:9" s="34" customFormat="1" ht="15.75" hidden="1" customHeight="1" x14ac:dyDescent="0.35">
      <c r="A348" s="147" t="str">
        <f ca="1">(SUMPRODUCT(MID(0&amp;(LEFT(A347,SUM(LEN(A347)-LEN(SUBSTITUTE(A347,{"0","1","2"},""))))), LARGE(INDEX(ISNUMBER(--MID((LEFT(A347,SUM(LEN(A347)-LEN(SUBSTITUTE(A347,{"0","1","2"},""))))), ROW(INDIRECT("1:"&amp;LEN((LEFT(A347,SUM(LEN(A347)-LEN(SUBSTITUTE(A347,{"0","1","2"},"")))))))), 1)) * ROW(INDIRECT("1:"&amp;LEN((LEFT(A347,SUM(LEN(A347)-LEN(SUBSTITUTE(A347,{"0","1","2"},"")))))))), 0), ROW(INDIRECT("1:"&amp;LEN((LEFT(A347,SUM(LEN(A347)-LEN(SUBSTITUTE(A347,{"0","1","2"},"")))))))))+1, 1) * 10^ROW(INDIRECT("1:"&amp;LEN((LEFT(A347,SUM(LEN(A347)-LEN(SUBSTITUTE(A347,{"0","1","2"},""))))))))/10))*1+1&amp;""&amp;" to "&amp;""&amp;(SUMPRODUCT(MID(0&amp;(--TRIM(RIGHT(SUBSTITUTE(LEFT(A347,_xlfn.AGGREGATE(16,6,FIND({0,1,2,3,4,5,6,7,8,9},A347,ROW(INDIRECT("1:"&amp;LEN(A347)))),1))," ",REPT(" ",LEN(A347))),LEN(A347)))), LARGE(INDEX(ISNUMBER(--MID((--TRIM(RIGHT(SUBSTITUTE(LEFT(A347,_xlfn.AGGREGATE(16,6,FIND({0,1,2,3,4,5,6,7,8,9},A347,ROW(INDIRECT("1:"&amp;LEN(A347)))),1))," ",REPT(" ",LEN(A347))),LEN(A347)))), ROW(INDIRECT("1:"&amp;LEN((--TRIM(RIGHT(SUBSTITUTE(LEFT(A347,_xlfn.AGGREGATE(16,6,FIND({0,1,2,3,4,5,6,7,8,9},A347,ROW(INDIRECT("1:"&amp;LEN(A347)))),1))," ",REPT(" ",LEN(A347))),LEN(A347))))))), 1)) * ROW(INDIRECT("1:"&amp;LEN((--TRIM(RIGHT(SUBSTITUTE(LEFT(A347,_xlfn.AGGREGATE(16,6,FIND({0,1,2,3,4,5,6,7,8,9},A347,ROW(INDIRECT("1:"&amp;LEN(A347)))),1))," ",REPT(" ",LEN(A347))),LEN(A347))))))), 0), ROW(INDIRECT("1:"&amp;LEN((--TRIM(RIGHT(SUBSTITUTE(LEFT(A347,_xlfn.AGGREGATE(16,6,FIND({0,1,2,3,4,5,6,7,8,9},A347,ROW(INDIRECT("1:"&amp;LEN(A347)))),1))," ",REPT(" ",LEN(A347))),LEN(A347))))))))+1, 1) * 10^ROW(INDIRECT("1:"&amp;LEN((--TRIM(RIGHT(SUBSTITUTE(LEFT(A347,_xlfn.AGGREGATE(16,6,FIND({0,1,2,3,4,5,6,7,8,9},A347,ROW(INDIRECT("1:"&amp;LEN(A347)))),1))," ",REPT(" ",LEN(A347))),LEN(A347)))))))/10))*1+1</f>
        <v>205 to 505</v>
      </c>
      <c r="B348" s="148"/>
      <c r="C348" s="39"/>
      <c r="D348" s="39"/>
      <c r="E348" s="47">
        <v>0</v>
      </c>
      <c r="F348" s="47">
        <f>D348+E348</f>
        <v>0</v>
      </c>
      <c r="G348" s="47">
        <v>0</v>
      </c>
      <c r="H348" s="47">
        <f>F348*(($H$199)+1)+(IF(G348&lt;101,G348,IF(G348&lt;201,G348/2,IF(G348&lt;=301,G348/3,G348/4))))</f>
        <v>0</v>
      </c>
      <c r="I348" s="33"/>
    </row>
    <row r="349" spans="1:9" s="34" customFormat="1" hidden="1" x14ac:dyDescent="0.35">
      <c r="A349" s="105" t="s">
        <v>142</v>
      </c>
      <c r="B349" s="106"/>
      <c r="C349" s="106"/>
      <c r="D349" s="106"/>
      <c r="E349" s="106"/>
      <c r="F349" s="106"/>
      <c r="G349" s="106"/>
      <c r="H349" s="107"/>
      <c r="I349" s="33"/>
    </row>
    <row r="350" spans="1:9" s="34" customFormat="1" ht="15.75" hidden="1" customHeight="1" x14ac:dyDescent="0.35">
      <c r="A350" s="147" t="str">
        <f ca="1">(SUMPRODUCT(MID(0&amp;(LEFT(A349,SUM(LEN(A349)-LEN(SUBSTITUTE(A349,{"0","1","2"},""))))), LARGE(INDEX(ISNUMBER(--MID((LEFT(A349,SUM(LEN(A349)-LEN(SUBSTITUTE(A349,{"0","1","2"},""))))), ROW(INDIRECT("1:"&amp;LEN((LEFT(A349,SUM(LEN(A349)-LEN(SUBSTITUTE(A349,{"0","1","2"},"")))))))), 1)) * ROW(INDIRECT("1:"&amp;LEN((LEFT(A349,SUM(LEN(A349)-LEN(SUBSTITUTE(A349,{"0","1","2"},"")))))))), 0), ROW(INDIRECT("1:"&amp;LEN((LEFT(A349,SUM(LEN(A349)-LEN(SUBSTITUTE(A349,{"0","1","2"},"")))))))))+1, 1) * 10^ROW(INDIRECT("1:"&amp;LEN((LEFT(A349,SUM(LEN(A349)-LEN(SUBSTITUTE(A349,{"0","1","2"},""))))))))/10))*100+1&amp;""&amp;" &amp; "&amp;""&amp;(SUMPRODUCT(MID(0&amp;(--TRIM(RIGHT(SUBSTITUTE(LEFT(A349,_xlfn.AGGREGATE(16,6,FIND({0,1,2,3,4,5,6,7,8,9},A349,ROW(INDIRECT("1:"&amp;LEN(A349)))),1))," ",REPT(" ",LEN(A349))),LEN(A349)))), LARGE(INDEX(ISNUMBER(--MID((--TRIM(RIGHT(SUBSTITUTE(LEFT(A349,_xlfn.AGGREGATE(16,6,FIND({0,1,2,3,4,5,6,7,8,9},A349,ROW(INDIRECT("1:"&amp;LEN(A349)))),1))," ",REPT(" ",LEN(A349))),LEN(A349)))), ROW(INDIRECT("1:"&amp;LEN((--TRIM(RIGHT(SUBSTITUTE(LEFT(A349,_xlfn.AGGREGATE(16,6,FIND({0,1,2,3,4,5,6,7,8,9},A349,ROW(INDIRECT("1:"&amp;LEN(A349)))),1))," ",REPT(" ",LEN(A349))),LEN(A349))))))), 1)) * ROW(INDIRECT("1:"&amp;LEN((--TRIM(RIGHT(SUBSTITUTE(LEFT(A349,_xlfn.AGGREGATE(16,6,FIND({0,1,2,3,4,5,6,7,8,9},A349,ROW(INDIRECT("1:"&amp;LEN(A349)))),1))," ",REPT(" ",LEN(A349))),LEN(A349))))))), 0), ROW(INDIRECT("1:"&amp;LEN((--TRIM(RIGHT(SUBSTITUTE(LEFT(A349,_xlfn.AGGREGATE(16,6,FIND({0,1,2,3,4,5,6,7,8,9},A349,ROW(INDIRECT("1:"&amp;LEN(A349)))),1))," ",REPT(" ",LEN(A349))),LEN(A349))))))))+1, 1) * 10^ROW(INDIRECT("1:"&amp;LEN((--TRIM(RIGHT(SUBSTITUTE(LEFT(A349,_xlfn.AGGREGATE(16,6,FIND({0,1,2,3,4,5,6,7,8,9},A349,ROW(INDIRECT("1:"&amp;LEN(A349)))),1))," ",REPT(" ",LEN(A349))),LEN(A349)))))))/10))*100+1</f>
        <v>201 &amp; 501</v>
      </c>
      <c r="B350" s="148"/>
      <c r="C350" s="39"/>
      <c r="D350" s="39"/>
      <c r="E350" s="47">
        <v>0</v>
      </c>
      <c r="F350" s="47">
        <f>D350+E350</f>
        <v>0</v>
      </c>
      <c r="G350" s="47">
        <v>0</v>
      </c>
      <c r="H350" s="47">
        <f>F350*(($H$199)+1)+(IF(G350&lt;101,G350,IF(G350&lt;201,G350/2,IF(G350&lt;=301,G350/3,G350/4))))</f>
        <v>0</v>
      </c>
      <c r="I350" s="33"/>
    </row>
    <row r="351" spans="1:9" s="34" customFormat="1" ht="15.75" hidden="1" customHeight="1" x14ac:dyDescent="0.35">
      <c r="A351" s="147" t="str">
        <f ca="1">(SUMPRODUCT(MID(0&amp;(LEFT(A350,SUM(LEN(A350)-LEN(SUBSTITUTE(A350,{"0","1","2"},""))))), LARGE(INDEX(ISNUMBER(--MID((LEFT(A350,SUM(LEN(A350)-LEN(SUBSTITUTE(A350,{"0","1","2"},""))))), ROW(INDIRECT("1:"&amp;LEN((LEFT(A350,SUM(LEN(A350)-LEN(SUBSTITUTE(A350,{"0","1","2"},"")))))))), 1)) * ROW(INDIRECT("1:"&amp;LEN((LEFT(A350,SUM(LEN(A350)-LEN(SUBSTITUTE(A350,{"0","1","2"},"")))))))), 0), ROW(INDIRECT("1:"&amp;LEN((LEFT(A350,SUM(LEN(A350)-LEN(SUBSTITUTE(A350,{"0","1","2"},"")))))))))+1, 1) * 10^ROW(INDIRECT("1:"&amp;LEN((LEFT(A350,SUM(LEN(A350)-LEN(SUBSTITUTE(A350,{"0","1","2"},""))))))))/10))*1+1&amp;""&amp;" &amp; "&amp;""&amp;(SUMPRODUCT(MID(0&amp;(--TRIM(RIGHT(SUBSTITUTE(LEFT(A350,_xlfn.AGGREGATE(16,6,FIND({0,1,2,3,4,5,6,7,8,9},A350,ROW(INDIRECT("1:"&amp;LEN(A350)))),1))," ",REPT(" ",LEN(A350))),LEN(A350)))), LARGE(INDEX(ISNUMBER(--MID((--TRIM(RIGHT(SUBSTITUTE(LEFT(A350,_xlfn.AGGREGATE(16,6,FIND({0,1,2,3,4,5,6,7,8,9},A350,ROW(INDIRECT("1:"&amp;LEN(A350)))),1))," ",REPT(" ",LEN(A350))),LEN(A350)))), ROW(INDIRECT("1:"&amp;LEN((--TRIM(RIGHT(SUBSTITUTE(LEFT(A350,_xlfn.AGGREGATE(16,6,FIND({0,1,2,3,4,5,6,7,8,9},A350,ROW(INDIRECT("1:"&amp;LEN(A350)))),1))," ",REPT(" ",LEN(A350))),LEN(A350))))))), 1)) * ROW(INDIRECT("1:"&amp;LEN((--TRIM(RIGHT(SUBSTITUTE(LEFT(A350,_xlfn.AGGREGATE(16,6,FIND({0,1,2,3,4,5,6,7,8,9},A350,ROW(INDIRECT("1:"&amp;LEN(A350)))),1))," ",REPT(" ",LEN(A350))),LEN(A350))))))), 0), ROW(INDIRECT("1:"&amp;LEN((--TRIM(RIGHT(SUBSTITUTE(LEFT(A350,_xlfn.AGGREGATE(16,6,FIND({0,1,2,3,4,5,6,7,8,9},A350,ROW(INDIRECT("1:"&amp;LEN(A350)))),1))," ",REPT(" ",LEN(A350))),LEN(A350))))))))+1, 1) * 10^ROW(INDIRECT("1:"&amp;LEN((--TRIM(RIGHT(SUBSTITUTE(LEFT(A350,_xlfn.AGGREGATE(16,6,FIND({0,1,2,3,4,5,6,7,8,9},A350,ROW(INDIRECT("1:"&amp;LEN(A350)))),1))," ",REPT(" ",LEN(A350))),LEN(A350)))))))/10))*1+1</f>
        <v>202 &amp; 502</v>
      </c>
      <c r="B351" s="148"/>
      <c r="C351" s="39"/>
      <c r="D351" s="39"/>
      <c r="E351" s="47">
        <v>0</v>
      </c>
      <c r="F351" s="47">
        <f>D351+E351</f>
        <v>0</v>
      </c>
      <c r="G351" s="47">
        <v>0</v>
      </c>
      <c r="H351" s="47">
        <f>F351*(($H$199)+1)+(IF(G351&lt;101,G351,IF(G351&lt;201,G351/2,IF(G351&lt;=301,G351/3,G351/4))))</f>
        <v>0</v>
      </c>
      <c r="I351" s="33"/>
    </row>
    <row r="352" spans="1:9" s="34" customFormat="1" ht="15.75" hidden="1" customHeight="1" x14ac:dyDescent="0.35">
      <c r="A352" s="147" t="str">
        <f ca="1">(SUMPRODUCT(MID(0&amp;(LEFT(A351,SUM(LEN(A351)-LEN(SUBSTITUTE(A351,{"0","1","2"},""))))), LARGE(INDEX(ISNUMBER(--MID((LEFT(A351,SUM(LEN(A351)-LEN(SUBSTITUTE(A351,{"0","1","2"},""))))), ROW(INDIRECT("1:"&amp;LEN((LEFT(A351,SUM(LEN(A351)-LEN(SUBSTITUTE(A351,{"0","1","2"},"")))))))), 1)) * ROW(INDIRECT("1:"&amp;LEN((LEFT(A351,SUM(LEN(A351)-LEN(SUBSTITUTE(A351,{"0","1","2"},"")))))))), 0), ROW(INDIRECT("1:"&amp;LEN((LEFT(A351,SUM(LEN(A351)-LEN(SUBSTITUTE(A351,{"0","1","2"},"")))))))))+1, 1) * 10^ROW(INDIRECT("1:"&amp;LEN((LEFT(A351,SUM(LEN(A351)-LEN(SUBSTITUTE(A351,{"0","1","2"},""))))))))/10))*1+1&amp;""&amp;" &amp; "&amp;""&amp;(SUMPRODUCT(MID(0&amp;(--TRIM(RIGHT(SUBSTITUTE(LEFT(A351,_xlfn.AGGREGATE(16,6,FIND({0,1,2,3,4,5,6,7,8,9},A351,ROW(INDIRECT("1:"&amp;LEN(A351)))),1))," ",REPT(" ",LEN(A351))),LEN(A351)))), LARGE(INDEX(ISNUMBER(--MID((--TRIM(RIGHT(SUBSTITUTE(LEFT(A351,_xlfn.AGGREGATE(16,6,FIND({0,1,2,3,4,5,6,7,8,9},A351,ROW(INDIRECT("1:"&amp;LEN(A351)))),1))," ",REPT(" ",LEN(A351))),LEN(A351)))), ROW(INDIRECT("1:"&amp;LEN((--TRIM(RIGHT(SUBSTITUTE(LEFT(A351,_xlfn.AGGREGATE(16,6,FIND({0,1,2,3,4,5,6,7,8,9},A351,ROW(INDIRECT("1:"&amp;LEN(A351)))),1))," ",REPT(" ",LEN(A351))),LEN(A351))))))), 1)) * ROW(INDIRECT("1:"&amp;LEN((--TRIM(RIGHT(SUBSTITUTE(LEFT(A351,_xlfn.AGGREGATE(16,6,FIND({0,1,2,3,4,5,6,7,8,9},A351,ROW(INDIRECT("1:"&amp;LEN(A351)))),1))," ",REPT(" ",LEN(A351))),LEN(A351))))))), 0), ROW(INDIRECT("1:"&amp;LEN((--TRIM(RIGHT(SUBSTITUTE(LEFT(A351,_xlfn.AGGREGATE(16,6,FIND({0,1,2,3,4,5,6,7,8,9},A351,ROW(INDIRECT("1:"&amp;LEN(A351)))),1))," ",REPT(" ",LEN(A351))),LEN(A351))))))))+1, 1) * 10^ROW(INDIRECT("1:"&amp;LEN((--TRIM(RIGHT(SUBSTITUTE(LEFT(A351,_xlfn.AGGREGATE(16,6,FIND({0,1,2,3,4,5,6,7,8,9},A351,ROW(INDIRECT("1:"&amp;LEN(A351)))),1))," ",REPT(" ",LEN(A351))),LEN(A351)))))))/10))*1+1</f>
        <v>203 &amp; 503</v>
      </c>
      <c r="B352" s="148"/>
      <c r="C352" s="39"/>
      <c r="D352" s="39"/>
      <c r="E352" s="47">
        <v>0</v>
      </c>
      <c r="F352" s="47">
        <f>D352+E352</f>
        <v>0</v>
      </c>
      <c r="G352" s="47">
        <v>0</v>
      </c>
      <c r="H352" s="47">
        <f>F352*(($H$199)+1)+(IF(G352&lt;101,G352,IF(G352&lt;201,G352/2,IF(G352&lt;=301,G352/3,G352/4))))</f>
        <v>0</v>
      </c>
      <c r="I352" s="33"/>
    </row>
    <row r="353" spans="1:20" s="34" customFormat="1" ht="15.75" hidden="1" customHeight="1" x14ac:dyDescent="0.35">
      <c r="A353" s="147" t="str">
        <f ca="1">(SUMPRODUCT(MID(0&amp;(LEFT(A352,SUM(LEN(A352)-LEN(SUBSTITUTE(A352,{"0","1","2"},""))))), LARGE(INDEX(ISNUMBER(--MID((LEFT(A352,SUM(LEN(A352)-LEN(SUBSTITUTE(A352,{"0","1","2"},""))))), ROW(INDIRECT("1:"&amp;LEN((LEFT(A352,SUM(LEN(A352)-LEN(SUBSTITUTE(A352,{"0","1","2"},"")))))))), 1)) * ROW(INDIRECT("1:"&amp;LEN((LEFT(A352,SUM(LEN(A352)-LEN(SUBSTITUTE(A352,{"0","1","2"},"")))))))), 0), ROW(INDIRECT("1:"&amp;LEN((LEFT(A352,SUM(LEN(A352)-LEN(SUBSTITUTE(A352,{"0","1","2"},"")))))))))+1, 1) * 10^ROW(INDIRECT("1:"&amp;LEN((LEFT(A352,SUM(LEN(A352)-LEN(SUBSTITUTE(A352,{"0","1","2"},""))))))))/10))*1+1&amp;""&amp;" &amp; "&amp;""&amp;(SUMPRODUCT(MID(0&amp;(--TRIM(RIGHT(SUBSTITUTE(LEFT(A352,_xlfn.AGGREGATE(16,6,FIND({0,1,2,3,4,5,6,7,8,9},A352,ROW(INDIRECT("1:"&amp;LEN(A352)))),1))," ",REPT(" ",LEN(A352))),LEN(A352)))), LARGE(INDEX(ISNUMBER(--MID((--TRIM(RIGHT(SUBSTITUTE(LEFT(A352,_xlfn.AGGREGATE(16,6,FIND({0,1,2,3,4,5,6,7,8,9},A352,ROW(INDIRECT("1:"&amp;LEN(A352)))),1))," ",REPT(" ",LEN(A352))),LEN(A352)))), ROW(INDIRECT("1:"&amp;LEN((--TRIM(RIGHT(SUBSTITUTE(LEFT(A352,_xlfn.AGGREGATE(16,6,FIND({0,1,2,3,4,5,6,7,8,9},A352,ROW(INDIRECT("1:"&amp;LEN(A352)))),1))," ",REPT(" ",LEN(A352))),LEN(A352))))))), 1)) * ROW(INDIRECT("1:"&amp;LEN((--TRIM(RIGHT(SUBSTITUTE(LEFT(A352,_xlfn.AGGREGATE(16,6,FIND({0,1,2,3,4,5,6,7,8,9},A352,ROW(INDIRECT("1:"&amp;LEN(A352)))),1))," ",REPT(" ",LEN(A352))),LEN(A352))))))), 0), ROW(INDIRECT("1:"&amp;LEN((--TRIM(RIGHT(SUBSTITUTE(LEFT(A352,_xlfn.AGGREGATE(16,6,FIND({0,1,2,3,4,5,6,7,8,9},A352,ROW(INDIRECT("1:"&amp;LEN(A352)))),1))," ",REPT(" ",LEN(A352))),LEN(A352))))))))+1, 1) * 10^ROW(INDIRECT("1:"&amp;LEN((--TRIM(RIGHT(SUBSTITUTE(LEFT(A352,_xlfn.AGGREGATE(16,6,FIND({0,1,2,3,4,5,6,7,8,9},A352,ROW(INDIRECT("1:"&amp;LEN(A352)))),1))," ",REPT(" ",LEN(A352))),LEN(A352)))))))/10))*1+1</f>
        <v>204 &amp; 504</v>
      </c>
      <c r="B353" s="148"/>
      <c r="C353" s="39"/>
      <c r="D353" s="39"/>
      <c r="E353" s="47">
        <v>0</v>
      </c>
      <c r="F353" s="47">
        <f>D353+E353</f>
        <v>0</v>
      </c>
      <c r="G353" s="47">
        <v>0</v>
      </c>
      <c r="H353" s="47">
        <f>F353*(($H$199)+1)+(IF(G353&lt;101,G353,IF(G353&lt;201,G353/2,IF(G353&lt;=301,G353/3,G353/4))))</f>
        <v>0</v>
      </c>
      <c r="I353" s="33"/>
    </row>
    <row r="354" spans="1:20" s="34" customFormat="1" ht="15.75" hidden="1" customHeight="1" x14ac:dyDescent="0.35">
      <c r="A354" s="147" t="str">
        <f ca="1">(SUMPRODUCT(MID(0&amp;(LEFT(A353,SUM(LEN(A353)-LEN(SUBSTITUTE(A353,{"0","1","2"},""))))), LARGE(INDEX(ISNUMBER(--MID((LEFT(A353,SUM(LEN(A353)-LEN(SUBSTITUTE(A353,{"0","1","2"},""))))), ROW(INDIRECT("1:"&amp;LEN((LEFT(A353,SUM(LEN(A353)-LEN(SUBSTITUTE(A353,{"0","1","2"},"")))))))), 1)) * ROW(INDIRECT("1:"&amp;LEN((LEFT(A353,SUM(LEN(A353)-LEN(SUBSTITUTE(A353,{"0","1","2"},"")))))))), 0), ROW(INDIRECT("1:"&amp;LEN((LEFT(A353,SUM(LEN(A353)-LEN(SUBSTITUTE(A353,{"0","1","2"},"")))))))))+1, 1) * 10^ROW(INDIRECT("1:"&amp;LEN((LEFT(A353,SUM(LEN(A353)-LEN(SUBSTITUTE(A353,{"0","1","2"},""))))))))/10))*1+1&amp;""&amp;" &amp; "&amp;""&amp;(SUMPRODUCT(MID(0&amp;(--TRIM(RIGHT(SUBSTITUTE(LEFT(A353,_xlfn.AGGREGATE(16,6,FIND({0,1,2,3,4,5,6,7,8,9},A353,ROW(INDIRECT("1:"&amp;LEN(A353)))),1))," ",REPT(" ",LEN(A353))),LEN(A353)))), LARGE(INDEX(ISNUMBER(--MID((--TRIM(RIGHT(SUBSTITUTE(LEFT(A353,_xlfn.AGGREGATE(16,6,FIND({0,1,2,3,4,5,6,7,8,9},A353,ROW(INDIRECT("1:"&amp;LEN(A353)))),1))," ",REPT(" ",LEN(A353))),LEN(A353)))), ROW(INDIRECT("1:"&amp;LEN((--TRIM(RIGHT(SUBSTITUTE(LEFT(A353,_xlfn.AGGREGATE(16,6,FIND({0,1,2,3,4,5,6,7,8,9},A353,ROW(INDIRECT("1:"&amp;LEN(A353)))),1))," ",REPT(" ",LEN(A353))),LEN(A353))))))), 1)) * ROW(INDIRECT("1:"&amp;LEN((--TRIM(RIGHT(SUBSTITUTE(LEFT(A353,_xlfn.AGGREGATE(16,6,FIND({0,1,2,3,4,5,6,7,8,9},A353,ROW(INDIRECT("1:"&amp;LEN(A353)))),1))," ",REPT(" ",LEN(A353))),LEN(A353))))))), 0), ROW(INDIRECT("1:"&amp;LEN((--TRIM(RIGHT(SUBSTITUTE(LEFT(A353,_xlfn.AGGREGATE(16,6,FIND({0,1,2,3,4,5,6,7,8,9},A353,ROW(INDIRECT("1:"&amp;LEN(A353)))),1))," ",REPT(" ",LEN(A353))),LEN(A353))))))))+1, 1) * 10^ROW(INDIRECT("1:"&amp;LEN((--TRIM(RIGHT(SUBSTITUTE(LEFT(A353,_xlfn.AGGREGATE(16,6,FIND({0,1,2,3,4,5,6,7,8,9},A353,ROW(INDIRECT("1:"&amp;LEN(A353)))),1))," ",REPT(" ",LEN(A353))),LEN(A353)))))))/10))*1+1</f>
        <v>205 &amp; 505</v>
      </c>
      <c r="B354" s="148"/>
      <c r="C354" s="39"/>
      <c r="D354" s="39"/>
      <c r="E354" s="47">
        <v>0</v>
      </c>
      <c r="F354" s="47">
        <f>D354+E354</f>
        <v>0</v>
      </c>
      <c r="G354" s="47">
        <v>0</v>
      </c>
      <c r="H354" s="47">
        <f>F354*(($H$199)+1)+(IF(G354&lt;101,G354,IF(G354&lt;201,G354/2,IF(G354&lt;=301,G354/3,G354/4))))</f>
        <v>0</v>
      </c>
      <c r="I354" s="33"/>
    </row>
    <row r="355" spans="1:20" s="32" customFormat="1" x14ac:dyDescent="0.35">
      <c r="A355" s="195" t="s">
        <v>65</v>
      </c>
      <c r="B355" s="195"/>
      <c r="C355" s="195"/>
      <c r="D355" s="195"/>
      <c r="E355" s="195"/>
      <c r="F355" s="195"/>
      <c r="G355" s="195"/>
      <c r="H355" s="195"/>
      <c r="T355" s="34"/>
    </row>
    <row r="356" spans="1:20" s="32" customFormat="1" ht="31" customHeight="1" x14ac:dyDescent="0.35">
      <c r="A356" s="96">
        <v>1</v>
      </c>
      <c r="B356" s="234" t="s">
        <v>428</v>
      </c>
      <c r="C356" s="234"/>
      <c r="D356" s="234"/>
      <c r="E356" s="234"/>
      <c r="F356" s="234"/>
      <c r="G356" s="234"/>
      <c r="H356" s="234"/>
      <c r="K356" s="74" t="s">
        <v>365</v>
      </c>
      <c r="T356" s="34"/>
    </row>
    <row r="357" spans="1:20" s="32" customFormat="1" x14ac:dyDescent="0.35">
      <c r="A357" s="96">
        <f>A356+1</f>
        <v>2</v>
      </c>
      <c r="B357" s="193" t="str">
        <f>(IF(H198="Saleable area Loading :","We have considered Saleable area of Flats as per our Calculation.","We considered Saleable area of Flat as per Builder area Sheet."))</f>
        <v>We have considered Saleable area of Flats as per our Calculation.</v>
      </c>
      <c r="C357" s="193"/>
      <c r="D357" s="193"/>
      <c r="E357" s="193"/>
      <c r="F357" s="193"/>
      <c r="G357" s="193"/>
      <c r="H357" s="193"/>
      <c r="T357" s="34"/>
    </row>
    <row r="358" spans="1:20" s="32" customFormat="1" x14ac:dyDescent="0.35">
      <c r="A358" s="96">
        <f t="shared" ref="A358:A367" si="84">A357+1</f>
        <v>3</v>
      </c>
      <c r="B358" s="193" t="str">
        <f>(IF(H176="Saleable area Loading :","We have considered Saleable area of Commercial as per our Calculation.","We considered Saleable area of Commercial as per Builder area Sheet."))</f>
        <v>We have considered Saleable area of Commercial as per our Calculation.</v>
      </c>
      <c r="C358" s="193"/>
      <c r="D358" s="193"/>
      <c r="E358" s="193"/>
      <c r="F358" s="193"/>
      <c r="G358" s="193"/>
      <c r="H358" s="193"/>
      <c r="T358" s="34"/>
    </row>
    <row r="359" spans="1:20" s="32" customFormat="1" x14ac:dyDescent="0.35">
      <c r="A359" s="96">
        <f t="shared" si="84"/>
        <v>4</v>
      </c>
      <c r="B359" s="194" t="s">
        <v>118</v>
      </c>
      <c r="C359" s="194"/>
      <c r="D359" s="194"/>
      <c r="E359" s="194"/>
      <c r="F359" s="194"/>
      <c r="G359" s="194"/>
      <c r="H359" s="194"/>
      <c r="T359" s="34"/>
    </row>
    <row r="360" spans="1:20" s="32" customFormat="1" ht="15.75" customHeight="1" x14ac:dyDescent="0.35">
      <c r="A360" s="96">
        <f t="shared" si="84"/>
        <v>5</v>
      </c>
      <c r="B360" s="194" t="s">
        <v>366</v>
      </c>
      <c r="C360" s="194"/>
      <c r="D360" s="194"/>
      <c r="E360" s="194"/>
      <c r="F360" s="194"/>
      <c r="G360" s="194"/>
      <c r="H360" s="194"/>
      <c r="T360" s="34"/>
    </row>
    <row r="361" spans="1:20" s="32" customFormat="1" x14ac:dyDescent="0.35">
      <c r="A361" s="92">
        <f t="shared" si="84"/>
        <v>6</v>
      </c>
      <c r="B361" s="130" t="s">
        <v>150</v>
      </c>
      <c r="C361" s="131"/>
      <c r="D361" s="131"/>
      <c r="E361" s="131"/>
      <c r="F361" s="131"/>
      <c r="G361" s="131"/>
      <c r="H361" s="132"/>
    </row>
    <row r="362" spans="1:20" s="32" customFormat="1" x14ac:dyDescent="0.35">
      <c r="A362" s="92">
        <f t="shared" si="84"/>
        <v>7</v>
      </c>
      <c r="B362" s="130" t="s">
        <v>119</v>
      </c>
      <c r="C362" s="131"/>
      <c r="D362" s="131"/>
      <c r="E362" s="131"/>
      <c r="F362" s="131"/>
      <c r="G362" s="131"/>
      <c r="H362" s="132"/>
    </row>
    <row r="363" spans="1:20" s="32" customFormat="1" ht="34.5" customHeight="1" x14ac:dyDescent="0.35">
      <c r="A363" s="92">
        <f t="shared" si="84"/>
        <v>8</v>
      </c>
      <c r="B363" s="130" t="s">
        <v>151</v>
      </c>
      <c r="C363" s="131"/>
      <c r="D363" s="131"/>
      <c r="E363" s="131"/>
      <c r="F363" s="131"/>
      <c r="G363" s="131"/>
      <c r="H363" s="132"/>
    </row>
    <row r="364" spans="1:20" s="32" customFormat="1" x14ac:dyDescent="0.35">
      <c r="A364" s="92">
        <f t="shared" si="84"/>
        <v>9</v>
      </c>
      <c r="B364" s="130" t="s">
        <v>120</v>
      </c>
      <c r="C364" s="131"/>
      <c r="D364" s="131"/>
      <c r="E364" s="131"/>
      <c r="F364" s="131"/>
      <c r="G364" s="131"/>
      <c r="H364" s="132"/>
    </row>
    <row r="365" spans="1:20" s="32" customFormat="1" ht="32.25" hidden="1" customHeight="1" x14ac:dyDescent="0.35">
      <c r="A365" s="92">
        <f t="shared" si="84"/>
        <v>10</v>
      </c>
      <c r="B365" s="202" t="s">
        <v>175</v>
      </c>
      <c r="C365" s="203"/>
      <c r="D365" s="203"/>
      <c r="E365" s="203"/>
      <c r="F365" s="203"/>
      <c r="G365" s="203"/>
      <c r="H365" s="204"/>
    </row>
    <row r="366" spans="1:20" s="32" customFormat="1" x14ac:dyDescent="0.35">
      <c r="A366" s="92">
        <f t="shared" si="84"/>
        <v>11</v>
      </c>
      <c r="B366" s="101" t="s">
        <v>403</v>
      </c>
      <c r="C366" s="102"/>
      <c r="D366" s="102"/>
      <c r="E366" s="102"/>
      <c r="F366" s="102"/>
      <c r="G366" s="102"/>
      <c r="H366" s="103"/>
    </row>
    <row r="367" spans="1:20" s="32" customFormat="1" x14ac:dyDescent="0.35">
      <c r="A367" s="92">
        <f t="shared" si="84"/>
        <v>12</v>
      </c>
      <c r="B367" s="101" t="s">
        <v>400</v>
      </c>
      <c r="C367" s="102"/>
      <c r="D367" s="102"/>
      <c r="E367" s="102"/>
      <c r="F367" s="102"/>
      <c r="G367" s="102"/>
      <c r="H367" s="103"/>
    </row>
    <row r="368" spans="1:20" s="32" customFormat="1" ht="31.5" customHeight="1" x14ac:dyDescent="0.35">
      <c r="A368" s="94">
        <v>13</v>
      </c>
      <c r="B368" s="101" t="s">
        <v>374</v>
      </c>
      <c r="C368" s="102"/>
      <c r="D368" s="102"/>
      <c r="E368" s="102"/>
      <c r="F368" s="102"/>
      <c r="G368" s="102"/>
      <c r="H368" s="103"/>
    </row>
    <row r="369" spans="1:20" s="32" customFormat="1" ht="30.5" customHeight="1" x14ac:dyDescent="0.35">
      <c r="A369" s="94">
        <v>14</v>
      </c>
      <c r="B369" s="101" t="s">
        <v>426</v>
      </c>
      <c r="C369" s="102"/>
      <c r="D369" s="102"/>
      <c r="E369" s="102"/>
      <c r="F369" s="102"/>
      <c r="G369" s="102"/>
      <c r="H369" s="103"/>
    </row>
    <row r="370" spans="1:20" s="32" customFormat="1" x14ac:dyDescent="0.35">
      <c r="A370" s="238">
        <v>15</v>
      </c>
      <c r="B370" s="101" t="s">
        <v>420</v>
      </c>
      <c r="C370" s="102"/>
      <c r="D370" s="102"/>
      <c r="E370" s="102"/>
      <c r="F370" s="102"/>
      <c r="G370" s="102"/>
      <c r="H370" s="103"/>
    </row>
    <row r="371" spans="1:20" s="32" customFormat="1" ht="15.75" customHeight="1" x14ac:dyDescent="0.35">
      <c r="A371" s="239"/>
      <c r="B371" s="93" t="s">
        <v>409</v>
      </c>
      <c r="C371" s="241" t="s">
        <v>407</v>
      </c>
      <c r="D371" s="241"/>
      <c r="E371" s="241"/>
      <c r="F371" s="241" t="s">
        <v>408</v>
      </c>
      <c r="G371" s="241"/>
      <c r="H371" s="241"/>
    </row>
    <row r="372" spans="1:20" s="32" customFormat="1" ht="15.75" customHeight="1" x14ac:dyDescent="0.35">
      <c r="A372" s="239"/>
      <c r="B372" s="93">
        <v>1</v>
      </c>
      <c r="C372" s="241" t="s">
        <v>410</v>
      </c>
      <c r="D372" s="241"/>
      <c r="E372" s="241"/>
      <c r="F372" s="241" t="s">
        <v>411</v>
      </c>
      <c r="G372" s="241"/>
      <c r="H372" s="241"/>
    </row>
    <row r="373" spans="1:20" s="32" customFormat="1" ht="15.75" customHeight="1" x14ac:dyDescent="0.35">
      <c r="A373" s="239"/>
      <c r="B373" s="93">
        <f>1+B372</f>
        <v>2</v>
      </c>
      <c r="C373" s="241" t="s">
        <v>412</v>
      </c>
      <c r="D373" s="241"/>
      <c r="E373" s="241"/>
      <c r="F373" s="241" t="s">
        <v>413</v>
      </c>
      <c r="G373" s="241"/>
      <c r="H373" s="241"/>
    </row>
    <row r="374" spans="1:20" s="32" customFormat="1" ht="15.75" customHeight="1" x14ac:dyDescent="0.35">
      <c r="A374" s="239"/>
      <c r="B374" s="93">
        <f t="shared" ref="B374:B376" si="85">1+B373</f>
        <v>3</v>
      </c>
      <c r="C374" s="241" t="s">
        <v>414</v>
      </c>
      <c r="D374" s="241"/>
      <c r="E374" s="241"/>
      <c r="F374" s="241" t="s">
        <v>415</v>
      </c>
      <c r="G374" s="241"/>
      <c r="H374" s="241"/>
    </row>
    <row r="375" spans="1:20" s="32" customFormat="1" ht="15.75" customHeight="1" x14ac:dyDescent="0.35">
      <c r="A375" s="239"/>
      <c r="B375" s="93">
        <f t="shared" si="85"/>
        <v>4</v>
      </c>
      <c r="C375" s="241" t="s">
        <v>416</v>
      </c>
      <c r="D375" s="241"/>
      <c r="E375" s="241"/>
      <c r="F375" s="241" t="s">
        <v>417</v>
      </c>
      <c r="G375" s="241"/>
      <c r="H375" s="241"/>
    </row>
    <row r="376" spans="1:20" s="32" customFormat="1" ht="15.75" customHeight="1" x14ac:dyDescent="0.35">
      <c r="A376" s="240"/>
      <c r="B376" s="93">
        <f t="shared" si="85"/>
        <v>5</v>
      </c>
      <c r="C376" s="241" t="s">
        <v>418</v>
      </c>
      <c r="D376" s="241"/>
      <c r="E376" s="241"/>
      <c r="F376" s="241" t="s">
        <v>419</v>
      </c>
      <c r="G376" s="241"/>
      <c r="H376" s="241"/>
    </row>
    <row r="377" spans="1:20" s="32" customFormat="1" ht="34.5" customHeight="1" x14ac:dyDescent="0.35">
      <c r="A377" s="76">
        <v>16</v>
      </c>
      <c r="B377" s="101" t="s">
        <v>421</v>
      </c>
      <c r="C377" s="102"/>
      <c r="D377" s="102"/>
      <c r="E377" s="102"/>
      <c r="F377" s="102"/>
      <c r="G377" s="102"/>
      <c r="H377" s="103"/>
    </row>
    <row r="378" spans="1:20" x14ac:dyDescent="0.35">
      <c r="A378" s="192" t="s">
        <v>58</v>
      </c>
      <c r="B378" s="192"/>
      <c r="C378" s="192"/>
      <c r="D378" s="192"/>
      <c r="E378" s="192"/>
      <c r="F378" s="192"/>
      <c r="G378" s="192"/>
      <c r="H378" s="192"/>
      <c r="T378" s="32"/>
    </row>
    <row r="379" spans="1:20" x14ac:dyDescent="0.35">
      <c r="A379" s="116" t="s">
        <v>59</v>
      </c>
      <c r="B379" s="116"/>
      <c r="C379" s="116"/>
      <c r="D379" s="116"/>
      <c r="E379" s="116"/>
      <c r="F379" s="116"/>
      <c r="G379" s="116"/>
      <c r="H379" s="116"/>
      <c r="T379" s="32"/>
    </row>
    <row r="380" spans="1:20" ht="15.75" customHeight="1" x14ac:dyDescent="0.35">
      <c r="A380" s="201" t="s">
        <v>60</v>
      </c>
      <c r="B380" s="201"/>
      <c r="C380" s="201"/>
      <c r="D380" s="201"/>
      <c r="E380" s="201"/>
      <c r="F380" s="201"/>
      <c r="G380" s="201"/>
      <c r="H380" s="201"/>
      <c r="T380" s="32"/>
    </row>
    <row r="381" spans="1:20" x14ac:dyDescent="0.35">
      <c r="A381" s="116" t="s">
        <v>61</v>
      </c>
      <c r="B381" s="116"/>
      <c r="C381" s="116"/>
      <c r="D381" s="116"/>
      <c r="E381" s="116"/>
      <c r="F381" s="116"/>
      <c r="G381" s="116"/>
      <c r="H381" s="116"/>
      <c r="T381" s="32"/>
    </row>
    <row r="382" spans="1:20" x14ac:dyDescent="0.35">
      <c r="A382" s="116" t="s">
        <v>62</v>
      </c>
      <c r="B382" s="116"/>
      <c r="C382" s="116"/>
      <c r="D382" s="116"/>
      <c r="E382" s="116"/>
      <c r="F382" s="116"/>
      <c r="G382" s="116"/>
      <c r="H382" s="116"/>
      <c r="T382" s="32"/>
    </row>
    <row r="383" spans="1:20" x14ac:dyDescent="0.35">
      <c r="A383" s="116" t="s">
        <v>121</v>
      </c>
      <c r="B383" s="116"/>
      <c r="C383" s="116"/>
      <c r="D383" s="116"/>
      <c r="E383" s="116"/>
      <c r="F383" s="116"/>
      <c r="G383" s="116"/>
      <c r="H383" s="116"/>
      <c r="T383" s="32"/>
    </row>
    <row r="384" spans="1:20" ht="34" customHeight="1" x14ac:dyDescent="0.35">
      <c r="A384" s="155" t="s">
        <v>122</v>
      </c>
      <c r="B384" s="155"/>
      <c r="C384" s="155"/>
      <c r="D384" s="155"/>
      <c r="E384" s="155"/>
      <c r="F384" s="155"/>
      <c r="G384" s="155"/>
      <c r="H384" s="155"/>
    </row>
    <row r="385" spans="1:8" x14ac:dyDescent="0.35">
      <c r="A385" s="190" t="s">
        <v>74</v>
      </c>
      <c r="B385" s="190"/>
      <c r="C385" s="190" t="s">
        <v>405</v>
      </c>
      <c r="D385" s="190"/>
      <c r="E385" s="190" t="s">
        <v>103</v>
      </c>
      <c r="F385" s="190"/>
      <c r="G385" s="191" t="s">
        <v>424</v>
      </c>
      <c r="H385" s="191"/>
    </row>
    <row r="386" spans="1:8" x14ac:dyDescent="0.35">
      <c r="A386" s="189" t="s">
        <v>76</v>
      </c>
      <c r="B386" s="189"/>
      <c r="C386" s="189"/>
      <c r="D386" s="189"/>
      <c r="E386" s="189"/>
      <c r="F386" s="189"/>
      <c r="G386" s="189"/>
      <c r="H386" s="189"/>
    </row>
    <row r="387" spans="1:8" x14ac:dyDescent="0.35">
      <c r="A387" s="189"/>
      <c r="B387" s="189"/>
      <c r="C387" s="189"/>
      <c r="D387" s="189"/>
      <c r="E387" s="189"/>
      <c r="F387" s="189"/>
      <c r="G387" s="189"/>
      <c r="H387" s="189"/>
    </row>
    <row r="388" spans="1:8" x14ac:dyDescent="0.35">
      <c r="A388" s="189"/>
      <c r="B388" s="189"/>
      <c r="C388" s="189"/>
      <c r="D388" s="189"/>
      <c r="E388" s="189"/>
      <c r="F388" s="189"/>
      <c r="G388" s="189"/>
      <c r="H388" s="189"/>
    </row>
    <row r="389" spans="1:8" x14ac:dyDescent="0.35">
      <c r="A389" s="189"/>
      <c r="B389" s="189"/>
      <c r="C389" s="189"/>
      <c r="D389" s="189"/>
      <c r="E389" s="189"/>
      <c r="F389" s="189"/>
      <c r="G389" s="189"/>
      <c r="H389" s="189"/>
    </row>
    <row r="390" spans="1:8" x14ac:dyDescent="0.35">
      <c r="A390" s="35" t="s">
        <v>63</v>
      </c>
      <c r="B390" s="36"/>
      <c r="C390" s="36"/>
      <c r="D390" s="35" t="str">
        <f>E9</f>
        <v xml:space="preserve">Mohan Alcoves I </v>
      </c>
      <c r="F390" s="36"/>
      <c r="G390" s="36"/>
      <c r="H390" s="36"/>
    </row>
    <row r="391" spans="1:8" x14ac:dyDescent="0.35">
      <c r="A391" s="36"/>
      <c r="B391" s="36"/>
      <c r="C391" s="36"/>
      <c r="D391" s="36"/>
      <c r="E391" s="36"/>
      <c r="F391" s="36"/>
      <c r="G391" s="36"/>
      <c r="H391" s="36"/>
    </row>
    <row r="392" spans="1:8" x14ac:dyDescent="0.35">
      <c r="A392" s="36"/>
      <c r="B392" s="36"/>
      <c r="C392" s="36"/>
      <c r="D392" s="36"/>
      <c r="E392" s="36"/>
      <c r="F392" s="36"/>
      <c r="G392" s="36"/>
      <c r="H392" s="36"/>
    </row>
    <row r="393" spans="1:8" ht="15" customHeight="1" x14ac:dyDescent="0.35"/>
    <row r="433" spans="1:1" x14ac:dyDescent="0.35">
      <c r="A433" s="38" t="s">
        <v>161</v>
      </c>
    </row>
    <row r="476" spans="1:1" x14ac:dyDescent="0.35">
      <c r="A476" s="38" t="s">
        <v>422</v>
      </c>
    </row>
    <row r="519" spans="1:1" x14ac:dyDescent="0.35">
      <c r="A519" s="38" t="s">
        <v>64</v>
      </c>
    </row>
  </sheetData>
  <mergeCells count="612">
    <mergeCell ref="A370:A376"/>
    <mergeCell ref="B369:H369"/>
    <mergeCell ref="B370:H370"/>
    <mergeCell ref="F376:H376"/>
    <mergeCell ref="F375:H375"/>
    <mergeCell ref="F371:H371"/>
    <mergeCell ref="F372:H372"/>
    <mergeCell ref="C371:E371"/>
    <mergeCell ref="C372:E372"/>
    <mergeCell ref="C375:E375"/>
    <mergeCell ref="C376:E376"/>
    <mergeCell ref="C373:E373"/>
    <mergeCell ref="F373:H373"/>
    <mergeCell ref="C374:E374"/>
    <mergeCell ref="F374:H374"/>
    <mergeCell ref="A235:H235"/>
    <mergeCell ref="A233:B233"/>
    <mergeCell ref="A229:B229"/>
    <mergeCell ref="A195:H195"/>
    <mergeCell ref="A197:H197"/>
    <mergeCell ref="B364:H364"/>
    <mergeCell ref="B362:H362"/>
    <mergeCell ref="B358:H358"/>
    <mergeCell ref="A352:B352"/>
    <mergeCell ref="A349:H349"/>
    <mergeCell ref="A350:B350"/>
    <mergeCell ref="A351:B351"/>
    <mergeCell ref="A354:B354"/>
    <mergeCell ref="A353:B353"/>
    <mergeCell ref="B356:H356"/>
    <mergeCell ref="A225:B225"/>
    <mergeCell ref="C225:G225"/>
    <mergeCell ref="A310:B310"/>
    <mergeCell ref="C310:G310"/>
    <mergeCell ref="A335:B335"/>
    <mergeCell ref="C335:G335"/>
    <mergeCell ref="C284:G284"/>
    <mergeCell ref="C264:G264"/>
    <mergeCell ref="A213:H213"/>
    <mergeCell ref="A234:B234"/>
    <mergeCell ref="L234:M234"/>
    <mergeCell ref="A200:H200"/>
    <mergeCell ref="A186:B186"/>
    <mergeCell ref="L186:M186"/>
    <mergeCell ref="A187:B187"/>
    <mergeCell ref="L187:M187"/>
    <mergeCell ref="A188:B188"/>
    <mergeCell ref="L188:M188"/>
    <mergeCell ref="A189:B189"/>
    <mergeCell ref="L189:M189"/>
    <mergeCell ref="A190:B190"/>
    <mergeCell ref="L190:M190"/>
    <mergeCell ref="A191:B191"/>
    <mergeCell ref="L191:M191"/>
    <mergeCell ref="A192:B192"/>
    <mergeCell ref="L192:M192"/>
    <mergeCell ref="A193:B193"/>
    <mergeCell ref="L193:M193"/>
    <mergeCell ref="A194:B194"/>
    <mergeCell ref="L194:M194"/>
    <mergeCell ref="A228:B228"/>
    <mergeCell ref="L228:M228"/>
    <mergeCell ref="A214:B214"/>
    <mergeCell ref="A207:B207"/>
    <mergeCell ref="L207:M207"/>
    <mergeCell ref="A208:B208"/>
    <mergeCell ref="L208:M208"/>
    <mergeCell ref="A209:B209"/>
    <mergeCell ref="L209:M209"/>
    <mergeCell ref="A210:B210"/>
    <mergeCell ref="L210:M210"/>
    <mergeCell ref="L233:M233"/>
    <mergeCell ref="L214:M214"/>
    <mergeCell ref="A215:B215"/>
    <mergeCell ref="L215:M215"/>
    <mergeCell ref="A216:B216"/>
    <mergeCell ref="L216:M216"/>
    <mergeCell ref="A217:B217"/>
    <mergeCell ref="L217:M217"/>
    <mergeCell ref="A218:B218"/>
    <mergeCell ref="L218:M218"/>
    <mergeCell ref="A219:B219"/>
    <mergeCell ref="L219:M219"/>
    <mergeCell ref="A220:B220"/>
    <mergeCell ref="L220:M220"/>
    <mergeCell ref="A221:B221"/>
    <mergeCell ref="L221:M221"/>
    <mergeCell ref="L231:M231"/>
    <mergeCell ref="A232:B232"/>
    <mergeCell ref="L232:M232"/>
    <mergeCell ref="A211:B211"/>
    <mergeCell ref="L211:M211"/>
    <mergeCell ref="A212:B212"/>
    <mergeCell ref="L212:M212"/>
    <mergeCell ref="A224:H224"/>
    <mergeCell ref="A226:B226"/>
    <mergeCell ref="L226:M226"/>
    <mergeCell ref="A227:B227"/>
    <mergeCell ref="L227:M227"/>
    <mergeCell ref="L225:M225"/>
    <mergeCell ref="L229:M229"/>
    <mergeCell ref="A230:B230"/>
    <mergeCell ref="L230:M230"/>
    <mergeCell ref="A222:B222"/>
    <mergeCell ref="L222:M222"/>
    <mergeCell ref="A223:B223"/>
    <mergeCell ref="L223:M223"/>
    <mergeCell ref="A133:B133"/>
    <mergeCell ref="C133:H133"/>
    <mergeCell ref="A135:B135"/>
    <mergeCell ref="C135:H135"/>
    <mergeCell ref="A136:B136"/>
    <mergeCell ref="E136:F136"/>
    <mergeCell ref="G136:H136"/>
    <mergeCell ref="A137:B137"/>
    <mergeCell ref="E137:F146"/>
    <mergeCell ref="G137:H146"/>
    <mergeCell ref="A138:B138"/>
    <mergeCell ref="A139:B139"/>
    <mergeCell ref="A140:B140"/>
    <mergeCell ref="A141:B141"/>
    <mergeCell ref="A142:B142"/>
    <mergeCell ref="A143:B143"/>
    <mergeCell ref="A144:B144"/>
    <mergeCell ref="A145:B145"/>
    <mergeCell ref="A146:B146"/>
    <mergeCell ref="A123:B123"/>
    <mergeCell ref="E123:F132"/>
    <mergeCell ref="G123:H132"/>
    <mergeCell ref="A124:B124"/>
    <mergeCell ref="A125:B125"/>
    <mergeCell ref="A126:B126"/>
    <mergeCell ref="A127:B127"/>
    <mergeCell ref="A128:B128"/>
    <mergeCell ref="A129:B129"/>
    <mergeCell ref="A130:B130"/>
    <mergeCell ref="A131:B131"/>
    <mergeCell ref="A132:B132"/>
    <mergeCell ref="D68:H68"/>
    <mergeCell ref="D69:H69"/>
    <mergeCell ref="A65:C69"/>
    <mergeCell ref="A119:B119"/>
    <mergeCell ref="C119:H119"/>
    <mergeCell ref="A121:B121"/>
    <mergeCell ref="C121:H121"/>
    <mergeCell ref="A122:B122"/>
    <mergeCell ref="E122:F122"/>
    <mergeCell ref="G122:H122"/>
    <mergeCell ref="D67:H67"/>
    <mergeCell ref="D65:H65"/>
    <mergeCell ref="D66:H66"/>
    <mergeCell ref="E94:F94"/>
    <mergeCell ref="G94:H94"/>
    <mergeCell ref="A112:B112"/>
    <mergeCell ref="A113:B113"/>
    <mergeCell ref="E95:F104"/>
    <mergeCell ref="A102:B102"/>
    <mergeCell ref="A103:B103"/>
    <mergeCell ref="E108:F108"/>
    <mergeCell ref="E109:F118"/>
    <mergeCell ref="A79:B79"/>
    <mergeCell ref="A77:B77"/>
    <mergeCell ref="I15:P15"/>
    <mergeCell ref="F157:H157"/>
    <mergeCell ref="F155:H155"/>
    <mergeCell ref="A339:B339"/>
    <mergeCell ref="A175:H175"/>
    <mergeCell ref="G161:H161"/>
    <mergeCell ref="A156:E156"/>
    <mergeCell ref="A183:B183"/>
    <mergeCell ref="A60:B60"/>
    <mergeCell ref="C60:E60"/>
    <mergeCell ref="D62:H62"/>
    <mergeCell ref="F156:H156"/>
    <mergeCell ref="E161:F161"/>
    <mergeCell ref="A161:B161"/>
    <mergeCell ref="A163:B163"/>
    <mergeCell ref="C166:D166"/>
    <mergeCell ref="D74:H74"/>
    <mergeCell ref="A75:C75"/>
    <mergeCell ref="E43:H43"/>
    <mergeCell ref="A43:D43"/>
    <mergeCell ref="A91:B91"/>
    <mergeCell ref="C91:H91"/>
    <mergeCell ref="A86:B86"/>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C51:E51"/>
    <mergeCell ref="A383:H383"/>
    <mergeCell ref="A380:H380"/>
    <mergeCell ref="A257:B257"/>
    <mergeCell ref="A166:B166"/>
    <mergeCell ref="D198:D199"/>
    <mergeCell ref="E198:E199"/>
    <mergeCell ref="A99:B99"/>
    <mergeCell ref="A100:B100"/>
    <mergeCell ref="A101:B101"/>
    <mergeCell ref="A115:B115"/>
    <mergeCell ref="F148:H148"/>
    <mergeCell ref="G162:H162"/>
    <mergeCell ref="A118:B118"/>
    <mergeCell ref="F154:H154"/>
    <mergeCell ref="C161:D161"/>
    <mergeCell ref="C172:D172"/>
    <mergeCell ref="A202:H202"/>
    <mergeCell ref="A341:B341"/>
    <mergeCell ref="A338:B338"/>
    <mergeCell ref="A182:B182"/>
    <mergeCell ref="B365:H365"/>
    <mergeCell ref="A173:B173"/>
    <mergeCell ref="C173:D173"/>
    <mergeCell ref="F147:H147"/>
    <mergeCell ref="A203:B203"/>
    <mergeCell ref="A185:B185"/>
    <mergeCell ref="A184:B184"/>
    <mergeCell ref="A153:E153"/>
    <mergeCell ref="F153:H153"/>
    <mergeCell ref="A155:E155"/>
    <mergeCell ref="F150:H150"/>
    <mergeCell ref="A154:E154"/>
    <mergeCell ref="A196:H196"/>
    <mergeCell ref="E166:F166"/>
    <mergeCell ref="A174:H174"/>
    <mergeCell ref="A198:A199"/>
    <mergeCell ref="F198:F199"/>
    <mergeCell ref="E173:F173"/>
    <mergeCell ref="A201:H201"/>
    <mergeCell ref="A179:H179"/>
    <mergeCell ref="A178:H178"/>
    <mergeCell ref="A180:H180"/>
    <mergeCell ref="F159:H159"/>
    <mergeCell ref="A152:E152"/>
    <mergeCell ref="A267:H267"/>
    <mergeCell ref="A277:B277"/>
    <mergeCell ref="B357:H357"/>
    <mergeCell ref="B359:H359"/>
    <mergeCell ref="B360:H360"/>
    <mergeCell ref="A355:H355"/>
    <mergeCell ref="A347:B347"/>
    <mergeCell ref="A348:B348"/>
    <mergeCell ref="A343:H343"/>
    <mergeCell ref="A337:H337"/>
    <mergeCell ref="A334:B334"/>
    <mergeCell ref="A336:B336"/>
    <mergeCell ref="A342:B342"/>
    <mergeCell ref="A292:B292"/>
    <mergeCell ref="A293:B293"/>
    <mergeCell ref="A294:B294"/>
    <mergeCell ref="A328:B328"/>
    <mergeCell ref="A329:B329"/>
    <mergeCell ref="A330:B330"/>
    <mergeCell ref="A331:B331"/>
    <mergeCell ref="A332:B332"/>
    <mergeCell ref="A308:B308"/>
    <mergeCell ref="A286:H286"/>
    <mergeCell ref="A287:H287"/>
    <mergeCell ref="A236:H236"/>
    <mergeCell ref="A237:H237"/>
    <mergeCell ref="A265:H265"/>
    <mergeCell ref="A231:B231"/>
    <mergeCell ref="A278:B278"/>
    <mergeCell ref="A386:H389"/>
    <mergeCell ref="A385:B385"/>
    <mergeCell ref="E385:F385"/>
    <mergeCell ref="C385:D385"/>
    <mergeCell ref="G385:H385"/>
    <mergeCell ref="A381:H381"/>
    <mergeCell ref="A384:H384"/>
    <mergeCell ref="A382:H382"/>
    <mergeCell ref="A378:H378"/>
    <mergeCell ref="A379:H379"/>
    <mergeCell ref="B367:H367"/>
    <mergeCell ref="B363:H363"/>
    <mergeCell ref="A346:B346"/>
    <mergeCell ref="A311:B311"/>
    <mergeCell ref="A312:B312"/>
    <mergeCell ref="A274:B274"/>
    <mergeCell ref="A275:B275"/>
    <mergeCell ref="B377:H377"/>
    <mergeCell ref="B366:H366"/>
    <mergeCell ref="A266:H266"/>
    <mergeCell ref="A285:H285"/>
    <mergeCell ref="A313:H313"/>
    <mergeCell ref="A268:B268"/>
    <mergeCell ref="A269:B269"/>
    <mergeCell ref="A270:B270"/>
    <mergeCell ref="A271:B271"/>
    <mergeCell ref="A272:B272"/>
    <mergeCell ref="A273:B273"/>
    <mergeCell ref="A309:B309"/>
    <mergeCell ref="A279:B279"/>
    <mergeCell ref="A280:B280"/>
    <mergeCell ref="A281:B281"/>
    <mergeCell ref="A282:B282"/>
    <mergeCell ref="A276:H276"/>
    <mergeCell ref="A301:B301"/>
    <mergeCell ref="A302:B302"/>
    <mergeCell ref="A303:B303"/>
    <mergeCell ref="A283:B283"/>
    <mergeCell ref="A284:B284"/>
    <mergeCell ref="A288:B288"/>
    <mergeCell ref="A289:B289"/>
    <mergeCell ref="A290:B290"/>
    <mergeCell ref="A291:B29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9:H118"/>
    <mergeCell ref="A42:D42"/>
    <mergeCell ref="E42:H42"/>
    <mergeCell ref="A41:H41"/>
    <mergeCell ref="A70:C70"/>
    <mergeCell ref="A71:C71"/>
    <mergeCell ref="D70:H70"/>
    <mergeCell ref="E81:F90"/>
    <mergeCell ref="G81:H90"/>
    <mergeCell ref="A89:B89"/>
    <mergeCell ref="A90:B90"/>
    <mergeCell ref="D71:H71"/>
    <mergeCell ref="A44:D44"/>
    <mergeCell ref="E44:H44"/>
    <mergeCell ref="E45:H45"/>
    <mergeCell ref="E46:H46"/>
    <mergeCell ref="A94:B94"/>
    <mergeCell ref="E47:H47"/>
    <mergeCell ref="C57:H57"/>
    <mergeCell ref="C59:H59"/>
    <mergeCell ref="A93:B93"/>
    <mergeCell ref="A39:B39"/>
    <mergeCell ref="C39:H39"/>
    <mergeCell ref="A46:D46"/>
    <mergeCell ref="L185:M185"/>
    <mergeCell ref="L184:M184"/>
    <mergeCell ref="L183:M183"/>
    <mergeCell ref="L182:M182"/>
    <mergeCell ref="A88:B88"/>
    <mergeCell ref="C167:D167"/>
    <mergeCell ref="E167:F167"/>
    <mergeCell ref="G167:H167"/>
    <mergeCell ref="A148:E148"/>
    <mergeCell ref="A105:B105"/>
    <mergeCell ref="C105:H105"/>
    <mergeCell ref="A181:H181"/>
    <mergeCell ref="E176:E177"/>
    <mergeCell ref="A95:B95"/>
    <mergeCell ref="A47:D47"/>
    <mergeCell ref="A48:H48"/>
    <mergeCell ref="D64:H64"/>
    <mergeCell ref="A64:C64"/>
    <mergeCell ref="A87:B87"/>
    <mergeCell ref="C93:H93"/>
    <mergeCell ref="A45:D45"/>
    <mergeCell ref="L206:M206"/>
    <mergeCell ref="L203:M203"/>
    <mergeCell ref="A204:B204"/>
    <mergeCell ref="G173:H173"/>
    <mergeCell ref="L204:M204"/>
    <mergeCell ref="A205:B205"/>
    <mergeCell ref="L205:M205"/>
    <mergeCell ref="C55:H55"/>
    <mergeCell ref="A206:B206"/>
    <mergeCell ref="A80:B80"/>
    <mergeCell ref="C77:H77"/>
    <mergeCell ref="A85:B85"/>
    <mergeCell ref="A72:C72"/>
    <mergeCell ref="D72:H72"/>
    <mergeCell ref="C79:H79"/>
    <mergeCell ref="A82:B82"/>
    <mergeCell ref="A84:B84"/>
    <mergeCell ref="E80:F80"/>
    <mergeCell ref="A73:C73"/>
    <mergeCell ref="D73:H73"/>
    <mergeCell ref="A76:C76"/>
    <mergeCell ref="D76:H76"/>
    <mergeCell ref="A74:C74"/>
    <mergeCell ref="D75:H75"/>
    <mergeCell ref="A261:B261"/>
    <mergeCell ref="A258:B258"/>
    <mergeCell ref="A259:B259"/>
    <mergeCell ref="A344:B344"/>
    <mergeCell ref="A40:B40"/>
    <mergeCell ref="C40:H40"/>
    <mergeCell ref="F176:F177"/>
    <mergeCell ref="C162:D162"/>
    <mergeCell ref="E162:F162"/>
    <mergeCell ref="B176:B177"/>
    <mergeCell ref="A176:A177"/>
    <mergeCell ref="C198:C199"/>
    <mergeCell ref="G198:G199"/>
    <mergeCell ref="A81:B81"/>
    <mergeCell ref="G80:H80"/>
    <mergeCell ref="A255:H255"/>
    <mergeCell ref="A167:B167"/>
    <mergeCell ref="A340:B340"/>
    <mergeCell ref="A162:B162"/>
    <mergeCell ref="A165:H165"/>
    <mergeCell ref="G166:H166"/>
    <mergeCell ref="C176:C177"/>
    <mergeCell ref="B198:B199"/>
    <mergeCell ref="A260:B260"/>
    <mergeCell ref="A49:B49"/>
    <mergeCell ref="C49:H49"/>
    <mergeCell ref="B361:H361"/>
    <mergeCell ref="A110:B110"/>
    <mergeCell ref="A111:B111"/>
    <mergeCell ref="G95:H104"/>
    <mergeCell ref="A96:B96"/>
    <mergeCell ref="A97:B97"/>
    <mergeCell ref="A98:B98"/>
    <mergeCell ref="F149:H149"/>
    <mergeCell ref="A149:E149"/>
    <mergeCell ref="D176:D177"/>
    <mergeCell ref="A151:E151"/>
    <mergeCell ref="A114:B114"/>
    <mergeCell ref="A116:B116"/>
    <mergeCell ref="A117:B117"/>
    <mergeCell ref="A150:E150"/>
    <mergeCell ref="A147:E147"/>
    <mergeCell ref="F151:H151"/>
    <mergeCell ref="G108:H108"/>
    <mergeCell ref="A107:B107"/>
    <mergeCell ref="G176:G177"/>
    <mergeCell ref="A345:B345"/>
    <mergeCell ref="A83:B83"/>
    <mergeCell ref="A104:B104"/>
    <mergeCell ref="A109:B109"/>
    <mergeCell ref="A172:B172"/>
    <mergeCell ref="E172:F172"/>
    <mergeCell ref="C107:H107"/>
    <mergeCell ref="A108:B108"/>
    <mergeCell ref="A157:E157"/>
    <mergeCell ref="G172:H172"/>
    <mergeCell ref="C163:D163"/>
    <mergeCell ref="E163:F163"/>
    <mergeCell ref="G163:H163"/>
    <mergeCell ref="A164:B164"/>
    <mergeCell ref="C164:D164"/>
    <mergeCell ref="E164:F164"/>
    <mergeCell ref="G164:H164"/>
    <mergeCell ref="A168:B168"/>
    <mergeCell ref="C168:D168"/>
    <mergeCell ref="E168:F168"/>
    <mergeCell ref="G168:H168"/>
    <mergeCell ref="A160:H160"/>
    <mergeCell ref="A158:E158"/>
    <mergeCell ref="F158:H158"/>
    <mergeCell ref="A159:E159"/>
    <mergeCell ref="F152:H152"/>
    <mergeCell ref="L237:M237"/>
    <mergeCell ref="A262:B262"/>
    <mergeCell ref="A263:B263"/>
    <mergeCell ref="A264:B264"/>
    <mergeCell ref="A238:B238"/>
    <mergeCell ref="A239:B239"/>
    <mergeCell ref="A240:B240"/>
    <mergeCell ref="A241:B241"/>
    <mergeCell ref="A242:B242"/>
    <mergeCell ref="A243:B243"/>
    <mergeCell ref="A244:B244"/>
    <mergeCell ref="A245:B245"/>
    <mergeCell ref="A246:H246"/>
    <mergeCell ref="L246:M246"/>
    <mergeCell ref="A247:B247"/>
    <mergeCell ref="A248:B248"/>
    <mergeCell ref="A249:B249"/>
    <mergeCell ref="A250:B250"/>
    <mergeCell ref="A251:B251"/>
    <mergeCell ref="A252:B252"/>
    <mergeCell ref="A253:B253"/>
    <mergeCell ref="A254:B254"/>
    <mergeCell ref="A256:H256"/>
    <mergeCell ref="L255:M255"/>
    <mergeCell ref="A327:B327"/>
    <mergeCell ref="A300:H300"/>
    <mergeCell ref="A316:B316"/>
    <mergeCell ref="A317:B317"/>
    <mergeCell ref="A318:B318"/>
    <mergeCell ref="A319:B319"/>
    <mergeCell ref="A320:B320"/>
    <mergeCell ref="A295:B295"/>
    <mergeCell ref="A324:B324"/>
    <mergeCell ref="A325:B325"/>
    <mergeCell ref="A304:B304"/>
    <mergeCell ref="A305:B305"/>
    <mergeCell ref="A306:B306"/>
    <mergeCell ref="A307:B307"/>
    <mergeCell ref="B368:H368"/>
    <mergeCell ref="A333:B333"/>
    <mergeCell ref="A314:H314"/>
    <mergeCell ref="A315:H315"/>
    <mergeCell ref="A326:H326"/>
    <mergeCell ref="A169:B169"/>
    <mergeCell ref="C169:D169"/>
    <mergeCell ref="E169:F169"/>
    <mergeCell ref="G169:H169"/>
    <mergeCell ref="A170:B170"/>
    <mergeCell ref="C170:D170"/>
    <mergeCell ref="E170:F170"/>
    <mergeCell ref="G170:H170"/>
    <mergeCell ref="A171:B171"/>
    <mergeCell ref="C171:D171"/>
    <mergeCell ref="E171:F171"/>
    <mergeCell ref="G171:H171"/>
    <mergeCell ref="A296:B296"/>
    <mergeCell ref="A297:B297"/>
    <mergeCell ref="A298:B298"/>
    <mergeCell ref="A299:B299"/>
    <mergeCell ref="A321:B321"/>
    <mergeCell ref="A322:B322"/>
    <mergeCell ref="A323:B323"/>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76:E177">
      <formula1>"Attached Loft area,Attached Otla area,Attached Mezzanine area"</formula1>
    </dataValidation>
    <dataValidation type="list" allowBlank="1" showInputMessage="1" showErrorMessage="1" sqref="G385:H385">
      <formula1>"Kunal Kadam,Pranita Mhatre,Shruti Fule,Pooja Kawale,Gaurav Panchal,Shruti Tathare, Hitakshi Mhatre, Sachin Sawant"</formula1>
    </dataValidation>
    <dataValidation type="list" allowBlank="1" showInputMessage="1" showErrorMessage="1" sqref="F147:H147">
      <formula1>"On Saleable Area,On Builtup Area,On Carpet Area,On Plot Area"</formula1>
    </dataValidation>
    <dataValidation type="list" allowBlank="1" showInputMessage="1" showErrorMessage="1" sqref="B176:B177">
      <formula1>"Shop No. (Sale Plan),Sale / Rehab,Sale / Mhada"</formula1>
    </dataValidation>
    <dataValidation type="list" allowBlank="1" showInputMessage="1" showErrorMessage="1" sqref="B198:B19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98:E199">
      <formula1>"Fungible area,Balcony Area,AP Area,Chajja Area,Cornice Area,AP Area,WS Area"</formula1>
    </dataValidation>
    <dataValidation type="list" allowBlank="1" showInputMessage="1" showErrorMessage="1" sqref="H199 H177">
      <formula1>".45,.50,.55,.60"</formula1>
    </dataValidation>
    <dataValidation type="list" allowBlank="1" showInputMessage="1" showErrorMessage="1" sqref="E4:H4">
      <formula1>$L$3:$P$3</formula1>
    </dataValidation>
    <dataValidation type="whole" allowBlank="1" showInputMessage="1" showErrorMessage="1" sqref="C86">
      <formula1>0</formula1>
      <formula2>H78</formula2>
    </dataValidation>
    <dataValidation type="list" allowBlank="1" showInputMessage="1" showErrorMessage="1" sqref="H176 H198">
      <formula1>"Saleable area Loading :,Builder Saleable Area"</formula1>
    </dataValidation>
    <dataValidation type="list" allowBlank="1" showInputMessage="1" showErrorMessage="1" sqref="D198:D199 D176:D177">
      <formula1>"Carpet area,RERA Carpet area"</formula1>
    </dataValidation>
  </dataValidations>
  <hyperlinks>
    <hyperlink ref="C40" r:id="rId1"/>
    <hyperlink ref="K73" r:id="rId2"/>
  </hyperlinks>
  <printOptions horizontalCentered="1"/>
  <pageMargins left="0.39370078740157483" right="0.39370078740157483" top="0.82677165354330717" bottom="0.78740157480314965" header="0.15748031496062992" footer="0.19685039370078741"/>
  <pageSetup paperSize="2" scale="99" fitToHeight="0" orientation="portrait" r:id="rId3"/>
  <headerFooter>
    <oddHeader>&amp;C&amp;G</oddHeader>
    <oddFooter>&amp;L&amp;"Times New Roman,Bold"&amp;12Ref No: &amp;F&amp;C&amp;G&amp;R&amp;"Times New Roman,Bold"&amp;12&amp;P</oddFooter>
  </headerFooter>
  <rowBreaks count="4" manualBreakCount="4">
    <brk id="389" max="16383" man="1"/>
    <brk id="432" max="16383" man="1"/>
    <brk id="475" max="16383" man="1"/>
    <brk id="518"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2" t="s">
        <v>104</v>
      </c>
      <c r="C3" s="242"/>
      <c r="D3" s="242"/>
      <c r="E3" s="242"/>
      <c r="F3" s="242"/>
      <c r="G3" s="242"/>
      <c r="H3" s="242"/>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5"/>
      <c r="C4" s="45" t="s">
        <v>11</v>
      </c>
      <c r="D4" s="46" t="s">
        <v>176</v>
      </c>
      <c r="E4" s="46" t="s">
        <v>186</v>
      </c>
      <c r="F4" s="46" t="s">
        <v>170</v>
      </c>
      <c r="G4" s="46" t="s">
        <v>191</v>
      </c>
      <c r="H4" s="46" t="s">
        <v>209</v>
      </c>
      <c r="J4" t="s">
        <v>191</v>
      </c>
      <c r="K4" t="s">
        <v>207</v>
      </c>
    </row>
    <row r="5" spans="2:11" x14ac:dyDescent="0.35">
      <c r="B5" s="45"/>
      <c r="C5" s="45"/>
      <c r="D5" s="46" t="s">
        <v>177</v>
      </c>
      <c r="E5" s="46" t="s">
        <v>184</v>
      </c>
      <c r="F5" s="46" t="s">
        <v>206</v>
      </c>
      <c r="G5" s="46" t="s">
        <v>192</v>
      </c>
      <c r="H5" s="46" t="s">
        <v>210</v>
      </c>
    </row>
    <row r="6" spans="2:11" x14ac:dyDescent="0.35">
      <c r="B6" s="45"/>
      <c r="C6" s="45"/>
      <c r="D6" s="46" t="s">
        <v>178</v>
      </c>
      <c r="E6" s="46" t="s">
        <v>185</v>
      </c>
      <c r="F6" s="46" t="s">
        <v>207</v>
      </c>
      <c r="G6" s="46" t="s">
        <v>193</v>
      </c>
      <c r="H6" s="46" t="s">
        <v>223</v>
      </c>
    </row>
    <row r="7" spans="2:11" x14ac:dyDescent="0.35">
      <c r="B7" s="45"/>
      <c r="C7" s="45"/>
      <c r="D7" s="46" t="s">
        <v>179</v>
      </c>
      <c r="E7" s="46" t="s">
        <v>187</v>
      </c>
      <c r="F7" s="46" t="s">
        <v>208</v>
      </c>
      <c r="G7" s="46" t="s">
        <v>194</v>
      </c>
      <c r="H7" s="46" t="s">
        <v>211</v>
      </c>
    </row>
    <row r="8" spans="2:11" x14ac:dyDescent="0.35">
      <c r="B8" s="45"/>
      <c r="C8" s="45"/>
      <c r="D8" s="46" t="s">
        <v>180</v>
      </c>
      <c r="E8" s="46" t="s">
        <v>188</v>
      </c>
      <c r="F8" s="46"/>
      <c r="G8" s="46" t="s">
        <v>195</v>
      </c>
      <c r="H8" s="46" t="s">
        <v>212</v>
      </c>
    </row>
    <row r="9" spans="2:11" x14ac:dyDescent="0.35">
      <c r="B9" s="45"/>
      <c r="C9" s="45"/>
      <c r="D9" s="46" t="s">
        <v>181</v>
      </c>
      <c r="E9" s="46" t="s">
        <v>186</v>
      </c>
      <c r="F9" s="46"/>
      <c r="G9" s="46" t="s">
        <v>196</v>
      </c>
      <c r="H9" s="46" t="s">
        <v>213</v>
      </c>
    </row>
    <row r="10" spans="2:11" x14ac:dyDescent="0.35">
      <c r="B10" s="45"/>
      <c r="C10" s="45"/>
      <c r="D10" s="46" t="s">
        <v>182</v>
      </c>
      <c r="E10" s="46" t="s">
        <v>189</v>
      </c>
      <c r="F10" s="46"/>
      <c r="G10" s="46" t="s">
        <v>197</v>
      </c>
      <c r="H10" s="46" t="s">
        <v>214</v>
      </c>
    </row>
    <row r="11" spans="2:11" x14ac:dyDescent="0.35">
      <c r="B11" s="45"/>
      <c r="C11" s="45"/>
      <c r="D11" s="46" t="s">
        <v>183</v>
      </c>
      <c r="E11" s="46" t="s">
        <v>190</v>
      </c>
      <c r="F11" s="46"/>
      <c r="G11" s="46" t="s">
        <v>198</v>
      </c>
      <c r="H11" s="46" t="s">
        <v>215</v>
      </c>
    </row>
    <row r="12" spans="2:11" x14ac:dyDescent="0.35">
      <c r="B12" s="45"/>
      <c r="C12" s="45"/>
      <c r="D12" s="46"/>
      <c r="E12" s="46"/>
      <c r="F12" s="46"/>
      <c r="G12" s="46" t="s">
        <v>199</v>
      </c>
      <c r="H12" s="46" t="s">
        <v>216</v>
      </c>
    </row>
    <row r="13" spans="2:11" x14ac:dyDescent="0.35">
      <c r="B13" s="45"/>
      <c r="C13" s="45"/>
      <c r="D13" s="46"/>
      <c r="E13" s="46"/>
      <c r="F13" s="46"/>
      <c r="G13" s="46" t="s">
        <v>200</v>
      </c>
      <c r="H13" s="46" t="s">
        <v>217</v>
      </c>
    </row>
    <row r="14" spans="2:11" x14ac:dyDescent="0.35">
      <c r="B14" s="45"/>
      <c r="C14" s="45"/>
      <c r="D14" s="46"/>
      <c r="E14" s="46"/>
      <c r="F14" s="46"/>
      <c r="G14" s="46" t="s">
        <v>201</v>
      </c>
      <c r="H14" s="46" t="s">
        <v>218</v>
      </c>
    </row>
    <row r="15" spans="2:11" x14ac:dyDescent="0.35">
      <c r="B15" s="45"/>
      <c r="C15" s="45"/>
      <c r="D15" s="46"/>
      <c r="E15" s="46"/>
      <c r="F15" s="46"/>
      <c r="G15" s="46" t="s">
        <v>202</v>
      </c>
      <c r="H15" s="46" t="s">
        <v>219</v>
      </c>
    </row>
    <row r="16" spans="2:11" x14ac:dyDescent="0.35">
      <c r="B16" s="45"/>
      <c r="C16" s="45"/>
      <c r="D16" s="46"/>
      <c r="E16" s="46"/>
      <c r="F16" s="46"/>
      <c r="G16" s="46" t="s">
        <v>203</v>
      </c>
      <c r="H16" s="46" t="s">
        <v>220</v>
      </c>
    </row>
    <row r="17" spans="2:8" x14ac:dyDescent="0.35">
      <c r="B17" s="45"/>
      <c r="C17" s="45"/>
      <c r="D17" s="46"/>
      <c r="E17" s="46"/>
      <c r="F17" s="46"/>
      <c r="G17" s="46" t="s">
        <v>204</v>
      </c>
      <c r="H17" s="46" t="s">
        <v>221</v>
      </c>
    </row>
    <row r="18" spans="2:8" x14ac:dyDescent="0.35">
      <c r="B18" s="45"/>
      <c r="C18" s="45"/>
      <c r="D18" s="46"/>
      <c r="E18" s="46"/>
      <c r="F18" s="46"/>
      <c r="G18" s="46" t="s">
        <v>205</v>
      </c>
      <c r="H18" s="46" t="s">
        <v>222</v>
      </c>
    </row>
    <row r="24" spans="2:8" x14ac:dyDescent="0.35">
      <c r="C24" t="s">
        <v>167</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167</v>
      </c>
    </row>
    <row r="33" spans="3:11" x14ac:dyDescent="0.35">
      <c r="J33">
        <v>1</v>
      </c>
      <c r="K33">
        <v>2</v>
      </c>
    </row>
    <row r="34" spans="3:11" x14ac:dyDescent="0.35">
      <c r="C34" s="48" t="s">
        <v>232</v>
      </c>
      <c r="D34" s="46" t="s">
        <v>230</v>
      </c>
      <c r="E34" s="46" t="s">
        <v>235</v>
      </c>
      <c r="F34" s="46" t="s">
        <v>233</v>
      </c>
      <c r="G34" s="46" t="s">
        <v>234</v>
      </c>
      <c r="H34" s="46" t="s">
        <v>236</v>
      </c>
      <c r="J34" t="s">
        <v>191</v>
      </c>
      <c r="K34" t="s">
        <v>207</v>
      </c>
    </row>
    <row r="35" spans="3:11" x14ac:dyDescent="0.35">
      <c r="C35" s="45" t="s">
        <v>231</v>
      </c>
      <c r="D35" s="46" t="s">
        <v>168</v>
      </c>
      <c r="E35" s="46" t="s">
        <v>240</v>
      </c>
      <c r="F35" s="46" t="s">
        <v>242</v>
      </c>
      <c r="G35" s="46" t="s">
        <v>244</v>
      </c>
      <c r="H35" s="46"/>
    </row>
    <row r="36" spans="3:11" x14ac:dyDescent="0.35">
      <c r="C36" s="45"/>
      <c r="D36" s="46" t="s">
        <v>237</v>
      </c>
      <c r="E36" s="46" t="s">
        <v>241</v>
      </c>
      <c r="F36" s="46" t="s">
        <v>243</v>
      </c>
      <c r="G36" s="46" t="s">
        <v>245</v>
      </c>
      <c r="H36" s="46"/>
    </row>
    <row r="37" spans="3:11" x14ac:dyDescent="0.35">
      <c r="C37" s="45"/>
      <c r="D37" s="46" t="s">
        <v>238</v>
      </c>
      <c r="E37" s="46"/>
      <c r="F37" s="46"/>
      <c r="G37" s="46" t="s">
        <v>246</v>
      </c>
      <c r="H37" s="46"/>
    </row>
    <row r="38" spans="3:11" x14ac:dyDescent="0.35">
      <c r="C38" s="45"/>
      <c r="D38" s="46" t="s">
        <v>239</v>
      </c>
      <c r="E38" s="46"/>
      <c r="F38" s="46"/>
      <c r="G38" s="46" t="s">
        <v>246</v>
      </c>
      <c r="H38" s="46"/>
    </row>
    <row r="39" spans="3:11" x14ac:dyDescent="0.35">
      <c r="C39" s="45"/>
      <c r="D39" s="46"/>
      <c r="E39" s="46"/>
      <c r="F39" s="46"/>
      <c r="G39" s="46" t="s">
        <v>247</v>
      </c>
      <c r="H39" s="46"/>
    </row>
    <row r="40" spans="3:11" x14ac:dyDescent="0.35">
      <c r="C40" s="45"/>
      <c r="D40" s="46"/>
      <c r="E40" s="46"/>
      <c r="F40" s="46"/>
      <c r="G40" s="46" t="s">
        <v>248</v>
      </c>
      <c r="H40" s="46"/>
    </row>
    <row r="41" spans="3:11" x14ac:dyDescent="0.35">
      <c r="C41" s="45"/>
      <c r="D41" s="46"/>
      <c r="E41" s="46"/>
      <c r="F41" s="46"/>
      <c r="G41" s="46"/>
      <c r="H41" s="46"/>
    </row>
    <row r="43" spans="3:11" x14ac:dyDescent="0.35">
      <c r="C43" t="s">
        <v>249</v>
      </c>
    </row>
    <row r="44" spans="3:11" x14ac:dyDescent="0.35">
      <c r="C44" t="s">
        <v>170</v>
      </c>
      <c r="D44" t="s">
        <v>250</v>
      </c>
    </row>
    <row r="45" spans="3:11" x14ac:dyDescent="0.35">
      <c r="D45" t="s">
        <v>251</v>
      </c>
    </row>
    <row r="46" spans="3:11" x14ac:dyDescent="0.35">
      <c r="D46" t="s">
        <v>252</v>
      </c>
    </row>
    <row r="47" spans="3:11" x14ac:dyDescent="0.35">
      <c r="D47" t="s">
        <v>253</v>
      </c>
    </row>
    <row r="48" spans="3:11" x14ac:dyDescent="0.35">
      <c r="D48" t="s">
        <v>254</v>
      </c>
    </row>
    <row r="49" spans="3:4" x14ac:dyDescent="0.35">
      <c r="C49" t="s">
        <v>176</v>
      </c>
      <c r="D49" t="s">
        <v>255</v>
      </c>
    </row>
    <row r="50" spans="3:4" x14ac:dyDescent="0.35">
      <c r="D50" t="s">
        <v>256</v>
      </c>
    </row>
    <row r="51" spans="3:4" x14ac:dyDescent="0.35">
      <c r="D51" t="s">
        <v>257</v>
      </c>
    </row>
    <row r="52" spans="3:4" x14ac:dyDescent="0.35">
      <c r="D52" t="s">
        <v>260</v>
      </c>
    </row>
    <row r="53" spans="3:4" x14ac:dyDescent="0.35">
      <c r="D53" t="s">
        <v>258</v>
      </c>
    </row>
    <row r="54" spans="3:4" x14ac:dyDescent="0.35">
      <c r="D54" t="s">
        <v>259</v>
      </c>
    </row>
    <row r="55" spans="3:4" x14ac:dyDescent="0.35">
      <c r="D55" t="s">
        <v>261</v>
      </c>
    </row>
    <row r="56" spans="3:4" x14ac:dyDescent="0.35">
      <c r="D56" t="s">
        <v>262</v>
      </c>
    </row>
    <row r="57" spans="3:4" x14ac:dyDescent="0.35">
      <c r="D57" t="s">
        <v>263</v>
      </c>
    </row>
    <row r="58" spans="3:4" x14ac:dyDescent="0.35">
      <c r="D58" t="s">
        <v>265</v>
      </c>
    </row>
    <row r="59" spans="3:4" x14ac:dyDescent="0.35">
      <c r="D59" t="s">
        <v>274</v>
      </c>
    </row>
    <row r="60" spans="3:4" x14ac:dyDescent="0.35">
      <c r="C60" t="s">
        <v>191</v>
      </c>
      <c r="D60" t="s">
        <v>266</v>
      </c>
    </row>
    <row r="61" spans="3:4" x14ac:dyDescent="0.35">
      <c r="D61" t="s">
        <v>264</v>
      </c>
    </row>
    <row r="62" spans="3:4" x14ac:dyDescent="0.35">
      <c r="D62" t="s">
        <v>254</v>
      </c>
    </row>
    <row r="63" spans="3:4" x14ac:dyDescent="0.35">
      <c r="D63" t="s">
        <v>267</v>
      </c>
    </row>
    <row r="64" spans="3:4" x14ac:dyDescent="0.35">
      <c r="D64" t="s">
        <v>268</v>
      </c>
    </row>
    <row r="65" spans="3:4" x14ac:dyDescent="0.35">
      <c r="D65" t="s">
        <v>269</v>
      </c>
    </row>
    <row r="66" spans="3:4" x14ac:dyDescent="0.35">
      <c r="D66" t="s">
        <v>270</v>
      </c>
    </row>
    <row r="67" spans="3:4" x14ac:dyDescent="0.35">
      <c r="C67" t="s">
        <v>186</v>
      </c>
      <c r="D67" t="s">
        <v>271</v>
      </c>
    </row>
    <row r="68" spans="3:4" x14ac:dyDescent="0.35">
      <c r="D68" t="s">
        <v>272</v>
      </c>
    </row>
    <row r="69" spans="3:4" x14ac:dyDescent="0.3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4.5" x14ac:dyDescent="0.35"/>
  <cols>
    <col min="2" max="2" width="3" bestFit="1" customWidth="1"/>
    <col min="3" max="3" width="155.26953125" customWidth="1"/>
  </cols>
  <sheetData>
    <row r="2" spans="2:3" ht="15" customHeight="1" x14ac:dyDescent="0.35">
      <c r="B2" s="49">
        <v>1</v>
      </c>
      <c r="C2" s="52" t="s">
        <v>280</v>
      </c>
    </row>
    <row r="3" spans="2:3" x14ac:dyDescent="0.35">
      <c r="B3" s="49">
        <v>2</v>
      </c>
      <c r="C3" s="50" t="s">
        <v>281</v>
      </c>
    </row>
    <row r="4" spans="2:3" x14ac:dyDescent="0.35">
      <c r="B4" s="49">
        <v>3</v>
      </c>
      <c r="C4" s="51" t="s">
        <v>282</v>
      </c>
    </row>
    <row r="5" spans="2:3" x14ac:dyDescent="0.35">
      <c r="B5" s="49">
        <v>4</v>
      </c>
      <c r="C5" s="50" t="s">
        <v>283</v>
      </c>
    </row>
    <row r="6" spans="2:3" x14ac:dyDescent="0.35">
      <c r="B6" s="49">
        <v>5</v>
      </c>
      <c r="C6" s="51" t="s">
        <v>284</v>
      </c>
    </row>
    <row r="7" spans="2:3" ht="29" x14ac:dyDescent="0.35">
      <c r="B7" s="49">
        <v>6</v>
      </c>
      <c r="C7" s="50" t="s">
        <v>285</v>
      </c>
    </row>
    <row r="8" spans="2:3" ht="72.5" x14ac:dyDescent="0.35">
      <c r="B8" s="49">
        <v>7</v>
      </c>
      <c r="C8" s="50" t="s">
        <v>286</v>
      </c>
    </row>
    <row r="9" spans="2:3" x14ac:dyDescent="0.35">
      <c r="B9" s="49">
        <v>8</v>
      </c>
      <c r="C9" s="51" t="s">
        <v>287</v>
      </c>
    </row>
    <row r="10" spans="2:3" x14ac:dyDescent="0.35">
      <c r="B10" s="49">
        <v>9</v>
      </c>
      <c r="C10" s="51" t="s">
        <v>288</v>
      </c>
    </row>
    <row r="11" spans="2:3" x14ac:dyDescent="0.35">
      <c r="B11" s="49">
        <v>10</v>
      </c>
      <c r="C11" s="51" t="s">
        <v>289</v>
      </c>
    </row>
    <row r="12" spans="2:3" x14ac:dyDescent="0.35">
      <c r="B12" s="49">
        <v>11</v>
      </c>
      <c r="C12" s="51" t="s">
        <v>290</v>
      </c>
    </row>
    <row r="13" spans="2:3" x14ac:dyDescent="0.35">
      <c r="B13" s="49">
        <v>12</v>
      </c>
      <c r="C13" s="51" t="s">
        <v>291</v>
      </c>
    </row>
    <row r="14" spans="2:3" x14ac:dyDescent="0.35">
      <c r="B14" s="49">
        <v>13</v>
      </c>
      <c r="C14" s="51" t="s">
        <v>292</v>
      </c>
    </row>
    <row r="15" spans="2:3" x14ac:dyDescent="0.35">
      <c r="B15" s="49">
        <v>14</v>
      </c>
      <c r="C15" s="51" t="s">
        <v>282</v>
      </c>
    </row>
    <row r="16" spans="2:3" x14ac:dyDescent="0.35">
      <c r="B16" s="49">
        <v>15</v>
      </c>
      <c r="C16" s="51" t="s">
        <v>294</v>
      </c>
    </row>
    <row r="17" spans="2:3" ht="31.5" customHeight="1" x14ac:dyDescent="0.35">
      <c r="B17" s="55">
        <v>16</v>
      </c>
      <c r="C17" s="57" t="s">
        <v>295</v>
      </c>
    </row>
    <row r="18" spans="2:3" x14ac:dyDescent="0.35">
      <c r="B18" s="56">
        <v>17</v>
      </c>
      <c r="C18" s="57" t="s">
        <v>296</v>
      </c>
    </row>
    <row r="19" spans="2:3" x14ac:dyDescent="0.35">
      <c r="B19" s="55">
        <v>18</v>
      </c>
      <c r="C19" s="49" t="s">
        <v>297</v>
      </c>
    </row>
    <row r="20" spans="2:3" x14ac:dyDescent="0.35">
      <c r="B20" s="56">
        <v>19</v>
      </c>
      <c r="C20" s="49" t="s">
        <v>298</v>
      </c>
    </row>
    <row r="21" spans="2:3" x14ac:dyDescent="0.35">
      <c r="B21" s="58">
        <v>20</v>
      </c>
      <c r="C21" s="49" t="s">
        <v>299</v>
      </c>
    </row>
    <row r="22" spans="2:3" x14ac:dyDescent="0.35">
      <c r="B22" s="56">
        <v>21</v>
      </c>
      <c r="C22" s="49" t="s">
        <v>297</v>
      </c>
    </row>
    <row r="23" spans="2:3" s="66" customFormat="1" ht="29.25" customHeight="1" x14ac:dyDescent="0.35">
      <c r="B23" s="65">
        <v>22</v>
      </c>
      <c r="C23" s="52" t="s">
        <v>326</v>
      </c>
    </row>
    <row r="24" spans="2:3" s="66" customFormat="1" ht="30.75" customHeight="1" x14ac:dyDescent="0.35">
      <c r="B24" s="67">
        <v>23</v>
      </c>
      <c r="C24" s="52" t="s">
        <v>327</v>
      </c>
    </row>
    <row r="25" spans="2:3" x14ac:dyDescent="0.35">
      <c r="B25" s="58">
        <v>24</v>
      </c>
      <c r="C25" s="49" t="s">
        <v>330</v>
      </c>
    </row>
    <row r="26" spans="2:3" x14ac:dyDescent="0.35">
      <c r="B26" s="56">
        <v>25</v>
      </c>
      <c r="C26" s="49" t="s">
        <v>328</v>
      </c>
    </row>
    <row r="27" spans="2:3" x14ac:dyDescent="0.35">
      <c r="B27" s="67">
        <v>26</v>
      </c>
      <c r="C27" s="58" t="s">
        <v>329</v>
      </c>
    </row>
    <row r="28" spans="2:3" x14ac:dyDescent="0.35">
      <c r="B28" s="68">
        <v>27</v>
      </c>
      <c r="C28" s="49"/>
    </row>
    <row r="29" spans="2:3" x14ac:dyDescent="0.35">
      <c r="B29" s="56">
        <v>28</v>
      </c>
      <c r="C29" s="49"/>
    </row>
    <row r="30" spans="2:3" x14ac:dyDescent="0.35">
      <c r="B30" s="67">
        <v>29</v>
      </c>
      <c r="C30" s="49"/>
    </row>
    <row r="31" spans="2:3" x14ac:dyDescent="0.35">
      <c r="B31" s="68">
        <v>30</v>
      </c>
      <c r="C31" s="49"/>
    </row>
    <row r="32" spans="2:3" x14ac:dyDescent="0.35">
      <c r="B32" s="56">
        <v>31</v>
      </c>
      <c r="C32" s="49"/>
    </row>
    <row r="33" spans="2:3" x14ac:dyDescent="0.35">
      <c r="B33" s="67">
        <v>32</v>
      </c>
      <c r="C33" s="49"/>
    </row>
    <row r="34" spans="2:3" x14ac:dyDescent="0.35">
      <c r="B34" s="68">
        <v>33</v>
      </c>
      <c r="C34" s="49"/>
    </row>
    <row r="35" spans="2:3" x14ac:dyDescent="0.35">
      <c r="B35" s="56">
        <v>34</v>
      </c>
      <c r="C35"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5"/>
    <col min="2" max="2" width="12.26953125" style="45" customWidth="1"/>
    <col min="3" max="16384" width="9.1796875" style="45"/>
  </cols>
  <sheetData>
    <row r="2" spans="1:12" x14ac:dyDescent="0.35">
      <c r="B2" s="59" t="s">
        <v>300</v>
      </c>
      <c r="C2" s="243"/>
      <c r="D2" s="243"/>
    </row>
    <row r="3" spans="1:12" x14ac:dyDescent="0.35">
      <c r="D3" s="60"/>
      <c r="E3" s="60"/>
      <c r="F3" s="60"/>
      <c r="G3" s="60"/>
      <c r="H3" s="60"/>
      <c r="I3" s="60"/>
    </row>
    <row r="4" spans="1:12" x14ac:dyDescent="0.35">
      <c r="A4" s="59" t="s">
        <v>66</v>
      </c>
      <c r="B4" s="61" t="s">
        <v>301</v>
      </c>
      <c r="C4" s="244" t="s">
        <v>302</v>
      </c>
      <c r="D4" s="244"/>
      <c r="E4" s="244"/>
      <c r="F4" s="61"/>
      <c r="G4" s="245" t="s">
        <v>303</v>
      </c>
      <c r="H4" s="245"/>
      <c r="I4" s="245"/>
      <c r="J4" s="246" t="s">
        <v>304</v>
      </c>
      <c r="K4" s="246"/>
      <c r="L4" s="246"/>
    </row>
    <row r="5" spans="1:12" x14ac:dyDescent="0.35">
      <c r="A5" s="59"/>
      <c r="B5" s="61"/>
      <c r="C5" s="61" t="s">
        <v>305</v>
      </c>
      <c r="D5" s="61" t="s">
        <v>306</v>
      </c>
      <c r="E5" s="61" t="s">
        <v>307</v>
      </c>
      <c r="F5" s="61"/>
      <c r="G5" s="61" t="s">
        <v>305</v>
      </c>
      <c r="H5" s="61" t="s">
        <v>306</v>
      </c>
      <c r="I5" s="61" t="s">
        <v>307</v>
      </c>
      <c r="J5" s="61" t="s">
        <v>305</v>
      </c>
      <c r="K5" s="61" t="s">
        <v>306</v>
      </c>
      <c r="L5" s="61" t="s">
        <v>307</v>
      </c>
    </row>
    <row r="6" spans="1:12" x14ac:dyDescent="0.35">
      <c r="B6" s="46" t="s">
        <v>308</v>
      </c>
      <c r="C6" s="46"/>
      <c r="D6" s="46"/>
      <c r="E6" s="46">
        <f>C6*D6</f>
        <v>0</v>
      </c>
      <c r="F6" s="46" t="s">
        <v>325</v>
      </c>
      <c r="G6" s="46"/>
      <c r="H6" s="46"/>
      <c r="I6" s="46">
        <f>G6*H6</f>
        <v>0</v>
      </c>
      <c r="J6" s="46"/>
      <c r="K6" s="46"/>
      <c r="L6" s="46">
        <f>J6*K6</f>
        <v>0</v>
      </c>
    </row>
    <row r="7" spans="1:12" x14ac:dyDescent="0.35">
      <c r="B7" s="46"/>
      <c r="C7" s="46"/>
      <c r="D7" s="46"/>
      <c r="E7" s="46">
        <f t="shared" ref="E7:E41" si="0">C7*D7</f>
        <v>0</v>
      </c>
      <c r="F7" s="46" t="s">
        <v>325</v>
      </c>
      <c r="G7" s="46"/>
      <c r="H7" s="46"/>
      <c r="I7" s="46">
        <f t="shared" ref="I7:I35" si="1">G7*H7</f>
        <v>0</v>
      </c>
      <c r="J7" s="46"/>
      <c r="K7" s="46"/>
      <c r="L7" s="46">
        <f t="shared" ref="L7:L35" si="2">J7*K7</f>
        <v>0</v>
      </c>
    </row>
    <row r="8" spans="1:12" x14ac:dyDescent="0.35">
      <c r="B8" s="46"/>
      <c r="C8" s="46"/>
      <c r="D8" s="46"/>
      <c r="E8" s="46">
        <f t="shared" si="0"/>
        <v>0</v>
      </c>
      <c r="F8" s="46"/>
      <c r="G8" s="46"/>
      <c r="H8" s="46"/>
      <c r="I8" s="46">
        <f t="shared" si="1"/>
        <v>0</v>
      </c>
      <c r="J8" s="46"/>
      <c r="K8" s="46"/>
      <c r="L8" s="46">
        <f t="shared" si="2"/>
        <v>0</v>
      </c>
    </row>
    <row r="9" spans="1:12" x14ac:dyDescent="0.35">
      <c r="B9" s="46"/>
      <c r="C9" s="46"/>
      <c r="D9" s="46"/>
      <c r="E9" s="46">
        <f t="shared" si="0"/>
        <v>0</v>
      </c>
      <c r="F9" s="46" t="s">
        <v>309</v>
      </c>
      <c r="G9" s="46"/>
      <c r="H9" s="46"/>
      <c r="I9" s="46">
        <f t="shared" si="1"/>
        <v>0</v>
      </c>
      <c r="J9" s="46"/>
      <c r="K9" s="46"/>
      <c r="L9" s="46">
        <f t="shared" si="2"/>
        <v>0</v>
      </c>
    </row>
    <row r="10" spans="1:12" x14ac:dyDescent="0.35">
      <c r="B10" s="46" t="s">
        <v>310</v>
      </c>
      <c r="C10" s="46"/>
      <c r="D10" s="46"/>
      <c r="E10" s="46">
        <f t="shared" si="0"/>
        <v>0</v>
      </c>
      <c r="F10" s="46" t="s">
        <v>309</v>
      </c>
      <c r="G10" s="46"/>
      <c r="H10" s="46"/>
      <c r="I10" s="46">
        <f t="shared" si="1"/>
        <v>0</v>
      </c>
      <c r="J10" s="46"/>
      <c r="K10" s="46"/>
      <c r="L10" s="46">
        <f t="shared" si="2"/>
        <v>0</v>
      </c>
    </row>
    <row r="11" spans="1:12" x14ac:dyDescent="0.35">
      <c r="B11" s="46"/>
      <c r="C11" s="46"/>
      <c r="D11" s="46"/>
      <c r="E11" s="46">
        <f t="shared" si="0"/>
        <v>0</v>
      </c>
      <c r="F11" s="46" t="s">
        <v>311</v>
      </c>
      <c r="G11" s="46"/>
      <c r="H11" s="46"/>
      <c r="I11" s="46">
        <f t="shared" si="1"/>
        <v>0</v>
      </c>
      <c r="J11" s="46"/>
      <c r="K11" s="46"/>
      <c r="L11" s="46">
        <f t="shared" si="2"/>
        <v>0</v>
      </c>
    </row>
    <row r="12" spans="1:12" x14ac:dyDescent="0.35">
      <c r="B12" s="46"/>
      <c r="C12" s="46"/>
      <c r="D12" s="46"/>
      <c r="E12" s="46">
        <f t="shared" si="0"/>
        <v>0</v>
      </c>
      <c r="F12" s="46"/>
      <c r="G12" s="46"/>
      <c r="H12" s="46"/>
      <c r="I12" s="46">
        <f t="shared" si="1"/>
        <v>0</v>
      </c>
      <c r="J12" s="46"/>
      <c r="K12" s="46"/>
      <c r="L12" s="46">
        <f t="shared" si="2"/>
        <v>0</v>
      </c>
    </row>
    <row r="13" spans="1:12" x14ac:dyDescent="0.35">
      <c r="B13" s="46"/>
      <c r="C13" s="46"/>
      <c r="D13" s="46"/>
      <c r="E13" s="46">
        <f t="shared" si="0"/>
        <v>0</v>
      </c>
      <c r="F13" s="46"/>
      <c r="G13" s="46"/>
      <c r="H13" s="46"/>
      <c r="I13" s="46">
        <f t="shared" si="1"/>
        <v>0</v>
      </c>
      <c r="J13" s="46"/>
      <c r="K13" s="46"/>
      <c r="L13" s="46">
        <f t="shared" si="2"/>
        <v>0</v>
      </c>
    </row>
    <row r="14" spans="1:12" x14ac:dyDescent="0.35">
      <c r="B14" s="46" t="s">
        <v>312</v>
      </c>
      <c r="C14" s="46"/>
      <c r="D14" s="46"/>
      <c r="E14" s="46">
        <f t="shared" si="0"/>
        <v>0</v>
      </c>
      <c r="F14" s="46" t="s">
        <v>309</v>
      </c>
      <c r="G14" s="46"/>
      <c r="H14" s="46"/>
      <c r="I14" s="46">
        <f t="shared" si="1"/>
        <v>0</v>
      </c>
      <c r="J14" s="46"/>
      <c r="K14" s="46"/>
      <c r="L14" s="46">
        <f t="shared" si="2"/>
        <v>0</v>
      </c>
    </row>
    <row r="15" spans="1:12" x14ac:dyDescent="0.35">
      <c r="B15" s="46"/>
      <c r="C15" s="46"/>
      <c r="D15" s="46"/>
      <c r="E15" s="46">
        <f t="shared" si="0"/>
        <v>0</v>
      </c>
      <c r="F15" s="46" t="s">
        <v>311</v>
      </c>
      <c r="G15" s="46"/>
      <c r="H15" s="46"/>
      <c r="I15" s="46">
        <f t="shared" si="1"/>
        <v>0</v>
      </c>
      <c r="J15" s="46"/>
      <c r="K15" s="46"/>
      <c r="L15" s="46">
        <f t="shared" si="2"/>
        <v>0</v>
      </c>
    </row>
    <row r="16" spans="1:12" x14ac:dyDescent="0.35">
      <c r="B16" s="46"/>
      <c r="C16" s="46"/>
      <c r="D16" s="46"/>
      <c r="E16" s="46">
        <f t="shared" si="0"/>
        <v>0</v>
      </c>
      <c r="F16" s="46"/>
      <c r="G16" s="46"/>
      <c r="H16" s="46"/>
      <c r="I16" s="46">
        <f t="shared" si="1"/>
        <v>0</v>
      </c>
      <c r="J16" s="46"/>
      <c r="K16" s="46"/>
      <c r="L16" s="46">
        <f t="shared" si="2"/>
        <v>0</v>
      </c>
    </row>
    <row r="17" spans="2:12" x14ac:dyDescent="0.35">
      <c r="B17" s="46"/>
      <c r="C17" s="46"/>
      <c r="D17" s="46"/>
      <c r="E17" s="46">
        <f t="shared" si="0"/>
        <v>0</v>
      </c>
      <c r="F17" s="46"/>
      <c r="G17" s="46"/>
      <c r="H17" s="46"/>
      <c r="I17" s="46">
        <f t="shared" si="1"/>
        <v>0</v>
      </c>
      <c r="J17" s="46"/>
      <c r="K17" s="46"/>
      <c r="L17" s="46">
        <f t="shared" si="2"/>
        <v>0</v>
      </c>
    </row>
    <row r="18" spans="2:12" x14ac:dyDescent="0.35">
      <c r="B18" s="46" t="s">
        <v>313</v>
      </c>
      <c r="C18" s="46"/>
      <c r="D18" s="46"/>
      <c r="E18" s="46">
        <f t="shared" si="0"/>
        <v>0</v>
      </c>
      <c r="F18" s="46" t="s">
        <v>309</v>
      </c>
      <c r="G18" s="46"/>
      <c r="H18" s="46"/>
      <c r="I18" s="46">
        <f t="shared" si="1"/>
        <v>0</v>
      </c>
      <c r="J18" s="46"/>
      <c r="K18" s="46"/>
      <c r="L18" s="46">
        <f t="shared" si="2"/>
        <v>0</v>
      </c>
    </row>
    <row r="19" spans="2:12" x14ac:dyDescent="0.35">
      <c r="B19" s="46"/>
      <c r="C19" s="46"/>
      <c r="D19" s="46"/>
      <c r="E19" s="46">
        <f t="shared" si="0"/>
        <v>0</v>
      </c>
      <c r="F19" s="46" t="s">
        <v>311</v>
      </c>
      <c r="G19" s="46"/>
      <c r="H19" s="46"/>
      <c r="I19" s="46">
        <f t="shared" si="1"/>
        <v>0</v>
      </c>
      <c r="J19" s="46"/>
      <c r="K19" s="46"/>
      <c r="L19" s="46">
        <f t="shared" si="2"/>
        <v>0</v>
      </c>
    </row>
    <row r="20" spans="2:12" x14ac:dyDescent="0.35">
      <c r="B20" s="46"/>
      <c r="C20" s="46"/>
      <c r="D20" s="46"/>
      <c r="E20" s="46">
        <f t="shared" si="0"/>
        <v>0</v>
      </c>
      <c r="F20" s="46"/>
      <c r="G20" s="46"/>
      <c r="H20" s="46"/>
      <c r="I20" s="46">
        <f t="shared" si="1"/>
        <v>0</v>
      </c>
      <c r="J20" s="46"/>
      <c r="K20" s="46"/>
      <c r="L20" s="46">
        <f t="shared" si="2"/>
        <v>0</v>
      </c>
    </row>
    <row r="21" spans="2:12" x14ac:dyDescent="0.35">
      <c r="B21" s="46" t="s">
        <v>314</v>
      </c>
      <c r="C21" s="46"/>
      <c r="D21" s="46"/>
      <c r="E21" s="46">
        <f t="shared" si="0"/>
        <v>0</v>
      </c>
      <c r="F21" s="46" t="s">
        <v>309</v>
      </c>
      <c r="G21" s="46"/>
      <c r="H21" s="46"/>
      <c r="I21" s="46">
        <f t="shared" si="1"/>
        <v>0</v>
      </c>
      <c r="J21" s="46"/>
      <c r="K21" s="46"/>
      <c r="L21" s="46">
        <f t="shared" si="2"/>
        <v>0</v>
      </c>
    </row>
    <row r="22" spans="2:12" x14ac:dyDescent="0.35">
      <c r="B22" s="46"/>
      <c r="C22" s="46"/>
      <c r="D22" s="46"/>
      <c r="E22" s="46">
        <f t="shared" si="0"/>
        <v>0</v>
      </c>
      <c r="F22" s="46" t="s">
        <v>311</v>
      </c>
      <c r="G22" s="46"/>
      <c r="H22" s="46"/>
      <c r="I22" s="46">
        <f t="shared" si="1"/>
        <v>0</v>
      </c>
      <c r="J22" s="46"/>
      <c r="K22" s="46"/>
      <c r="L22" s="46">
        <f t="shared" si="2"/>
        <v>0</v>
      </c>
    </row>
    <row r="23" spans="2:12" x14ac:dyDescent="0.35">
      <c r="B23" s="46"/>
      <c r="C23" s="46"/>
      <c r="D23" s="46"/>
      <c r="E23" s="46">
        <f t="shared" si="0"/>
        <v>0</v>
      </c>
      <c r="F23" s="46"/>
      <c r="G23" s="46"/>
      <c r="H23" s="46"/>
      <c r="I23" s="46">
        <f t="shared" si="1"/>
        <v>0</v>
      </c>
      <c r="J23" s="46"/>
      <c r="K23" s="46"/>
      <c r="L23" s="46">
        <f t="shared" si="2"/>
        <v>0</v>
      </c>
    </row>
    <row r="24" spans="2:12" x14ac:dyDescent="0.35">
      <c r="B24" s="46" t="s">
        <v>315</v>
      </c>
      <c r="C24" s="46"/>
      <c r="D24" s="46"/>
      <c r="E24" s="46">
        <f t="shared" si="0"/>
        <v>0</v>
      </c>
      <c r="F24" s="46" t="s">
        <v>316</v>
      </c>
      <c r="G24" s="46"/>
      <c r="H24" s="46"/>
      <c r="I24" s="46">
        <f t="shared" si="1"/>
        <v>0</v>
      </c>
      <c r="J24" s="46"/>
      <c r="K24" s="46"/>
      <c r="L24" s="46">
        <f t="shared" si="2"/>
        <v>0</v>
      </c>
    </row>
    <row r="25" spans="2:12" x14ac:dyDescent="0.35">
      <c r="B25" s="46"/>
      <c r="C25" s="46"/>
      <c r="D25" s="46"/>
      <c r="E25" s="46">
        <f t="shared" ref="E25:E27" si="3">C25*D25</f>
        <v>0</v>
      </c>
      <c r="F25" s="46" t="s">
        <v>316</v>
      </c>
      <c r="G25" s="46"/>
      <c r="H25" s="46"/>
      <c r="I25" s="46">
        <f t="shared" ref="I25:I27" si="4">G25*H25</f>
        <v>0</v>
      </c>
      <c r="J25" s="46"/>
      <c r="K25" s="46"/>
      <c r="L25" s="46">
        <f t="shared" ref="L25:L27" si="5">J25*K25</f>
        <v>0</v>
      </c>
    </row>
    <row r="26" spans="2:12" x14ac:dyDescent="0.35">
      <c r="B26" s="46"/>
      <c r="C26" s="46"/>
      <c r="D26" s="46"/>
      <c r="E26" s="46">
        <f t="shared" si="3"/>
        <v>0</v>
      </c>
      <c r="F26" s="46" t="s">
        <v>316</v>
      </c>
      <c r="G26" s="46"/>
      <c r="H26" s="46"/>
      <c r="I26" s="46">
        <f t="shared" si="4"/>
        <v>0</v>
      </c>
      <c r="J26" s="46"/>
      <c r="K26" s="46"/>
      <c r="L26" s="46">
        <f t="shared" si="5"/>
        <v>0</v>
      </c>
    </row>
    <row r="27" spans="2:12" x14ac:dyDescent="0.35">
      <c r="B27" s="46"/>
      <c r="C27" s="46"/>
      <c r="D27" s="46"/>
      <c r="E27" s="46">
        <f t="shared" si="3"/>
        <v>0</v>
      </c>
      <c r="F27" s="46" t="s">
        <v>316</v>
      </c>
      <c r="G27" s="46"/>
      <c r="H27" s="46"/>
      <c r="I27" s="46">
        <f t="shared" si="4"/>
        <v>0</v>
      </c>
      <c r="J27" s="46"/>
      <c r="K27" s="46"/>
      <c r="L27" s="46">
        <f t="shared" si="5"/>
        <v>0</v>
      </c>
    </row>
    <row r="28" spans="2:12" x14ac:dyDescent="0.35">
      <c r="B28" s="46" t="s">
        <v>317</v>
      </c>
      <c r="C28" s="46"/>
      <c r="D28" s="46"/>
      <c r="E28" s="46">
        <f t="shared" si="0"/>
        <v>0</v>
      </c>
      <c r="F28" s="46" t="s">
        <v>316</v>
      </c>
      <c r="G28" s="46"/>
      <c r="H28" s="46"/>
      <c r="I28" s="46">
        <f t="shared" si="1"/>
        <v>0</v>
      </c>
      <c r="J28" s="46"/>
      <c r="K28" s="46"/>
      <c r="L28" s="46">
        <f t="shared" si="2"/>
        <v>0</v>
      </c>
    </row>
    <row r="29" spans="2:12" x14ac:dyDescent="0.35">
      <c r="B29" s="46" t="s">
        <v>318</v>
      </c>
      <c r="C29" s="46"/>
      <c r="D29" s="46"/>
      <c r="E29" s="46">
        <f t="shared" si="0"/>
        <v>0</v>
      </c>
      <c r="F29" s="46" t="s">
        <v>316</v>
      </c>
      <c r="G29" s="46"/>
      <c r="H29" s="46"/>
      <c r="I29" s="46">
        <f t="shared" si="1"/>
        <v>0</v>
      </c>
      <c r="J29" s="46"/>
      <c r="K29" s="46"/>
      <c r="L29" s="46">
        <f t="shared" si="2"/>
        <v>0</v>
      </c>
    </row>
    <row r="30" spans="2:12" x14ac:dyDescent="0.35">
      <c r="B30" s="46" t="s">
        <v>322</v>
      </c>
      <c r="C30" s="46"/>
      <c r="D30" s="46"/>
      <c r="E30" s="46">
        <f t="shared" si="0"/>
        <v>0</v>
      </c>
      <c r="F30" s="46"/>
      <c r="G30" s="46"/>
      <c r="H30" s="46"/>
      <c r="I30" s="46">
        <f t="shared" si="1"/>
        <v>0</v>
      </c>
      <c r="J30" s="46"/>
      <c r="K30" s="46"/>
      <c r="L30" s="46">
        <f t="shared" si="2"/>
        <v>0</v>
      </c>
    </row>
    <row r="31" spans="2:12" x14ac:dyDescent="0.35">
      <c r="B31" s="46"/>
      <c r="C31" s="46"/>
      <c r="D31" s="46"/>
      <c r="E31" s="46">
        <f t="shared" ref="E31:E32" si="6">C31*D31</f>
        <v>0</v>
      </c>
      <c r="F31" s="46"/>
      <c r="G31" s="46"/>
      <c r="H31" s="46"/>
      <c r="I31" s="46">
        <f t="shared" ref="I31:I32" si="7">G31*H31</f>
        <v>0</v>
      </c>
      <c r="J31" s="46"/>
      <c r="K31" s="46"/>
      <c r="L31" s="46">
        <f t="shared" ref="L31:L32" si="8">J31*K31</f>
        <v>0</v>
      </c>
    </row>
    <row r="32" spans="2:12" x14ac:dyDescent="0.35">
      <c r="B32" s="46"/>
      <c r="C32" s="46"/>
      <c r="D32" s="46"/>
      <c r="E32" s="46">
        <f t="shared" si="6"/>
        <v>0</v>
      </c>
      <c r="F32" s="46"/>
      <c r="G32" s="46"/>
      <c r="H32" s="46"/>
      <c r="I32" s="46">
        <f t="shared" si="7"/>
        <v>0</v>
      </c>
      <c r="J32" s="46"/>
      <c r="K32" s="46"/>
      <c r="L32" s="46">
        <f t="shared" si="8"/>
        <v>0</v>
      </c>
    </row>
    <row r="33" spans="2:12" x14ac:dyDescent="0.35">
      <c r="B33" s="46" t="s">
        <v>319</v>
      </c>
      <c r="C33" s="46"/>
      <c r="D33" s="46"/>
      <c r="E33" s="46">
        <f t="shared" si="0"/>
        <v>0</v>
      </c>
      <c r="F33" s="46"/>
      <c r="G33" s="46"/>
      <c r="H33" s="46"/>
      <c r="I33" s="46">
        <f t="shared" si="1"/>
        <v>0</v>
      </c>
      <c r="J33" s="46"/>
      <c r="K33" s="46"/>
      <c r="L33" s="46">
        <f t="shared" si="2"/>
        <v>0</v>
      </c>
    </row>
    <row r="34" spans="2:12" x14ac:dyDescent="0.35">
      <c r="B34" s="46" t="s">
        <v>323</v>
      </c>
      <c r="C34" s="46"/>
      <c r="D34" s="46"/>
      <c r="E34" s="46">
        <f t="shared" si="0"/>
        <v>0</v>
      </c>
      <c r="F34" s="46"/>
      <c r="G34" s="46"/>
      <c r="H34" s="46"/>
      <c r="I34" s="46">
        <f t="shared" si="1"/>
        <v>0</v>
      </c>
      <c r="J34" s="46"/>
      <c r="K34" s="46"/>
      <c r="L34" s="46">
        <f t="shared" si="2"/>
        <v>0</v>
      </c>
    </row>
    <row r="35" spans="2:12" x14ac:dyDescent="0.35">
      <c r="B35" s="46" t="s">
        <v>320</v>
      </c>
      <c r="C35" s="46"/>
      <c r="D35" s="46"/>
      <c r="E35" s="46">
        <f t="shared" si="0"/>
        <v>0</v>
      </c>
      <c r="F35" s="46"/>
      <c r="G35" s="46"/>
      <c r="H35" s="46"/>
      <c r="I35" s="46">
        <f t="shared" si="1"/>
        <v>0</v>
      </c>
      <c r="J35" s="46"/>
      <c r="K35" s="46"/>
      <c r="L35" s="46">
        <f t="shared" si="2"/>
        <v>0</v>
      </c>
    </row>
    <row r="36" spans="2:12" x14ac:dyDescent="0.35">
      <c r="B36" s="46" t="s">
        <v>321</v>
      </c>
      <c r="C36" s="46"/>
      <c r="D36" s="46"/>
      <c r="E36" s="46">
        <f t="shared" si="0"/>
        <v>0</v>
      </c>
      <c r="F36" s="46"/>
      <c r="G36" s="46"/>
      <c r="H36" s="46"/>
      <c r="I36" s="46">
        <f>G36*H36</f>
        <v>0</v>
      </c>
      <c r="J36" s="46"/>
      <c r="K36" s="46"/>
      <c r="L36" s="46">
        <f>J36*K36</f>
        <v>0</v>
      </c>
    </row>
    <row r="37" spans="2:12" x14ac:dyDescent="0.35">
      <c r="B37" s="46"/>
      <c r="C37" s="46"/>
      <c r="D37" s="46"/>
      <c r="E37" s="46">
        <f t="shared" ref="E37:E38" si="9">C37*D37</f>
        <v>0</v>
      </c>
      <c r="F37" s="46"/>
      <c r="G37" s="46"/>
      <c r="H37" s="46"/>
      <c r="I37" s="46">
        <f t="shared" ref="I37:I38" si="10">G37*H37</f>
        <v>0</v>
      </c>
      <c r="J37" s="46"/>
      <c r="K37" s="46"/>
      <c r="L37" s="46">
        <f t="shared" ref="L37:L38" si="11">J37*K37</f>
        <v>0</v>
      </c>
    </row>
    <row r="38" spans="2:12" x14ac:dyDescent="0.35">
      <c r="B38" s="46" t="s">
        <v>324</v>
      </c>
      <c r="C38" s="46"/>
      <c r="D38" s="46"/>
      <c r="E38" s="46">
        <f t="shared" si="9"/>
        <v>0</v>
      </c>
      <c r="F38" s="46"/>
      <c r="G38" s="46"/>
      <c r="H38" s="46"/>
      <c r="I38" s="46">
        <f t="shared" si="10"/>
        <v>0</v>
      </c>
      <c r="J38" s="46"/>
      <c r="K38" s="46"/>
      <c r="L38" s="46">
        <f t="shared" si="11"/>
        <v>0</v>
      </c>
    </row>
    <row r="39" spans="2:12" x14ac:dyDescent="0.35">
      <c r="B39" s="46"/>
      <c r="C39" s="46"/>
      <c r="D39" s="46"/>
      <c r="E39" s="46">
        <f t="shared" si="0"/>
        <v>0</v>
      </c>
      <c r="F39" s="46"/>
      <c r="G39" s="46"/>
      <c r="H39" s="46"/>
      <c r="I39" s="46">
        <f>G39*H39</f>
        <v>0</v>
      </c>
      <c r="J39" s="46"/>
      <c r="K39" s="46"/>
      <c r="L39" s="46">
        <f>J39*K39</f>
        <v>0</v>
      </c>
    </row>
    <row r="40" spans="2:12" x14ac:dyDescent="0.35">
      <c r="B40" s="46"/>
      <c r="C40" s="46"/>
      <c r="D40" s="46"/>
      <c r="E40" s="46">
        <f t="shared" si="0"/>
        <v>0</v>
      </c>
      <c r="F40" s="46"/>
      <c r="G40" s="46"/>
      <c r="H40" s="46"/>
      <c r="I40" s="46">
        <f>G40*H40</f>
        <v>0</v>
      </c>
      <c r="J40" s="46"/>
      <c r="K40" s="46"/>
      <c r="L40" s="46">
        <f>J40*K40</f>
        <v>0</v>
      </c>
    </row>
    <row r="41" spans="2:12" x14ac:dyDescent="0.35">
      <c r="B41" s="46"/>
      <c r="C41" s="46"/>
      <c r="D41" s="46"/>
      <c r="E41" s="46">
        <f t="shared" si="0"/>
        <v>0</v>
      </c>
      <c r="F41" s="46"/>
      <c r="G41" s="46"/>
      <c r="H41" s="46"/>
      <c r="I41" s="46">
        <f>G41*H41</f>
        <v>0</v>
      </c>
      <c r="J41" s="46"/>
      <c r="K41" s="46"/>
      <c r="L41" s="46">
        <f>J41*K41</f>
        <v>0</v>
      </c>
    </row>
    <row r="42" spans="2:12" x14ac:dyDescent="0.35">
      <c r="B42" s="46" t="s">
        <v>148</v>
      </c>
      <c r="C42" s="46"/>
      <c r="D42" s="46">
        <f>E42*10.764</f>
        <v>0</v>
      </c>
      <c r="E42" s="64">
        <f>SUM(E6:E41)</f>
        <v>0</v>
      </c>
      <c r="F42" s="46"/>
      <c r="G42" s="46"/>
      <c r="H42" s="46">
        <f>I42*10.764</f>
        <v>0</v>
      </c>
      <c r="I42" s="63">
        <f>SUM(I6:I41)</f>
        <v>0</v>
      </c>
      <c r="J42" s="46"/>
      <c r="K42" s="46">
        <f>L42*10.764</f>
        <v>0</v>
      </c>
      <c r="L42" s="62">
        <f>SUM(L6:L41)</f>
        <v>0</v>
      </c>
    </row>
    <row r="44" spans="2:12" x14ac:dyDescent="0.35">
      <c r="D44" s="45">
        <f>D42+H42</f>
        <v>0</v>
      </c>
      <c r="E44" s="4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2025-07-15T04:55:19Z</cp:lastPrinted>
  <dcterms:created xsi:type="dcterms:W3CDTF">2019-07-16T09:29:46Z</dcterms:created>
  <dcterms:modified xsi:type="dcterms:W3CDTF">2025-07-15T04:56:17Z</dcterms:modified>
</cp:coreProperties>
</file>