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July 2025\14-07-2025\"/>
    </mc:Choice>
  </mc:AlternateContent>
  <bookViews>
    <workbookView xWindow="0" yWindow="0" windowWidth="19200" windowHeight="6640"/>
  </bookViews>
  <sheets>
    <sheet name="Report" sheetId="1" r:id="rId1"/>
    <sheet name="Cost Sheet" sheetId="4" r:id="rId2"/>
    <sheet name="Note" sheetId="5" r:id="rId3"/>
    <sheet name="Flat detail" sheetId="3" r:id="rId4"/>
  </sheets>
  <definedNames>
    <definedName name="_xlnm.Print_Area" localSheetId="0">Report!$A$1:$H$271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2" i="1" l="1"/>
  <c r="E3" i="1"/>
  <c r="J163" i="1" l="1"/>
  <c r="K163" i="1" s="1"/>
  <c r="I163" i="1" l="1"/>
  <c r="K162" i="1"/>
  <c r="I162" i="1"/>
  <c r="H84" i="1"/>
  <c r="H98" i="1"/>
  <c r="D90" i="1" l="1"/>
  <c r="D93" i="1"/>
  <c r="K92" i="1"/>
  <c r="C89" i="1"/>
  <c r="D89" i="1" s="1"/>
  <c r="D94" i="1"/>
  <c r="D95" i="1"/>
  <c r="D96" i="1"/>
  <c r="K95" i="1"/>
  <c r="C88" i="1" s="1"/>
  <c r="D88" i="1" s="1"/>
  <c r="D91" i="1"/>
  <c r="K93" i="1"/>
  <c r="K94" i="1"/>
  <c r="K89" i="1"/>
  <c r="K90" i="1"/>
  <c r="C87" i="1" s="1"/>
  <c r="D87" i="1" s="1"/>
  <c r="D92" i="1"/>
  <c r="D109" i="1"/>
  <c r="K107" i="1"/>
  <c r="K104" i="1"/>
  <c r="C101" i="1" s="1"/>
  <c r="D110" i="1"/>
  <c r="K108" i="1"/>
  <c r="D106" i="1"/>
  <c r="C103" i="1"/>
  <c r="D103" i="1" s="1"/>
  <c r="K109" i="1"/>
  <c r="C102" i="1" s="1"/>
  <c r="D102" i="1" s="1"/>
  <c r="D107" i="1"/>
  <c r="C104" i="1"/>
  <c r="D104" i="1" s="1"/>
  <c r="D108" i="1"/>
  <c r="K106" i="1"/>
  <c r="D105" i="1"/>
  <c r="K103" i="1"/>
  <c r="D82" i="1"/>
  <c r="D81" i="1"/>
  <c r="D80" i="1"/>
  <c r="D79" i="1"/>
  <c r="D78" i="1"/>
  <c r="D77" i="1"/>
  <c r="G76" i="1"/>
  <c r="D76" i="1"/>
  <c r="I74" i="1"/>
  <c r="C74" i="1" s="1"/>
  <c r="E76" i="1" s="1"/>
  <c r="I83" i="1" l="1"/>
  <c r="C85" i="1" s="1"/>
  <c r="E87" i="1" s="1"/>
  <c r="G87" i="1"/>
  <c r="G101" i="1"/>
  <c r="D101" i="1"/>
  <c r="I97" i="1" s="1"/>
  <c r="C99" i="1" s="1"/>
  <c r="E101" i="1" s="1"/>
  <c r="I70" i="1"/>
  <c r="L27" i="4"/>
  <c r="J27" i="4"/>
  <c r="H27" i="4"/>
  <c r="F27" i="4"/>
  <c r="D27" i="4"/>
  <c r="G141" i="1" l="1"/>
  <c r="G151" i="1" s="1"/>
  <c r="G162" i="1"/>
  <c r="G170" i="1"/>
  <c r="D165" i="1"/>
  <c r="D164" i="1"/>
  <c r="D163" i="1"/>
  <c r="D162" i="1"/>
  <c r="J162" i="1" s="1"/>
  <c r="D175" i="1"/>
  <c r="D174" i="1"/>
  <c r="D172" i="1"/>
  <c r="D173" i="1"/>
  <c r="D171" i="1"/>
  <c r="D170" i="1"/>
  <c r="D168" i="1"/>
  <c r="D159" i="1"/>
  <c r="F159" i="1" s="1"/>
  <c r="D158" i="1"/>
  <c r="F158" i="1" s="1"/>
  <c r="D157" i="1"/>
  <c r="F157" i="1" s="1"/>
  <c r="D156" i="1"/>
  <c r="F156" i="1" s="1"/>
  <c r="D155" i="1"/>
  <c r="F155" i="1" s="1"/>
  <c r="D154" i="1"/>
  <c r="F154" i="1" s="1"/>
  <c r="D153" i="1"/>
  <c r="F153" i="1" s="1"/>
  <c r="D152" i="1"/>
  <c r="F152" i="1" s="1"/>
  <c r="D151" i="1"/>
  <c r="F151" i="1" s="1"/>
  <c r="D150" i="1"/>
  <c r="F150" i="1" s="1"/>
  <c r="D149" i="1"/>
  <c r="F149" i="1" s="1"/>
  <c r="D148" i="1"/>
  <c r="F148" i="1" s="1"/>
  <c r="D147" i="1"/>
  <c r="F147" i="1" s="1"/>
  <c r="D146" i="1"/>
  <c r="F146" i="1" s="1"/>
  <c r="D145" i="1"/>
  <c r="F145" i="1" s="1"/>
  <c r="D144" i="1"/>
  <c r="F144" i="1" s="1"/>
  <c r="D143" i="1"/>
  <c r="D142" i="1"/>
  <c r="F142" i="1" s="1"/>
  <c r="D141" i="1"/>
  <c r="C46" i="1"/>
  <c r="D132" i="1" l="1"/>
  <c r="C132" i="1"/>
  <c r="C133" i="1"/>
  <c r="D133" i="1"/>
  <c r="D129" i="1"/>
  <c r="F168" i="1"/>
  <c r="F133" i="1" s="1"/>
  <c r="F141" i="1"/>
  <c r="C129" i="1"/>
  <c r="F143" i="1"/>
  <c r="I61" i="1"/>
  <c r="E63" i="1" s="1"/>
  <c r="F129" i="1" l="1"/>
  <c r="C134" i="1"/>
  <c r="C135" i="1" s="1"/>
  <c r="D134" i="1"/>
  <c r="D135" i="1" s="1"/>
  <c r="F134" i="1"/>
  <c r="G63" i="1"/>
  <c r="F135" i="1" l="1"/>
  <c r="D64" i="1"/>
  <c r="D69" i="1"/>
  <c r="D68" i="1"/>
  <c r="D67" i="1"/>
  <c r="D66" i="1"/>
  <c r="D65" i="1"/>
  <c r="D63" i="1"/>
  <c r="C13" i="1" l="1"/>
  <c r="E40" i="1" l="1"/>
  <c r="D190" i="1" l="1"/>
  <c r="F126" i="1"/>
  <c r="G46" i="1"/>
  <c r="E41" i="1"/>
  <c r="D51"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<sst xmlns="http://schemas.openxmlformats.org/spreadsheetml/2006/main" count="419" uniqueCount="263">
  <si>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</si>
  <si>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</si>
  <si>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</si>
  <si>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</si>
  <si>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</si>
  <si>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</si>
  <si>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</si>
  <si>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</si>
  <si>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</si>
  <si>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</si>
  <si>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</si>
  <si>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</si>
  <si>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</si>
  <si>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</si>
  <si>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</si>
  <si>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</si>
  <si>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</si>
  <si>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</si>
  <si>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</si>
  <si>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</si>
  <si>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</si>
  <si>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</si>
  <si>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</si>
  <si>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</si>
  <si>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</si>
  <si>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</si>
  <si>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</si>
  <si>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</si>
  <si>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</si>
  <si>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</si>
  <si>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</si>
  <si>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</si>
  <si>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</si>
  <si>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</si>
  <si>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</si>
  <si>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</si>
  <si>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</si>
  <si>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</si>
  <si>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</si>
  <si>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</si>
  <si>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</si>
  <si>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</si>
  <si>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</si>
  <si>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</si>
  <si>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</si>
  <si>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</si>
  <si>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</si>
  <si>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</si>
  <si>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</si>
  <si>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</si>
  <si>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</si>
  <si>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</si>
  <si>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</si>
  <si>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</si>
  <si>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</si>
  <si>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</si>
  <si>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</si>
  <si>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</si>
  <si>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</si>
  <si>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</si>
  <si>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</si>
  <si>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</si>
  <si>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</si>
  <si>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</si>
  <si>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</si>
  <si>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</si>
  <si>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</si>
  <si>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</si>
  <si>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</si>
  <si>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</si>
  <si>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</si>
  <si>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</si>
  <si>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</si>
  <si>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</si>
  <si>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</si>
  <si>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</si>
  <si>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</si>
  <si>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</si>
  <si>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</si>
  <si>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</si>
  <si>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</si>
  <si>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</si>
  <si>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</si>
  <si>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</si>
  <si>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</si>
  <si>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</si>
  <si>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</si>
  <si>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</si>
  <si>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</si>
  <si>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</si>
  <si>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</si>
  <si>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</si>
  <si>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</si>
  <si>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</si>
  <si>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</si>
  <si>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</si>
  <si>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</si>
  <si>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</si>
  <si>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</si>
  <si>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</si>
  <si>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</si>
  <si>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</si>
  <si>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</si>
  <si>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</si>
  <si>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</si>
  <si>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</si>
  <si>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</si>
  <si>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</si>
  <si>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</si>
  <si>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</si>
  <si>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</si>
  <si>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</si>
  <si>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</si>
  <si>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</si>
  <si>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</si>
  <si>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</si>
  <si>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</si>
  <si>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</si>
  <si>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</si>
  <si>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</si>
  <si>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</si>
  <si>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</si>
  <si>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</si>
  <si>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</si>
  <si>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</si>
  <si>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</si>
  <si>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</si>
  <si>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</si>
  <si>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</si>
  <si>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</si>
  <si>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</si>
  <si>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</si>
  <si>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</si>
  <si>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</si>
  <si>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</si>
  <si>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</si>
  <si>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</si>
  <si>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Approved Plans, CC, Builder Saleable Area, Cost Sheet</t>
  </si>
  <si>
    <t>Boundries</t>
  </si>
  <si>
    <t>Floor Rise Rate Per Sq.ft</t>
  </si>
  <si>
    <t>Development Charges</t>
  </si>
  <si>
    <t>Gas Connection Charges</t>
  </si>
  <si>
    <t>Water, Electricity, Drainages, Sewerage Connection</t>
  </si>
  <si>
    <t>RCC Slab</t>
  </si>
  <si>
    <t>All work Completed. Part OC Received.</t>
  </si>
  <si>
    <t>All work Completed. Wait For OC.</t>
  </si>
  <si>
    <t>All work Completed. OC Received.</t>
  </si>
  <si>
    <t>Axis Goregaon</t>
  </si>
  <si>
    <t>M/s.Jaanbai Builder and Developers</t>
  </si>
  <si>
    <t>Jaanbai Krupa</t>
  </si>
  <si>
    <t>P99000024101</t>
  </si>
  <si>
    <t>Navali</t>
  </si>
  <si>
    <t>Village</t>
  </si>
  <si>
    <t>Palghar</t>
  </si>
  <si>
    <t>Middle Class</t>
  </si>
  <si>
    <t>Developing</t>
  </si>
  <si>
    <t>KR.B.V.137</t>
  </si>
  <si>
    <t>26/04/2018.</t>
  </si>
  <si>
    <t>JAVAK.KR.P.N.P./BD/KA-137/2018-2019</t>
  </si>
  <si>
    <t xml:space="preserve">Valid Up to: Wing A &amp; B = Gr + 4th Floor </t>
  </si>
  <si>
    <t>A Wing</t>
  </si>
  <si>
    <t>A &amp; B Wing</t>
  </si>
  <si>
    <t xml:space="preserve">Ground Floor for Commercial </t>
  </si>
  <si>
    <t>Shop</t>
  </si>
  <si>
    <t xml:space="preserve"> 1st to 4th Floor for Residential </t>
  </si>
  <si>
    <t>1BHK</t>
  </si>
  <si>
    <t>2BHK</t>
  </si>
  <si>
    <t>1RK</t>
  </si>
  <si>
    <t>B Wing</t>
  </si>
  <si>
    <t>10000/-</t>
  </si>
  <si>
    <t>Documentation &amp; Legal Services Charges</t>
  </si>
  <si>
    <t>Society Charges</t>
  </si>
  <si>
    <t>Report prepared by:</t>
  </si>
  <si>
    <t>JAANBAI KRUPA - PALGHAR EAST</t>
  </si>
  <si>
    <t>PAYMENT SCHEDULE   "B" WING</t>
  </si>
  <si>
    <t>Flat type</t>
  </si>
  <si>
    <t>Flat Number</t>
  </si>
  <si>
    <t>104,204,304,404/205,305,405</t>
  </si>
  <si>
    <t>Saleable Area</t>
  </si>
  <si>
    <t>Carpet Area</t>
  </si>
  <si>
    <t xml:space="preserve">Rate </t>
  </si>
  <si>
    <t>Flat Cost</t>
  </si>
  <si>
    <t>BOOKING AMOUNT</t>
  </si>
  <si>
    <t>INITIATION OF FOOTING</t>
  </si>
  <si>
    <t>PLINTH COMPLITION</t>
  </si>
  <si>
    <t>1ST SLAB</t>
  </si>
  <si>
    <t>2ND SLAB</t>
  </si>
  <si>
    <t xml:space="preserve">3RD SLAB </t>
  </si>
  <si>
    <t>4TH SLAB</t>
  </si>
  <si>
    <t>WALLS INTERNAL PLASTER</t>
  </si>
  <si>
    <t>EXTERNAL  PLASTER,PLUMBING,WATER PROOFING,ELEVATION</t>
  </si>
  <si>
    <t>SANITARY FITTING,STAIRCASE,LIFTWELLS,FLOOR LOBBIES, FLOORING,DOORS AND WINDOWS</t>
  </si>
  <si>
    <t>ENTERANCE LOBBY, PLINTH PROTECTION, PAVING OF AREAS</t>
  </si>
  <si>
    <t>POSSESSION</t>
  </si>
  <si>
    <t>TOTAL  CONSIDERATION COST</t>
  </si>
  <si>
    <t>STAMP DUTY</t>
  </si>
  <si>
    <t>REGISTRATION</t>
  </si>
  <si>
    <t>GST</t>
  </si>
  <si>
    <t xml:space="preserve">DOCUMENTATOIN  &amp; LEGAL CHARGES </t>
  </si>
  <si>
    <t>TOTAL FLAT COST</t>
  </si>
  <si>
    <t>Wing A &amp; B</t>
  </si>
  <si>
    <t>Varkhunti Building</t>
  </si>
  <si>
    <t>Internal Road</t>
  </si>
  <si>
    <t>Open Plot</t>
  </si>
  <si>
    <t>Flats - 41, Shops - 19</t>
  </si>
  <si>
    <t xml:space="preserve">Cement, Aggregate, Steel, etc </t>
  </si>
  <si>
    <t xml:space="preserve">Construction details: Wing A  = Gr + 4th Floor </t>
  </si>
  <si>
    <t xml:space="preserve">Construction details: Wing  B = Gr + 4th Floor </t>
  </si>
  <si>
    <t>Wheather the construction is as per approved Building plan : Under Construction</t>
  </si>
  <si>
    <r>
      <t xml:space="preserve">Proposed Amenities :                                                                                                                                                                                                                      </t>
    </r>
    <r>
      <rPr>
        <sz val="12"/>
        <color theme="1"/>
        <rFont val="Times New Roman"/>
        <family val="1"/>
      </rPr>
      <t xml:space="preserve">   </t>
    </r>
    <r>
      <rPr>
        <b/>
        <sz val="12"/>
        <color theme="1"/>
        <rFont val="Times New Roman"/>
        <family val="1"/>
      </rPr>
      <t xml:space="preserve">                                               </t>
    </r>
  </si>
  <si>
    <r>
      <rPr>
        <sz val="12"/>
        <color theme="1"/>
        <rFont val="Times New Roman"/>
        <family val="1"/>
      </rPr>
      <t>1.Vitrified tiles flooring 2. Granite Kitchen Platform  3. Decorative Enternace  etc.</t>
    </r>
    <r>
      <rPr>
        <b/>
        <sz val="12"/>
        <color theme="1"/>
        <rFont val="Times New Roman"/>
        <family val="1"/>
      </rPr>
      <t xml:space="preserve">                                                                                                                                                                                                                                 </t>
    </r>
    <r>
      <rPr>
        <sz val="12"/>
        <color theme="1"/>
        <rFont val="Times New Roman"/>
        <family val="1"/>
      </rPr>
      <t xml:space="preserve">   </t>
    </r>
    <r>
      <rPr>
        <b/>
        <sz val="12"/>
        <color theme="1"/>
        <rFont val="Times New Roman"/>
        <family val="1"/>
      </rPr>
      <t xml:space="preserve">                                               </t>
    </r>
  </si>
  <si>
    <t>Name of the builder</t>
  </si>
  <si>
    <t>27/2/1 Plot No.5,6 &amp; 11</t>
  </si>
  <si>
    <t>Ground Floor for Residential &amp; Commercial</t>
  </si>
  <si>
    <t>Ground Floor</t>
  </si>
  <si>
    <t>6000/-</t>
  </si>
  <si>
    <t>Survey No</t>
  </si>
  <si>
    <t>Plinth, RCC, Brick &amp; Part External Plaster work completed. Plaster &amp; Other work are in process…....</t>
  </si>
  <si>
    <t>Pratiksha</t>
  </si>
  <si>
    <t>50000/-</t>
  </si>
  <si>
    <t>Infrastructure Charges</t>
  </si>
  <si>
    <t>175000/-</t>
  </si>
  <si>
    <t>Construction details:</t>
  </si>
  <si>
    <t>All work Completed. Provide OC.</t>
  </si>
  <si>
    <t>Slab/Floor</t>
  </si>
  <si>
    <t>Excavation</t>
  </si>
  <si>
    <t>RCC (Including podiums)</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</si>
  <si>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</si>
  <si>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</si>
  <si>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</si>
  <si>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</si>
  <si>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</si>
  <si>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</si>
  <si>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</si>
  <si>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</si>
  <si>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</si>
  <si>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</si>
  <si>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</si>
  <si>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</si>
  <si>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</si>
  <si>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</si>
  <si>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</si>
  <si>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 xml:space="preserve">Advance Maintenance Charges for 2 years </t>
  </si>
  <si>
    <t xml:space="preserve">Wing A &amp; B = Gr + 1st to 4th Floor </t>
  </si>
  <si>
    <t xml:space="preserve">Wing A &amp; B = Gr + 1st to 4th Floor  </t>
  </si>
  <si>
    <t>Mr. Kalubhai Ramjibhai Gajera</t>
  </si>
  <si>
    <t>Latitude, Longitude</t>
  </si>
  <si>
    <t>19.685778,72.783095</t>
  </si>
  <si>
    <t>Location Link</t>
  </si>
  <si>
    <t>https://goo.gl/maps/993RbXg6g3amYntx9</t>
  </si>
  <si>
    <t>Office No. 1031, Wing J, Akshar Business Park, Plot No. 03 Sector 25, Near APMC Market,
Vashi, Navi Mumbai, Maharashtra 400703 TEL: 022-46090378/79/80                                                                                                                      E mail : vsjcapf@gmail.com. Web site : www.vsjadon.com</t>
  </si>
  <si>
    <t>Contact Details ( Name &amp; Contact No.)</t>
  </si>
  <si>
    <t>As per RERA - 31/12/2024</t>
  </si>
  <si>
    <t>02 Wings</t>
  </si>
  <si>
    <t>2.5Km from Palghar Railway Station</t>
  </si>
  <si>
    <t xml:space="preserve">Wing A  = Gr + 1st to 4th Floor </t>
  </si>
  <si>
    <t xml:space="preserve">Wing  B = Gr + 1st to 4th Floor </t>
  </si>
  <si>
    <t xml:space="preserve"> but work is in process at the time of the visit. (Slow Speed)
Construction work has incresed as compare to last visited date 10/07/2024 but at the time of visit no labour or no active work found on site.</t>
  </si>
  <si>
    <t>Near Anandi bus stop</t>
  </si>
  <si>
    <t>12/07/2025</t>
  </si>
  <si>
    <r>
      <t xml:space="preserve">1. Wing A = Lift &amp; Finishing work is pending.
    Wing B =  Some flats are occupied by tenants but lift work &amp; finishing work is pending. Work is same as last visit (07/04/2025).
2. We considered  Saleable area  as per Builder area sheet for Flat &amp; as per our calculation for shop.
3. We considered Carpet area as per Approved Plan.
4. We considered Gross carpet area = Net carpet + Enclose balcony.
5. We have considered rate by verifying it from market inquire.
6. Car parking is subjected to authentic documentation.
7. As per CC (Point No.5), Plinth completion certificate is compulsary otherwise while applying for OC, builder has to pay some penalty.
8. </t>
    </r>
    <r>
      <rPr>
        <b/>
        <sz val="12"/>
        <color rgb="FFFF0000"/>
        <rFont val="Times New Roman"/>
        <family val="1"/>
      </rPr>
      <t xml:space="preserve">As per RERA, completion period of project Jaanbai Krupa is expired on 30/12/2024 but still project is under construction.
</t>
    </r>
    <r>
      <rPr>
        <b/>
        <sz val="12"/>
        <rFont val="Times New Roman"/>
        <family val="1"/>
      </rPr>
      <t>9. The project has received first CC on 26/04/2018, But construction work is not yet completed.
10. As checked on RERA portal on date 14/07/2025, we have observed that above project "Jaanbai Krupa" is kept under abeyance. Please check from your end.</t>
    </r>
  </si>
  <si>
    <t>Pooja</t>
  </si>
  <si>
    <t>Yadnyesh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</si>
</sst>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b/>
      <sz val="11"/>
      <color rgb="FF3F3F3F"/>
      <name val="Calibri"/>
      <family val="2"/>
      <scheme val="minor"/>
    </font>
    <font>
      <b/>
      <sz val="10"/>
      <color rgb="FF3F3F3F"/>
      <name val="Calibri"/>
      <family val="2"/>
      <scheme val="minor"/>
    </font>
    <font>
      <b/>
      <sz val="11"/>
      <name val="Calibri"/>
      <family val="2"/>
      <scheme val="minor"/>
    </font>
    <font>
      <b/>
      <sz val="8"/>
      <color rgb="FF3F3F3F"/>
      <name val="Calibri"/>
      <family val="2"/>
      <scheme val="minor"/>
    </font>
    <font>
      <b/>
      <sz val="9"/>
      <color rgb="FF3F3F3F"/>
      <name val="Calibri"/>
      <family val="2"/>
      <scheme val="minor"/>
    </font>
    <font>
      <b/>
      <sz val="14"/>
      <color rgb="FF3F3F3F"/>
      <name val="Calibri"/>
      <family val="2"/>
      <scheme val="minor"/>
    </font>
    <font>
      <u/>
      <sz val="11"/>
      <color theme="10"/>
      <name val="Calibri"/>
      <family val="2"/>
    </font>
    <font>
      <b/>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2F2F2"/>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xf numFmtId="0" fontId="4" fillId="0" borderId="0"/>
    <xf numFmtId="0" fontId="1" fillId="0" borderId="0"/>
    <xf numFmtId="0" fontId="17" fillId="4" borderId="3" applyNumberFormat="0" applyAlignment="0" applyProtection="0"/>
    <xf numFmtId="0" fontId="23" fillId="0" borderId="0" applyNumberFormat="0" applyFill="0" applyBorder="0" applyAlignment="0" applyProtection="0"/>
  </cellStyleXfs>
  <cellXfs count="157">
    <xf numFmtId="0" fontId="0" fillId="0" borderId="0" xfId="0"/>
    <xf numFmtId="0" fontId="0" fillId="3"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1" fontId="3" fillId="0" borderId="1" xfId="1" applyNumberFormat="1" applyFont="1" applyBorder="1" applyAlignment="1" applyProtection="1">
      <alignment horizontal="center" vertical="top" wrapText="1"/>
      <protection locked="0"/>
    </xf>
    <xf numFmtId="0" fontId="16" fillId="0" borderId="0" xfId="0" applyFont="1" applyProtection="1">
      <protection hidden="1"/>
    </xf>
    <xf numFmtId="0" fontId="6" fillId="0" borderId="0" xfId="1" applyFont="1" applyProtection="1">
      <protection hidden="1"/>
    </xf>
    <xf numFmtId="0" fontId="17" fillId="2" borderId="3" xfId="4" applyFill="1" applyAlignment="1">
      <alignment horizontal="center"/>
    </xf>
    <xf numFmtId="0" fontId="17" fillId="2" borderId="3" xfId="4" applyFill="1" applyAlignment="1">
      <alignment horizontal="center" vertical="center"/>
    </xf>
    <xf numFmtId="0" fontId="19" fillId="3" borderId="3" xfId="4" applyFont="1" applyFill="1" applyAlignment="1">
      <alignment horizontal="center"/>
    </xf>
    <xf numFmtId="9" fontId="17" fillId="2" borderId="3" xfId="4" applyNumberFormat="1" applyFill="1" applyAlignment="1">
      <alignment horizontal="center" vertical="center" wrapText="1"/>
    </xf>
    <xf numFmtId="9" fontId="18" fillId="2" borderId="3" xfId="4" applyNumberFormat="1" applyFont="1" applyFill="1" applyAlignment="1">
      <alignment horizontal="center" vertical="center" wrapText="1"/>
    </xf>
    <xf numFmtId="9" fontId="17" fillId="2" borderId="6" xfId="4" applyNumberFormat="1" applyFill="1" applyBorder="1" applyAlignment="1">
      <alignment horizontal="center" vertical="center" wrapText="1"/>
    </xf>
    <xf numFmtId="9" fontId="17" fillId="3" borderId="3" xfId="4" applyNumberFormat="1" applyFill="1" applyAlignment="1">
      <alignment horizontal="center" vertical="center" wrapText="1"/>
    </xf>
    <xf numFmtId="0" fontId="17" fillId="2" borderId="3" xfId="4" applyFill="1" applyAlignment="1">
      <alignment horizontal="center" vertical="center" wrapText="1"/>
    </xf>
    <xf numFmtId="0" fontId="17" fillId="3" borderId="3" xfId="4" applyFill="1" applyAlignment="1">
      <alignment horizontal="center" vertical="center" wrapText="1"/>
    </xf>
    <xf numFmtId="14" fontId="0" fillId="0" borderId="0" xfId="0" applyNumberFormat="1"/>
    <xf numFmtId="0" fontId="6" fillId="0" borderId="18" xfId="1" applyFont="1" applyBorder="1" applyProtection="1">
      <protection hidden="1"/>
    </xf>
    <xf numFmtId="0" fontId="11" fillId="0" borderId="21" xfId="1" applyFont="1" applyBorder="1" applyAlignment="1" applyProtection="1">
      <alignment horizontal="center" vertical="top"/>
      <protection locked="0"/>
    </xf>
    <xf numFmtId="0" fontId="6" fillId="0" borderId="0" xfId="1" applyFont="1"/>
    <xf numFmtId="0" fontId="14" fillId="0" borderId="0" xfId="1" applyFont="1"/>
    <xf numFmtId="0" fontId="11" fillId="0" borderId="1" xfId="1" applyFont="1" applyBorder="1" applyAlignment="1" applyProtection="1">
      <alignment vertical="top"/>
      <protection locked="0"/>
    </xf>
    <xf numFmtId="0" fontId="11" fillId="0" borderId="0" xfId="1" applyFont="1"/>
    <xf numFmtId="0" fontId="6" fillId="0" borderId="1" xfId="1" applyFont="1" applyBorder="1" applyAlignment="1" applyProtection="1">
      <alignment horizontal="center" wrapText="1"/>
      <protection locked="0"/>
    </xf>
    <xf numFmtId="9" fontId="16" fillId="0" borderId="0" xfId="0" applyNumberFormat="1" applyFont="1" applyProtection="1">
      <protection hidden="1"/>
    </xf>
    <xf numFmtId="1" fontId="6" fillId="0" borderId="1" xfId="1" applyNumberFormat="1" applyFont="1" applyBorder="1" applyAlignment="1" applyProtection="1">
      <alignment horizontal="center" wrapText="1"/>
      <protection locked="0"/>
    </xf>
    <xf numFmtId="0" fontId="6" fillId="0" borderId="19" xfId="1" applyFont="1" applyBorder="1" applyProtection="1">
      <protection hidden="1"/>
    </xf>
    <xf numFmtId="0" fontId="6" fillId="0" borderId="22" xfId="1" applyFont="1" applyBorder="1" applyProtection="1">
      <protection hidden="1"/>
    </xf>
    <xf numFmtId="0" fontId="6" fillId="0" borderId="22" xfId="1" applyFont="1" applyBorder="1"/>
    <xf numFmtId="0" fontId="11" fillId="0" borderId="1" xfId="1" applyFont="1" applyBorder="1" applyAlignment="1" applyProtection="1">
      <alignment horizontal="center" wrapText="1"/>
      <protection locked="0"/>
    </xf>
    <xf numFmtId="1" fontId="11" fillId="0" borderId="1" xfId="1" applyNumberFormat="1" applyFont="1" applyBorder="1" applyAlignment="1" applyProtection="1">
      <alignment horizontal="center" wrapText="1"/>
      <protection locked="0"/>
    </xf>
    <xf numFmtId="0" fontId="16" fillId="0" borderId="22" xfId="0" applyFont="1" applyBorder="1" applyProtection="1">
      <protection hidden="1"/>
    </xf>
    <xf numFmtId="0" fontId="11" fillId="0" borderId="24" xfId="1" applyFont="1" applyBorder="1" applyAlignment="1" applyProtection="1">
      <alignment horizontal="center" wrapText="1"/>
      <protection locked="0"/>
    </xf>
    <xf numFmtId="0" fontId="0" fillId="0" borderId="26" xfId="0" applyBorder="1"/>
    <xf numFmtId="0" fontId="0" fillId="0" borderId="27" xfId="0" applyBorder="1"/>
    <xf numFmtId="0" fontId="15" fillId="0" borderId="0" xfId="1" applyFont="1"/>
    <xf numFmtId="0" fontId="5" fillId="0" borderId="0" xfId="2" applyFont="1"/>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0" applyFont="1"/>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6" fillId="0" borderId="1" xfId="1" applyFont="1" applyBorder="1" applyAlignment="1" applyProtection="1">
      <alignment horizontal="center" vertical="top" wrapText="1"/>
      <protection locked="0"/>
    </xf>
    <xf numFmtId="9" fontId="6" fillId="0" borderId="1" xfId="1" applyNumberFormat="1" applyFont="1" applyBorder="1" applyAlignment="1" applyProtection="1">
      <alignment horizontal="center" vertical="center" wrapText="1"/>
      <protection hidden="1"/>
    </xf>
    <xf numFmtId="0" fontId="6"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9" fontId="6" fillId="0" borderId="24" xfId="1" applyNumberFormat="1" applyFont="1" applyBorder="1" applyAlignment="1" applyProtection="1">
      <alignment horizontal="center" vertical="center" wrapText="1"/>
      <protection hidden="1"/>
    </xf>
    <xf numFmtId="16" fontId="6" fillId="0" borderId="0" xfId="1" applyNumberFormat="1" applyFont="1"/>
    <xf numFmtId="0" fontId="6" fillId="0" borderId="0" xfId="0" applyFont="1" applyAlignment="1">
      <alignment vertical="top" wrapText="1"/>
    </xf>
    <xf numFmtId="0" fontId="7" fillId="0" borderId="1" xfId="1" applyFont="1" applyBorder="1" applyAlignment="1" applyProtection="1">
      <alignment horizontal="center" vertical="top"/>
      <protection locked="0"/>
    </xf>
    <xf numFmtId="0" fontId="6" fillId="0" borderId="29" xfId="1" applyFont="1" applyBorder="1" applyAlignment="1" applyProtection="1">
      <alignment horizontal="left"/>
      <protection locked="0"/>
    </xf>
    <xf numFmtId="0" fontId="6" fillId="0" borderId="30" xfId="1" applyFont="1" applyBorder="1" applyAlignment="1" applyProtection="1">
      <alignment horizontal="left"/>
      <protection locked="0"/>
    </xf>
    <xf numFmtId="0" fontId="6" fillId="0" borderId="31" xfId="1" applyFont="1" applyBorder="1" applyAlignment="1" applyProtection="1">
      <alignment horizontal="left"/>
      <protection locked="0"/>
    </xf>
    <xf numFmtId="0" fontId="23" fillId="0" borderId="29" xfId="5" applyBorder="1" applyAlignment="1" applyProtection="1">
      <alignment horizontal="left"/>
      <protection locked="0"/>
    </xf>
    <xf numFmtId="0" fontId="6" fillId="0" borderId="20"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0" borderId="1" xfId="1" applyNumberFormat="1" applyFont="1" applyBorder="1" applyAlignment="1" applyProtection="1">
      <alignment horizontal="center" vertical="center" wrapText="1"/>
      <protection hidden="1"/>
    </xf>
    <xf numFmtId="9" fontId="6" fillId="0" borderId="24" xfId="1" applyNumberFormat="1" applyFont="1" applyBorder="1" applyAlignment="1" applyProtection="1">
      <alignment horizontal="center" vertical="center" wrapText="1"/>
      <protection hidden="1"/>
    </xf>
    <xf numFmtId="9" fontId="6" fillId="0" borderId="21" xfId="1" applyNumberFormat="1" applyFont="1" applyBorder="1" applyAlignment="1" applyProtection="1">
      <alignment horizontal="center" vertical="center" wrapText="1"/>
      <protection hidden="1"/>
    </xf>
    <xf numFmtId="9" fontId="6" fillId="0" borderId="25" xfId="1" applyNumberFormat="1" applyFont="1" applyBorder="1" applyAlignment="1" applyProtection="1">
      <alignment horizontal="center" vertical="center" wrapText="1"/>
      <protection hidden="1"/>
    </xf>
    <xf numFmtId="0" fontId="6" fillId="0" borderId="23"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5" fillId="0" borderId="20"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12" fillId="0" borderId="20"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6" fillId="0" borderId="21" xfId="1" applyFont="1" applyBorder="1" applyAlignment="1" applyProtection="1">
      <alignment horizontal="center" vertical="top" wrapText="1"/>
      <protection locked="0"/>
    </xf>
    <xf numFmtId="0" fontId="6" fillId="0" borderId="20"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9" fillId="0" borderId="1" xfId="1" applyFont="1" applyBorder="1" applyAlignment="1" applyProtection="1">
      <alignment horizontal="left" vertical="top" wrapText="1"/>
      <protection locked="0"/>
    </xf>
    <xf numFmtId="0" fontId="6" fillId="0" borderId="1" xfId="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9"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0" xfId="1" applyNumberFormat="1" applyFont="1" applyBorder="1" applyAlignment="1" applyProtection="1">
      <alignment horizontal="center" vertical="center" wrapText="1"/>
      <protection locked="0"/>
    </xf>
    <xf numFmtId="1" fontId="5" fillId="0" borderId="11" xfId="1" applyNumberFormat="1" applyFont="1" applyBorder="1" applyAlignment="1" applyProtection="1">
      <alignment horizontal="center" vertical="center" wrapText="1"/>
      <protection locked="0"/>
    </xf>
    <xf numFmtId="1" fontId="5" fillId="0" borderId="12"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wrapText="1"/>
      <protection locked="0"/>
    </xf>
    <xf numFmtId="0" fontId="6" fillId="0" borderId="28"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protection locked="0"/>
    </xf>
    <xf numFmtId="49" fontId="5"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14"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center" wrapText="1"/>
      <protection locked="0"/>
    </xf>
    <xf numFmtId="164"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center" wrapText="1"/>
      <protection locked="0"/>
    </xf>
    <xf numFmtId="0" fontId="11" fillId="0" borderId="1" xfId="1" applyFont="1" applyBorder="1" applyAlignment="1" applyProtection="1">
      <alignment horizontal="center"/>
      <protection locked="0"/>
    </xf>
    <xf numFmtId="0" fontId="7" fillId="0" borderId="1"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9" fillId="0" borderId="1" xfId="1" applyFont="1" applyBorder="1" applyAlignment="1" applyProtection="1">
      <alignment horizontal="center" vertical="top"/>
      <protection locked="0"/>
    </xf>
    <xf numFmtId="0" fontId="6" fillId="0" borderId="1" xfId="1" applyFont="1" applyBorder="1" applyAlignment="1" applyProtection="1">
      <alignment horizontal="center"/>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protection locked="0"/>
    </xf>
    <xf numFmtId="14" fontId="11"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0" fillId="0" borderId="0" xfId="0"/>
    <xf numFmtId="0" fontId="17" fillId="3" borderId="3" xfId="4" applyFill="1" applyAlignment="1">
      <alignment horizontal="center" vertical="center" wrapText="1"/>
    </xf>
    <xf numFmtId="0" fontId="22" fillId="3" borderId="3" xfId="4" applyFont="1" applyFill="1" applyAlignment="1">
      <alignment horizontal="center" vertical="center"/>
    </xf>
    <xf numFmtId="0" fontId="22" fillId="3" borderId="3" xfId="4" applyFont="1" applyFill="1" applyAlignment="1">
      <alignment horizontal="center" vertical="center" wrapText="1"/>
    </xf>
    <xf numFmtId="0" fontId="18" fillId="2" borderId="3" xfId="4" applyFont="1" applyFill="1" applyAlignment="1">
      <alignment horizontal="center" vertical="center" wrapText="1"/>
    </xf>
    <xf numFmtId="0" fontId="17" fillId="2" borderId="3" xfId="4" applyFill="1" applyAlignment="1">
      <alignment horizontal="center" vertical="center"/>
    </xf>
    <xf numFmtId="0" fontId="17" fillId="2" borderId="3" xfId="4" applyFill="1" applyAlignment="1">
      <alignment horizontal="center" vertical="center" wrapText="1"/>
    </xf>
    <xf numFmtId="0" fontId="21" fillId="3" borderId="3" xfId="4" applyFont="1" applyFill="1" applyAlignment="1">
      <alignment horizontal="center" vertical="center" wrapText="1"/>
    </xf>
    <xf numFmtId="0" fontId="19" fillId="3" borderId="3" xfId="4" applyFont="1" applyFill="1" applyAlignment="1">
      <alignment horizontal="center"/>
    </xf>
    <xf numFmtId="0" fontId="21" fillId="2" borderId="3" xfId="4" applyFont="1" applyFill="1" applyAlignment="1">
      <alignment horizontal="center" vertical="center" wrapText="1"/>
    </xf>
    <xf numFmtId="0" fontId="20" fillId="2" borderId="4" xfId="4" applyFont="1" applyFill="1" applyBorder="1" applyAlignment="1">
      <alignment horizontal="center" vertical="center" wrapText="1"/>
    </xf>
    <xf numFmtId="0" fontId="17" fillId="2" borderId="5" xfId="4" applyFill="1" applyBorder="1" applyAlignment="1">
      <alignment horizontal="center" vertical="center" wrapText="1"/>
    </xf>
    <xf numFmtId="0" fontId="17" fillId="2" borderId="4" xfId="4" applyFill="1" applyBorder="1" applyAlignment="1">
      <alignment horizontal="center" vertical="center" wrapText="1"/>
    </xf>
    <xf numFmtId="0" fontId="17" fillId="2" borderId="3" xfId="4" applyFill="1" applyAlignment="1">
      <alignment horizontal="center"/>
    </xf>
    <xf numFmtId="0" fontId="17" fillId="3" borderId="3" xfId="4" applyFill="1" applyAlignment="1">
      <alignment horizontal="center"/>
    </xf>
    <xf numFmtId="3" fontId="17" fillId="2" borderId="3" xfId="4" applyNumberFormat="1" applyFill="1" applyAlignment="1">
      <alignment horizontal="center" vertical="center"/>
    </xf>
    <xf numFmtId="3" fontId="18" fillId="2" borderId="4" xfId="4" applyNumberFormat="1" applyFont="1" applyFill="1" applyBorder="1" applyAlignment="1">
      <alignment horizontal="center" vertical="center" wrapText="1"/>
    </xf>
    <xf numFmtId="0" fontId="18" fillId="2" borderId="5" xfId="4" applyFont="1" applyFill="1" applyBorder="1" applyAlignment="1">
      <alignment horizontal="center" vertical="center" wrapText="1"/>
    </xf>
    <xf numFmtId="0" fontId="0" fillId="3" borderId="1" xfId="0" applyFill="1" applyBorder="1" applyAlignment="1">
      <alignment horizontal="center" wrapText="1"/>
    </xf>
    <xf numFmtId="0" fontId="8" fillId="0" borderId="1" xfId="0" applyFont="1" applyBorder="1" applyAlignment="1">
      <alignment horizontal="center"/>
    </xf>
  </cellXfs>
  <cellStyles count="6">
    <cellStyle name="Excel Built-in Normal" xfId="2"/>
    <cellStyle name="Hyperlink" xfId="5" builtinId="8"/>
    <cellStyle name="Normal" xfId="0" builtinId="0"/>
    <cellStyle name="Normal 2" xfId="3"/>
    <cellStyle name="Normal 3" xfId="1"/>
    <cellStyle name="Output" xfId="4"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emf"/><Relationship Id="rId1" Type="http://schemas.openxmlformats.org/officeDocument/2006/relationships/image" Target="../media/image22.emf"/><Relationship Id="rId5" Type="http://schemas.openxmlformats.org/officeDocument/2006/relationships/image" Target="../media/image26.emf"/><Relationship Id="rId4" Type="http://schemas.openxmlformats.org/officeDocument/2006/relationships/image" Target="../media/image25.emf"/></Relationships>
</file>

<file path=xl/drawings/_rels/drawing3.xml.rels><?xml version="1.0" encoding="UTF-8" standalone="yes"?>
<Relationships xmlns="http://schemas.openxmlformats.org/package/2006/relationships"><Relationship Id="rId2" Type="http://schemas.openxmlformats.org/officeDocument/2006/relationships/image" Target="../media/image28.jpg"/><Relationship Id="rId1" Type="http://schemas.openxmlformats.org/officeDocument/2006/relationships/image" Target="../media/image27.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437034</xdr:colOff>
      <xdr:row>233</xdr:row>
      <xdr:rowOff>0</xdr:rowOff>
    </xdr:from>
    <xdr:to>
      <xdr:col>7</xdr:col>
      <xdr:colOff>261674</xdr:colOff>
      <xdr:row>250</xdr:row>
      <xdr:rowOff>171000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437034" y="44935588"/>
          <a:ext cx="5909434" cy="3600000"/>
        </a:xfrm>
        <a:prstGeom prst="rect">
          <a:avLst/>
        </a:prstGeom>
        <a:ln>
          <a:solidFill>
            <a:schemeClr val="tx1"/>
          </a:solidFill>
        </a:ln>
      </xdr:spPr>
    </xdr:pic>
    <xdr:clientData/>
  </xdr:twoCellAnchor>
  <xdr:twoCellAnchor editAs="oneCell">
    <xdr:from>
      <xdr:col>0</xdr:col>
      <xdr:colOff>437034</xdr:colOff>
      <xdr:row>251</xdr:row>
      <xdr:rowOff>158572</xdr:rowOff>
    </xdr:from>
    <xdr:to>
      <xdr:col>7</xdr:col>
      <xdr:colOff>261674</xdr:colOff>
      <xdr:row>269</xdr:row>
      <xdr:rowOff>127866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437034" y="48724866"/>
          <a:ext cx="5909434" cy="3600000"/>
        </a:xfrm>
        <a:prstGeom prst="rect">
          <a:avLst/>
        </a:prstGeom>
        <a:ln>
          <a:solidFill>
            <a:schemeClr val="tx1"/>
          </a:solidFill>
        </a:ln>
      </xdr:spPr>
    </xdr:pic>
    <xdr:clientData/>
  </xdr:twoCellAnchor>
  <xdr:twoCellAnchor editAs="oneCell">
    <xdr:from>
      <xdr:col>11</xdr:col>
      <xdr:colOff>232200</xdr:colOff>
      <xdr:row>223</xdr:row>
      <xdr:rowOff>182225</xdr:rowOff>
    </xdr:from>
    <xdr:to>
      <xdr:col>14</xdr:col>
      <xdr:colOff>171450</xdr:colOff>
      <xdr:row>229</xdr:row>
      <xdr:rowOff>30275</xdr:rowOff>
    </xdr:to>
    <xdr:pic>
      <xdr:nvPicPr>
        <xdr:cNvPr id="15" name="Picture 14" descr="https://vsjcllp.vsjadon.com/upload/insp-214163-1525.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9589560" y="43921025"/>
          <a:ext cx="1813770" cy="10367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310515</xdr:colOff>
      <xdr:row>214</xdr:row>
      <xdr:rowOff>11223</xdr:rowOff>
    </xdr:from>
    <xdr:to>
      <xdr:col>17</xdr:col>
      <xdr:colOff>363854</xdr:colOff>
      <xdr:row>223</xdr:row>
      <xdr:rowOff>84325</xdr:rowOff>
    </xdr:to>
    <xdr:pic>
      <xdr:nvPicPr>
        <xdr:cNvPr id="16" name="Picture 15" descr="https://vsjcllp.vsjadon.com/upload/insp-214163-845.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0917555" y="42005043"/>
          <a:ext cx="2552699" cy="18180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575310</xdr:colOff>
      <xdr:row>214</xdr:row>
      <xdr:rowOff>15240</xdr:rowOff>
    </xdr:from>
    <xdr:to>
      <xdr:col>13</xdr:col>
      <xdr:colOff>224790</xdr:colOff>
      <xdr:row>223</xdr:row>
      <xdr:rowOff>81914</xdr:rowOff>
    </xdr:to>
    <xdr:pic>
      <xdr:nvPicPr>
        <xdr:cNvPr id="17" name="Picture 16" descr="https://vsjcllp.vsjadon.com/upload/insp-214163-847.jpg">
          <a:extLst>
            <a:ext uri="{FF2B5EF4-FFF2-40B4-BE49-F238E27FC236}">
              <a16:creationId xmlns:a16="http://schemas.microsoft.com/office/drawing/2014/main" id="{00000000-0008-0000-0000-000011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b="20287"/>
        <a:stretch/>
      </xdr:blipFill>
      <xdr:spPr bwMode="auto">
        <a:xfrm>
          <a:off x="9307830" y="42009060"/>
          <a:ext cx="1524000" cy="18116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820487</xdr:colOff>
      <xdr:row>188</xdr:row>
      <xdr:rowOff>108584</xdr:rowOff>
    </xdr:from>
    <xdr:to>
      <xdr:col>14</xdr:col>
      <xdr:colOff>419910</xdr:colOff>
      <xdr:row>201</xdr:row>
      <xdr:rowOff>34290</xdr:rowOff>
    </xdr:to>
    <xdr:pic>
      <xdr:nvPicPr>
        <xdr:cNvPr id="28" name="Picture 27" descr="https://vsjcllp.vsjadon.com/upload/insp-214163-1022.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7472747" y="36958904"/>
          <a:ext cx="4179043" cy="249364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507843</xdr:colOff>
      <xdr:row>188</xdr:row>
      <xdr:rowOff>108586</xdr:rowOff>
    </xdr:from>
    <xdr:to>
      <xdr:col>17</xdr:col>
      <xdr:colOff>468631</xdr:colOff>
      <xdr:row>201</xdr:row>
      <xdr:rowOff>27209</xdr:rowOff>
    </xdr:to>
    <xdr:pic>
      <xdr:nvPicPr>
        <xdr:cNvPr id="30" name="Picture 29" descr="https://vsjcllp.vsjadon.com/upload/insp-214163-1512.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1739723" y="36958906"/>
          <a:ext cx="1835308" cy="24865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1047751</xdr:colOff>
      <xdr:row>201</xdr:row>
      <xdr:rowOff>118110</xdr:rowOff>
    </xdr:from>
    <xdr:to>
      <xdr:col>11</xdr:col>
      <xdr:colOff>161971</xdr:colOff>
      <xdr:row>213</xdr:row>
      <xdr:rowOff>127820</xdr:rowOff>
    </xdr:to>
    <xdr:pic>
      <xdr:nvPicPr>
        <xdr:cNvPr id="31" name="Picture 30" descr="https://vsjcllp.vsjadon.com/upload/insp-214163-880.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700011" y="39536370"/>
          <a:ext cx="1819320" cy="23871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264794</xdr:colOff>
      <xdr:row>201</xdr:row>
      <xdr:rowOff>108584</xdr:rowOff>
    </xdr:from>
    <xdr:to>
      <xdr:col>14</xdr:col>
      <xdr:colOff>271462</xdr:colOff>
      <xdr:row>213</xdr:row>
      <xdr:rowOff>127635</xdr:rowOff>
    </xdr:to>
    <xdr:pic>
      <xdr:nvPicPr>
        <xdr:cNvPr id="29" name="Picture 28" descr="https://vsjcllp.vsjadon.com/upload/insp-214163-850.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9622154" y="39526844"/>
          <a:ext cx="1881188" cy="23964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371474</xdr:colOff>
      <xdr:row>201</xdr:row>
      <xdr:rowOff>108584</xdr:rowOff>
    </xdr:from>
    <xdr:to>
      <xdr:col>17</xdr:col>
      <xdr:colOff>349567</xdr:colOff>
      <xdr:row>213</xdr:row>
      <xdr:rowOff>127635</xdr:rowOff>
    </xdr:to>
    <xdr:pic>
      <xdr:nvPicPr>
        <xdr:cNvPr id="33" name="Picture 32" descr="https://vsjcllp.vsjadon.com/upload/insp-214163-868.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1603354" y="39526844"/>
          <a:ext cx="1852613" cy="23964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1038224</xdr:colOff>
      <xdr:row>214</xdr:row>
      <xdr:rowOff>15240</xdr:rowOff>
    </xdr:from>
    <xdr:to>
      <xdr:col>10</xdr:col>
      <xdr:colOff>489585</xdr:colOff>
      <xdr:row>223</xdr:row>
      <xdr:rowOff>91440</xdr:rowOff>
    </xdr:to>
    <xdr:pic>
      <xdr:nvPicPr>
        <xdr:cNvPr id="34" name="Picture 33" descr="https://vsjcllp.vsjadon.com/upload/insp-214163-943.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7690484" y="42009060"/>
          <a:ext cx="1531621" cy="18211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438150</xdr:colOff>
      <xdr:row>8</xdr:row>
      <xdr:rowOff>133350</xdr:rowOff>
    </xdr:from>
    <xdr:to>
      <xdr:col>15</xdr:col>
      <xdr:colOff>542250</xdr:colOff>
      <xdr:row>19</xdr:row>
      <xdr:rowOff>161650</xdr:rowOff>
    </xdr:to>
    <xdr:pic>
      <xdr:nvPicPr>
        <xdr:cNvPr id="39" name="Picture 3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7207250" y="2114550"/>
          <a:ext cx="5400000" cy="2835000"/>
        </a:xfrm>
        <a:prstGeom prst="rect">
          <a:avLst/>
        </a:prstGeom>
        <a:ln>
          <a:solidFill>
            <a:schemeClr val="tx1"/>
          </a:solidFill>
        </a:ln>
      </xdr:spPr>
    </xdr:pic>
    <xdr:clientData/>
  </xdr:twoCellAnchor>
  <xdr:twoCellAnchor>
    <xdr:from>
      <xdr:col>0</xdr:col>
      <xdr:colOff>146050</xdr:colOff>
      <xdr:row>190</xdr:row>
      <xdr:rowOff>69850</xdr:rowOff>
    </xdr:from>
    <xdr:to>
      <xdr:col>7</xdr:col>
      <xdr:colOff>684323</xdr:colOff>
      <xdr:row>227</xdr:row>
      <xdr:rowOff>76042</xdr:rowOff>
    </xdr:to>
    <xdr:grpSp>
      <xdr:nvGrpSpPr>
        <xdr:cNvPr id="13" name="Group 12"/>
        <xdr:cNvGrpSpPr/>
      </xdr:nvGrpSpPr>
      <xdr:grpSpPr>
        <a:xfrm>
          <a:off x="146050" y="37992050"/>
          <a:ext cx="6437423" cy="7245192"/>
          <a:chOff x="146050" y="37807900"/>
          <a:chExt cx="6437423" cy="7245192"/>
        </a:xfrm>
      </xdr:grpSpPr>
      <xdr:pic>
        <xdr:nvPicPr>
          <xdr:cNvPr id="46" name="Picture 4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555604" y="42893092"/>
            <a:ext cx="1618313" cy="21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8257" y="40638496"/>
            <a:ext cx="2877677" cy="216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46050" y="37807900"/>
            <a:ext cx="2049863" cy="2736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955295" y="40638496"/>
            <a:ext cx="1618313" cy="216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221458" y="40638496"/>
            <a:ext cx="1618313" cy="216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533610" y="37807900"/>
            <a:ext cx="2049863" cy="273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339830" y="37807900"/>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8</xdr:col>
      <xdr:colOff>480196</xdr:colOff>
      <xdr:row>39</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 y="5381625"/>
          <a:ext cx="4747396" cy="2160000"/>
        </a:xfrm>
        <a:prstGeom prst="rect">
          <a:avLst/>
        </a:prstGeom>
        <a:ln>
          <a:solidFill>
            <a:schemeClr val="tx1"/>
          </a:solidFill>
        </a:ln>
      </xdr:spPr>
    </xdr:pic>
    <xdr:clientData/>
  </xdr:twoCellAnchor>
  <xdr:twoCellAnchor editAs="oneCell">
    <xdr:from>
      <xdr:col>9</xdr:col>
      <xdr:colOff>71863</xdr:colOff>
      <xdr:row>28</xdr:row>
      <xdr:rowOff>5925</xdr:rowOff>
    </xdr:from>
    <xdr:to>
      <xdr:col>16</xdr:col>
      <xdr:colOff>552059</xdr:colOff>
      <xdr:row>39</xdr:row>
      <xdr:rowOff>70425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558263" y="5387550"/>
          <a:ext cx="4747396" cy="2160000"/>
        </a:xfrm>
        <a:prstGeom prst="rect">
          <a:avLst/>
        </a:prstGeom>
        <a:ln>
          <a:solidFill>
            <a:schemeClr val="tx1"/>
          </a:solidFill>
        </a:ln>
      </xdr:spPr>
    </xdr:pic>
    <xdr:clientData/>
  </xdr:twoCellAnchor>
  <xdr:twoCellAnchor editAs="oneCell">
    <xdr:from>
      <xdr:col>1</xdr:col>
      <xdr:colOff>0</xdr:colOff>
      <xdr:row>39</xdr:row>
      <xdr:rowOff>186479</xdr:rowOff>
    </xdr:from>
    <xdr:to>
      <xdr:col>8</xdr:col>
      <xdr:colOff>480196</xdr:colOff>
      <xdr:row>51</xdr:row>
      <xdr:rowOff>60479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09600" y="7663604"/>
          <a:ext cx="4747396" cy="2160000"/>
        </a:xfrm>
        <a:prstGeom prst="rect">
          <a:avLst/>
        </a:prstGeom>
        <a:ln>
          <a:solidFill>
            <a:schemeClr val="tx1"/>
          </a:solidFill>
        </a:ln>
      </xdr:spPr>
    </xdr:pic>
    <xdr:clientData/>
  </xdr:twoCellAnchor>
  <xdr:twoCellAnchor editAs="oneCell">
    <xdr:from>
      <xdr:col>1</xdr:col>
      <xdr:colOff>16722</xdr:colOff>
      <xdr:row>51</xdr:row>
      <xdr:rowOff>131277</xdr:rowOff>
    </xdr:from>
    <xdr:to>
      <xdr:col>8</xdr:col>
      <xdr:colOff>496918</xdr:colOff>
      <xdr:row>63</xdr:row>
      <xdr:rowOff>5277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26322" y="9894402"/>
          <a:ext cx="4747396" cy="2160000"/>
        </a:xfrm>
        <a:prstGeom prst="rect">
          <a:avLst/>
        </a:prstGeom>
        <a:ln>
          <a:solidFill>
            <a:schemeClr val="tx1"/>
          </a:solidFill>
        </a:ln>
      </xdr:spPr>
    </xdr:pic>
    <xdr:clientData/>
  </xdr:twoCellAnchor>
  <xdr:twoCellAnchor editAs="oneCell">
    <xdr:from>
      <xdr:col>9</xdr:col>
      <xdr:colOff>81097</xdr:colOff>
      <xdr:row>40</xdr:row>
      <xdr:rowOff>14716</xdr:rowOff>
    </xdr:from>
    <xdr:to>
      <xdr:col>16</xdr:col>
      <xdr:colOff>561293</xdr:colOff>
      <xdr:row>51</xdr:row>
      <xdr:rowOff>79216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5567497" y="7682341"/>
          <a:ext cx="4747396"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512296</xdr:colOff>
      <xdr:row>1</xdr:row>
      <xdr:rowOff>7620</xdr:rowOff>
    </xdr:from>
    <xdr:to>
      <xdr:col>11</xdr:col>
      <xdr:colOff>161483</xdr:colOff>
      <xdr:row>20</xdr:row>
      <xdr:rowOff>132900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8956" y="190500"/>
          <a:ext cx="2697187" cy="3600000"/>
        </a:xfrm>
        <a:prstGeom prst="rect">
          <a:avLst/>
        </a:prstGeom>
      </xdr:spPr>
    </xdr:pic>
    <xdr:clientData/>
  </xdr:twoCellAnchor>
  <xdr:twoCellAnchor editAs="oneCell">
    <xdr:from>
      <xdr:col>2</xdr:col>
      <xdr:colOff>114300</xdr:colOff>
      <xdr:row>1</xdr:row>
      <xdr:rowOff>7620</xdr:rowOff>
    </xdr:from>
    <xdr:to>
      <xdr:col>6</xdr:col>
      <xdr:colOff>373087</xdr:colOff>
      <xdr:row>20</xdr:row>
      <xdr:rowOff>132900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 y="190500"/>
          <a:ext cx="2697187"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993RbXg6g3amYntx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2"/>
  <sheetViews>
    <sheetView tabSelected="1" view="pageBreakPreview" zoomScaleNormal="100" zoomScaleSheetLayoutView="100" zoomScalePageLayoutView="85" workbookViewId="0">
      <selection activeCell="E9" sqref="E9:H9"/>
    </sheetView>
  </sheetViews>
  <sheetFormatPr defaultColWidth="9.08984375" defaultRowHeight="15.5" x14ac:dyDescent="0.35"/>
  <cols>
    <col min="1" max="1" width="11.453125" style="47" customWidth="1"/>
    <col min="2" max="2" width="12.54296875" style="47" customWidth="1"/>
    <col min="3" max="3" width="12.6328125" style="47" customWidth="1"/>
    <col min="4" max="4" width="12.90625" style="47" customWidth="1"/>
    <col min="5" max="7" width="11.6328125" style="47" customWidth="1"/>
    <col min="8" max="8" width="12.453125" style="47" customWidth="1"/>
    <col min="9" max="9" width="20.453125" style="21" customWidth="1"/>
    <col min="10" max="10" width="9.90625" style="21" bestFit="1" customWidth="1"/>
    <col min="11" max="252" width="9.08984375" style="21"/>
    <col min="253" max="253" width="8.6328125" style="21" customWidth="1"/>
    <col min="254" max="254" width="9.90625" style="21" customWidth="1"/>
    <col min="255" max="255" width="14.453125" style="21" customWidth="1"/>
    <col min="256" max="256" width="7.36328125" style="21" customWidth="1"/>
    <col min="257" max="257" width="5.54296875" style="21" customWidth="1"/>
    <col min="258" max="258" width="9" style="21" customWidth="1"/>
    <col min="259" max="260" width="9.90625" style="21" customWidth="1"/>
    <col min="261" max="261" width="11.08984375" style="21" customWidth="1"/>
    <col min="262" max="262" width="2.90625" style="21" customWidth="1"/>
    <col min="263" max="263" width="3.54296875" style="21" customWidth="1"/>
    <col min="264" max="508" width="9.08984375" style="21"/>
    <col min="509" max="509" width="8.6328125" style="21" customWidth="1"/>
    <col min="510" max="510" width="9.90625" style="21" customWidth="1"/>
    <col min="511" max="511" width="14.453125" style="21" customWidth="1"/>
    <col min="512" max="512" width="7.36328125" style="21" customWidth="1"/>
    <col min="513" max="513" width="5.54296875" style="21" customWidth="1"/>
    <col min="514" max="514" width="9" style="21" customWidth="1"/>
    <col min="515" max="516" width="9.90625" style="21" customWidth="1"/>
    <col min="517" max="517" width="11.08984375" style="21" customWidth="1"/>
    <col min="518" max="518" width="2.90625" style="21" customWidth="1"/>
    <col min="519" max="519" width="3.54296875" style="21" customWidth="1"/>
    <col min="520" max="764" width="9.08984375" style="21"/>
    <col min="765" max="765" width="8.6328125" style="21" customWidth="1"/>
    <col min="766" max="766" width="9.90625" style="21" customWidth="1"/>
    <col min="767" max="767" width="14.453125" style="21" customWidth="1"/>
    <col min="768" max="768" width="7.36328125" style="21" customWidth="1"/>
    <col min="769" max="769" width="5.54296875" style="21" customWidth="1"/>
    <col min="770" max="770" width="9" style="21" customWidth="1"/>
    <col min="771" max="772" width="9.90625" style="21" customWidth="1"/>
    <col min="773" max="773" width="11.08984375" style="21" customWidth="1"/>
    <col min="774" max="774" width="2.90625" style="21" customWidth="1"/>
    <col min="775" max="775" width="3.54296875" style="21" customWidth="1"/>
    <col min="776" max="1020" width="9.08984375" style="21"/>
    <col min="1021" max="1021" width="8.6328125" style="21" customWidth="1"/>
    <col min="1022" max="1022" width="9.90625" style="21" customWidth="1"/>
    <col min="1023" max="1023" width="14.453125" style="21" customWidth="1"/>
    <col min="1024" max="1024" width="7.36328125" style="21" customWidth="1"/>
    <col min="1025" max="1025" width="5.54296875" style="21" customWidth="1"/>
    <col min="1026" max="1026" width="9" style="21" customWidth="1"/>
    <col min="1027" max="1028" width="9.90625" style="21" customWidth="1"/>
    <col min="1029" max="1029" width="11.08984375" style="21" customWidth="1"/>
    <col min="1030" max="1030" width="2.90625" style="21" customWidth="1"/>
    <col min="1031" max="1031" width="3.54296875" style="21" customWidth="1"/>
    <col min="1032" max="1276" width="9.08984375" style="21"/>
    <col min="1277" max="1277" width="8.6328125" style="21" customWidth="1"/>
    <col min="1278" max="1278" width="9.90625" style="21" customWidth="1"/>
    <col min="1279" max="1279" width="14.453125" style="21" customWidth="1"/>
    <col min="1280" max="1280" width="7.36328125" style="21" customWidth="1"/>
    <col min="1281" max="1281" width="5.54296875" style="21" customWidth="1"/>
    <col min="1282" max="1282" width="9" style="21" customWidth="1"/>
    <col min="1283" max="1284" width="9.90625" style="21" customWidth="1"/>
    <col min="1285" max="1285" width="11.08984375" style="21" customWidth="1"/>
    <col min="1286" max="1286" width="2.90625" style="21" customWidth="1"/>
    <col min="1287" max="1287" width="3.54296875" style="21" customWidth="1"/>
    <col min="1288" max="1532" width="9.08984375" style="21"/>
    <col min="1533" max="1533" width="8.6328125" style="21" customWidth="1"/>
    <col min="1534" max="1534" width="9.90625" style="21" customWidth="1"/>
    <col min="1535" max="1535" width="14.453125" style="21" customWidth="1"/>
    <col min="1536" max="1536" width="7.36328125" style="21" customWidth="1"/>
    <col min="1537" max="1537" width="5.54296875" style="21" customWidth="1"/>
    <col min="1538" max="1538" width="9" style="21" customWidth="1"/>
    <col min="1539" max="1540" width="9.90625" style="21" customWidth="1"/>
    <col min="1541" max="1541" width="11.08984375" style="21" customWidth="1"/>
    <col min="1542" max="1542" width="2.90625" style="21" customWidth="1"/>
    <col min="1543" max="1543" width="3.54296875" style="21" customWidth="1"/>
    <col min="1544" max="1788" width="9.08984375" style="21"/>
    <col min="1789" max="1789" width="8.6328125" style="21" customWidth="1"/>
    <col min="1790" max="1790" width="9.90625" style="21" customWidth="1"/>
    <col min="1791" max="1791" width="14.453125" style="21" customWidth="1"/>
    <col min="1792" max="1792" width="7.36328125" style="21" customWidth="1"/>
    <col min="1793" max="1793" width="5.54296875" style="21" customWidth="1"/>
    <col min="1794" max="1794" width="9" style="21" customWidth="1"/>
    <col min="1795" max="1796" width="9.90625" style="21" customWidth="1"/>
    <col min="1797" max="1797" width="11.08984375" style="21" customWidth="1"/>
    <col min="1798" max="1798" width="2.90625" style="21" customWidth="1"/>
    <col min="1799" max="1799" width="3.54296875" style="21" customWidth="1"/>
    <col min="1800" max="2044" width="9.08984375" style="21"/>
    <col min="2045" max="2045" width="8.6328125" style="21" customWidth="1"/>
    <col min="2046" max="2046" width="9.90625" style="21" customWidth="1"/>
    <col min="2047" max="2047" width="14.453125" style="21" customWidth="1"/>
    <col min="2048" max="2048" width="7.36328125" style="21" customWidth="1"/>
    <col min="2049" max="2049" width="5.54296875" style="21" customWidth="1"/>
    <col min="2050" max="2050" width="9" style="21" customWidth="1"/>
    <col min="2051" max="2052" width="9.90625" style="21" customWidth="1"/>
    <col min="2053" max="2053" width="11.08984375" style="21" customWidth="1"/>
    <col min="2054" max="2054" width="2.90625" style="21" customWidth="1"/>
    <col min="2055" max="2055" width="3.54296875" style="21" customWidth="1"/>
    <col min="2056" max="2300" width="9.08984375" style="21"/>
    <col min="2301" max="2301" width="8.6328125" style="21" customWidth="1"/>
    <col min="2302" max="2302" width="9.90625" style="21" customWidth="1"/>
    <col min="2303" max="2303" width="14.453125" style="21" customWidth="1"/>
    <col min="2304" max="2304" width="7.36328125" style="21" customWidth="1"/>
    <col min="2305" max="2305" width="5.54296875" style="21" customWidth="1"/>
    <col min="2306" max="2306" width="9" style="21" customWidth="1"/>
    <col min="2307" max="2308" width="9.90625" style="21" customWidth="1"/>
    <col min="2309" max="2309" width="11.08984375" style="21" customWidth="1"/>
    <col min="2310" max="2310" width="2.90625" style="21" customWidth="1"/>
    <col min="2311" max="2311" width="3.54296875" style="21" customWidth="1"/>
    <col min="2312" max="2556" width="9.08984375" style="21"/>
    <col min="2557" max="2557" width="8.6328125" style="21" customWidth="1"/>
    <col min="2558" max="2558" width="9.90625" style="21" customWidth="1"/>
    <col min="2559" max="2559" width="14.453125" style="21" customWidth="1"/>
    <col min="2560" max="2560" width="7.36328125" style="21" customWidth="1"/>
    <col min="2561" max="2561" width="5.54296875" style="21" customWidth="1"/>
    <col min="2562" max="2562" width="9" style="21" customWidth="1"/>
    <col min="2563" max="2564" width="9.90625" style="21" customWidth="1"/>
    <col min="2565" max="2565" width="11.08984375" style="21" customWidth="1"/>
    <col min="2566" max="2566" width="2.90625" style="21" customWidth="1"/>
    <col min="2567" max="2567" width="3.54296875" style="21" customWidth="1"/>
    <col min="2568" max="2812" width="9.08984375" style="21"/>
    <col min="2813" max="2813" width="8.6328125" style="21" customWidth="1"/>
    <col min="2814" max="2814" width="9.90625" style="21" customWidth="1"/>
    <col min="2815" max="2815" width="14.453125" style="21" customWidth="1"/>
    <col min="2816" max="2816" width="7.36328125" style="21" customWidth="1"/>
    <col min="2817" max="2817" width="5.54296875" style="21" customWidth="1"/>
    <col min="2818" max="2818" width="9" style="21" customWidth="1"/>
    <col min="2819" max="2820" width="9.90625" style="21" customWidth="1"/>
    <col min="2821" max="2821" width="11.08984375" style="21" customWidth="1"/>
    <col min="2822" max="2822" width="2.90625" style="21" customWidth="1"/>
    <col min="2823" max="2823" width="3.54296875" style="21" customWidth="1"/>
    <col min="2824" max="3068" width="9.08984375" style="21"/>
    <col min="3069" max="3069" width="8.6328125" style="21" customWidth="1"/>
    <col min="3070" max="3070" width="9.90625" style="21" customWidth="1"/>
    <col min="3071" max="3071" width="14.453125" style="21" customWidth="1"/>
    <col min="3072" max="3072" width="7.36328125" style="21" customWidth="1"/>
    <col min="3073" max="3073" width="5.54296875" style="21" customWidth="1"/>
    <col min="3074" max="3074" width="9" style="21" customWidth="1"/>
    <col min="3075" max="3076" width="9.90625" style="21" customWidth="1"/>
    <col min="3077" max="3077" width="11.08984375" style="21" customWidth="1"/>
    <col min="3078" max="3078" width="2.90625" style="21" customWidth="1"/>
    <col min="3079" max="3079" width="3.54296875" style="21" customWidth="1"/>
    <col min="3080" max="3324" width="9.08984375" style="21"/>
    <col min="3325" max="3325" width="8.6328125" style="21" customWidth="1"/>
    <col min="3326" max="3326" width="9.90625" style="21" customWidth="1"/>
    <col min="3327" max="3327" width="14.453125" style="21" customWidth="1"/>
    <col min="3328" max="3328" width="7.36328125" style="21" customWidth="1"/>
    <col min="3329" max="3329" width="5.54296875" style="21" customWidth="1"/>
    <col min="3330" max="3330" width="9" style="21" customWidth="1"/>
    <col min="3331" max="3332" width="9.90625" style="21" customWidth="1"/>
    <col min="3333" max="3333" width="11.08984375" style="21" customWidth="1"/>
    <col min="3334" max="3334" width="2.90625" style="21" customWidth="1"/>
    <col min="3335" max="3335" width="3.54296875" style="21" customWidth="1"/>
    <col min="3336" max="3580" width="9.08984375" style="21"/>
    <col min="3581" max="3581" width="8.6328125" style="21" customWidth="1"/>
    <col min="3582" max="3582" width="9.90625" style="21" customWidth="1"/>
    <col min="3583" max="3583" width="14.453125" style="21" customWidth="1"/>
    <col min="3584" max="3584" width="7.36328125" style="21" customWidth="1"/>
    <col min="3585" max="3585" width="5.54296875" style="21" customWidth="1"/>
    <col min="3586" max="3586" width="9" style="21" customWidth="1"/>
    <col min="3587" max="3588" width="9.90625" style="21" customWidth="1"/>
    <col min="3589" max="3589" width="11.08984375" style="21" customWidth="1"/>
    <col min="3590" max="3590" width="2.90625" style="21" customWidth="1"/>
    <col min="3591" max="3591" width="3.54296875" style="21" customWidth="1"/>
    <col min="3592" max="3836" width="9.08984375" style="21"/>
    <col min="3837" max="3837" width="8.6328125" style="21" customWidth="1"/>
    <col min="3838" max="3838" width="9.90625" style="21" customWidth="1"/>
    <col min="3839" max="3839" width="14.453125" style="21" customWidth="1"/>
    <col min="3840" max="3840" width="7.36328125" style="21" customWidth="1"/>
    <col min="3841" max="3841" width="5.54296875" style="21" customWidth="1"/>
    <col min="3842" max="3842" width="9" style="21" customWidth="1"/>
    <col min="3843" max="3844" width="9.90625" style="21" customWidth="1"/>
    <col min="3845" max="3845" width="11.08984375" style="21" customWidth="1"/>
    <col min="3846" max="3846" width="2.90625" style="21" customWidth="1"/>
    <col min="3847" max="3847" width="3.54296875" style="21" customWidth="1"/>
    <col min="3848" max="4092" width="9.08984375" style="21"/>
    <col min="4093" max="4093" width="8.6328125" style="21" customWidth="1"/>
    <col min="4094" max="4094" width="9.90625" style="21" customWidth="1"/>
    <col min="4095" max="4095" width="14.453125" style="21" customWidth="1"/>
    <col min="4096" max="4096" width="7.36328125" style="21" customWidth="1"/>
    <col min="4097" max="4097" width="5.54296875" style="21" customWidth="1"/>
    <col min="4098" max="4098" width="9" style="21" customWidth="1"/>
    <col min="4099" max="4100" width="9.90625" style="21" customWidth="1"/>
    <col min="4101" max="4101" width="11.08984375" style="21" customWidth="1"/>
    <col min="4102" max="4102" width="2.90625" style="21" customWidth="1"/>
    <col min="4103" max="4103" width="3.54296875" style="21" customWidth="1"/>
    <col min="4104" max="4348" width="9.08984375" style="21"/>
    <col min="4349" max="4349" width="8.6328125" style="21" customWidth="1"/>
    <col min="4350" max="4350" width="9.90625" style="21" customWidth="1"/>
    <col min="4351" max="4351" width="14.453125" style="21" customWidth="1"/>
    <col min="4352" max="4352" width="7.36328125" style="21" customWidth="1"/>
    <col min="4353" max="4353" width="5.54296875" style="21" customWidth="1"/>
    <col min="4354" max="4354" width="9" style="21" customWidth="1"/>
    <col min="4355" max="4356" width="9.90625" style="21" customWidth="1"/>
    <col min="4357" max="4357" width="11.08984375" style="21" customWidth="1"/>
    <col min="4358" max="4358" width="2.90625" style="21" customWidth="1"/>
    <col min="4359" max="4359" width="3.54296875" style="21" customWidth="1"/>
    <col min="4360" max="4604" width="9.08984375" style="21"/>
    <col min="4605" max="4605" width="8.6328125" style="21" customWidth="1"/>
    <col min="4606" max="4606" width="9.90625" style="21" customWidth="1"/>
    <col min="4607" max="4607" width="14.453125" style="21" customWidth="1"/>
    <col min="4608" max="4608" width="7.36328125" style="21" customWidth="1"/>
    <col min="4609" max="4609" width="5.54296875" style="21" customWidth="1"/>
    <col min="4610" max="4610" width="9" style="21" customWidth="1"/>
    <col min="4611" max="4612" width="9.90625" style="21" customWidth="1"/>
    <col min="4613" max="4613" width="11.08984375" style="21" customWidth="1"/>
    <col min="4614" max="4614" width="2.90625" style="21" customWidth="1"/>
    <col min="4615" max="4615" width="3.54296875" style="21" customWidth="1"/>
    <col min="4616" max="4860" width="9.08984375" style="21"/>
    <col min="4861" max="4861" width="8.6328125" style="21" customWidth="1"/>
    <col min="4862" max="4862" width="9.90625" style="21" customWidth="1"/>
    <col min="4863" max="4863" width="14.453125" style="21" customWidth="1"/>
    <col min="4864" max="4864" width="7.36328125" style="21" customWidth="1"/>
    <col min="4865" max="4865" width="5.54296875" style="21" customWidth="1"/>
    <col min="4866" max="4866" width="9" style="21" customWidth="1"/>
    <col min="4867" max="4868" width="9.90625" style="21" customWidth="1"/>
    <col min="4869" max="4869" width="11.08984375" style="21" customWidth="1"/>
    <col min="4870" max="4870" width="2.90625" style="21" customWidth="1"/>
    <col min="4871" max="4871" width="3.54296875" style="21" customWidth="1"/>
    <col min="4872" max="5116" width="9.08984375" style="21"/>
    <col min="5117" max="5117" width="8.6328125" style="21" customWidth="1"/>
    <col min="5118" max="5118" width="9.90625" style="21" customWidth="1"/>
    <col min="5119" max="5119" width="14.453125" style="21" customWidth="1"/>
    <col min="5120" max="5120" width="7.36328125" style="21" customWidth="1"/>
    <col min="5121" max="5121" width="5.54296875" style="21" customWidth="1"/>
    <col min="5122" max="5122" width="9" style="21" customWidth="1"/>
    <col min="5123" max="5124" width="9.90625" style="21" customWidth="1"/>
    <col min="5125" max="5125" width="11.08984375" style="21" customWidth="1"/>
    <col min="5126" max="5126" width="2.90625" style="21" customWidth="1"/>
    <col min="5127" max="5127" width="3.54296875" style="21" customWidth="1"/>
    <col min="5128" max="5372" width="9.08984375" style="21"/>
    <col min="5373" max="5373" width="8.6328125" style="21" customWidth="1"/>
    <col min="5374" max="5374" width="9.90625" style="21" customWidth="1"/>
    <col min="5375" max="5375" width="14.453125" style="21" customWidth="1"/>
    <col min="5376" max="5376" width="7.36328125" style="21" customWidth="1"/>
    <col min="5377" max="5377" width="5.54296875" style="21" customWidth="1"/>
    <col min="5378" max="5378" width="9" style="21" customWidth="1"/>
    <col min="5379" max="5380" width="9.90625" style="21" customWidth="1"/>
    <col min="5381" max="5381" width="11.08984375" style="21" customWidth="1"/>
    <col min="5382" max="5382" width="2.90625" style="21" customWidth="1"/>
    <col min="5383" max="5383" width="3.54296875" style="21" customWidth="1"/>
    <col min="5384" max="5628" width="9.08984375" style="21"/>
    <col min="5629" max="5629" width="8.6328125" style="21" customWidth="1"/>
    <col min="5630" max="5630" width="9.90625" style="21" customWidth="1"/>
    <col min="5631" max="5631" width="14.453125" style="21" customWidth="1"/>
    <col min="5632" max="5632" width="7.36328125" style="21" customWidth="1"/>
    <col min="5633" max="5633" width="5.54296875" style="21" customWidth="1"/>
    <col min="5634" max="5634" width="9" style="21" customWidth="1"/>
    <col min="5635" max="5636" width="9.90625" style="21" customWidth="1"/>
    <col min="5637" max="5637" width="11.08984375" style="21" customWidth="1"/>
    <col min="5638" max="5638" width="2.90625" style="21" customWidth="1"/>
    <col min="5639" max="5639" width="3.54296875" style="21" customWidth="1"/>
    <col min="5640" max="5884" width="9.08984375" style="21"/>
    <col min="5885" max="5885" width="8.6328125" style="21" customWidth="1"/>
    <col min="5886" max="5886" width="9.90625" style="21" customWidth="1"/>
    <col min="5887" max="5887" width="14.453125" style="21" customWidth="1"/>
    <col min="5888" max="5888" width="7.36328125" style="21" customWidth="1"/>
    <col min="5889" max="5889" width="5.54296875" style="21" customWidth="1"/>
    <col min="5890" max="5890" width="9" style="21" customWidth="1"/>
    <col min="5891" max="5892" width="9.90625" style="21" customWidth="1"/>
    <col min="5893" max="5893" width="11.08984375" style="21" customWidth="1"/>
    <col min="5894" max="5894" width="2.90625" style="21" customWidth="1"/>
    <col min="5895" max="5895" width="3.54296875" style="21" customWidth="1"/>
    <col min="5896" max="6140" width="9.08984375" style="21"/>
    <col min="6141" max="6141" width="8.6328125" style="21" customWidth="1"/>
    <col min="6142" max="6142" width="9.90625" style="21" customWidth="1"/>
    <col min="6143" max="6143" width="14.453125" style="21" customWidth="1"/>
    <col min="6144" max="6144" width="7.36328125" style="21" customWidth="1"/>
    <col min="6145" max="6145" width="5.54296875" style="21" customWidth="1"/>
    <col min="6146" max="6146" width="9" style="21" customWidth="1"/>
    <col min="6147" max="6148" width="9.90625" style="21" customWidth="1"/>
    <col min="6149" max="6149" width="11.08984375" style="21" customWidth="1"/>
    <col min="6150" max="6150" width="2.90625" style="21" customWidth="1"/>
    <col min="6151" max="6151" width="3.54296875" style="21" customWidth="1"/>
    <col min="6152" max="6396" width="9.08984375" style="21"/>
    <col min="6397" max="6397" width="8.6328125" style="21" customWidth="1"/>
    <col min="6398" max="6398" width="9.90625" style="21" customWidth="1"/>
    <col min="6399" max="6399" width="14.453125" style="21" customWidth="1"/>
    <col min="6400" max="6400" width="7.36328125" style="21" customWidth="1"/>
    <col min="6401" max="6401" width="5.54296875" style="21" customWidth="1"/>
    <col min="6402" max="6402" width="9" style="21" customWidth="1"/>
    <col min="6403" max="6404" width="9.90625" style="21" customWidth="1"/>
    <col min="6405" max="6405" width="11.08984375" style="21" customWidth="1"/>
    <col min="6406" max="6406" width="2.90625" style="21" customWidth="1"/>
    <col min="6407" max="6407" width="3.54296875" style="21" customWidth="1"/>
    <col min="6408" max="6652" width="9.08984375" style="21"/>
    <col min="6653" max="6653" width="8.6328125" style="21" customWidth="1"/>
    <col min="6654" max="6654" width="9.90625" style="21" customWidth="1"/>
    <col min="6655" max="6655" width="14.453125" style="21" customWidth="1"/>
    <col min="6656" max="6656" width="7.36328125" style="21" customWidth="1"/>
    <col min="6657" max="6657" width="5.54296875" style="21" customWidth="1"/>
    <col min="6658" max="6658" width="9" style="21" customWidth="1"/>
    <col min="6659" max="6660" width="9.90625" style="21" customWidth="1"/>
    <col min="6661" max="6661" width="11.08984375" style="21" customWidth="1"/>
    <col min="6662" max="6662" width="2.90625" style="21" customWidth="1"/>
    <col min="6663" max="6663" width="3.54296875" style="21" customWidth="1"/>
    <col min="6664" max="6908" width="9.08984375" style="21"/>
    <col min="6909" max="6909" width="8.6328125" style="21" customWidth="1"/>
    <col min="6910" max="6910" width="9.90625" style="21" customWidth="1"/>
    <col min="6911" max="6911" width="14.453125" style="21" customWidth="1"/>
    <col min="6912" max="6912" width="7.36328125" style="21" customWidth="1"/>
    <col min="6913" max="6913" width="5.54296875" style="21" customWidth="1"/>
    <col min="6914" max="6914" width="9" style="21" customWidth="1"/>
    <col min="6915" max="6916" width="9.90625" style="21" customWidth="1"/>
    <col min="6917" max="6917" width="11.08984375" style="21" customWidth="1"/>
    <col min="6918" max="6918" width="2.90625" style="21" customWidth="1"/>
    <col min="6919" max="6919" width="3.54296875" style="21" customWidth="1"/>
    <col min="6920" max="7164" width="9.08984375" style="21"/>
    <col min="7165" max="7165" width="8.6328125" style="21" customWidth="1"/>
    <col min="7166" max="7166" width="9.90625" style="21" customWidth="1"/>
    <col min="7167" max="7167" width="14.453125" style="21" customWidth="1"/>
    <col min="7168" max="7168" width="7.36328125" style="21" customWidth="1"/>
    <col min="7169" max="7169" width="5.54296875" style="21" customWidth="1"/>
    <col min="7170" max="7170" width="9" style="21" customWidth="1"/>
    <col min="7171" max="7172" width="9.90625" style="21" customWidth="1"/>
    <col min="7173" max="7173" width="11.08984375" style="21" customWidth="1"/>
    <col min="7174" max="7174" width="2.90625" style="21" customWidth="1"/>
    <col min="7175" max="7175" width="3.54296875" style="21" customWidth="1"/>
    <col min="7176" max="7420" width="9.08984375" style="21"/>
    <col min="7421" max="7421" width="8.6328125" style="21" customWidth="1"/>
    <col min="7422" max="7422" width="9.90625" style="21" customWidth="1"/>
    <col min="7423" max="7423" width="14.453125" style="21" customWidth="1"/>
    <col min="7424" max="7424" width="7.36328125" style="21" customWidth="1"/>
    <col min="7425" max="7425" width="5.54296875" style="21" customWidth="1"/>
    <col min="7426" max="7426" width="9" style="21" customWidth="1"/>
    <col min="7427" max="7428" width="9.90625" style="21" customWidth="1"/>
    <col min="7429" max="7429" width="11.08984375" style="21" customWidth="1"/>
    <col min="7430" max="7430" width="2.90625" style="21" customWidth="1"/>
    <col min="7431" max="7431" width="3.54296875" style="21" customWidth="1"/>
    <col min="7432" max="7676" width="9.08984375" style="21"/>
    <col min="7677" max="7677" width="8.6328125" style="21" customWidth="1"/>
    <col min="7678" max="7678" width="9.90625" style="21" customWidth="1"/>
    <col min="7679" max="7679" width="14.453125" style="21" customWidth="1"/>
    <col min="7680" max="7680" width="7.36328125" style="21" customWidth="1"/>
    <col min="7681" max="7681" width="5.54296875" style="21" customWidth="1"/>
    <col min="7682" max="7682" width="9" style="21" customWidth="1"/>
    <col min="7683" max="7684" width="9.90625" style="21" customWidth="1"/>
    <col min="7685" max="7685" width="11.08984375" style="21" customWidth="1"/>
    <col min="7686" max="7686" width="2.90625" style="21" customWidth="1"/>
    <col min="7687" max="7687" width="3.54296875" style="21" customWidth="1"/>
    <col min="7688" max="7932" width="9.08984375" style="21"/>
    <col min="7933" max="7933" width="8.6328125" style="21" customWidth="1"/>
    <col min="7934" max="7934" width="9.90625" style="21" customWidth="1"/>
    <col min="7935" max="7935" width="14.453125" style="21" customWidth="1"/>
    <col min="7936" max="7936" width="7.36328125" style="21" customWidth="1"/>
    <col min="7937" max="7937" width="5.54296875" style="21" customWidth="1"/>
    <col min="7938" max="7938" width="9" style="21" customWidth="1"/>
    <col min="7939" max="7940" width="9.90625" style="21" customWidth="1"/>
    <col min="7941" max="7941" width="11.08984375" style="21" customWidth="1"/>
    <col min="7942" max="7942" width="2.90625" style="21" customWidth="1"/>
    <col min="7943" max="7943" width="3.54296875" style="21" customWidth="1"/>
    <col min="7944" max="8188" width="9.08984375" style="21"/>
    <col min="8189" max="8189" width="8.6328125" style="21" customWidth="1"/>
    <col min="8190" max="8190" width="9.90625" style="21" customWidth="1"/>
    <col min="8191" max="8191" width="14.453125" style="21" customWidth="1"/>
    <col min="8192" max="8192" width="7.36328125" style="21" customWidth="1"/>
    <col min="8193" max="8193" width="5.54296875" style="21" customWidth="1"/>
    <col min="8194" max="8194" width="9" style="21" customWidth="1"/>
    <col min="8195" max="8196" width="9.90625" style="21" customWidth="1"/>
    <col min="8197" max="8197" width="11.08984375" style="21" customWidth="1"/>
    <col min="8198" max="8198" width="2.90625" style="21" customWidth="1"/>
    <col min="8199" max="8199" width="3.54296875" style="21" customWidth="1"/>
    <col min="8200" max="8444" width="9.08984375" style="21"/>
    <col min="8445" max="8445" width="8.6328125" style="21" customWidth="1"/>
    <col min="8446" max="8446" width="9.90625" style="21" customWidth="1"/>
    <col min="8447" max="8447" width="14.453125" style="21" customWidth="1"/>
    <col min="8448" max="8448" width="7.36328125" style="21" customWidth="1"/>
    <col min="8449" max="8449" width="5.54296875" style="21" customWidth="1"/>
    <col min="8450" max="8450" width="9" style="21" customWidth="1"/>
    <col min="8451" max="8452" width="9.90625" style="21" customWidth="1"/>
    <col min="8453" max="8453" width="11.08984375" style="21" customWidth="1"/>
    <col min="8454" max="8454" width="2.90625" style="21" customWidth="1"/>
    <col min="8455" max="8455" width="3.54296875" style="21" customWidth="1"/>
    <col min="8456" max="8700" width="9.08984375" style="21"/>
    <col min="8701" max="8701" width="8.6328125" style="21" customWidth="1"/>
    <col min="8702" max="8702" width="9.90625" style="21" customWidth="1"/>
    <col min="8703" max="8703" width="14.453125" style="21" customWidth="1"/>
    <col min="8704" max="8704" width="7.36328125" style="21" customWidth="1"/>
    <col min="8705" max="8705" width="5.54296875" style="21" customWidth="1"/>
    <col min="8706" max="8706" width="9" style="21" customWidth="1"/>
    <col min="8707" max="8708" width="9.90625" style="21" customWidth="1"/>
    <col min="8709" max="8709" width="11.08984375" style="21" customWidth="1"/>
    <col min="8710" max="8710" width="2.90625" style="21" customWidth="1"/>
    <col min="8711" max="8711" width="3.54296875" style="21" customWidth="1"/>
    <col min="8712" max="8956" width="9.08984375" style="21"/>
    <col min="8957" max="8957" width="8.6328125" style="21" customWidth="1"/>
    <col min="8958" max="8958" width="9.90625" style="21" customWidth="1"/>
    <col min="8959" max="8959" width="14.453125" style="21" customWidth="1"/>
    <col min="8960" max="8960" width="7.36328125" style="21" customWidth="1"/>
    <col min="8961" max="8961" width="5.54296875" style="21" customWidth="1"/>
    <col min="8962" max="8962" width="9" style="21" customWidth="1"/>
    <col min="8963" max="8964" width="9.90625" style="21" customWidth="1"/>
    <col min="8965" max="8965" width="11.08984375" style="21" customWidth="1"/>
    <col min="8966" max="8966" width="2.90625" style="21" customWidth="1"/>
    <col min="8967" max="8967" width="3.54296875" style="21" customWidth="1"/>
    <col min="8968" max="9212" width="9.08984375" style="21"/>
    <col min="9213" max="9213" width="8.6328125" style="21" customWidth="1"/>
    <col min="9214" max="9214" width="9.90625" style="21" customWidth="1"/>
    <col min="9215" max="9215" width="14.453125" style="21" customWidth="1"/>
    <col min="9216" max="9216" width="7.36328125" style="21" customWidth="1"/>
    <col min="9217" max="9217" width="5.54296875" style="21" customWidth="1"/>
    <col min="9218" max="9218" width="9" style="21" customWidth="1"/>
    <col min="9219" max="9220" width="9.90625" style="21" customWidth="1"/>
    <col min="9221" max="9221" width="11.08984375" style="21" customWidth="1"/>
    <col min="9222" max="9222" width="2.90625" style="21" customWidth="1"/>
    <col min="9223" max="9223" width="3.54296875" style="21" customWidth="1"/>
    <col min="9224" max="9468" width="9.08984375" style="21"/>
    <col min="9469" max="9469" width="8.6328125" style="21" customWidth="1"/>
    <col min="9470" max="9470" width="9.90625" style="21" customWidth="1"/>
    <col min="9471" max="9471" width="14.453125" style="21" customWidth="1"/>
    <col min="9472" max="9472" width="7.36328125" style="21" customWidth="1"/>
    <col min="9473" max="9473" width="5.54296875" style="21" customWidth="1"/>
    <col min="9474" max="9474" width="9" style="21" customWidth="1"/>
    <col min="9475" max="9476" width="9.90625" style="21" customWidth="1"/>
    <col min="9477" max="9477" width="11.08984375" style="21" customWidth="1"/>
    <col min="9478" max="9478" width="2.90625" style="21" customWidth="1"/>
    <col min="9479" max="9479" width="3.54296875" style="21" customWidth="1"/>
    <col min="9480" max="9724" width="9.08984375" style="21"/>
    <col min="9725" max="9725" width="8.6328125" style="21" customWidth="1"/>
    <col min="9726" max="9726" width="9.90625" style="21" customWidth="1"/>
    <col min="9727" max="9727" width="14.453125" style="21" customWidth="1"/>
    <col min="9728" max="9728" width="7.36328125" style="21" customWidth="1"/>
    <col min="9729" max="9729" width="5.54296875" style="21" customWidth="1"/>
    <col min="9730" max="9730" width="9" style="21" customWidth="1"/>
    <col min="9731" max="9732" width="9.90625" style="21" customWidth="1"/>
    <col min="9733" max="9733" width="11.08984375" style="21" customWidth="1"/>
    <col min="9734" max="9734" width="2.90625" style="21" customWidth="1"/>
    <col min="9735" max="9735" width="3.54296875" style="21" customWidth="1"/>
    <col min="9736" max="9980" width="9.08984375" style="21"/>
    <col min="9981" max="9981" width="8.6328125" style="21" customWidth="1"/>
    <col min="9982" max="9982" width="9.90625" style="21" customWidth="1"/>
    <col min="9983" max="9983" width="14.453125" style="21" customWidth="1"/>
    <col min="9984" max="9984" width="7.36328125" style="21" customWidth="1"/>
    <col min="9985" max="9985" width="5.54296875" style="21" customWidth="1"/>
    <col min="9986" max="9986" width="9" style="21" customWidth="1"/>
    <col min="9987" max="9988" width="9.90625" style="21" customWidth="1"/>
    <col min="9989" max="9989" width="11.08984375" style="21" customWidth="1"/>
    <col min="9990" max="9990" width="2.90625" style="21" customWidth="1"/>
    <col min="9991" max="9991" width="3.54296875" style="21" customWidth="1"/>
    <col min="9992" max="10236" width="9.08984375" style="21"/>
    <col min="10237" max="10237" width="8.6328125" style="21" customWidth="1"/>
    <col min="10238" max="10238" width="9.90625" style="21" customWidth="1"/>
    <col min="10239" max="10239" width="14.453125" style="21" customWidth="1"/>
    <col min="10240" max="10240" width="7.36328125" style="21" customWidth="1"/>
    <col min="10241" max="10241" width="5.54296875" style="21" customWidth="1"/>
    <col min="10242" max="10242" width="9" style="21" customWidth="1"/>
    <col min="10243" max="10244" width="9.90625" style="21" customWidth="1"/>
    <col min="10245" max="10245" width="11.08984375" style="21" customWidth="1"/>
    <col min="10246" max="10246" width="2.90625" style="21" customWidth="1"/>
    <col min="10247" max="10247" width="3.54296875" style="21" customWidth="1"/>
    <col min="10248" max="10492" width="9.08984375" style="21"/>
    <col min="10493" max="10493" width="8.6328125" style="21" customWidth="1"/>
    <col min="10494" max="10494" width="9.90625" style="21" customWidth="1"/>
    <col min="10495" max="10495" width="14.453125" style="21" customWidth="1"/>
    <col min="10496" max="10496" width="7.36328125" style="21" customWidth="1"/>
    <col min="10497" max="10497" width="5.54296875" style="21" customWidth="1"/>
    <col min="10498" max="10498" width="9" style="21" customWidth="1"/>
    <col min="10499" max="10500" width="9.90625" style="21" customWidth="1"/>
    <col min="10501" max="10501" width="11.08984375" style="21" customWidth="1"/>
    <col min="10502" max="10502" width="2.90625" style="21" customWidth="1"/>
    <col min="10503" max="10503" width="3.54296875" style="21" customWidth="1"/>
    <col min="10504" max="10748" width="9.08984375" style="21"/>
    <col min="10749" max="10749" width="8.6328125" style="21" customWidth="1"/>
    <col min="10750" max="10750" width="9.90625" style="21" customWidth="1"/>
    <col min="10751" max="10751" width="14.453125" style="21" customWidth="1"/>
    <col min="10752" max="10752" width="7.36328125" style="21" customWidth="1"/>
    <col min="10753" max="10753" width="5.54296875" style="21" customWidth="1"/>
    <col min="10754" max="10754" width="9" style="21" customWidth="1"/>
    <col min="10755" max="10756" width="9.90625" style="21" customWidth="1"/>
    <col min="10757" max="10757" width="11.08984375" style="21" customWidth="1"/>
    <col min="10758" max="10758" width="2.90625" style="21" customWidth="1"/>
    <col min="10759" max="10759" width="3.54296875" style="21" customWidth="1"/>
    <col min="10760" max="11004" width="9.08984375" style="21"/>
    <col min="11005" max="11005" width="8.6328125" style="21" customWidth="1"/>
    <col min="11006" max="11006" width="9.90625" style="21" customWidth="1"/>
    <col min="11007" max="11007" width="14.453125" style="21" customWidth="1"/>
    <col min="11008" max="11008" width="7.36328125" style="21" customWidth="1"/>
    <col min="11009" max="11009" width="5.54296875" style="21" customWidth="1"/>
    <col min="11010" max="11010" width="9" style="21" customWidth="1"/>
    <col min="11011" max="11012" width="9.90625" style="21" customWidth="1"/>
    <col min="11013" max="11013" width="11.08984375" style="21" customWidth="1"/>
    <col min="11014" max="11014" width="2.90625" style="21" customWidth="1"/>
    <col min="11015" max="11015" width="3.54296875" style="21" customWidth="1"/>
    <col min="11016" max="11260" width="9.08984375" style="21"/>
    <col min="11261" max="11261" width="8.6328125" style="21" customWidth="1"/>
    <col min="11262" max="11262" width="9.90625" style="21" customWidth="1"/>
    <col min="11263" max="11263" width="14.453125" style="21" customWidth="1"/>
    <col min="11264" max="11264" width="7.36328125" style="21" customWidth="1"/>
    <col min="11265" max="11265" width="5.54296875" style="21" customWidth="1"/>
    <col min="11266" max="11266" width="9" style="21" customWidth="1"/>
    <col min="11267" max="11268" width="9.90625" style="21" customWidth="1"/>
    <col min="11269" max="11269" width="11.08984375" style="21" customWidth="1"/>
    <col min="11270" max="11270" width="2.90625" style="21" customWidth="1"/>
    <col min="11271" max="11271" width="3.54296875" style="21" customWidth="1"/>
    <col min="11272" max="11516" width="9.08984375" style="21"/>
    <col min="11517" max="11517" width="8.6328125" style="21" customWidth="1"/>
    <col min="11518" max="11518" width="9.90625" style="21" customWidth="1"/>
    <col min="11519" max="11519" width="14.453125" style="21" customWidth="1"/>
    <col min="11520" max="11520" width="7.36328125" style="21" customWidth="1"/>
    <col min="11521" max="11521" width="5.54296875" style="21" customWidth="1"/>
    <col min="11522" max="11522" width="9" style="21" customWidth="1"/>
    <col min="11523" max="11524" width="9.90625" style="21" customWidth="1"/>
    <col min="11525" max="11525" width="11.08984375" style="21" customWidth="1"/>
    <col min="11526" max="11526" width="2.90625" style="21" customWidth="1"/>
    <col min="11527" max="11527" width="3.54296875" style="21" customWidth="1"/>
    <col min="11528" max="11772" width="9.08984375" style="21"/>
    <col min="11773" max="11773" width="8.6328125" style="21" customWidth="1"/>
    <col min="11774" max="11774" width="9.90625" style="21" customWidth="1"/>
    <col min="11775" max="11775" width="14.453125" style="21" customWidth="1"/>
    <col min="11776" max="11776" width="7.36328125" style="21" customWidth="1"/>
    <col min="11777" max="11777" width="5.54296875" style="21" customWidth="1"/>
    <col min="11778" max="11778" width="9" style="21" customWidth="1"/>
    <col min="11779" max="11780" width="9.90625" style="21" customWidth="1"/>
    <col min="11781" max="11781" width="11.08984375" style="21" customWidth="1"/>
    <col min="11782" max="11782" width="2.90625" style="21" customWidth="1"/>
    <col min="11783" max="11783" width="3.54296875" style="21" customWidth="1"/>
    <col min="11784" max="12028" width="9.08984375" style="21"/>
    <col min="12029" max="12029" width="8.6328125" style="21" customWidth="1"/>
    <col min="12030" max="12030" width="9.90625" style="21" customWidth="1"/>
    <col min="12031" max="12031" width="14.453125" style="21" customWidth="1"/>
    <col min="12032" max="12032" width="7.36328125" style="21" customWidth="1"/>
    <col min="12033" max="12033" width="5.54296875" style="21" customWidth="1"/>
    <col min="12034" max="12034" width="9" style="21" customWidth="1"/>
    <col min="12035" max="12036" width="9.90625" style="21" customWidth="1"/>
    <col min="12037" max="12037" width="11.08984375" style="21" customWidth="1"/>
    <col min="12038" max="12038" width="2.90625" style="21" customWidth="1"/>
    <col min="12039" max="12039" width="3.54296875" style="21" customWidth="1"/>
    <col min="12040" max="12284" width="9.08984375" style="21"/>
    <col min="12285" max="12285" width="8.6328125" style="21" customWidth="1"/>
    <col min="12286" max="12286" width="9.90625" style="21" customWidth="1"/>
    <col min="12287" max="12287" width="14.453125" style="21" customWidth="1"/>
    <col min="12288" max="12288" width="7.36328125" style="21" customWidth="1"/>
    <col min="12289" max="12289" width="5.54296875" style="21" customWidth="1"/>
    <col min="12290" max="12290" width="9" style="21" customWidth="1"/>
    <col min="12291" max="12292" width="9.90625" style="21" customWidth="1"/>
    <col min="12293" max="12293" width="11.08984375" style="21" customWidth="1"/>
    <col min="12294" max="12294" width="2.90625" style="21" customWidth="1"/>
    <col min="12295" max="12295" width="3.54296875" style="21" customWidth="1"/>
    <col min="12296" max="12540" width="9.08984375" style="21"/>
    <col min="12541" max="12541" width="8.6328125" style="21" customWidth="1"/>
    <col min="12542" max="12542" width="9.90625" style="21" customWidth="1"/>
    <col min="12543" max="12543" width="14.453125" style="21" customWidth="1"/>
    <col min="12544" max="12544" width="7.36328125" style="21" customWidth="1"/>
    <col min="12545" max="12545" width="5.54296875" style="21" customWidth="1"/>
    <col min="12546" max="12546" width="9" style="21" customWidth="1"/>
    <col min="12547" max="12548" width="9.90625" style="21" customWidth="1"/>
    <col min="12549" max="12549" width="11.08984375" style="21" customWidth="1"/>
    <col min="12550" max="12550" width="2.90625" style="21" customWidth="1"/>
    <col min="12551" max="12551" width="3.54296875" style="21" customWidth="1"/>
    <col min="12552" max="12796" width="9.08984375" style="21"/>
    <col min="12797" max="12797" width="8.6328125" style="21" customWidth="1"/>
    <col min="12798" max="12798" width="9.90625" style="21" customWidth="1"/>
    <col min="12799" max="12799" width="14.453125" style="21" customWidth="1"/>
    <col min="12800" max="12800" width="7.36328125" style="21" customWidth="1"/>
    <col min="12801" max="12801" width="5.54296875" style="21" customWidth="1"/>
    <col min="12802" max="12802" width="9" style="21" customWidth="1"/>
    <col min="12803" max="12804" width="9.90625" style="21" customWidth="1"/>
    <col min="12805" max="12805" width="11.08984375" style="21" customWidth="1"/>
    <col min="12806" max="12806" width="2.90625" style="21" customWidth="1"/>
    <col min="12807" max="12807" width="3.54296875" style="21" customWidth="1"/>
    <col min="12808" max="13052" width="9.08984375" style="21"/>
    <col min="13053" max="13053" width="8.6328125" style="21" customWidth="1"/>
    <col min="13054" max="13054" width="9.90625" style="21" customWidth="1"/>
    <col min="13055" max="13055" width="14.453125" style="21" customWidth="1"/>
    <col min="13056" max="13056" width="7.36328125" style="21" customWidth="1"/>
    <col min="13057" max="13057" width="5.54296875" style="21" customWidth="1"/>
    <col min="13058" max="13058" width="9" style="21" customWidth="1"/>
    <col min="13059" max="13060" width="9.90625" style="21" customWidth="1"/>
    <col min="13061" max="13061" width="11.08984375" style="21" customWidth="1"/>
    <col min="13062" max="13062" width="2.90625" style="21" customWidth="1"/>
    <col min="13063" max="13063" width="3.54296875" style="21" customWidth="1"/>
    <col min="13064" max="13308" width="9.08984375" style="21"/>
    <col min="13309" max="13309" width="8.6328125" style="21" customWidth="1"/>
    <col min="13310" max="13310" width="9.90625" style="21" customWidth="1"/>
    <col min="13311" max="13311" width="14.453125" style="21" customWidth="1"/>
    <col min="13312" max="13312" width="7.36328125" style="21" customWidth="1"/>
    <col min="13313" max="13313" width="5.54296875" style="21" customWidth="1"/>
    <col min="13314" max="13314" width="9" style="21" customWidth="1"/>
    <col min="13315" max="13316" width="9.90625" style="21" customWidth="1"/>
    <col min="13317" max="13317" width="11.08984375" style="21" customWidth="1"/>
    <col min="13318" max="13318" width="2.90625" style="21" customWidth="1"/>
    <col min="13319" max="13319" width="3.54296875" style="21" customWidth="1"/>
    <col min="13320" max="13564" width="9.08984375" style="21"/>
    <col min="13565" max="13565" width="8.6328125" style="21" customWidth="1"/>
    <col min="13566" max="13566" width="9.90625" style="21" customWidth="1"/>
    <col min="13567" max="13567" width="14.453125" style="21" customWidth="1"/>
    <col min="13568" max="13568" width="7.36328125" style="21" customWidth="1"/>
    <col min="13569" max="13569" width="5.54296875" style="21" customWidth="1"/>
    <col min="13570" max="13570" width="9" style="21" customWidth="1"/>
    <col min="13571" max="13572" width="9.90625" style="21" customWidth="1"/>
    <col min="13573" max="13573" width="11.08984375" style="21" customWidth="1"/>
    <col min="13574" max="13574" width="2.90625" style="21" customWidth="1"/>
    <col min="13575" max="13575" width="3.54296875" style="21" customWidth="1"/>
    <col min="13576" max="13820" width="9.08984375" style="21"/>
    <col min="13821" max="13821" width="8.6328125" style="21" customWidth="1"/>
    <col min="13822" max="13822" width="9.90625" style="21" customWidth="1"/>
    <col min="13823" max="13823" width="14.453125" style="21" customWidth="1"/>
    <col min="13824" max="13824" width="7.36328125" style="21" customWidth="1"/>
    <col min="13825" max="13825" width="5.54296875" style="21" customWidth="1"/>
    <col min="13826" max="13826" width="9" style="21" customWidth="1"/>
    <col min="13827" max="13828" width="9.90625" style="21" customWidth="1"/>
    <col min="13829" max="13829" width="11.08984375" style="21" customWidth="1"/>
    <col min="13830" max="13830" width="2.90625" style="21" customWidth="1"/>
    <col min="13831" max="13831" width="3.54296875" style="21" customWidth="1"/>
    <col min="13832" max="14076" width="9.08984375" style="21"/>
    <col min="14077" max="14077" width="8.6328125" style="21" customWidth="1"/>
    <col min="14078" max="14078" width="9.90625" style="21" customWidth="1"/>
    <col min="14079" max="14079" width="14.453125" style="21" customWidth="1"/>
    <col min="14080" max="14080" width="7.36328125" style="21" customWidth="1"/>
    <col min="14081" max="14081" width="5.54296875" style="21" customWidth="1"/>
    <col min="14082" max="14082" width="9" style="21" customWidth="1"/>
    <col min="14083" max="14084" width="9.90625" style="21" customWidth="1"/>
    <col min="14085" max="14085" width="11.08984375" style="21" customWidth="1"/>
    <col min="14086" max="14086" width="2.90625" style="21" customWidth="1"/>
    <col min="14087" max="14087" width="3.54296875" style="21" customWidth="1"/>
    <col min="14088" max="14332" width="9.08984375" style="21"/>
    <col min="14333" max="14333" width="8.6328125" style="21" customWidth="1"/>
    <col min="14334" max="14334" width="9.90625" style="21" customWidth="1"/>
    <col min="14335" max="14335" width="14.453125" style="21" customWidth="1"/>
    <col min="14336" max="14336" width="7.36328125" style="21" customWidth="1"/>
    <col min="14337" max="14337" width="5.54296875" style="21" customWidth="1"/>
    <col min="14338" max="14338" width="9" style="21" customWidth="1"/>
    <col min="14339" max="14340" width="9.90625" style="21" customWidth="1"/>
    <col min="14341" max="14341" width="11.08984375" style="21" customWidth="1"/>
    <col min="14342" max="14342" width="2.90625" style="21" customWidth="1"/>
    <col min="14343" max="14343" width="3.54296875" style="21" customWidth="1"/>
    <col min="14344" max="14588" width="9.08984375" style="21"/>
    <col min="14589" max="14589" width="8.6328125" style="21" customWidth="1"/>
    <col min="14590" max="14590" width="9.90625" style="21" customWidth="1"/>
    <col min="14591" max="14591" width="14.453125" style="21" customWidth="1"/>
    <col min="14592" max="14592" width="7.36328125" style="21" customWidth="1"/>
    <col min="14593" max="14593" width="5.54296875" style="21" customWidth="1"/>
    <col min="14594" max="14594" width="9" style="21" customWidth="1"/>
    <col min="14595" max="14596" width="9.90625" style="21" customWidth="1"/>
    <col min="14597" max="14597" width="11.08984375" style="21" customWidth="1"/>
    <col min="14598" max="14598" width="2.90625" style="21" customWidth="1"/>
    <col min="14599" max="14599" width="3.54296875" style="21" customWidth="1"/>
    <col min="14600" max="14844" width="9.08984375" style="21"/>
    <col min="14845" max="14845" width="8.6328125" style="21" customWidth="1"/>
    <col min="14846" max="14846" width="9.90625" style="21" customWidth="1"/>
    <col min="14847" max="14847" width="14.453125" style="21" customWidth="1"/>
    <col min="14848" max="14848" width="7.36328125" style="21" customWidth="1"/>
    <col min="14849" max="14849" width="5.54296875" style="21" customWidth="1"/>
    <col min="14850" max="14850" width="9" style="21" customWidth="1"/>
    <col min="14851" max="14852" width="9.90625" style="21" customWidth="1"/>
    <col min="14853" max="14853" width="11.08984375" style="21" customWidth="1"/>
    <col min="14854" max="14854" width="2.90625" style="21" customWidth="1"/>
    <col min="14855" max="14855" width="3.54296875" style="21" customWidth="1"/>
    <col min="14856" max="15100" width="9.08984375" style="21"/>
    <col min="15101" max="15101" width="8.6328125" style="21" customWidth="1"/>
    <col min="15102" max="15102" width="9.90625" style="21" customWidth="1"/>
    <col min="15103" max="15103" width="14.453125" style="21" customWidth="1"/>
    <col min="15104" max="15104" width="7.36328125" style="21" customWidth="1"/>
    <col min="15105" max="15105" width="5.54296875" style="21" customWidth="1"/>
    <col min="15106" max="15106" width="9" style="21" customWidth="1"/>
    <col min="15107" max="15108" width="9.90625" style="21" customWidth="1"/>
    <col min="15109" max="15109" width="11.08984375" style="21" customWidth="1"/>
    <col min="15110" max="15110" width="2.90625" style="21" customWidth="1"/>
    <col min="15111" max="15111" width="3.54296875" style="21" customWidth="1"/>
    <col min="15112" max="15356" width="9.08984375" style="21"/>
    <col min="15357" max="15357" width="8.6328125" style="21" customWidth="1"/>
    <col min="15358" max="15358" width="9.90625" style="21" customWidth="1"/>
    <col min="15359" max="15359" width="14.453125" style="21" customWidth="1"/>
    <col min="15360" max="15360" width="7.36328125" style="21" customWidth="1"/>
    <col min="15361" max="15361" width="5.54296875" style="21" customWidth="1"/>
    <col min="15362" max="15362" width="9" style="21" customWidth="1"/>
    <col min="15363" max="15364" width="9.90625" style="21" customWidth="1"/>
    <col min="15365" max="15365" width="11.08984375" style="21" customWidth="1"/>
    <col min="15366" max="15366" width="2.90625" style="21" customWidth="1"/>
    <col min="15367" max="15367" width="3.54296875" style="21" customWidth="1"/>
    <col min="15368" max="15612" width="9.08984375" style="21"/>
    <col min="15613" max="15613" width="8.6328125" style="21" customWidth="1"/>
    <col min="15614" max="15614" width="9.90625" style="21" customWidth="1"/>
    <col min="15615" max="15615" width="14.453125" style="21" customWidth="1"/>
    <col min="15616" max="15616" width="7.36328125" style="21" customWidth="1"/>
    <col min="15617" max="15617" width="5.54296875" style="21" customWidth="1"/>
    <col min="15618" max="15618" width="9" style="21" customWidth="1"/>
    <col min="15619" max="15620" width="9.90625" style="21" customWidth="1"/>
    <col min="15621" max="15621" width="11.08984375" style="21" customWidth="1"/>
    <col min="15622" max="15622" width="2.90625" style="21" customWidth="1"/>
    <col min="15623" max="15623" width="3.54296875" style="21" customWidth="1"/>
    <col min="15624" max="15868" width="9.08984375" style="21"/>
    <col min="15869" max="15869" width="8.6328125" style="21" customWidth="1"/>
    <col min="15870" max="15870" width="9.90625" style="21" customWidth="1"/>
    <col min="15871" max="15871" width="14.453125" style="21" customWidth="1"/>
    <col min="15872" max="15872" width="7.36328125" style="21" customWidth="1"/>
    <col min="15873" max="15873" width="5.54296875" style="21" customWidth="1"/>
    <col min="15874" max="15874" width="9" style="21" customWidth="1"/>
    <col min="15875" max="15876" width="9.90625" style="21" customWidth="1"/>
    <col min="15877" max="15877" width="11.08984375" style="21" customWidth="1"/>
    <col min="15878" max="15878" width="2.90625" style="21" customWidth="1"/>
    <col min="15879" max="15879" width="3.54296875" style="21" customWidth="1"/>
    <col min="15880" max="16124" width="9.08984375" style="21"/>
    <col min="16125" max="16125" width="8.6328125" style="21" customWidth="1"/>
    <col min="16126" max="16126" width="9.90625" style="21" customWidth="1"/>
    <col min="16127" max="16127" width="14.453125" style="21" customWidth="1"/>
    <col min="16128" max="16128" width="7.36328125" style="21" customWidth="1"/>
    <col min="16129" max="16129" width="5.54296875" style="21" customWidth="1"/>
    <col min="16130" max="16130" width="9" style="21" customWidth="1"/>
    <col min="16131" max="16132" width="9.90625" style="21" customWidth="1"/>
    <col min="16133" max="16133" width="11.08984375" style="21" customWidth="1"/>
    <col min="16134" max="16134" width="2.90625" style="21" customWidth="1"/>
    <col min="16135" max="16135" width="3.54296875" style="21" customWidth="1"/>
    <col min="16136" max="16384" width="9.08984375" style="21"/>
  </cols>
  <sheetData>
    <row r="1" spans="1:10" ht="46.5" customHeight="1" x14ac:dyDescent="0.35">
      <c r="A1" s="118" t="s">
        <v>250</v>
      </c>
      <c r="B1" s="118"/>
      <c r="C1" s="118"/>
      <c r="D1" s="118"/>
      <c r="E1" s="118"/>
      <c r="F1" s="118"/>
      <c r="G1" s="118"/>
      <c r="H1" s="118"/>
    </row>
    <row r="2" spans="1:10" ht="16.5" customHeight="1" x14ac:dyDescent="0.35">
      <c r="A2" s="60" t="s">
        <v>0</v>
      </c>
      <c r="B2" s="60"/>
      <c r="C2" s="60"/>
      <c r="D2" s="60"/>
      <c r="E2" s="60"/>
      <c r="F2" s="60"/>
      <c r="G2" s="60"/>
      <c r="H2" s="60"/>
    </row>
    <row r="3" spans="1:10" x14ac:dyDescent="0.35">
      <c r="A3" s="107" t="s">
        <v>1</v>
      </c>
      <c r="B3" s="107"/>
      <c r="C3" s="107"/>
      <c r="D3" s="107"/>
      <c r="E3" s="119" t="str">
        <f ca="1">TEXT(TODAY(),"DD/MM/YYYY")</f>
        <v>14/07/2025</v>
      </c>
      <c r="F3" s="119"/>
      <c r="G3" s="119"/>
      <c r="H3" s="119"/>
    </row>
    <row r="4" spans="1:10" ht="15" customHeight="1" x14ac:dyDescent="0.35">
      <c r="A4" s="107" t="s">
        <v>2</v>
      </c>
      <c r="B4" s="107"/>
      <c r="C4" s="107"/>
      <c r="D4" s="107"/>
      <c r="E4" s="120" t="s">
        <v>147</v>
      </c>
      <c r="F4" s="120"/>
      <c r="G4" s="120"/>
      <c r="H4" s="120"/>
      <c r="J4" s="58"/>
    </row>
    <row r="5" spans="1:10" x14ac:dyDescent="0.35">
      <c r="A5" s="115" t="s">
        <v>3</v>
      </c>
      <c r="B5" s="115"/>
      <c r="C5" s="115"/>
      <c r="D5" s="115"/>
      <c r="E5" s="117" t="s">
        <v>259</v>
      </c>
      <c r="F5" s="117"/>
      <c r="G5" s="117"/>
      <c r="H5" s="117"/>
    </row>
    <row r="6" spans="1:10" ht="16.5" customHeight="1" x14ac:dyDescent="0.35">
      <c r="A6" s="115" t="s">
        <v>211</v>
      </c>
      <c r="B6" s="115"/>
      <c r="C6" s="115"/>
      <c r="D6" s="115"/>
      <c r="E6" s="105" t="s">
        <v>245</v>
      </c>
      <c r="F6" s="105"/>
      <c r="G6" s="105"/>
      <c r="H6" s="105"/>
    </row>
    <row r="7" spans="1:10" ht="15" customHeight="1" x14ac:dyDescent="0.35">
      <c r="A7" s="115" t="s">
        <v>4</v>
      </c>
      <c r="B7" s="115"/>
      <c r="C7" s="115"/>
      <c r="D7" s="115"/>
      <c r="E7" s="105" t="s">
        <v>148</v>
      </c>
      <c r="F7" s="105"/>
      <c r="G7" s="105"/>
      <c r="H7" s="105"/>
    </row>
    <row r="8" spans="1:10" x14ac:dyDescent="0.35">
      <c r="A8" s="115" t="s">
        <v>5</v>
      </c>
      <c r="B8" s="115"/>
      <c r="C8" s="115"/>
      <c r="D8" s="115"/>
      <c r="E8" s="82" t="s">
        <v>149</v>
      </c>
      <c r="F8" s="82"/>
      <c r="G8" s="82"/>
      <c r="H8" s="82"/>
    </row>
    <row r="9" spans="1:10" x14ac:dyDescent="0.35">
      <c r="A9" s="115" t="s">
        <v>251</v>
      </c>
      <c r="B9" s="115"/>
      <c r="C9" s="115"/>
      <c r="D9" s="115"/>
      <c r="E9" s="115">
        <v>9820930366</v>
      </c>
      <c r="F9" s="115"/>
      <c r="G9" s="115"/>
      <c r="H9" s="115"/>
    </row>
    <row r="10" spans="1:10" x14ac:dyDescent="0.35">
      <c r="A10" s="115" t="s">
        <v>6</v>
      </c>
      <c r="B10" s="115"/>
      <c r="C10" s="115"/>
      <c r="D10" s="115"/>
      <c r="E10" s="115" t="s">
        <v>200</v>
      </c>
      <c r="F10" s="115"/>
      <c r="G10" s="115"/>
      <c r="H10" s="115"/>
    </row>
    <row r="11" spans="1:10" ht="32.25" customHeight="1" x14ac:dyDescent="0.35">
      <c r="A11" s="115" t="s">
        <v>7</v>
      </c>
      <c r="B11" s="115"/>
      <c r="C11" s="115"/>
      <c r="D11" s="115"/>
      <c r="E11" s="105" t="s">
        <v>137</v>
      </c>
      <c r="F11" s="105"/>
      <c r="G11" s="105"/>
      <c r="H11" s="105"/>
    </row>
    <row r="12" spans="1:10" x14ac:dyDescent="0.35">
      <c r="A12" s="115" t="s">
        <v>8</v>
      </c>
      <c r="B12" s="115"/>
      <c r="C12" s="115"/>
      <c r="D12" s="115"/>
      <c r="E12" s="115" t="s">
        <v>150</v>
      </c>
      <c r="F12" s="115"/>
      <c r="G12" s="115"/>
      <c r="H12" s="115"/>
    </row>
    <row r="13" spans="1:10" ht="33.75" customHeight="1" x14ac:dyDescent="0.35">
      <c r="A13" s="105" t="s">
        <v>9</v>
      </c>
      <c r="B13" s="105"/>
      <c r="C13" s="105" t="str">
        <f>CONCATENATE((IF(OR(E8="",E8="NA"),"",E8)),", ",(IF(OR(A14="",A14="NA"),"",A14)),".",(IF(OR(C14="",C14="NA"),"",C14)),", ",(IF(OR(C15="",C15="NA"),"",C15)),", ",(IF(OR(G15="",G15="NA"),"",G15)),", ",(IF(OR(G16="",G16="NA"),"",G16)),".")</f>
        <v>Jaanbai Krupa, Survey No.27/2/1 Plot No.5,6 &amp; 11, Internal Road, Navali, Palghar.</v>
      </c>
      <c r="D13" s="105"/>
      <c r="E13" s="105"/>
      <c r="F13" s="105"/>
      <c r="G13" s="105"/>
      <c r="H13" s="105"/>
    </row>
    <row r="14" spans="1:10" ht="15.75" customHeight="1" x14ac:dyDescent="0.35">
      <c r="A14" s="105" t="s">
        <v>216</v>
      </c>
      <c r="B14" s="105"/>
      <c r="C14" s="105" t="s">
        <v>212</v>
      </c>
      <c r="D14" s="105"/>
      <c r="E14" s="105"/>
      <c r="F14" s="105"/>
      <c r="G14" s="105"/>
      <c r="H14" s="105"/>
    </row>
    <row r="15" spans="1:10" ht="15.75" customHeight="1" x14ac:dyDescent="0.35">
      <c r="A15" s="105" t="s">
        <v>10</v>
      </c>
      <c r="B15" s="105"/>
      <c r="C15" s="115" t="s">
        <v>202</v>
      </c>
      <c r="D15" s="115"/>
      <c r="E15" s="105" t="s">
        <v>152</v>
      </c>
      <c r="F15" s="105"/>
      <c r="G15" s="105" t="s">
        <v>151</v>
      </c>
      <c r="H15" s="105"/>
    </row>
    <row r="16" spans="1:10" x14ac:dyDescent="0.35">
      <c r="A16" s="115" t="s">
        <v>12</v>
      </c>
      <c r="B16" s="115"/>
      <c r="C16" s="116" t="s">
        <v>153</v>
      </c>
      <c r="D16" s="116"/>
      <c r="E16" s="105" t="s">
        <v>11</v>
      </c>
      <c r="F16" s="105"/>
      <c r="G16" s="116" t="s">
        <v>153</v>
      </c>
      <c r="H16" s="116"/>
    </row>
    <row r="17" spans="1:8" x14ac:dyDescent="0.35">
      <c r="A17" s="115" t="s">
        <v>111</v>
      </c>
      <c r="B17" s="115"/>
      <c r="C17" s="116" t="s">
        <v>153</v>
      </c>
      <c r="D17" s="116"/>
      <c r="E17" s="105" t="s">
        <v>13</v>
      </c>
      <c r="F17" s="105"/>
      <c r="G17" s="105">
        <v>401404</v>
      </c>
      <c r="H17" s="105"/>
    </row>
    <row r="18" spans="1:8" ht="32.25" customHeight="1" x14ac:dyDescent="0.35">
      <c r="A18" s="108" t="s">
        <v>14</v>
      </c>
      <c r="B18" s="108"/>
      <c r="C18" s="109" t="s">
        <v>258</v>
      </c>
      <c r="D18" s="109"/>
      <c r="E18" s="109" t="s">
        <v>15</v>
      </c>
      <c r="F18" s="109"/>
      <c r="G18" s="109" t="s">
        <v>254</v>
      </c>
      <c r="H18" s="109"/>
    </row>
    <row r="19" spans="1:8" ht="15" customHeight="1" x14ac:dyDescent="0.35">
      <c r="A19" s="109" t="s">
        <v>115</v>
      </c>
      <c r="B19" s="109"/>
      <c r="C19" s="109"/>
      <c r="D19" s="109"/>
      <c r="E19" s="108" t="s">
        <v>16</v>
      </c>
      <c r="F19" s="108"/>
      <c r="G19" s="108"/>
      <c r="H19" s="108"/>
    </row>
    <row r="20" spans="1:8" ht="18.75" customHeight="1" x14ac:dyDescent="0.35">
      <c r="A20" s="109"/>
      <c r="B20" s="109"/>
      <c r="C20" s="109"/>
      <c r="D20" s="109"/>
      <c r="E20" s="108"/>
      <c r="F20" s="108"/>
      <c r="G20" s="108"/>
      <c r="H20" s="108"/>
    </row>
    <row r="21" spans="1:8" ht="15" customHeight="1" x14ac:dyDescent="0.35">
      <c r="A21" s="109" t="s">
        <v>17</v>
      </c>
      <c r="B21" s="109"/>
      <c r="C21" s="109"/>
      <c r="D21" s="109"/>
      <c r="E21" s="109" t="s">
        <v>18</v>
      </c>
      <c r="F21" s="109"/>
      <c r="G21" s="109"/>
      <c r="H21" s="109"/>
    </row>
    <row r="22" spans="1:8" ht="15" customHeight="1" x14ac:dyDescent="0.35">
      <c r="A22" s="108" t="s">
        <v>19</v>
      </c>
      <c r="B22" s="108"/>
      <c r="C22" s="108"/>
      <c r="D22" s="108"/>
      <c r="E22" s="109" t="s">
        <v>154</v>
      </c>
      <c r="F22" s="109"/>
      <c r="G22" s="109"/>
      <c r="H22" s="109"/>
    </row>
    <row r="23" spans="1:8" x14ac:dyDescent="0.35">
      <c r="A23" s="108" t="s">
        <v>20</v>
      </c>
      <c r="B23" s="108"/>
      <c r="C23" s="108"/>
      <c r="D23" s="108"/>
      <c r="E23" s="109" t="s">
        <v>21</v>
      </c>
      <c r="F23" s="109"/>
      <c r="G23" s="109"/>
      <c r="H23" s="109"/>
    </row>
    <row r="24" spans="1:8" x14ac:dyDescent="0.35">
      <c r="A24" s="108" t="s">
        <v>22</v>
      </c>
      <c r="B24" s="108"/>
      <c r="C24" s="108"/>
      <c r="D24" s="108"/>
      <c r="E24" s="109" t="s">
        <v>155</v>
      </c>
      <c r="F24" s="109"/>
      <c r="G24" s="109"/>
      <c r="H24" s="109"/>
    </row>
    <row r="25" spans="1:8" x14ac:dyDescent="0.35">
      <c r="A25" s="108" t="s">
        <v>23</v>
      </c>
      <c r="B25" s="108"/>
      <c r="C25" s="108"/>
      <c r="D25" s="108"/>
      <c r="E25" s="109" t="s">
        <v>24</v>
      </c>
      <c r="F25" s="109"/>
      <c r="G25" s="109"/>
      <c r="H25" s="109"/>
    </row>
    <row r="26" spans="1:8" x14ac:dyDescent="0.35">
      <c r="A26" s="108" t="s">
        <v>122</v>
      </c>
      <c r="B26" s="108"/>
      <c r="C26" s="108"/>
      <c r="D26" s="108"/>
      <c r="E26" s="109" t="s">
        <v>123</v>
      </c>
      <c r="F26" s="109"/>
      <c r="G26" s="109"/>
      <c r="H26" s="109"/>
    </row>
    <row r="27" spans="1:8" ht="15" customHeight="1" x14ac:dyDescent="0.35">
      <c r="A27" s="109" t="s">
        <v>33</v>
      </c>
      <c r="B27" s="109"/>
      <c r="C27" s="109"/>
      <c r="D27" s="109"/>
      <c r="E27" s="122" t="s">
        <v>119</v>
      </c>
      <c r="F27" s="122"/>
      <c r="G27" s="122"/>
      <c r="H27" s="122"/>
    </row>
    <row r="28" spans="1:8" x14ac:dyDescent="0.35">
      <c r="A28" s="109" t="s">
        <v>136</v>
      </c>
      <c r="B28" s="109"/>
      <c r="C28" s="109"/>
      <c r="D28" s="109"/>
      <c r="E28" s="109" t="s">
        <v>34</v>
      </c>
      <c r="F28" s="109"/>
      <c r="G28" s="109"/>
      <c r="H28" s="109"/>
    </row>
    <row r="29" spans="1:8" s="22" customFormat="1" x14ac:dyDescent="0.35">
      <c r="A29" s="133" t="s">
        <v>138</v>
      </c>
      <c r="B29" s="133"/>
      <c r="C29" s="126" t="s">
        <v>29</v>
      </c>
      <c r="D29" s="126"/>
      <c r="E29" s="126"/>
      <c r="F29" s="126" t="s">
        <v>31</v>
      </c>
      <c r="G29" s="126"/>
      <c r="H29" s="126"/>
    </row>
    <row r="30" spans="1:8" s="22" customFormat="1" x14ac:dyDescent="0.35">
      <c r="A30" s="127" t="s">
        <v>25</v>
      </c>
      <c r="B30" s="127" t="s">
        <v>30</v>
      </c>
      <c r="C30" s="87" t="s">
        <v>30</v>
      </c>
      <c r="D30" s="87"/>
      <c r="E30" s="87"/>
      <c r="F30" s="87" t="s">
        <v>202</v>
      </c>
      <c r="G30" s="87"/>
      <c r="H30" s="87"/>
    </row>
    <row r="31" spans="1:8" x14ac:dyDescent="0.35">
      <c r="A31" s="123" t="s">
        <v>26</v>
      </c>
      <c r="B31" s="123" t="s">
        <v>30</v>
      </c>
      <c r="C31" s="80" t="s">
        <v>30</v>
      </c>
      <c r="D31" s="80"/>
      <c r="E31" s="80"/>
      <c r="F31" s="80" t="s">
        <v>203</v>
      </c>
      <c r="G31" s="80"/>
      <c r="H31" s="80"/>
    </row>
    <row r="32" spans="1:8" s="22" customFormat="1" x14ac:dyDescent="0.35">
      <c r="A32" s="123" t="s">
        <v>28</v>
      </c>
      <c r="B32" s="123" t="s">
        <v>30</v>
      </c>
      <c r="C32" s="80" t="s">
        <v>30</v>
      </c>
      <c r="D32" s="80"/>
      <c r="E32" s="80"/>
      <c r="F32" s="80" t="s">
        <v>201</v>
      </c>
      <c r="G32" s="80"/>
      <c r="H32" s="80"/>
    </row>
    <row r="33" spans="1:8" x14ac:dyDescent="0.35">
      <c r="A33" s="123" t="s">
        <v>27</v>
      </c>
      <c r="B33" s="123" t="s">
        <v>30</v>
      </c>
      <c r="C33" s="80" t="s">
        <v>30</v>
      </c>
      <c r="D33" s="80"/>
      <c r="E33" s="80"/>
      <c r="F33" s="80" t="s">
        <v>202</v>
      </c>
      <c r="G33" s="80"/>
      <c r="H33" s="80"/>
    </row>
    <row r="34" spans="1:8" x14ac:dyDescent="0.35">
      <c r="A34" s="107" t="s">
        <v>32</v>
      </c>
      <c r="B34" s="107"/>
      <c r="C34" s="107"/>
      <c r="D34" s="107"/>
      <c r="E34" s="107"/>
      <c r="F34" s="107"/>
      <c r="G34" s="107"/>
      <c r="H34" s="107"/>
    </row>
    <row r="35" spans="1:8" ht="15.75" customHeight="1" x14ac:dyDescent="0.35">
      <c r="A35" s="60" t="s">
        <v>246</v>
      </c>
      <c r="B35" s="60"/>
      <c r="C35" s="61" t="s">
        <v>247</v>
      </c>
      <c r="D35" s="62"/>
      <c r="E35" s="62"/>
      <c r="F35" s="62"/>
      <c r="G35" s="62"/>
      <c r="H35" s="63"/>
    </row>
    <row r="36" spans="1:8" ht="15.75" customHeight="1" x14ac:dyDescent="0.35">
      <c r="A36" s="60" t="s">
        <v>248</v>
      </c>
      <c r="B36" s="60"/>
      <c r="C36" s="64" t="s">
        <v>249</v>
      </c>
      <c r="D36" s="62"/>
      <c r="E36" s="62"/>
      <c r="F36" s="62"/>
      <c r="G36" s="62"/>
      <c r="H36" s="63"/>
    </row>
    <row r="37" spans="1:8" x14ac:dyDescent="0.35">
      <c r="A37" s="124" t="s">
        <v>35</v>
      </c>
      <c r="B37" s="124"/>
      <c r="C37" s="124"/>
      <c r="D37" s="124"/>
      <c r="E37" s="124"/>
      <c r="F37" s="124"/>
      <c r="G37" s="124"/>
      <c r="H37" s="124"/>
    </row>
    <row r="38" spans="1:8" x14ac:dyDescent="0.35">
      <c r="A38" s="107" t="s">
        <v>36</v>
      </c>
      <c r="B38" s="107"/>
      <c r="C38" s="107"/>
      <c r="D38" s="107"/>
      <c r="E38" s="125">
        <v>1119.28</v>
      </c>
      <c r="F38" s="125"/>
      <c r="G38" s="125"/>
      <c r="H38" s="125"/>
    </row>
    <row r="39" spans="1:8" x14ac:dyDescent="0.35">
      <c r="A39" s="107" t="s">
        <v>37</v>
      </c>
      <c r="B39" s="107"/>
      <c r="C39" s="107"/>
      <c r="D39" s="107"/>
      <c r="E39" s="121">
        <v>1.1000000000000001</v>
      </c>
      <c r="F39" s="121"/>
      <c r="G39" s="121"/>
      <c r="H39" s="121"/>
    </row>
    <row r="40" spans="1:8" x14ac:dyDescent="0.35">
      <c r="A40" s="107" t="s">
        <v>38</v>
      </c>
      <c r="B40" s="107"/>
      <c r="C40" s="107"/>
      <c r="D40" s="107"/>
      <c r="E40" s="121">
        <f>E42/E38-E39</f>
        <v>0.49255056822242871</v>
      </c>
      <c r="F40" s="121"/>
      <c r="G40" s="121"/>
      <c r="H40" s="121"/>
    </row>
    <row r="41" spans="1:8" x14ac:dyDescent="0.35">
      <c r="A41" s="107" t="s">
        <v>39</v>
      </c>
      <c r="B41" s="107"/>
      <c r="C41" s="107"/>
      <c r="D41" s="107"/>
      <c r="E41" s="121">
        <f>E39+E40</f>
        <v>1.5925505682224288</v>
      </c>
      <c r="F41" s="121"/>
      <c r="G41" s="121"/>
      <c r="H41" s="121"/>
    </row>
    <row r="42" spans="1:8" x14ac:dyDescent="0.35">
      <c r="A42" s="107" t="s">
        <v>135</v>
      </c>
      <c r="B42" s="107"/>
      <c r="C42" s="107"/>
      <c r="D42" s="107"/>
      <c r="E42" s="135">
        <v>1782.51</v>
      </c>
      <c r="F42" s="135"/>
      <c r="G42" s="135"/>
      <c r="H42" s="135"/>
    </row>
    <row r="43" spans="1:8" x14ac:dyDescent="0.35">
      <c r="A43" s="115" t="s">
        <v>40</v>
      </c>
      <c r="B43" s="115"/>
      <c r="C43" s="115"/>
      <c r="D43" s="115"/>
      <c r="E43" s="115" t="s">
        <v>253</v>
      </c>
      <c r="F43" s="115"/>
      <c r="G43" s="115"/>
      <c r="H43" s="115"/>
    </row>
    <row r="44" spans="1:8" x14ac:dyDescent="0.35">
      <c r="A44" s="124" t="s">
        <v>41</v>
      </c>
      <c r="B44" s="124"/>
      <c r="C44" s="124"/>
      <c r="D44" s="124"/>
      <c r="E44" s="124"/>
      <c r="F44" s="124"/>
      <c r="G44" s="124"/>
      <c r="H44" s="124"/>
    </row>
    <row r="45" spans="1:8" x14ac:dyDescent="0.35">
      <c r="A45" s="106" t="s">
        <v>42</v>
      </c>
      <c r="B45" s="106"/>
      <c r="C45" s="106" t="s">
        <v>156</v>
      </c>
      <c r="D45" s="106"/>
      <c r="E45" s="106"/>
      <c r="F45" s="50" t="s">
        <v>43</v>
      </c>
      <c r="G45" s="106" t="s">
        <v>157</v>
      </c>
      <c r="H45" s="106"/>
    </row>
    <row r="46" spans="1:8" x14ac:dyDescent="0.35">
      <c r="A46" s="106" t="s">
        <v>44</v>
      </c>
      <c r="B46" s="106"/>
      <c r="C46" s="106" t="str">
        <f>C45</f>
        <v>KR.B.V.137</v>
      </c>
      <c r="D46" s="106"/>
      <c r="E46" s="106"/>
      <c r="F46" s="50" t="s">
        <v>43</v>
      </c>
      <c r="G46" s="106" t="str">
        <f>G45</f>
        <v>26/04/2018.</v>
      </c>
      <c r="H46" s="106"/>
    </row>
    <row r="47" spans="1:8" s="24" customFormat="1" ht="32.25" customHeight="1" x14ac:dyDescent="0.35">
      <c r="A47" s="105" t="s">
        <v>45</v>
      </c>
      <c r="B47" s="105"/>
      <c r="C47" s="105" t="s">
        <v>158</v>
      </c>
      <c r="D47" s="115"/>
      <c r="E47" s="115"/>
      <c r="F47" s="23" t="s">
        <v>43</v>
      </c>
      <c r="G47" s="134" t="s">
        <v>157</v>
      </c>
      <c r="H47" s="134"/>
    </row>
    <row r="48" spans="1:8" s="24" customFormat="1" x14ac:dyDescent="0.35">
      <c r="A48" s="105"/>
      <c r="B48" s="105"/>
      <c r="C48" s="105" t="s">
        <v>159</v>
      </c>
      <c r="D48" s="105"/>
      <c r="E48" s="105"/>
      <c r="F48" s="105"/>
      <c r="G48" s="105"/>
      <c r="H48" s="105"/>
    </row>
    <row r="49" spans="1:11" x14ac:dyDescent="0.35">
      <c r="A49" s="106" t="s">
        <v>46</v>
      </c>
      <c r="B49" s="106"/>
      <c r="C49" s="106" t="s">
        <v>30</v>
      </c>
      <c r="D49" s="107"/>
      <c r="E49" s="107" t="s">
        <v>47</v>
      </c>
      <c r="F49" s="50" t="s">
        <v>43</v>
      </c>
      <c r="G49" s="106" t="s">
        <v>30</v>
      </c>
      <c r="H49" s="106"/>
    </row>
    <row r="50" spans="1:11" x14ac:dyDescent="0.35">
      <c r="A50" s="136" t="s">
        <v>49</v>
      </c>
      <c r="B50" s="136"/>
      <c r="C50" s="136"/>
      <c r="D50" s="136"/>
      <c r="E50" s="136"/>
      <c r="F50" s="136"/>
      <c r="G50" s="136"/>
      <c r="H50" s="136"/>
    </row>
    <row r="51" spans="1:11" x14ac:dyDescent="0.35">
      <c r="A51" s="106" t="s">
        <v>134</v>
      </c>
      <c r="B51" s="106"/>
      <c r="C51" s="106"/>
      <c r="D51" s="107">
        <f>E42</f>
        <v>1782.51</v>
      </c>
      <c r="E51" s="107"/>
      <c r="F51" s="107"/>
      <c r="G51" s="107"/>
      <c r="H51" s="107"/>
    </row>
    <row r="52" spans="1:11" x14ac:dyDescent="0.35">
      <c r="A52" s="109" t="s">
        <v>50</v>
      </c>
      <c r="B52" s="108"/>
      <c r="C52" s="108"/>
      <c r="D52" s="108" t="s">
        <v>204</v>
      </c>
      <c r="E52" s="108"/>
      <c r="F52" s="108"/>
      <c r="G52" s="108"/>
      <c r="H52" s="108"/>
    </row>
    <row r="53" spans="1:11" x14ac:dyDescent="0.35">
      <c r="A53" s="109" t="s">
        <v>51</v>
      </c>
      <c r="B53" s="108"/>
      <c r="C53" s="108"/>
      <c r="D53" s="108" t="s">
        <v>243</v>
      </c>
      <c r="E53" s="108"/>
      <c r="F53" s="108"/>
      <c r="G53" s="108"/>
      <c r="H53" s="108"/>
    </row>
    <row r="54" spans="1:11" x14ac:dyDescent="0.35">
      <c r="A54" s="109" t="s">
        <v>132</v>
      </c>
      <c r="B54" s="108"/>
      <c r="C54" s="108"/>
      <c r="D54" s="115" t="s">
        <v>244</v>
      </c>
      <c r="E54" s="115"/>
      <c r="F54" s="115"/>
      <c r="G54" s="115"/>
      <c r="H54" s="115"/>
    </row>
    <row r="55" spans="1:11" ht="15.75" customHeight="1" x14ac:dyDescent="0.35">
      <c r="A55" s="108" t="s">
        <v>48</v>
      </c>
      <c r="B55" s="108"/>
      <c r="C55" s="108"/>
      <c r="D55" s="105" t="s">
        <v>252</v>
      </c>
      <c r="E55" s="105"/>
      <c r="F55" s="105"/>
      <c r="G55" s="105"/>
      <c r="H55" s="105"/>
    </row>
    <row r="56" spans="1:11" ht="15.75" customHeight="1" x14ac:dyDescent="0.35">
      <c r="A56" s="108" t="s">
        <v>129</v>
      </c>
      <c r="B56" s="108"/>
      <c r="C56" s="108"/>
      <c r="D56" s="105" t="s">
        <v>130</v>
      </c>
      <c r="E56" s="105"/>
      <c r="F56" s="105"/>
      <c r="G56" s="105"/>
      <c r="H56" s="105"/>
    </row>
    <row r="57" spans="1:11" ht="15.75" customHeight="1" x14ac:dyDescent="0.35">
      <c r="A57" s="108" t="s">
        <v>131</v>
      </c>
      <c r="B57" s="108"/>
      <c r="C57" s="108"/>
      <c r="D57" s="109" t="s">
        <v>24</v>
      </c>
      <c r="E57" s="109"/>
      <c r="F57" s="109"/>
      <c r="G57" s="109"/>
      <c r="H57" s="109"/>
      <c r="J57" s="8"/>
      <c r="K57" s="8"/>
    </row>
    <row r="58" spans="1:11" ht="15.75" customHeight="1" thickBot="1" x14ac:dyDescent="0.4">
      <c r="A58" s="108" t="s">
        <v>128</v>
      </c>
      <c r="B58" s="108"/>
      <c r="C58" s="108"/>
      <c r="D58" s="109" t="s">
        <v>205</v>
      </c>
      <c r="E58" s="109"/>
      <c r="F58" s="109"/>
      <c r="G58" s="109"/>
      <c r="H58" s="109"/>
      <c r="J58" s="8"/>
      <c r="K58" s="8"/>
    </row>
    <row r="59" spans="1:11" hidden="1" x14ac:dyDescent="0.35">
      <c r="A59" s="88" t="s">
        <v>206</v>
      </c>
      <c r="B59" s="88"/>
      <c r="C59" s="88"/>
      <c r="D59" s="88"/>
      <c r="E59" s="88"/>
      <c r="F59" s="88"/>
      <c r="G59" s="88"/>
      <c r="H59" s="88"/>
      <c r="J59" s="8"/>
      <c r="K59" s="8"/>
    </row>
    <row r="60" spans="1:11" hidden="1" x14ac:dyDescent="0.35">
      <c r="A60" s="53" t="s">
        <v>108</v>
      </c>
      <c r="B60" s="53">
        <v>0</v>
      </c>
      <c r="C60" s="53" t="s">
        <v>110</v>
      </c>
      <c r="D60" s="53">
        <v>1</v>
      </c>
      <c r="E60" s="53" t="s">
        <v>109</v>
      </c>
      <c r="F60" s="53">
        <v>0</v>
      </c>
      <c r="G60" s="53" t="s">
        <v>121</v>
      </c>
      <c r="H60" s="53">
        <v>4</v>
      </c>
      <c r="J60" s="8"/>
      <c r="K60" s="8"/>
    </row>
    <row r="61" spans="1:11" ht="36.65" hidden="1" customHeight="1" x14ac:dyDescent="0.35">
      <c r="A61" s="126" t="s">
        <v>133</v>
      </c>
      <c r="B61" s="126"/>
      <c r="C61" s="88" t="s">
        <v>217</v>
      </c>
      <c r="D61" s="88"/>
      <c r="E61" s="88"/>
      <c r="F61" s="88"/>
      <c r="G61" s="88"/>
      <c r="H61" s="88"/>
      <c r="I61" s="8" t="str">
        <f>(IF(C63=1,"Excavation work in process",IF(C63=2,"Excavation work completed",IF(C63=4,"Footing work is process",IF(C63=5,"Footing work Completed",IF(C63=7,"Plinth work is process",IF(C63=10,"Plinth work completed","0"))))))) &amp;(IF(C64&gt;0,", RCC upto "&amp;C64&amp;" Slab completed","")) &amp;(IF(C65&gt;0,", Brickwork upto "&amp;C65&amp;" Floor completed"," ")) &amp;(IF(C66&gt;0,", Plaster upto "&amp;C66&amp;" Floor completed"," ")) &amp;(IF(C67&gt;0,", Flooring upto "&amp;C67&amp;" Floor completed"," ")) &amp;(IF(C68&gt;0,", Painting upto "&amp;C68&amp;" Floor completed"," ")) &amp;(IF(C69&gt;0,", Finishing upto "&amp;C69&amp;" Floor completed"," "))</f>
        <v xml:space="preserve">Plinth work completed, RCC upto 5 Slab completed, Brickwork upto 2 Floor completed    </v>
      </c>
      <c r="J61" s="8"/>
      <c r="K61" s="8"/>
    </row>
    <row r="62" spans="1:11" ht="36" hidden="1" customHeight="1" x14ac:dyDescent="0.35">
      <c r="A62" s="66" t="s">
        <v>52</v>
      </c>
      <c r="B62" s="66"/>
      <c r="C62" s="51" t="s">
        <v>124</v>
      </c>
      <c r="D62" s="51" t="s">
        <v>125</v>
      </c>
      <c r="E62" s="89" t="s">
        <v>127</v>
      </c>
      <c r="F62" s="89"/>
      <c r="G62" s="89" t="s">
        <v>126</v>
      </c>
      <c r="H62" s="89"/>
      <c r="I62" s="8" t="s">
        <v>145</v>
      </c>
      <c r="J62" s="8"/>
      <c r="K62" s="8"/>
    </row>
    <row r="63" spans="1:11" hidden="1" x14ac:dyDescent="0.35">
      <c r="A63" s="66" t="s">
        <v>53</v>
      </c>
      <c r="B63" s="66"/>
      <c r="C63" s="25">
        <v>10</v>
      </c>
      <c r="D63" s="52">
        <f>((100/10)*C63)/100</f>
        <v>1</v>
      </c>
      <c r="E63" s="67">
        <f>(IF(C61=I63,"100%",IF(C61=I64,"100%",((C63+(40/(B60+D60+F60+H60)*C64)+(15/H60*C65)+(10/H60*C66)+(10/H60*C67)+(5/H60*C68)+(5/H60*C69))/100))))</f>
        <v>0.57499999999999996</v>
      </c>
      <c r="F63" s="67"/>
      <c r="G63" s="67">
        <f>((IF(C63=1,"2",IF(C63=2,"4",IF(C63=4,"8",IF(C63=5,"15",IF(C63=7,"20",IF(C63=10,"30","0")))))))/100)+(((30/(H60+F60+D60+B60)*C64)+(15/H60*C65)+(10/H60*C66)+(5/H60*C67)+(5/H60*C68)+(5/H60*C69))/100)</f>
        <v>0.67500000000000004</v>
      </c>
      <c r="H63" s="67"/>
      <c r="I63" s="8" t="s">
        <v>144</v>
      </c>
      <c r="J63" s="26"/>
      <c r="K63" s="26"/>
    </row>
    <row r="64" spans="1:11" hidden="1" x14ac:dyDescent="0.35">
      <c r="A64" s="66" t="s">
        <v>143</v>
      </c>
      <c r="B64" s="66"/>
      <c r="C64" s="27">
        <v>5</v>
      </c>
      <c r="D64" s="52">
        <f>((100/(B60+F60+D60+H60))*C64)/100</f>
        <v>1</v>
      </c>
      <c r="E64" s="67"/>
      <c r="F64" s="67"/>
      <c r="G64" s="67"/>
      <c r="H64" s="67"/>
      <c r="I64" s="8" t="s">
        <v>146</v>
      </c>
      <c r="J64" s="26"/>
      <c r="K64" s="26"/>
    </row>
    <row r="65" spans="1:11" hidden="1" x14ac:dyDescent="0.35">
      <c r="A65" s="66" t="s">
        <v>54</v>
      </c>
      <c r="B65" s="66"/>
      <c r="C65" s="25">
        <v>2</v>
      </c>
      <c r="D65" s="52">
        <f>((100/H60)*C65)/100</f>
        <v>0.5</v>
      </c>
      <c r="E65" s="67"/>
      <c r="F65" s="67"/>
      <c r="G65" s="67"/>
      <c r="H65" s="67"/>
      <c r="I65" s="7"/>
      <c r="J65" s="26"/>
      <c r="K65" s="26"/>
    </row>
    <row r="66" spans="1:11" hidden="1" x14ac:dyDescent="0.35">
      <c r="A66" s="66" t="s">
        <v>55</v>
      </c>
      <c r="B66" s="66"/>
      <c r="C66" s="25">
        <v>0</v>
      </c>
      <c r="D66" s="52">
        <f>((100/H60)*C66)/100</f>
        <v>0</v>
      </c>
      <c r="E66" s="67"/>
      <c r="F66" s="67"/>
      <c r="G66" s="67"/>
      <c r="H66" s="67"/>
      <c r="I66" s="7"/>
      <c r="J66" s="26"/>
      <c r="K66" s="26"/>
    </row>
    <row r="67" spans="1:11" hidden="1" x14ac:dyDescent="0.35">
      <c r="A67" s="66" t="s">
        <v>56</v>
      </c>
      <c r="B67" s="66"/>
      <c r="C67" s="25">
        <v>0</v>
      </c>
      <c r="D67" s="52">
        <f>((100/H60)*C67)/100</f>
        <v>0</v>
      </c>
      <c r="E67" s="67"/>
      <c r="F67" s="67"/>
      <c r="G67" s="67"/>
      <c r="H67" s="67"/>
      <c r="I67" s="7"/>
      <c r="J67" s="26"/>
      <c r="K67" s="26"/>
    </row>
    <row r="68" spans="1:11" ht="15" hidden="1" customHeight="1" x14ac:dyDescent="0.35">
      <c r="A68" s="66" t="s">
        <v>57</v>
      </c>
      <c r="B68" s="66"/>
      <c r="C68" s="25">
        <v>0</v>
      </c>
      <c r="D68" s="52">
        <f>((100/H60)*C68)/100</f>
        <v>0</v>
      </c>
      <c r="E68" s="67"/>
      <c r="F68" s="67"/>
      <c r="G68" s="67"/>
      <c r="H68" s="67"/>
      <c r="I68" s="7"/>
      <c r="J68" s="26"/>
      <c r="K68" s="26"/>
    </row>
    <row r="69" spans="1:11" hidden="1" x14ac:dyDescent="0.35">
      <c r="A69" s="66" t="s">
        <v>58</v>
      </c>
      <c r="B69" s="66"/>
      <c r="C69" s="25">
        <v>0</v>
      </c>
      <c r="D69" s="52">
        <f>((100/H60)*C69)/100</f>
        <v>0</v>
      </c>
      <c r="E69" s="67"/>
      <c r="F69" s="67"/>
      <c r="G69" s="67"/>
      <c r="H69" s="67"/>
    </row>
    <row r="70" spans="1:11" ht="15.75" hidden="1" customHeight="1" x14ac:dyDescent="0.35">
      <c r="A70" s="108" t="s">
        <v>131</v>
      </c>
      <c r="B70" s="108"/>
      <c r="C70" s="108"/>
      <c r="D70" s="109" t="s">
        <v>24</v>
      </c>
      <c r="E70" s="109"/>
      <c r="F70" s="109"/>
      <c r="G70" s="109"/>
      <c r="H70" s="109"/>
      <c r="I70" s="8" t="str">
        <f>(IF(C76=1,"Excavation work in process",IF(C76=2,"Excavation work completed",IF(C76=4,"Footing work is process",IF(C76=5,"Footing work Completed",IF(C76=7,"Plinth work is process",IF(C76=10,"Plinth work completed","0"))))))) &amp;(IF(C77&gt;0,", RCC upto "&amp;C77&amp;" Slab completed","")) &amp;(IF(C78&gt;0,", Brickwork upto "&amp;C78&amp;" Floor completed"," ")) &amp;(IF(C79&gt;0,", Plaster upto "&amp;C79&amp;" Floor completed"," ")) &amp;(IF(C80&gt;0,", Flooring upto "&amp;C80&amp;" Floor completed"," ")) &amp;(IF(C81&gt;0,", Painting upto "&amp;C81&amp;" Floor completed"," ")) &amp;(IF(C82&gt;0,", Finishing upto "&amp;C82&amp;" Floor completed"," "))</f>
        <v xml:space="preserve">Plinth work completed, RCC upto 5 Slab completed, Brickwork upto 4 Floor completed, Plaster upto 1.5 Floor completed   </v>
      </c>
      <c r="J70" s="8"/>
      <c r="K70" s="8"/>
    </row>
    <row r="71" spans="1:11" ht="15.75" hidden="1" customHeight="1" x14ac:dyDescent="0.35">
      <c r="A71" s="108" t="s">
        <v>128</v>
      </c>
      <c r="B71" s="108"/>
      <c r="C71" s="108"/>
      <c r="D71" s="109" t="s">
        <v>205</v>
      </c>
      <c r="E71" s="109"/>
      <c r="F71" s="109"/>
      <c r="G71" s="109"/>
      <c r="H71" s="109"/>
      <c r="I71" s="8" t="s">
        <v>145</v>
      </c>
      <c r="J71" s="8"/>
      <c r="K71" s="8"/>
    </row>
    <row r="72" spans="1:11" hidden="1" x14ac:dyDescent="0.35">
      <c r="A72" s="88" t="s">
        <v>207</v>
      </c>
      <c r="B72" s="88"/>
      <c r="C72" s="88"/>
      <c r="D72" s="88"/>
      <c r="E72" s="88"/>
      <c r="F72" s="88"/>
      <c r="G72" s="88"/>
      <c r="H72" s="88"/>
      <c r="I72" s="8"/>
      <c r="J72" s="8"/>
      <c r="K72" s="8"/>
    </row>
    <row r="73" spans="1:11" hidden="1" x14ac:dyDescent="0.35">
      <c r="A73" s="53" t="s">
        <v>108</v>
      </c>
      <c r="B73" s="53">
        <v>0</v>
      </c>
      <c r="C73" s="53" t="s">
        <v>110</v>
      </c>
      <c r="D73" s="53">
        <v>1</v>
      </c>
      <c r="E73" s="53" t="s">
        <v>109</v>
      </c>
      <c r="F73" s="53">
        <v>0</v>
      </c>
      <c r="G73" s="53" t="s">
        <v>121</v>
      </c>
      <c r="H73" s="53">
        <v>4</v>
      </c>
      <c r="J73" s="8"/>
      <c r="K73" s="8"/>
    </row>
    <row r="74" spans="1:11" ht="35.25" hidden="1" customHeight="1" x14ac:dyDescent="0.35">
      <c r="A74" s="126" t="s">
        <v>133</v>
      </c>
      <c r="B74" s="126"/>
      <c r="C74" s="88" t="str">
        <f>I74</f>
        <v xml:space="preserve">Plinth work completed, RCC upto 5 Slab completed, Brickwork upto 4 Floor completed, Plaster upto 1.5 Floor completed   </v>
      </c>
      <c r="D74" s="88"/>
      <c r="E74" s="88"/>
      <c r="F74" s="88"/>
      <c r="G74" s="88"/>
      <c r="H74" s="88"/>
      <c r="I74" s="8" t="str">
        <f>(IF(C76=1,"Excavation work in process",IF(C76=2,"Excavation work completed",IF(C76=4,"Footing work is process",IF(C76=5,"Footing work Completed",IF(C76=7,"Plinth work is process",IF(C76=10,"Plinth work completed","0"))))))) &amp;(IF(C77&gt;0,", RCC upto "&amp;C77&amp;" Slab completed","")) &amp;(IF(C78&gt;0,", Brickwork upto "&amp;C78&amp;" Floor completed"," ")) &amp;(IF(C79&gt;0,", Plaster upto "&amp;C79&amp;" Floor completed"," ")) &amp;(IF(C80&gt;0,", Flooring upto "&amp;C80&amp;" Floor completed"," ")) &amp;(IF(C81&gt;0,", Painting upto "&amp;C81&amp;" Floor completed"," ")) &amp;(IF(C82&gt;0,", Finishing upto "&amp;C82&amp;" Floor completed"," "))</f>
        <v xml:space="preserve">Plinth work completed, RCC upto 5 Slab completed, Brickwork upto 4 Floor completed, Plaster upto 1.5 Floor completed   </v>
      </c>
      <c r="J74" s="8"/>
      <c r="K74" s="8"/>
    </row>
    <row r="75" spans="1:11" ht="36" hidden="1" customHeight="1" x14ac:dyDescent="0.35">
      <c r="A75" s="66" t="s">
        <v>52</v>
      </c>
      <c r="B75" s="66"/>
      <c r="C75" s="51" t="s">
        <v>124</v>
      </c>
      <c r="D75" s="51" t="s">
        <v>125</v>
      </c>
      <c r="E75" s="89" t="s">
        <v>127</v>
      </c>
      <c r="F75" s="89"/>
      <c r="G75" s="89" t="s">
        <v>126</v>
      </c>
      <c r="H75" s="89"/>
      <c r="I75" s="8" t="s">
        <v>145</v>
      </c>
      <c r="J75" s="8"/>
      <c r="K75" s="8"/>
    </row>
    <row r="76" spans="1:11" hidden="1" x14ac:dyDescent="0.35">
      <c r="A76" s="66" t="s">
        <v>53</v>
      </c>
      <c r="B76" s="66"/>
      <c r="C76" s="25">
        <v>10</v>
      </c>
      <c r="D76" s="52">
        <f>((100/10)*C76)/100</f>
        <v>1</v>
      </c>
      <c r="E76" s="67">
        <f>(IF(C74=I76,"100%",IF(C74=I77,"100%",((C76+(40/(B73+D73+F73+H73)*C77)+(15/H73*C78)+(10/H73*C79)+(10/H73*C80)+(5/H73*C81)+(5/H73*C82))/100))))</f>
        <v>0.6875</v>
      </c>
      <c r="F76" s="67"/>
      <c r="G76" s="67">
        <f>((IF(C76=1,"2",IF(C76=2,"4",IF(C76=4,"8",IF(C76=5,"15",IF(C76=7,"20",IF(C76=10,"30","0")))))))/100)+(((30/(H73+F73+D73+B73)*C77)+(15/H73*C78)+(10/H73*C79)+(5/H73*C80)+(5/H73*C81)+(5/H73*C82))/100)</f>
        <v>0.78749999999999998</v>
      </c>
      <c r="H76" s="67"/>
      <c r="I76" s="8" t="s">
        <v>144</v>
      </c>
      <c r="J76" s="26"/>
      <c r="K76" s="26"/>
    </row>
    <row r="77" spans="1:11" hidden="1" x14ac:dyDescent="0.35">
      <c r="A77" s="66" t="s">
        <v>143</v>
      </c>
      <c r="B77" s="66"/>
      <c r="C77" s="27">
        <v>5</v>
      </c>
      <c r="D77" s="52">
        <f>((100/(B73+F73+D73+H73))*C77)/100</f>
        <v>1</v>
      </c>
      <c r="E77" s="67"/>
      <c r="F77" s="67"/>
      <c r="G77" s="67"/>
      <c r="H77" s="67"/>
      <c r="I77" s="8" t="s">
        <v>146</v>
      </c>
      <c r="J77" s="26"/>
      <c r="K77" s="26"/>
    </row>
    <row r="78" spans="1:11" hidden="1" x14ac:dyDescent="0.35">
      <c r="A78" s="66" t="s">
        <v>54</v>
      </c>
      <c r="B78" s="66"/>
      <c r="C78" s="25">
        <v>4</v>
      </c>
      <c r="D78" s="52">
        <f>((100/H73)*C78)/100</f>
        <v>1</v>
      </c>
      <c r="E78" s="67"/>
      <c r="F78" s="67"/>
      <c r="G78" s="67"/>
      <c r="H78" s="67"/>
      <c r="I78" s="7"/>
      <c r="J78" s="26"/>
      <c r="K78" s="26"/>
    </row>
    <row r="79" spans="1:11" hidden="1" x14ac:dyDescent="0.35">
      <c r="A79" s="66" t="s">
        <v>55</v>
      </c>
      <c r="B79" s="66"/>
      <c r="C79" s="25">
        <v>1.5</v>
      </c>
      <c r="D79" s="52">
        <f>((100/H73)*C79)/100</f>
        <v>0.375</v>
      </c>
      <c r="E79" s="67"/>
      <c r="F79" s="67"/>
      <c r="G79" s="67"/>
      <c r="H79" s="67"/>
      <c r="I79" s="7"/>
      <c r="J79" s="26"/>
      <c r="K79" s="26"/>
    </row>
    <row r="80" spans="1:11" hidden="1" x14ac:dyDescent="0.35">
      <c r="A80" s="66" t="s">
        <v>56</v>
      </c>
      <c r="B80" s="66"/>
      <c r="C80" s="25">
        <v>0</v>
      </c>
      <c r="D80" s="52">
        <f>((100/H73)*C80)/100</f>
        <v>0</v>
      </c>
      <c r="E80" s="67"/>
      <c r="F80" s="67"/>
      <c r="G80" s="67"/>
      <c r="H80" s="67"/>
      <c r="I80" s="7"/>
      <c r="J80" s="26"/>
      <c r="K80" s="26"/>
    </row>
    <row r="81" spans="1:11" ht="15" hidden="1" customHeight="1" x14ac:dyDescent="0.35">
      <c r="A81" s="66" t="s">
        <v>57</v>
      </c>
      <c r="B81" s="66"/>
      <c r="C81" s="25">
        <v>0</v>
      </c>
      <c r="D81" s="52">
        <f>((100/H73)*C81)/100</f>
        <v>0</v>
      </c>
      <c r="E81" s="67"/>
      <c r="F81" s="67"/>
      <c r="G81" s="67"/>
      <c r="H81" s="67"/>
      <c r="I81" s="7"/>
      <c r="J81" s="26"/>
      <c r="K81" s="26"/>
    </row>
    <row r="82" spans="1:11" ht="16" hidden="1" thickBot="1" x14ac:dyDescent="0.4">
      <c r="A82" s="66" t="s">
        <v>58</v>
      </c>
      <c r="B82" s="66"/>
      <c r="C82" s="25">
        <v>0</v>
      </c>
      <c r="D82" s="52">
        <f>((100/H73)*C82)/100</f>
        <v>0</v>
      </c>
      <c r="E82" s="67"/>
      <c r="F82" s="67"/>
      <c r="G82" s="67"/>
      <c r="H82" s="67"/>
    </row>
    <row r="83" spans="1:11" ht="15.75" customHeight="1" x14ac:dyDescent="0.35">
      <c r="A83" s="73" t="s">
        <v>222</v>
      </c>
      <c r="B83" s="74"/>
      <c r="C83" s="75" t="s">
        <v>255</v>
      </c>
      <c r="D83" s="76"/>
      <c r="E83" s="76"/>
      <c r="F83" s="76"/>
      <c r="G83" s="76"/>
      <c r="H83" s="77"/>
      <c r="I83" s="19" t="str">
        <f ca="1">(IF(C87=0,"Work not yet Started.",IF(D87=50%,"Excavation work in process",IF(D87=100%,"Excavation work completed, ","0")))&amp;(IF(C88=0%,"",IF(D88=25%,"Footing work is process",IF(D88=50%,"Footing work Completed",IF(D88=75%,"Plinth work is process",IF(D88=100%,"Plinth work completed","0"))))))&amp;(IF(C89&gt;0,", RCC upto "&amp;C89&amp;" Slab completed",""))&amp;(IF(C90&gt;0,", Brickwork upto "&amp;C90&amp;" Floor completed"," "))&amp;(IF(C91&gt;0,", Internal Plaster upto "&amp;C91&amp;" Floor completed"," "))&amp;(IF(C92&gt;0,", External Plaster upto "&amp;C92&amp;" Floor completed"," "))&amp;(IF(C93&gt;0,", Flooring upto "&amp;C93&amp;" Floor completed"," "))&amp;(IF(C94&gt;0,", Painting upto "&amp;C94&amp;" Floor completed"," "))&amp;(IF(C95&gt;0,", Finishing upto "&amp;C95&amp;" Floor completed"," ")))</f>
        <v xml:space="preserve">Excavation work completed, Plinth work completed, RCC upto 5 Slab completed, Brickwork upto 4 Floor completed, Internal Plaster upto 4 Floor completed, External Plaster upto 4 Floor completed, Flooring upto 4 Floor completed, Painting upto 3 Floor completed </v>
      </c>
      <c r="J83" s="19"/>
      <c r="K83" s="28"/>
    </row>
    <row r="84" spans="1:11" x14ac:dyDescent="0.35">
      <c r="A84" s="78" t="s">
        <v>110</v>
      </c>
      <c r="B84" s="79"/>
      <c r="C84" s="80">
        <v>1</v>
      </c>
      <c r="D84" s="80"/>
      <c r="E84" s="54" t="s">
        <v>109</v>
      </c>
      <c r="F84" s="54">
        <v>0</v>
      </c>
      <c r="G84" s="55" t="s">
        <v>121</v>
      </c>
      <c r="H84" s="20">
        <f ca="1">--TRIM(RIGHT(SUBSTITUTE(LEFT(C83,_xlfn.AGGREGATE(16,6,FIND({0,1,2,3,4,5,6,7,8,9},C83,ROW(INDIRECT("1:"&amp;LEN(C83)))),1))," ",REPT(" ",LEN(C83))),LEN(C83)))</f>
        <v>4</v>
      </c>
      <c r="I84" s="8" t="s">
        <v>145</v>
      </c>
      <c r="J84" s="8"/>
      <c r="K84" s="29"/>
    </row>
    <row r="85" spans="1:11" ht="67.75" customHeight="1" x14ac:dyDescent="0.35">
      <c r="A85" s="81" t="s">
        <v>133</v>
      </c>
      <c r="B85" s="82"/>
      <c r="C85" s="83" t="str">
        <f ca="1">I83</f>
        <v xml:space="preserve">Excavation work completed, Plinth work completed, RCC upto 5 Slab completed, Brickwork upto 4 Floor completed, Internal Plaster upto 4 Floor completed, External Plaster upto 4 Floor completed, Flooring upto 4 Floor completed, Painting upto 3 Floor completed </v>
      </c>
      <c r="D85" s="83"/>
      <c r="E85" s="83"/>
      <c r="F85" s="83"/>
      <c r="G85" s="83"/>
      <c r="H85" s="84"/>
      <c r="I85" s="8" t="s">
        <v>223</v>
      </c>
      <c r="J85" s="8"/>
      <c r="K85" s="29"/>
    </row>
    <row r="86" spans="1:11" ht="31" x14ac:dyDescent="0.35">
      <c r="A86" s="65" t="s">
        <v>52</v>
      </c>
      <c r="B86" s="66"/>
      <c r="C86" s="51" t="s">
        <v>224</v>
      </c>
      <c r="D86" s="51" t="s">
        <v>125</v>
      </c>
      <c r="E86" s="66" t="s">
        <v>127</v>
      </c>
      <c r="F86" s="66"/>
      <c r="G86" s="66" t="s">
        <v>126</v>
      </c>
      <c r="H86" s="85"/>
      <c r="I86" s="8" t="s">
        <v>146</v>
      </c>
      <c r="K86" s="30"/>
    </row>
    <row r="87" spans="1:11" x14ac:dyDescent="0.35">
      <c r="A87" s="65" t="s">
        <v>225</v>
      </c>
      <c r="B87" s="66"/>
      <c r="C87" s="31">
        <f ca="1">K90</f>
        <v>4</v>
      </c>
      <c r="D87" s="52">
        <f ca="1">((100/H84)*C87)/100</f>
        <v>1</v>
      </c>
      <c r="E87" s="67">
        <f ca="1">(IF(C85=I85,"100%",IF(C85=I86,"100%",(((C88/H84*10)+(40/(C84+F84+H84)*C89)+(7.5/(H84)*C90)+(7.5/(H84)*C91)+(10/H84*C92)+(10/H84*C93)+(5/H84*C94)+(5/H84*C95)+(5/H84*C96))/100))))</f>
        <v>0.88749999999999996</v>
      </c>
      <c r="F87" s="67"/>
      <c r="G87" s="67">
        <f ca="1">((((C87/H84)*20)+((C88/H84)*25)+(30/(H84+F84+C84)*C89)+(5/H84*C90)+(5/H84*C91)+(5/H84*C92)+(5/H84*C93)+(0/H84*C94)+(0/H84*C95)+(5/H84*C96))/100)</f>
        <v>0.95</v>
      </c>
      <c r="H87" s="69"/>
      <c r="I87" s="8"/>
      <c r="K87" s="30"/>
    </row>
    <row r="88" spans="1:11" x14ac:dyDescent="0.35">
      <c r="A88" s="65" t="s">
        <v>53</v>
      </c>
      <c r="B88" s="66"/>
      <c r="C88" s="31">
        <f ca="1">K95</f>
        <v>4</v>
      </c>
      <c r="D88" s="52">
        <f ca="1">((100/H84)*C88)/100</f>
        <v>1</v>
      </c>
      <c r="E88" s="67"/>
      <c r="F88" s="67"/>
      <c r="G88" s="67"/>
      <c r="H88" s="69"/>
      <c r="K88" s="30"/>
    </row>
    <row r="89" spans="1:11" ht="15.75" customHeight="1" x14ac:dyDescent="0.35">
      <c r="A89" s="86" t="s">
        <v>226</v>
      </c>
      <c r="B89" s="87"/>
      <c r="C89" s="32">
        <f ca="1">C84+F84+H84</f>
        <v>5</v>
      </c>
      <c r="D89" s="52">
        <f ca="1">((100/(C84+F84+H84))*C89)/100</f>
        <v>1</v>
      </c>
      <c r="E89" s="67"/>
      <c r="F89" s="67"/>
      <c r="G89" s="67"/>
      <c r="H89" s="69"/>
      <c r="I89" s="7" t="s">
        <v>227</v>
      </c>
      <c r="J89" s="26"/>
      <c r="K89" s="33">
        <f ca="1">H84*50%</f>
        <v>2</v>
      </c>
    </row>
    <row r="90" spans="1:11" ht="15.75" customHeight="1" x14ac:dyDescent="0.35">
      <c r="A90" s="65" t="s">
        <v>228</v>
      </c>
      <c r="B90" s="66" t="s">
        <v>229</v>
      </c>
      <c r="C90" s="31">
        <v>4</v>
      </c>
      <c r="D90" s="52">
        <f ca="1">((100/H84)*C90)/100</f>
        <v>1</v>
      </c>
      <c r="E90" s="67"/>
      <c r="F90" s="67"/>
      <c r="G90" s="67"/>
      <c r="H90" s="69"/>
      <c r="I90" s="7" t="s">
        <v>230</v>
      </c>
      <c r="J90" s="26"/>
      <c r="K90" s="33">
        <f ca="1">H84</f>
        <v>4</v>
      </c>
    </row>
    <row r="91" spans="1:11" ht="15.75" customHeight="1" x14ac:dyDescent="0.35">
      <c r="A91" s="65" t="s">
        <v>231</v>
      </c>
      <c r="B91" s="66" t="s">
        <v>229</v>
      </c>
      <c r="C91" s="31">
        <v>4</v>
      </c>
      <c r="D91" s="52">
        <f ca="1">((100/H84)*C91)/100</f>
        <v>1</v>
      </c>
      <c r="E91" s="67"/>
      <c r="F91" s="67"/>
      <c r="G91" s="67"/>
      <c r="H91" s="69"/>
      <c r="I91" s="7"/>
      <c r="J91" s="26"/>
      <c r="K91" s="33"/>
    </row>
    <row r="92" spans="1:11" ht="15" customHeight="1" x14ac:dyDescent="0.35">
      <c r="A92" s="65" t="s">
        <v>232</v>
      </c>
      <c r="B92" s="66" t="s">
        <v>233</v>
      </c>
      <c r="C92" s="31">
        <v>4</v>
      </c>
      <c r="D92" s="52">
        <f ca="1">((100/(H84))*C92)/100</f>
        <v>1</v>
      </c>
      <c r="E92" s="67"/>
      <c r="F92" s="67"/>
      <c r="G92" s="67"/>
      <c r="H92" s="69"/>
      <c r="I92" s="7" t="s">
        <v>234</v>
      </c>
      <c r="J92" s="26"/>
      <c r="K92" s="33">
        <f ca="1">H84*25%</f>
        <v>1</v>
      </c>
    </row>
    <row r="93" spans="1:11" ht="15.75" customHeight="1" x14ac:dyDescent="0.35">
      <c r="A93" s="65" t="s">
        <v>235</v>
      </c>
      <c r="B93" s="66" t="s">
        <v>235</v>
      </c>
      <c r="C93" s="31">
        <v>4</v>
      </c>
      <c r="D93" s="52">
        <f ca="1">((100/H84)*C93)/100</f>
        <v>1</v>
      </c>
      <c r="E93" s="67"/>
      <c r="F93" s="67"/>
      <c r="G93" s="67"/>
      <c r="H93" s="69"/>
      <c r="I93" s="7" t="s">
        <v>236</v>
      </c>
      <c r="J93" s="26"/>
      <c r="K93" s="33">
        <f ca="1">H84*50%</f>
        <v>2</v>
      </c>
    </row>
    <row r="94" spans="1:11" x14ac:dyDescent="0.35">
      <c r="A94" s="65" t="s">
        <v>237</v>
      </c>
      <c r="B94" s="66"/>
      <c r="C94" s="31">
        <v>3</v>
      </c>
      <c r="D94" s="52">
        <f ca="1">((100/H84)*C94)/100</f>
        <v>0.75</v>
      </c>
      <c r="E94" s="67"/>
      <c r="F94" s="67"/>
      <c r="G94" s="67"/>
      <c r="H94" s="69"/>
      <c r="I94" s="7" t="s">
        <v>238</v>
      </c>
      <c r="J94" s="26"/>
      <c r="K94" s="33">
        <f ca="1">H84*75%</f>
        <v>3</v>
      </c>
    </row>
    <row r="95" spans="1:11" x14ac:dyDescent="0.35">
      <c r="A95" s="65" t="s">
        <v>239</v>
      </c>
      <c r="B95" s="66" t="s">
        <v>239</v>
      </c>
      <c r="C95" s="31">
        <v>0</v>
      </c>
      <c r="D95" s="52">
        <f ca="1">((100/(H84))*C95)/100</f>
        <v>0</v>
      </c>
      <c r="E95" s="67"/>
      <c r="F95" s="67"/>
      <c r="G95" s="67"/>
      <c r="H95" s="69"/>
      <c r="I95" s="7" t="s">
        <v>240</v>
      </c>
      <c r="J95" s="26"/>
      <c r="K95" s="33">
        <f ca="1">H84</f>
        <v>4</v>
      </c>
    </row>
    <row r="96" spans="1:11" ht="16" thickBot="1" x14ac:dyDescent="0.4">
      <c r="A96" s="71" t="s">
        <v>241</v>
      </c>
      <c r="B96" s="72"/>
      <c r="C96" s="34">
        <v>0</v>
      </c>
      <c r="D96" s="57">
        <f ca="1">((100/(H84))*C96)/100</f>
        <v>0</v>
      </c>
      <c r="E96" s="68"/>
      <c r="F96" s="68"/>
      <c r="G96" s="68"/>
      <c r="H96" s="70"/>
      <c r="I96" s="35"/>
      <c r="J96" s="35"/>
      <c r="K96" s="36"/>
    </row>
    <row r="97" spans="1:11" ht="15.75" customHeight="1" x14ac:dyDescent="0.35">
      <c r="A97" s="73" t="s">
        <v>222</v>
      </c>
      <c r="B97" s="74"/>
      <c r="C97" s="75" t="s">
        <v>256</v>
      </c>
      <c r="D97" s="76"/>
      <c r="E97" s="76"/>
      <c r="F97" s="76"/>
      <c r="G97" s="76"/>
      <c r="H97" s="77"/>
      <c r="I97" s="19" t="str">
        <f ca="1">(IF(C101=0,"Work not yet Started.",IF(D101=50%,"Excavation work in process",IF(D101=100%,"Excavation work completed, ","0")))&amp;(IF(C102=0%,"",IF(D102=25%,"Footing work is process",IF(D102=50%,"Footing work Completed",IF(D102=75%,"Plinth work is process",IF(D102=100%,"Plinth work completed","0"))))))&amp;(IF(C103&gt;0,", RCC upto "&amp;C103&amp;" Slab completed",""))&amp;(IF(C104&gt;0,", Brickwork upto "&amp;C104&amp;" Floor completed"," "))&amp;(IF(C105&gt;0,", Internal Plaster upto "&amp;C105&amp;" Floor completed"," "))&amp;(IF(C106&gt;0,", External Plaster upto "&amp;C106&amp;" Floor completed"," "))&amp;(IF(C107&gt;0,", Flooring upto "&amp;C107&amp;" Floor completed"," "))&amp;(IF(C108&gt;0,", Painting upto "&amp;C108&amp;" Floor completed"," "))&amp;(IF(C109&gt;0,", Finishing upto "&amp;C109&amp;" Floor completed"," ")))</f>
        <v>Excavation work completed, Plinth work completed, RCC upto 5 Slab completed, Brickwork upto 4 Floor completed, Internal Plaster upto 4 Floor completed, External Plaster upto 4 Floor completed, Flooring upto 4 Floor completed, Painting upto 3 Floor completed, Finishing upto 2 Floor completed</v>
      </c>
      <c r="J97" s="19"/>
      <c r="K97" s="28"/>
    </row>
    <row r="98" spans="1:11" x14ac:dyDescent="0.35">
      <c r="A98" s="78" t="s">
        <v>110</v>
      </c>
      <c r="B98" s="79"/>
      <c r="C98" s="80">
        <v>1</v>
      </c>
      <c r="D98" s="80"/>
      <c r="E98" s="54" t="s">
        <v>109</v>
      </c>
      <c r="F98" s="54">
        <v>0</v>
      </c>
      <c r="G98" s="55" t="s">
        <v>121</v>
      </c>
      <c r="H98" s="20">
        <f ca="1">--TRIM(RIGHT(SUBSTITUTE(LEFT(C97,_xlfn.AGGREGATE(16,6,FIND({0,1,2,3,4,5,6,7,8,9},C97,ROW(INDIRECT("1:"&amp;LEN(C97)))),1))," ",REPT(" ",LEN(C97))),LEN(C97)))</f>
        <v>4</v>
      </c>
      <c r="I98" s="8" t="s">
        <v>145</v>
      </c>
      <c r="J98" s="8"/>
      <c r="K98" s="29"/>
    </row>
    <row r="99" spans="1:11" ht="78.900000000000006" customHeight="1" x14ac:dyDescent="0.35">
      <c r="A99" s="81" t="s">
        <v>133</v>
      </c>
      <c r="B99" s="82"/>
      <c r="C99" s="83" t="str">
        <f ca="1">I97</f>
        <v>Excavation work completed, Plinth work completed, RCC upto 5 Slab completed, Brickwork upto 4 Floor completed, Internal Plaster upto 4 Floor completed, External Plaster upto 4 Floor completed, Flooring upto 4 Floor completed, Painting upto 3 Floor completed, Finishing upto 2 Floor completed</v>
      </c>
      <c r="D99" s="83"/>
      <c r="E99" s="83"/>
      <c r="F99" s="83"/>
      <c r="G99" s="83"/>
      <c r="H99" s="84"/>
      <c r="I99" s="8" t="s">
        <v>223</v>
      </c>
      <c r="J99" s="8"/>
      <c r="K99" s="29"/>
    </row>
    <row r="100" spans="1:11" ht="31" x14ac:dyDescent="0.35">
      <c r="A100" s="65" t="s">
        <v>52</v>
      </c>
      <c r="B100" s="66"/>
      <c r="C100" s="51" t="s">
        <v>224</v>
      </c>
      <c r="D100" s="51" t="s">
        <v>125</v>
      </c>
      <c r="E100" s="66" t="s">
        <v>127</v>
      </c>
      <c r="F100" s="66"/>
      <c r="G100" s="66" t="s">
        <v>126</v>
      </c>
      <c r="H100" s="85"/>
      <c r="I100" s="8" t="s">
        <v>146</v>
      </c>
      <c r="K100" s="30"/>
    </row>
    <row r="101" spans="1:11" x14ac:dyDescent="0.35">
      <c r="A101" s="65" t="s">
        <v>225</v>
      </c>
      <c r="B101" s="66"/>
      <c r="C101" s="31">
        <f ca="1">K104</f>
        <v>4</v>
      </c>
      <c r="D101" s="52">
        <f ca="1">((100/H98)*C101)/100</f>
        <v>1</v>
      </c>
      <c r="E101" s="67">
        <f ca="1">(IF(C99=I99,"100%",IF(C99=I100,"100%",(((C102/H98*10)+(40/(C98+F98+H98)*C103)+(7.5/(H98)*C104)+(7.5/(H98)*C105)+(10/H98*C106)+(10/H98*C107)+(5/H98*C108)+(5/H98*C109)+(5/H98*C110))/100))))</f>
        <v>0.91249999999999998</v>
      </c>
      <c r="F101" s="67"/>
      <c r="G101" s="67">
        <f ca="1">((((C101/H98)*20)+((C102/H98)*25)+(30/(H98+F98+C98)*C103)+(5/H98*C104)+(5/H98*C105)+(5/H98*C106)+(5/H98*C107)+(0/H98*C108)+(0/H98*C109)+(5/H98*C110))/100)</f>
        <v>0.95</v>
      </c>
      <c r="H101" s="69"/>
      <c r="I101" s="8"/>
      <c r="K101" s="30"/>
    </row>
    <row r="102" spans="1:11" x14ac:dyDescent="0.35">
      <c r="A102" s="65" t="s">
        <v>53</v>
      </c>
      <c r="B102" s="66"/>
      <c r="C102" s="31">
        <f ca="1">K109</f>
        <v>4</v>
      </c>
      <c r="D102" s="52">
        <f ca="1">((100/H98)*C102)/100</f>
        <v>1</v>
      </c>
      <c r="E102" s="67"/>
      <c r="F102" s="67"/>
      <c r="G102" s="67"/>
      <c r="H102" s="69"/>
      <c r="K102" s="30"/>
    </row>
    <row r="103" spans="1:11" ht="15.75" customHeight="1" x14ac:dyDescent="0.35">
      <c r="A103" s="65" t="s">
        <v>226</v>
      </c>
      <c r="B103" s="66"/>
      <c r="C103" s="32">
        <f ca="1">C98+F98+H98</f>
        <v>5</v>
      </c>
      <c r="D103" s="52">
        <f ca="1">((100/(C98+F98+H98))*C103)/100</f>
        <v>1</v>
      </c>
      <c r="E103" s="67"/>
      <c r="F103" s="67"/>
      <c r="G103" s="67"/>
      <c r="H103" s="69"/>
      <c r="I103" s="7" t="s">
        <v>227</v>
      </c>
      <c r="J103" s="26"/>
      <c r="K103" s="33">
        <f ca="1">H98*50%</f>
        <v>2</v>
      </c>
    </row>
    <row r="104" spans="1:11" ht="15.75" customHeight="1" x14ac:dyDescent="0.35">
      <c r="A104" s="65" t="s">
        <v>228</v>
      </c>
      <c r="B104" s="66" t="s">
        <v>229</v>
      </c>
      <c r="C104" s="31">
        <f ca="1">H98</f>
        <v>4</v>
      </c>
      <c r="D104" s="52">
        <f ca="1">((100/H98)*C104)/100</f>
        <v>1</v>
      </c>
      <c r="E104" s="67"/>
      <c r="F104" s="67"/>
      <c r="G104" s="67"/>
      <c r="H104" s="69"/>
      <c r="I104" s="7" t="s">
        <v>230</v>
      </c>
      <c r="J104" s="26"/>
      <c r="K104" s="33">
        <f ca="1">H98</f>
        <v>4</v>
      </c>
    </row>
    <row r="105" spans="1:11" ht="15.75" customHeight="1" x14ac:dyDescent="0.35">
      <c r="A105" s="65" t="s">
        <v>231</v>
      </c>
      <c r="B105" s="66" t="s">
        <v>229</v>
      </c>
      <c r="C105" s="31">
        <v>4</v>
      </c>
      <c r="D105" s="52">
        <f ca="1">((100/H98)*C105)/100</f>
        <v>1</v>
      </c>
      <c r="E105" s="67"/>
      <c r="F105" s="67"/>
      <c r="G105" s="67"/>
      <c r="H105" s="69"/>
      <c r="I105" s="7"/>
      <c r="J105" s="26"/>
      <c r="K105" s="33"/>
    </row>
    <row r="106" spans="1:11" ht="15" customHeight="1" x14ac:dyDescent="0.35">
      <c r="A106" s="65" t="s">
        <v>232</v>
      </c>
      <c r="B106" s="66" t="s">
        <v>233</v>
      </c>
      <c r="C106" s="31">
        <v>4</v>
      </c>
      <c r="D106" s="52">
        <f ca="1">((100/(H98))*C106)/100</f>
        <v>1</v>
      </c>
      <c r="E106" s="67"/>
      <c r="F106" s="67"/>
      <c r="G106" s="67"/>
      <c r="H106" s="69"/>
      <c r="I106" s="7" t="s">
        <v>234</v>
      </c>
      <c r="J106" s="26"/>
      <c r="K106" s="33">
        <f ca="1">H98*25%</f>
        <v>1</v>
      </c>
    </row>
    <row r="107" spans="1:11" ht="15.75" customHeight="1" x14ac:dyDescent="0.35">
      <c r="A107" s="65" t="s">
        <v>235</v>
      </c>
      <c r="B107" s="66" t="s">
        <v>235</v>
      </c>
      <c r="C107" s="31">
        <v>4</v>
      </c>
      <c r="D107" s="52">
        <f ca="1">((100/H98)*C107)/100</f>
        <v>1</v>
      </c>
      <c r="E107" s="67"/>
      <c r="F107" s="67"/>
      <c r="G107" s="67"/>
      <c r="H107" s="69"/>
      <c r="I107" s="7" t="s">
        <v>236</v>
      </c>
      <c r="J107" s="26"/>
      <c r="K107" s="33">
        <f ca="1">H98*50%</f>
        <v>2</v>
      </c>
    </row>
    <row r="108" spans="1:11" x14ac:dyDescent="0.35">
      <c r="A108" s="65" t="s">
        <v>237</v>
      </c>
      <c r="B108" s="66"/>
      <c r="C108" s="31">
        <v>3</v>
      </c>
      <c r="D108" s="52">
        <f ca="1">((100/H98)*C108)/100</f>
        <v>0.75</v>
      </c>
      <c r="E108" s="67"/>
      <c r="F108" s="67"/>
      <c r="G108" s="67"/>
      <c r="H108" s="69"/>
      <c r="I108" s="7" t="s">
        <v>238</v>
      </c>
      <c r="J108" s="26"/>
      <c r="K108" s="33">
        <f ca="1">H98*75%</f>
        <v>3</v>
      </c>
    </row>
    <row r="109" spans="1:11" x14ac:dyDescent="0.35">
      <c r="A109" s="65" t="s">
        <v>239</v>
      </c>
      <c r="B109" s="66" t="s">
        <v>239</v>
      </c>
      <c r="C109" s="31">
        <v>2</v>
      </c>
      <c r="D109" s="52">
        <f ca="1">((100/(H98))*C109)/100</f>
        <v>0.5</v>
      </c>
      <c r="E109" s="67"/>
      <c r="F109" s="67"/>
      <c r="G109" s="67"/>
      <c r="H109" s="69"/>
      <c r="I109" s="7" t="s">
        <v>240</v>
      </c>
      <c r="J109" s="26"/>
      <c r="K109" s="33">
        <f ca="1">H98</f>
        <v>4</v>
      </c>
    </row>
    <row r="110" spans="1:11" ht="16" thickBot="1" x14ac:dyDescent="0.4">
      <c r="A110" s="71" t="s">
        <v>241</v>
      </c>
      <c r="B110" s="72"/>
      <c r="C110" s="34">
        <v>0</v>
      </c>
      <c r="D110" s="57">
        <f ca="1">((100/(H98))*C110)/100</f>
        <v>0</v>
      </c>
      <c r="E110" s="68"/>
      <c r="F110" s="68"/>
      <c r="G110" s="68"/>
      <c r="H110" s="70"/>
      <c r="I110" s="35"/>
      <c r="J110" s="35"/>
      <c r="K110" s="36"/>
    </row>
    <row r="111" spans="1:11" x14ac:dyDescent="0.35">
      <c r="A111" s="108" t="s">
        <v>208</v>
      </c>
      <c r="B111" s="108"/>
      <c r="C111" s="113"/>
      <c r="D111" s="108"/>
      <c r="E111" s="108"/>
      <c r="F111" s="108"/>
      <c r="G111" s="108"/>
      <c r="H111" s="108"/>
    </row>
    <row r="112" spans="1:11" x14ac:dyDescent="0.35">
      <c r="A112" s="108" t="s">
        <v>59</v>
      </c>
      <c r="B112" s="108"/>
      <c r="C112" s="108"/>
      <c r="D112" s="108"/>
      <c r="E112" s="108"/>
      <c r="F112" s="108"/>
      <c r="G112" s="108"/>
      <c r="H112" s="108"/>
    </row>
    <row r="113" spans="1:8" ht="15" customHeight="1" x14ac:dyDescent="0.35">
      <c r="A113" s="114" t="s">
        <v>209</v>
      </c>
      <c r="B113" s="114"/>
      <c r="C113" s="88" t="s">
        <v>210</v>
      </c>
      <c r="D113" s="88"/>
      <c r="E113" s="88"/>
      <c r="F113" s="88"/>
      <c r="G113" s="88"/>
      <c r="H113" s="88"/>
    </row>
    <row r="114" spans="1:8" x14ac:dyDescent="0.35">
      <c r="A114" s="114" t="s">
        <v>60</v>
      </c>
      <c r="B114" s="114"/>
      <c r="C114" s="114"/>
      <c r="D114" s="114"/>
      <c r="E114" s="114"/>
      <c r="F114" s="114"/>
      <c r="G114" s="114"/>
      <c r="H114" s="114"/>
    </row>
    <row r="115" spans="1:8" x14ac:dyDescent="0.35">
      <c r="A115" s="108" t="s">
        <v>112</v>
      </c>
      <c r="B115" s="108"/>
      <c r="C115" s="108"/>
      <c r="D115" s="108"/>
      <c r="E115" s="108"/>
      <c r="F115" s="115">
        <v>3200</v>
      </c>
      <c r="G115" s="115"/>
      <c r="H115" s="115"/>
    </row>
    <row r="116" spans="1:8" x14ac:dyDescent="0.35">
      <c r="A116" s="108" t="s">
        <v>120</v>
      </c>
      <c r="B116" s="108"/>
      <c r="C116" s="108"/>
      <c r="D116" s="108"/>
      <c r="E116" s="108"/>
      <c r="F116" s="108" t="s">
        <v>215</v>
      </c>
      <c r="G116" s="108"/>
      <c r="H116" s="108"/>
    </row>
    <row r="117" spans="1:8" s="37" customFormat="1" hidden="1" x14ac:dyDescent="0.3">
      <c r="A117" s="108" t="s">
        <v>139</v>
      </c>
      <c r="B117" s="108"/>
      <c r="C117" s="108"/>
      <c r="D117" s="108"/>
      <c r="E117" s="108"/>
      <c r="F117" s="108" t="s">
        <v>30</v>
      </c>
      <c r="G117" s="108"/>
      <c r="H117" s="108"/>
    </row>
    <row r="118" spans="1:8" s="37" customFormat="1" hidden="1" x14ac:dyDescent="0.3">
      <c r="A118" s="108" t="s">
        <v>140</v>
      </c>
      <c r="B118" s="108"/>
      <c r="C118" s="108"/>
      <c r="D118" s="108"/>
      <c r="E118" s="108"/>
      <c r="F118" s="108" t="s">
        <v>30</v>
      </c>
      <c r="G118" s="108"/>
      <c r="H118" s="108"/>
    </row>
    <row r="119" spans="1:8" s="37" customFormat="1" x14ac:dyDescent="0.3">
      <c r="A119" s="108" t="s">
        <v>220</v>
      </c>
      <c r="B119" s="108"/>
      <c r="C119" s="108"/>
      <c r="D119" s="108"/>
      <c r="E119" s="108"/>
      <c r="F119" s="108" t="s">
        <v>221</v>
      </c>
      <c r="G119" s="108"/>
      <c r="H119" s="108"/>
    </row>
    <row r="120" spans="1:8" s="37" customFormat="1" x14ac:dyDescent="0.3">
      <c r="A120" s="108" t="s">
        <v>170</v>
      </c>
      <c r="B120" s="108"/>
      <c r="C120" s="108"/>
      <c r="D120" s="108"/>
      <c r="E120" s="108"/>
      <c r="F120" s="108" t="s">
        <v>169</v>
      </c>
      <c r="G120" s="108"/>
      <c r="H120" s="108"/>
    </row>
    <row r="121" spans="1:8" s="37" customFormat="1" hidden="1" x14ac:dyDescent="0.3">
      <c r="A121" s="108" t="s">
        <v>141</v>
      </c>
      <c r="B121" s="108"/>
      <c r="C121" s="108"/>
      <c r="D121" s="108"/>
      <c r="E121" s="108"/>
      <c r="F121" s="108" t="s">
        <v>30</v>
      </c>
      <c r="G121" s="108"/>
      <c r="H121" s="108"/>
    </row>
    <row r="122" spans="1:8" s="37" customFormat="1" hidden="1" x14ac:dyDescent="0.3">
      <c r="A122" s="108" t="s">
        <v>142</v>
      </c>
      <c r="B122" s="108"/>
      <c r="C122" s="108"/>
      <c r="D122" s="108"/>
      <c r="E122" s="108"/>
      <c r="F122" s="108" t="s">
        <v>30</v>
      </c>
      <c r="G122" s="108"/>
      <c r="H122" s="108"/>
    </row>
    <row r="123" spans="1:8" s="37" customFormat="1" hidden="1" x14ac:dyDescent="0.3">
      <c r="A123" s="108" t="s">
        <v>171</v>
      </c>
      <c r="B123" s="108"/>
      <c r="C123" s="108"/>
      <c r="D123" s="108"/>
      <c r="E123" s="108"/>
      <c r="F123" s="108" t="s">
        <v>30</v>
      </c>
      <c r="G123" s="108"/>
      <c r="H123" s="108"/>
    </row>
    <row r="124" spans="1:8" s="37" customFormat="1" x14ac:dyDescent="0.3">
      <c r="A124" s="109" t="s">
        <v>242</v>
      </c>
      <c r="B124" s="109"/>
      <c r="C124" s="109"/>
      <c r="D124" s="109"/>
      <c r="E124" s="109"/>
      <c r="F124" s="108" t="s">
        <v>219</v>
      </c>
      <c r="G124" s="108"/>
      <c r="H124" s="108"/>
    </row>
    <row r="125" spans="1:8" x14ac:dyDescent="0.35">
      <c r="A125" s="108" t="s">
        <v>61</v>
      </c>
      <c r="B125" s="108"/>
      <c r="C125" s="108"/>
      <c r="D125" s="108"/>
      <c r="E125" s="108"/>
      <c r="F125" s="109" t="s">
        <v>219</v>
      </c>
      <c r="G125" s="109"/>
      <c r="H125" s="109"/>
    </row>
    <row r="126" spans="1:8" s="38" customFormat="1" x14ac:dyDescent="0.35">
      <c r="A126" s="114" t="s">
        <v>62</v>
      </c>
      <c r="B126" s="114"/>
      <c r="C126" s="114"/>
      <c r="D126" s="114"/>
      <c r="E126" s="114"/>
      <c r="F126" s="108">
        <f>F115*0.8</f>
        <v>2560</v>
      </c>
      <c r="G126" s="108"/>
      <c r="H126" s="108"/>
    </row>
    <row r="127" spans="1:8" s="39" customFormat="1" ht="15.75" customHeight="1" x14ac:dyDescent="0.35">
      <c r="A127" s="130" t="s">
        <v>113</v>
      </c>
      <c r="B127" s="130"/>
      <c r="C127" s="130"/>
      <c r="D127" s="130"/>
      <c r="E127" s="130"/>
      <c r="F127" s="130"/>
      <c r="G127" s="130"/>
      <c r="H127" s="130"/>
    </row>
    <row r="128" spans="1:8" s="39" customFormat="1" ht="15.75" customHeight="1" x14ac:dyDescent="0.35">
      <c r="A128" s="90" t="s">
        <v>63</v>
      </c>
      <c r="B128" s="90"/>
      <c r="C128" s="40" t="s">
        <v>117</v>
      </c>
      <c r="D128" s="92" t="s">
        <v>64</v>
      </c>
      <c r="E128" s="92"/>
      <c r="F128" s="90" t="s">
        <v>65</v>
      </c>
      <c r="G128" s="90"/>
      <c r="H128" s="90"/>
    </row>
    <row r="129" spans="1:8" s="39" customFormat="1" x14ac:dyDescent="0.35">
      <c r="A129" s="93" t="s">
        <v>161</v>
      </c>
      <c r="B129" s="93"/>
      <c r="C129" s="41">
        <f>COUNT(D141:D159)</f>
        <v>19</v>
      </c>
      <c r="D129" s="94">
        <f>SUM(D141:D159)</f>
        <v>2452.6850400000003</v>
      </c>
      <c r="E129" s="94"/>
      <c r="F129" s="94">
        <f>SUM(F141:F159)</f>
        <v>3679.0275599999995</v>
      </c>
      <c r="G129" s="94"/>
      <c r="H129" s="94"/>
    </row>
    <row r="130" spans="1:8" s="39" customFormat="1" x14ac:dyDescent="0.35">
      <c r="A130" s="112" t="s">
        <v>107</v>
      </c>
      <c r="B130" s="112"/>
      <c r="C130" s="112"/>
      <c r="D130" s="112"/>
      <c r="E130" s="112"/>
      <c r="F130" s="112"/>
      <c r="G130" s="112"/>
      <c r="H130" s="112"/>
    </row>
    <row r="131" spans="1:8" s="39" customFormat="1" x14ac:dyDescent="0.35">
      <c r="A131" s="103" t="s">
        <v>63</v>
      </c>
      <c r="B131" s="103"/>
      <c r="C131" s="40" t="s">
        <v>117</v>
      </c>
      <c r="D131" s="92" t="s">
        <v>64</v>
      </c>
      <c r="E131" s="92"/>
      <c r="F131" s="103" t="s">
        <v>65</v>
      </c>
      <c r="G131" s="103"/>
      <c r="H131" s="103"/>
    </row>
    <row r="132" spans="1:8" s="39" customFormat="1" x14ac:dyDescent="0.35">
      <c r="A132" s="132" t="s">
        <v>160</v>
      </c>
      <c r="B132" s="132"/>
      <c r="C132" s="41">
        <f>COUNT(D162:D165)*4</f>
        <v>16</v>
      </c>
      <c r="D132" s="94">
        <f>SUM(D162:D165)*4</f>
        <v>5416.0142399999995</v>
      </c>
      <c r="E132" s="94"/>
      <c r="F132" s="131">
        <f>SUM(F162:F165)*4</f>
        <v>8916</v>
      </c>
      <c r="G132" s="131"/>
      <c r="H132" s="131"/>
    </row>
    <row r="133" spans="1:8" s="39" customFormat="1" x14ac:dyDescent="0.35">
      <c r="A133" s="132" t="s">
        <v>168</v>
      </c>
      <c r="B133" s="132"/>
      <c r="C133" s="41">
        <f>1+COUNT(D170:D175)*4</f>
        <v>25</v>
      </c>
      <c r="D133" s="94">
        <f>D168+SUM(D170:D175)*4</f>
        <v>9525.2788799999998</v>
      </c>
      <c r="E133" s="94"/>
      <c r="F133" s="131">
        <f>F168+SUM(F170:F175)*4</f>
        <v>15174.781256</v>
      </c>
      <c r="G133" s="131"/>
      <c r="H133" s="131"/>
    </row>
    <row r="134" spans="1:8" s="39" customFormat="1" x14ac:dyDescent="0.35">
      <c r="A134" s="112" t="s">
        <v>67</v>
      </c>
      <c r="B134" s="132"/>
      <c r="C134" s="42">
        <f>SUM(C132:C133)</f>
        <v>41</v>
      </c>
      <c r="D134" s="90">
        <f>SUM(D132:E133)</f>
        <v>14941.293119999998</v>
      </c>
      <c r="E134" s="90"/>
      <c r="F134" s="103">
        <f>SUM(F132:H133)</f>
        <v>24090.781256000002</v>
      </c>
      <c r="G134" s="103"/>
      <c r="H134" s="103"/>
    </row>
    <row r="135" spans="1:8" s="39" customFormat="1" x14ac:dyDescent="0.35">
      <c r="A135" s="112" t="s">
        <v>67</v>
      </c>
      <c r="B135" s="132"/>
      <c r="C135" s="42">
        <f>C129+C134</f>
        <v>60</v>
      </c>
      <c r="D135" s="90">
        <f>D129+D134</f>
        <v>17393.978159999999</v>
      </c>
      <c r="E135" s="90"/>
      <c r="F135" s="103">
        <f>F129+F134</f>
        <v>27769.808816000001</v>
      </c>
      <c r="G135" s="103"/>
      <c r="H135" s="103"/>
    </row>
    <row r="136" spans="1:8" s="38" customFormat="1" x14ac:dyDescent="0.35">
      <c r="A136" s="60" t="s">
        <v>68</v>
      </c>
      <c r="B136" s="60"/>
      <c r="C136" s="60"/>
      <c r="D136" s="60"/>
      <c r="E136" s="60"/>
      <c r="F136" s="60"/>
      <c r="G136" s="60"/>
      <c r="H136" s="60"/>
    </row>
    <row r="137" spans="1:8" x14ac:dyDescent="0.35">
      <c r="A137" s="60" t="s">
        <v>69</v>
      </c>
      <c r="B137" s="60"/>
      <c r="C137" s="60"/>
      <c r="D137" s="60"/>
      <c r="E137" s="60"/>
      <c r="F137" s="60"/>
      <c r="G137" s="60"/>
      <c r="H137" s="60"/>
    </row>
    <row r="138" spans="1:8" ht="47.25" customHeight="1" x14ac:dyDescent="0.35">
      <c r="A138" s="95" t="s">
        <v>114</v>
      </c>
      <c r="B138" s="95"/>
      <c r="C138" s="56" t="s">
        <v>70</v>
      </c>
      <c r="D138" s="56" t="s">
        <v>71</v>
      </c>
      <c r="E138" s="6" t="s">
        <v>72</v>
      </c>
      <c r="F138" s="56" t="s">
        <v>73</v>
      </c>
      <c r="G138" s="95" t="s">
        <v>74</v>
      </c>
      <c r="H138" s="95"/>
    </row>
    <row r="139" spans="1:8" s="43" customFormat="1" x14ac:dyDescent="0.35">
      <c r="A139" s="104" t="s">
        <v>161</v>
      </c>
      <c r="B139" s="104"/>
      <c r="C139" s="104"/>
      <c r="D139" s="104"/>
      <c r="E139" s="104"/>
      <c r="F139" s="104"/>
      <c r="G139" s="104"/>
      <c r="H139" s="104"/>
    </row>
    <row r="140" spans="1:8" s="43" customFormat="1" x14ac:dyDescent="0.35">
      <c r="A140" s="104" t="s">
        <v>162</v>
      </c>
      <c r="B140" s="104"/>
      <c r="C140" s="104"/>
      <c r="D140" s="104"/>
      <c r="E140" s="104"/>
      <c r="F140" s="104"/>
      <c r="G140" s="104"/>
      <c r="H140" s="104"/>
    </row>
    <row r="141" spans="1:8" s="43" customFormat="1" ht="15.75" customHeight="1" x14ac:dyDescent="0.35">
      <c r="A141" s="96">
        <v>1</v>
      </c>
      <c r="B141" s="96"/>
      <c r="C141" s="49" t="s">
        <v>163</v>
      </c>
      <c r="D141" s="49">
        <f>15.86*10.764</f>
        <v>170.71704</v>
      </c>
      <c r="E141" s="49">
        <v>0</v>
      </c>
      <c r="F141" s="49">
        <f>D141*1.5+E141</f>
        <v>256.07556</v>
      </c>
      <c r="G141" s="97" t="str">
        <f>A140</f>
        <v xml:space="preserve">Ground Floor for Commercial </v>
      </c>
      <c r="H141" s="98"/>
    </row>
    <row r="142" spans="1:8" s="43" customFormat="1" x14ac:dyDescent="0.35">
      <c r="A142" s="96">
        <v>2</v>
      </c>
      <c r="B142" s="96"/>
      <c r="C142" s="49" t="s">
        <v>163</v>
      </c>
      <c r="D142" s="49">
        <f>14.42*10.764</f>
        <v>155.21688</v>
      </c>
      <c r="E142" s="49">
        <v>0</v>
      </c>
      <c r="F142" s="49">
        <f t="shared" ref="F142:F159" si="0">D142*1.5+E142</f>
        <v>232.82532</v>
      </c>
      <c r="G142" s="99"/>
      <c r="H142" s="100"/>
    </row>
    <row r="143" spans="1:8" s="43" customFormat="1" x14ac:dyDescent="0.35">
      <c r="A143" s="96">
        <v>3</v>
      </c>
      <c r="B143" s="96"/>
      <c r="C143" s="49" t="s">
        <v>163</v>
      </c>
      <c r="D143" s="49">
        <f>18.54*10.764</f>
        <v>199.56455999999997</v>
      </c>
      <c r="E143" s="49">
        <v>0</v>
      </c>
      <c r="F143" s="49">
        <f t="shared" si="0"/>
        <v>299.34683999999993</v>
      </c>
      <c r="G143" s="99"/>
      <c r="H143" s="100"/>
    </row>
    <row r="144" spans="1:8" s="43" customFormat="1" x14ac:dyDescent="0.35">
      <c r="A144" s="96">
        <v>4</v>
      </c>
      <c r="B144" s="96"/>
      <c r="C144" s="49" t="s">
        <v>163</v>
      </c>
      <c r="D144" s="49">
        <f>15.38*10.764</f>
        <v>165.55032</v>
      </c>
      <c r="E144" s="49">
        <v>0</v>
      </c>
      <c r="F144" s="49">
        <f t="shared" si="0"/>
        <v>248.32548</v>
      </c>
      <c r="G144" s="99"/>
      <c r="H144" s="100"/>
    </row>
    <row r="145" spans="1:8" s="43" customFormat="1" x14ac:dyDescent="0.35">
      <c r="A145" s="96">
        <v>5</v>
      </c>
      <c r="B145" s="96"/>
      <c r="C145" s="49" t="s">
        <v>163</v>
      </c>
      <c r="D145" s="49">
        <f>12.14*10.764</f>
        <v>130.67496</v>
      </c>
      <c r="E145" s="49">
        <v>0</v>
      </c>
      <c r="F145" s="49">
        <f t="shared" si="0"/>
        <v>196.01244</v>
      </c>
      <c r="G145" s="99"/>
      <c r="H145" s="100"/>
    </row>
    <row r="146" spans="1:8" s="43" customFormat="1" x14ac:dyDescent="0.35">
      <c r="A146" s="96">
        <v>6</v>
      </c>
      <c r="B146" s="96"/>
      <c r="C146" s="49" t="s">
        <v>163</v>
      </c>
      <c r="D146" s="49">
        <f>13.59*10.764</f>
        <v>146.28276</v>
      </c>
      <c r="E146" s="49">
        <v>0</v>
      </c>
      <c r="F146" s="49">
        <f t="shared" si="0"/>
        <v>219.42413999999999</v>
      </c>
      <c r="G146" s="99"/>
      <c r="H146" s="100"/>
    </row>
    <row r="147" spans="1:8" s="43" customFormat="1" x14ac:dyDescent="0.35">
      <c r="A147" s="96">
        <v>7</v>
      </c>
      <c r="B147" s="96"/>
      <c r="C147" s="49" t="s">
        <v>163</v>
      </c>
      <c r="D147" s="49">
        <f>16.88*10.764</f>
        <v>181.69631999999999</v>
      </c>
      <c r="E147" s="49">
        <v>0</v>
      </c>
      <c r="F147" s="49">
        <f t="shared" si="0"/>
        <v>272.54447999999996</v>
      </c>
      <c r="G147" s="99"/>
      <c r="H147" s="100"/>
    </row>
    <row r="148" spans="1:8" s="43" customFormat="1" x14ac:dyDescent="0.35">
      <c r="A148" s="96">
        <v>8</v>
      </c>
      <c r="B148" s="96"/>
      <c r="C148" s="49" t="s">
        <v>163</v>
      </c>
      <c r="D148" s="49">
        <f>8.82*10.764</f>
        <v>94.938479999999998</v>
      </c>
      <c r="E148" s="49">
        <v>0</v>
      </c>
      <c r="F148" s="49">
        <f t="shared" si="0"/>
        <v>142.40771999999998</v>
      </c>
      <c r="G148" s="99"/>
      <c r="H148" s="100"/>
    </row>
    <row r="149" spans="1:8" s="43" customFormat="1" x14ac:dyDescent="0.35">
      <c r="A149" s="96">
        <v>9</v>
      </c>
      <c r="B149" s="96"/>
      <c r="C149" s="49" t="s">
        <v>163</v>
      </c>
      <c r="D149" s="49">
        <f>10.55*10.764</f>
        <v>113.56019999999999</v>
      </c>
      <c r="E149" s="49">
        <v>0</v>
      </c>
      <c r="F149" s="49">
        <f t="shared" si="0"/>
        <v>170.34029999999998</v>
      </c>
      <c r="G149" s="99"/>
      <c r="H149" s="100"/>
    </row>
    <row r="150" spans="1:8" s="43" customFormat="1" x14ac:dyDescent="0.35">
      <c r="A150" s="96">
        <v>10</v>
      </c>
      <c r="B150" s="96"/>
      <c r="C150" s="49" t="s">
        <v>163</v>
      </c>
      <c r="D150" s="49">
        <f>14.69*10.764</f>
        <v>158.12315999999998</v>
      </c>
      <c r="E150" s="49">
        <v>0</v>
      </c>
      <c r="F150" s="49">
        <f t="shared" si="0"/>
        <v>237.18473999999998</v>
      </c>
      <c r="G150" s="101"/>
      <c r="H150" s="102"/>
    </row>
    <row r="151" spans="1:8" s="43" customFormat="1" ht="15.75" customHeight="1" x14ac:dyDescent="0.35">
      <c r="A151" s="96">
        <v>11</v>
      </c>
      <c r="B151" s="96"/>
      <c r="C151" s="49" t="s">
        <v>163</v>
      </c>
      <c r="D151" s="49">
        <f>9.63*10.764</f>
        <v>103.65732</v>
      </c>
      <c r="E151" s="49">
        <v>0</v>
      </c>
      <c r="F151" s="49">
        <f t="shared" si="0"/>
        <v>155.48597999999998</v>
      </c>
      <c r="G151" s="97" t="str">
        <f>G141</f>
        <v xml:space="preserve">Ground Floor for Commercial </v>
      </c>
      <c r="H151" s="98"/>
    </row>
    <row r="152" spans="1:8" s="43" customFormat="1" ht="15.65" customHeight="1" x14ac:dyDescent="0.35">
      <c r="A152" s="96">
        <v>12</v>
      </c>
      <c r="B152" s="96"/>
      <c r="C152" s="49" t="s">
        <v>163</v>
      </c>
      <c r="D152" s="49">
        <f>10.04*10.764</f>
        <v>108.07055999999999</v>
      </c>
      <c r="E152" s="49">
        <v>0</v>
      </c>
      <c r="F152" s="49">
        <f t="shared" si="0"/>
        <v>162.10583999999997</v>
      </c>
      <c r="G152" s="99"/>
      <c r="H152" s="100"/>
    </row>
    <row r="153" spans="1:8" s="43" customFormat="1" x14ac:dyDescent="0.35">
      <c r="A153" s="96">
        <v>13</v>
      </c>
      <c r="B153" s="96"/>
      <c r="C153" s="49" t="s">
        <v>163</v>
      </c>
      <c r="D153" s="49">
        <f>6*10.764</f>
        <v>64.584000000000003</v>
      </c>
      <c r="E153" s="49">
        <v>0</v>
      </c>
      <c r="F153" s="49">
        <f t="shared" si="0"/>
        <v>96.876000000000005</v>
      </c>
      <c r="G153" s="99"/>
      <c r="H153" s="100"/>
    </row>
    <row r="154" spans="1:8" s="43" customFormat="1" x14ac:dyDescent="0.35">
      <c r="A154" s="96">
        <v>14</v>
      </c>
      <c r="B154" s="96"/>
      <c r="C154" s="49" t="s">
        <v>163</v>
      </c>
      <c r="D154" s="49">
        <f>6.75*10.764</f>
        <v>72.656999999999996</v>
      </c>
      <c r="E154" s="49">
        <v>0</v>
      </c>
      <c r="F154" s="49">
        <f t="shared" si="0"/>
        <v>108.9855</v>
      </c>
      <c r="G154" s="99"/>
      <c r="H154" s="100"/>
    </row>
    <row r="155" spans="1:8" s="43" customFormat="1" x14ac:dyDescent="0.35">
      <c r="A155" s="96">
        <v>15</v>
      </c>
      <c r="B155" s="96"/>
      <c r="C155" s="49" t="s">
        <v>163</v>
      </c>
      <c r="D155" s="49">
        <f>11.49*10.764</f>
        <v>123.67836</v>
      </c>
      <c r="E155" s="49">
        <v>0</v>
      </c>
      <c r="F155" s="49">
        <f t="shared" si="0"/>
        <v>185.51754</v>
      </c>
      <c r="G155" s="99"/>
      <c r="H155" s="100"/>
    </row>
    <row r="156" spans="1:8" s="43" customFormat="1" x14ac:dyDescent="0.35">
      <c r="A156" s="96">
        <v>16</v>
      </c>
      <c r="B156" s="96"/>
      <c r="C156" s="49" t="s">
        <v>163</v>
      </c>
      <c r="D156" s="49">
        <f>10.67*10.764</f>
        <v>114.85187999999999</v>
      </c>
      <c r="E156" s="49">
        <v>0</v>
      </c>
      <c r="F156" s="49">
        <f t="shared" si="0"/>
        <v>172.27781999999999</v>
      </c>
      <c r="G156" s="99"/>
      <c r="H156" s="100"/>
    </row>
    <row r="157" spans="1:8" s="43" customFormat="1" x14ac:dyDescent="0.35">
      <c r="A157" s="96">
        <v>17</v>
      </c>
      <c r="B157" s="96"/>
      <c r="C157" s="49" t="s">
        <v>163</v>
      </c>
      <c r="D157" s="49">
        <f>13.62*10.764</f>
        <v>146.60567999999998</v>
      </c>
      <c r="E157" s="49">
        <v>0</v>
      </c>
      <c r="F157" s="49">
        <f t="shared" si="0"/>
        <v>219.90851999999995</v>
      </c>
      <c r="G157" s="99"/>
      <c r="H157" s="100"/>
    </row>
    <row r="158" spans="1:8" s="43" customFormat="1" x14ac:dyDescent="0.35">
      <c r="A158" s="96">
        <v>18</v>
      </c>
      <c r="B158" s="96"/>
      <c r="C158" s="49" t="s">
        <v>163</v>
      </c>
      <c r="D158" s="49">
        <f>10.24*10.764</f>
        <v>110.22336</v>
      </c>
      <c r="E158" s="49">
        <v>0</v>
      </c>
      <c r="F158" s="49">
        <f t="shared" si="0"/>
        <v>165.33503999999999</v>
      </c>
      <c r="G158" s="99"/>
      <c r="H158" s="100"/>
    </row>
    <row r="159" spans="1:8" s="43" customFormat="1" x14ac:dyDescent="0.35">
      <c r="A159" s="96">
        <v>19</v>
      </c>
      <c r="B159" s="96"/>
      <c r="C159" s="49" t="s">
        <v>163</v>
      </c>
      <c r="D159" s="49">
        <f>8.55*10.764</f>
        <v>92.032200000000003</v>
      </c>
      <c r="E159" s="49">
        <v>0</v>
      </c>
      <c r="F159" s="49">
        <f t="shared" si="0"/>
        <v>138.04830000000001</v>
      </c>
      <c r="G159" s="101"/>
      <c r="H159" s="102"/>
    </row>
    <row r="160" spans="1:8" s="43" customFormat="1" x14ac:dyDescent="0.35">
      <c r="A160" s="104" t="s">
        <v>160</v>
      </c>
      <c r="B160" s="104"/>
      <c r="C160" s="104"/>
      <c r="D160" s="104"/>
      <c r="E160" s="104"/>
      <c r="F160" s="104"/>
      <c r="G160" s="104"/>
      <c r="H160" s="104"/>
    </row>
    <row r="161" spans="1:11" s="43" customFormat="1" x14ac:dyDescent="0.35">
      <c r="A161" s="104" t="s">
        <v>164</v>
      </c>
      <c r="B161" s="104"/>
      <c r="C161" s="104"/>
      <c r="D161" s="104"/>
      <c r="E161" s="104"/>
      <c r="F161" s="104"/>
      <c r="G161" s="104"/>
      <c r="H161" s="104"/>
    </row>
    <row r="162" spans="1:11" s="43" customFormat="1" x14ac:dyDescent="0.35">
      <c r="A162" s="96">
        <v>1</v>
      </c>
      <c r="B162" s="96"/>
      <c r="C162" s="49" t="s">
        <v>165</v>
      </c>
      <c r="D162" s="49">
        <f>29.45*10.764</f>
        <v>316.99979999999999</v>
      </c>
      <c r="E162" s="49">
        <v>0</v>
      </c>
      <c r="F162" s="49">
        <v>538</v>
      </c>
      <c r="G162" s="96" t="str">
        <f>A161</f>
        <v xml:space="preserve"> 1st to 4th Floor for Residential </v>
      </c>
      <c r="H162" s="96"/>
      <c r="I162" s="43">
        <f>1400000/F162</f>
        <v>2602.2304832713753</v>
      </c>
      <c r="J162" s="43">
        <f>F162/D162</f>
        <v>1.6971619540453968</v>
      </c>
      <c r="K162" s="43">
        <f>3200*F162</f>
        <v>1721600</v>
      </c>
    </row>
    <row r="163" spans="1:11" s="43" customFormat="1" x14ac:dyDescent="0.35">
      <c r="A163" s="96">
        <v>2</v>
      </c>
      <c r="B163" s="96"/>
      <c r="C163" s="49" t="s">
        <v>166</v>
      </c>
      <c r="D163" s="49">
        <f>(44.94+2.75*1+2.95*1)*10.764</f>
        <v>545.08895999999993</v>
      </c>
      <c r="E163" s="49">
        <v>0</v>
      </c>
      <c r="F163" s="49">
        <v>845</v>
      </c>
      <c r="G163" s="96"/>
      <c r="H163" s="96"/>
      <c r="I163" s="43">
        <f>3200*F163</f>
        <v>2704000</v>
      </c>
      <c r="J163" s="43">
        <f>3*F163</f>
        <v>2535</v>
      </c>
      <c r="K163" s="43">
        <f>24*J163</f>
        <v>60840</v>
      </c>
    </row>
    <row r="164" spans="1:11" s="43" customFormat="1" x14ac:dyDescent="0.35">
      <c r="A164" s="96">
        <v>3</v>
      </c>
      <c r="B164" s="96"/>
      <c r="C164" s="49" t="s">
        <v>167</v>
      </c>
      <c r="D164" s="49">
        <f>(19.64+2.75*1+1.85*1)*10.764</f>
        <v>260.91935999999998</v>
      </c>
      <c r="E164" s="49">
        <v>0</v>
      </c>
      <c r="F164" s="49">
        <v>406</v>
      </c>
      <c r="G164" s="96"/>
      <c r="H164" s="96"/>
    </row>
    <row r="165" spans="1:11" s="43" customFormat="1" x14ac:dyDescent="0.35">
      <c r="A165" s="96">
        <v>4</v>
      </c>
      <c r="B165" s="96"/>
      <c r="C165" s="49" t="s">
        <v>167</v>
      </c>
      <c r="D165" s="49">
        <f>(18.71+2.75*1)*10.764</f>
        <v>230.99544</v>
      </c>
      <c r="E165" s="49">
        <v>0</v>
      </c>
      <c r="F165" s="49">
        <v>440</v>
      </c>
      <c r="G165" s="96"/>
      <c r="H165" s="96"/>
    </row>
    <row r="166" spans="1:11" s="43" customFormat="1" x14ac:dyDescent="0.35">
      <c r="A166" s="104" t="s">
        <v>168</v>
      </c>
      <c r="B166" s="104"/>
      <c r="C166" s="104"/>
      <c r="D166" s="104"/>
      <c r="E166" s="104"/>
      <c r="F166" s="104"/>
      <c r="G166" s="104"/>
      <c r="H166" s="104"/>
    </row>
    <row r="167" spans="1:11" s="43" customFormat="1" x14ac:dyDescent="0.35">
      <c r="A167" s="104" t="s">
        <v>213</v>
      </c>
      <c r="B167" s="104"/>
      <c r="C167" s="104"/>
      <c r="D167" s="104"/>
      <c r="E167" s="104"/>
      <c r="F167" s="104"/>
      <c r="G167" s="104"/>
      <c r="H167" s="104"/>
    </row>
    <row r="168" spans="1:11" s="43" customFormat="1" x14ac:dyDescent="0.35">
      <c r="A168" s="96">
        <v>1</v>
      </c>
      <c r="B168" s="96"/>
      <c r="C168" s="49" t="s">
        <v>165</v>
      </c>
      <c r="D168" s="49">
        <f>34.52*10.764</f>
        <v>371.57328000000001</v>
      </c>
      <c r="E168" s="49">
        <v>0</v>
      </c>
      <c r="F168" s="49">
        <f>D168*1.45+E168</f>
        <v>538.78125599999998</v>
      </c>
      <c r="G168" s="96" t="s">
        <v>214</v>
      </c>
      <c r="H168" s="96"/>
    </row>
    <row r="169" spans="1:11" s="43" customFormat="1" x14ac:dyDescent="0.35">
      <c r="A169" s="104" t="s">
        <v>164</v>
      </c>
      <c r="B169" s="104"/>
      <c r="C169" s="104"/>
      <c r="D169" s="104"/>
      <c r="E169" s="104"/>
      <c r="F169" s="104"/>
      <c r="G169" s="104"/>
      <c r="H169" s="104"/>
    </row>
    <row r="170" spans="1:11" s="43" customFormat="1" x14ac:dyDescent="0.35">
      <c r="A170" s="96">
        <v>1</v>
      </c>
      <c r="B170" s="96"/>
      <c r="C170" s="49" t="s">
        <v>165</v>
      </c>
      <c r="D170" s="49">
        <f>(29.37+2.75*1+2.3*1+2.75*1)*10.764</f>
        <v>400.09787999999998</v>
      </c>
      <c r="E170" s="49">
        <v>0</v>
      </c>
      <c r="F170" s="49">
        <v>640</v>
      </c>
      <c r="G170" s="96" t="str">
        <f>A169</f>
        <v xml:space="preserve"> 1st to 4th Floor for Residential </v>
      </c>
      <c r="H170" s="96"/>
    </row>
    <row r="171" spans="1:11" s="43" customFormat="1" x14ac:dyDescent="0.35">
      <c r="A171" s="96">
        <v>2</v>
      </c>
      <c r="B171" s="96"/>
      <c r="C171" s="49" t="s">
        <v>165</v>
      </c>
      <c r="D171" s="49">
        <f>(28.41+2.75*1+2.3*1+2.75*1)*10.764</f>
        <v>389.76443999999998</v>
      </c>
      <c r="E171" s="49">
        <v>0</v>
      </c>
      <c r="F171" s="49">
        <v>649</v>
      </c>
      <c r="G171" s="96"/>
      <c r="H171" s="96"/>
    </row>
    <row r="172" spans="1:11" s="43" customFormat="1" x14ac:dyDescent="0.35">
      <c r="A172" s="96">
        <v>3</v>
      </c>
      <c r="B172" s="96"/>
      <c r="C172" s="49" t="s">
        <v>165</v>
      </c>
      <c r="D172" s="49">
        <f>(28.02+2.75*1+2.75*1)*10.764</f>
        <v>360.80927999999994</v>
      </c>
      <c r="E172" s="49">
        <v>0</v>
      </c>
      <c r="F172" s="49">
        <v>560</v>
      </c>
      <c r="G172" s="96"/>
      <c r="H172" s="96"/>
    </row>
    <row r="173" spans="1:11" s="43" customFormat="1" x14ac:dyDescent="0.35">
      <c r="A173" s="96">
        <v>4</v>
      </c>
      <c r="B173" s="96"/>
      <c r="C173" s="49" t="s">
        <v>165</v>
      </c>
      <c r="D173" s="49">
        <f>(29.59+2.75*1+2.75*1)*10.764</f>
        <v>377.70876000000004</v>
      </c>
      <c r="E173" s="49">
        <v>0</v>
      </c>
      <c r="F173" s="49">
        <v>608</v>
      </c>
      <c r="G173" s="96"/>
      <c r="H173" s="96"/>
    </row>
    <row r="174" spans="1:11" s="43" customFormat="1" x14ac:dyDescent="0.35">
      <c r="A174" s="96">
        <v>5</v>
      </c>
      <c r="B174" s="96"/>
      <c r="C174" s="49" t="s">
        <v>165</v>
      </c>
      <c r="D174" s="49">
        <f>(29.59+2.75*1+2.75*1)*10.764</f>
        <v>377.70876000000004</v>
      </c>
      <c r="E174" s="49">
        <v>0</v>
      </c>
      <c r="F174" s="49">
        <v>608</v>
      </c>
      <c r="G174" s="96"/>
      <c r="H174" s="96"/>
    </row>
    <row r="175" spans="1:11" s="43" customFormat="1" x14ac:dyDescent="0.35">
      <c r="A175" s="96">
        <v>6</v>
      </c>
      <c r="B175" s="96"/>
      <c r="C175" s="49" t="s">
        <v>165</v>
      </c>
      <c r="D175" s="49">
        <f>(27.72+2.75*1+2.3*1+2.75*1)*10.764</f>
        <v>382.33727999999991</v>
      </c>
      <c r="E175" s="49">
        <v>0</v>
      </c>
      <c r="F175" s="49">
        <v>594</v>
      </c>
      <c r="G175" s="96"/>
      <c r="H175" s="96"/>
    </row>
    <row r="176" spans="1:11" s="39" customFormat="1" x14ac:dyDescent="0.35">
      <c r="A176" s="110" t="s">
        <v>84</v>
      </c>
      <c r="B176" s="110"/>
      <c r="C176" s="110"/>
      <c r="D176" s="110"/>
      <c r="E176" s="110"/>
      <c r="F176" s="110"/>
      <c r="G176" s="110"/>
      <c r="H176" s="110"/>
    </row>
    <row r="177" spans="1:9" s="44" customFormat="1" ht="228.5" customHeight="1" x14ac:dyDescent="0.35">
      <c r="A177" s="111" t="s">
        <v>260</v>
      </c>
      <c r="B177" s="111"/>
      <c r="C177" s="111"/>
      <c r="D177" s="111"/>
      <c r="E177" s="111"/>
      <c r="F177" s="111"/>
      <c r="G177" s="111"/>
      <c r="H177" s="111"/>
      <c r="I177" s="59" t="s">
        <v>257</v>
      </c>
    </row>
    <row r="178" spans="1:9" x14ac:dyDescent="0.35">
      <c r="A178" s="91" t="s">
        <v>75</v>
      </c>
      <c r="B178" s="91"/>
      <c r="C178" s="91"/>
      <c r="D178" s="91"/>
      <c r="E178" s="91"/>
      <c r="F178" s="91"/>
      <c r="G178" s="91"/>
      <c r="H178" s="91"/>
    </row>
    <row r="179" spans="1:9" x14ac:dyDescent="0.35">
      <c r="A179" s="107" t="s">
        <v>76</v>
      </c>
      <c r="B179" s="107"/>
      <c r="C179" s="107"/>
      <c r="D179" s="107"/>
      <c r="E179" s="107"/>
      <c r="F179" s="107"/>
      <c r="G179" s="107"/>
      <c r="H179" s="107"/>
    </row>
    <row r="180" spans="1:9" ht="15.75" customHeight="1" x14ac:dyDescent="0.35">
      <c r="A180" s="91" t="s">
        <v>77</v>
      </c>
      <c r="B180" s="91"/>
      <c r="C180" s="91"/>
      <c r="D180" s="91"/>
      <c r="E180" s="91"/>
      <c r="F180" s="91"/>
      <c r="G180" s="91"/>
      <c r="H180" s="91"/>
    </row>
    <row r="181" spans="1:9" x14ac:dyDescent="0.35">
      <c r="A181" s="107" t="s">
        <v>78</v>
      </c>
      <c r="B181" s="107"/>
      <c r="C181" s="107"/>
      <c r="D181" s="107"/>
      <c r="E181" s="107"/>
      <c r="F181" s="107"/>
      <c r="G181" s="107"/>
      <c r="H181" s="107"/>
    </row>
    <row r="182" spans="1:9" x14ac:dyDescent="0.35">
      <c r="A182" s="107" t="s">
        <v>79</v>
      </c>
      <c r="B182" s="107"/>
      <c r="C182" s="107"/>
      <c r="D182" s="107"/>
      <c r="E182" s="107"/>
      <c r="F182" s="107"/>
      <c r="G182" s="107"/>
      <c r="H182" s="107"/>
    </row>
    <row r="183" spans="1:9" x14ac:dyDescent="0.35">
      <c r="A183" s="107" t="s">
        <v>80</v>
      </c>
      <c r="B183" s="107"/>
      <c r="C183" s="107"/>
      <c r="D183" s="107"/>
      <c r="E183" s="107"/>
      <c r="F183" s="107"/>
      <c r="G183" s="107"/>
      <c r="H183" s="107"/>
    </row>
    <row r="184" spans="1:9" x14ac:dyDescent="0.35">
      <c r="A184" s="106" t="s">
        <v>81</v>
      </c>
      <c r="B184" s="106"/>
      <c r="C184" s="106"/>
      <c r="D184" s="106"/>
      <c r="E184" s="106"/>
      <c r="F184" s="106"/>
      <c r="G184" s="106"/>
      <c r="H184" s="106"/>
    </row>
    <row r="185" spans="1:9" x14ac:dyDescent="0.35">
      <c r="A185" s="129" t="s">
        <v>116</v>
      </c>
      <c r="B185" s="129"/>
      <c r="C185" s="129" t="s">
        <v>262</v>
      </c>
      <c r="D185" s="129"/>
      <c r="E185" s="129" t="s">
        <v>172</v>
      </c>
      <c r="F185" s="129"/>
      <c r="G185" s="129" t="s">
        <v>261</v>
      </c>
      <c r="H185" s="129"/>
    </row>
    <row r="186" spans="1:9" x14ac:dyDescent="0.35">
      <c r="A186" s="128" t="s">
        <v>118</v>
      </c>
      <c r="B186" s="128"/>
      <c r="C186" s="128"/>
      <c r="D186" s="128"/>
      <c r="E186" s="128"/>
      <c r="F186" s="128"/>
      <c r="G186" s="128"/>
      <c r="H186" s="128"/>
    </row>
    <row r="187" spans="1:9" x14ac:dyDescent="0.35">
      <c r="A187" s="128"/>
      <c r="B187" s="128"/>
      <c r="C187" s="128"/>
      <c r="D187" s="128"/>
      <c r="E187" s="128"/>
      <c r="F187" s="128"/>
      <c r="G187" s="128"/>
      <c r="H187" s="128"/>
    </row>
    <row r="188" spans="1:9" x14ac:dyDescent="0.35">
      <c r="A188" s="128"/>
      <c r="B188" s="128"/>
      <c r="C188" s="128"/>
      <c r="D188" s="128"/>
      <c r="E188" s="128"/>
      <c r="F188" s="128"/>
      <c r="G188" s="128"/>
      <c r="H188" s="128"/>
    </row>
    <row r="189" spans="1:9" x14ac:dyDescent="0.35">
      <c r="A189" s="128"/>
      <c r="B189" s="128"/>
      <c r="C189" s="128"/>
      <c r="D189" s="128"/>
      <c r="E189" s="128"/>
      <c r="F189" s="128"/>
      <c r="G189" s="128"/>
      <c r="H189" s="128"/>
    </row>
    <row r="190" spans="1:9" x14ac:dyDescent="0.35">
      <c r="A190" s="45" t="s">
        <v>82</v>
      </c>
      <c r="B190" s="46"/>
      <c r="C190" s="46"/>
      <c r="D190" s="45" t="str">
        <f>E8</f>
        <v>Jaanbai Krupa</v>
      </c>
      <c r="F190" s="46"/>
      <c r="G190" s="46"/>
      <c r="H190" s="46"/>
    </row>
    <row r="191" spans="1:9" x14ac:dyDescent="0.35">
      <c r="A191" s="46"/>
      <c r="B191" s="46"/>
      <c r="C191" s="46"/>
      <c r="D191" s="46"/>
      <c r="E191" s="46"/>
      <c r="F191" s="46"/>
      <c r="G191" s="46"/>
      <c r="H191" s="46"/>
    </row>
    <row r="192" spans="1:9" x14ac:dyDescent="0.35">
      <c r="A192" s="46"/>
      <c r="B192" s="46"/>
      <c r="C192" s="46"/>
      <c r="D192" s="46"/>
      <c r="E192" s="46"/>
      <c r="F192" s="46"/>
      <c r="G192" s="46"/>
      <c r="H192" s="46"/>
    </row>
    <row r="193" ht="15" customHeight="1" x14ac:dyDescent="0.35"/>
    <row r="211" spans="3:3" x14ac:dyDescent="0.35">
      <c r="C211" s="21"/>
    </row>
    <row r="223" spans="3:3" ht="12.75" customHeight="1" x14ac:dyDescent="0.35"/>
    <row r="232" spans="1:1" x14ac:dyDescent="0.35">
      <c r="A232" s="48" t="s">
        <v>83</v>
      </c>
    </row>
  </sheetData>
  <mergeCells count="312">
    <mergeCell ref="G170:H175"/>
    <mergeCell ref="A156:B156"/>
    <mergeCell ref="A160:H160"/>
    <mergeCell ref="A161:H161"/>
    <mergeCell ref="A166:H166"/>
    <mergeCell ref="A169:H169"/>
    <mergeCell ref="A167:H167"/>
    <mergeCell ref="A168:B168"/>
    <mergeCell ref="G168:H168"/>
    <mergeCell ref="A170:B170"/>
    <mergeCell ref="A171:B171"/>
    <mergeCell ref="A172:B172"/>
    <mergeCell ref="G162:H165"/>
    <mergeCell ref="A159:B159"/>
    <mergeCell ref="A40:D40"/>
    <mergeCell ref="E40:H40"/>
    <mergeCell ref="E41:H41"/>
    <mergeCell ref="E42:H42"/>
    <mergeCell ref="E43:H43"/>
    <mergeCell ref="A41:D41"/>
    <mergeCell ref="A42:D42"/>
    <mergeCell ref="A61:B61"/>
    <mergeCell ref="C48:H48"/>
    <mergeCell ref="D58:H58"/>
    <mergeCell ref="A58:C58"/>
    <mergeCell ref="A43:D43"/>
    <mergeCell ref="A44:H44"/>
    <mergeCell ref="A50:H50"/>
    <mergeCell ref="A51:C51"/>
    <mergeCell ref="G45:H45"/>
    <mergeCell ref="G46:H46"/>
    <mergeCell ref="A46:B46"/>
    <mergeCell ref="C46:E46"/>
    <mergeCell ref="C47:E47"/>
    <mergeCell ref="A45:B45"/>
    <mergeCell ref="A55:C55"/>
    <mergeCell ref="A56:C56"/>
    <mergeCell ref="D55:H55"/>
    <mergeCell ref="A133:B133"/>
    <mergeCell ref="D133:E133"/>
    <mergeCell ref="F133:H133"/>
    <mergeCell ref="A134:B134"/>
    <mergeCell ref="D134:E134"/>
    <mergeCell ref="F134:H134"/>
    <mergeCell ref="A153:B153"/>
    <mergeCell ref="A154:B154"/>
    <mergeCell ref="A155:B155"/>
    <mergeCell ref="A135:B135"/>
    <mergeCell ref="D135:E135"/>
    <mergeCell ref="F135:H135"/>
    <mergeCell ref="A124:E124"/>
    <mergeCell ref="F124:H124"/>
    <mergeCell ref="A123:E123"/>
    <mergeCell ref="F123:H123"/>
    <mergeCell ref="A119:E119"/>
    <mergeCell ref="F119:H119"/>
    <mergeCell ref="A120:E120"/>
    <mergeCell ref="F120:H120"/>
    <mergeCell ref="A121:E121"/>
    <mergeCell ref="F121:H121"/>
    <mergeCell ref="F118:H118"/>
    <mergeCell ref="C61:H61"/>
    <mergeCell ref="A62:B62"/>
    <mergeCell ref="A63:B63"/>
    <mergeCell ref="A64:B64"/>
    <mergeCell ref="A65:B65"/>
    <mergeCell ref="A69:B69"/>
    <mergeCell ref="E62:F62"/>
    <mergeCell ref="E63:F69"/>
    <mergeCell ref="G63:H69"/>
    <mergeCell ref="A112:H112"/>
    <mergeCell ref="A113:B113"/>
    <mergeCell ref="C113:H113"/>
    <mergeCell ref="F116:H116"/>
    <mergeCell ref="A116:E116"/>
    <mergeCell ref="A66:B66"/>
    <mergeCell ref="A67:B67"/>
    <mergeCell ref="A68:B68"/>
    <mergeCell ref="A70:C70"/>
    <mergeCell ref="D70:H70"/>
    <mergeCell ref="A71:C71"/>
    <mergeCell ref="D71:H71"/>
    <mergeCell ref="A72:H72"/>
    <mergeCell ref="A74:B74"/>
    <mergeCell ref="C30:E30"/>
    <mergeCell ref="A31:B31"/>
    <mergeCell ref="C31:E31"/>
    <mergeCell ref="A32:B32"/>
    <mergeCell ref="C32:E32"/>
    <mergeCell ref="C33:E33"/>
    <mergeCell ref="A29:B29"/>
    <mergeCell ref="A122:E122"/>
    <mergeCell ref="F122:H122"/>
    <mergeCell ref="A35:B35"/>
    <mergeCell ref="A47:B48"/>
    <mergeCell ref="G47:H47"/>
    <mergeCell ref="D53:H53"/>
    <mergeCell ref="A53:C53"/>
    <mergeCell ref="A54:C54"/>
    <mergeCell ref="D54:H54"/>
    <mergeCell ref="A52:C52"/>
    <mergeCell ref="D52:H52"/>
    <mergeCell ref="D51:H51"/>
    <mergeCell ref="G49:H49"/>
    <mergeCell ref="A49:B49"/>
    <mergeCell ref="A117:E117"/>
    <mergeCell ref="F117:H117"/>
    <mergeCell ref="A118:E118"/>
    <mergeCell ref="A186:H189"/>
    <mergeCell ref="A185:B185"/>
    <mergeCell ref="E185:F185"/>
    <mergeCell ref="C185:D185"/>
    <mergeCell ref="G185:H185"/>
    <mergeCell ref="A127:H127"/>
    <mergeCell ref="A125:E125"/>
    <mergeCell ref="F125:H125"/>
    <mergeCell ref="A126:E126"/>
    <mergeCell ref="F126:H126"/>
    <mergeCell ref="D132:E132"/>
    <mergeCell ref="F132:H132"/>
    <mergeCell ref="A138:B138"/>
    <mergeCell ref="A139:H139"/>
    <mergeCell ref="A132:B132"/>
    <mergeCell ref="A151:B151"/>
    <mergeCell ref="A152:B152"/>
    <mergeCell ref="A136:H136"/>
    <mergeCell ref="A131:B131"/>
    <mergeCell ref="D131:E131"/>
    <mergeCell ref="A181:H181"/>
    <mergeCell ref="A182:H182"/>
    <mergeCell ref="A183:H183"/>
    <mergeCell ref="A184:H184"/>
    <mergeCell ref="A16:B16"/>
    <mergeCell ref="C16:D16"/>
    <mergeCell ref="E16:F16"/>
    <mergeCell ref="G16:H16"/>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D56:H56"/>
    <mergeCell ref="C49:E49"/>
    <mergeCell ref="C45:E45"/>
    <mergeCell ref="A57:C57"/>
    <mergeCell ref="D57:H57"/>
    <mergeCell ref="A176:H176"/>
    <mergeCell ref="A177:H177"/>
    <mergeCell ref="A178:H178"/>
    <mergeCell ref="A179:H179"/>
    <mergeCell ref="A137:H137"/>
    <mergeCell ref="A141:B141"/>
    <mergeCell ref="A163:B163"/>
    <mergeCell ref="A164:B164"/>
    <mergeCell ref="A174:B174"/>
    <mergeCell ref="A175:B175"/>
    <mergeCell ref="A173:B173"/>
    <mergeCell ref="A130:H130"/>
    <mergeCell ref="A59:H59"/>
    <mergeCell ref="G62:H62"/>
    <mergeCell ref="A111:H111"/>
    <mergeCell ref="A114:H114"/>
    <mergeCell ref="A115:E115"/>
    <mergeCell ref="F115:H115"/>
    <mergeCell ref="A165:B165"/>
    <mergeCell ref="A128:B128"/>
    <mergeCell ref="A180:H180"/>
    <mergeCell ref="D128:E128"/>
    <mergeCell ref="F128:H128"/>
    <mergeCell ref="A129:B129"/>
    <mergeCell ref="D129:E129"/>
    <mergeCell ref="F129:H129"/>
    <mergeCell ref="G138:H138"/>
    <mergeCell ref="A144:B144"/>
    <mergeCell ref="A145:B145"/>
    <mergeCell ref="A146:B146"/>
    <mergeCell ref="A147:B147"/>
    <mergeCell ref="A148:B148"/>
    <mergeCell ref="A149:B149"/>
    <mergeCell ref="A150:B150"/>
    <mergeCell ref="A157:B157"/>
    <mergeCell ref="A158:B158"/>
    <mergeCell ref="G141:H150"/>
    <mergeCell ref="G151:H159"/>
    <mergeCell ref="A142:B142"/>
    <mergeCell ref="A143:B143"/>
    <mergeCell ref="A162:B162"/>
    <mergeCell ref="F131:H131"/>
    <mergeCell ref="A140:H140"/>
    <mergeCell ref="C74:H74"/>
    <mergeCell ref="A75:B75"/>
    <mergeCell ref="E75:F75"/>
    <mergeCell ref="G75:H75"/>
    <mergeCell ref="A76:B76"/>
    <mergeCell ref="E76:F82"/>
    <mergeCell ref="G76:H82"/>
    <mergeCell ref="A77:B77"/>
    <mergeCell ref="A78:B78"/>
    <mergeCell ref="A79:B79"/>
    <mergeCell ref="A80:B80"/>
    <mergeCell ref="A81:B81"/>
    <mergeCell ref="A82:B82"/>
    <mergeCell ref="A83:B83"/>
    <mergeCell ref="C83:H83"/>
    <mergeCell ref="A84:B84"/>
    <mergeCell ref="C84:D84"/>
    <mergeCell ref="A85:B85"/>
    <mergeCell ref="C85:H85"/>
    <mergeCell ref="A86:B86"/>
    <mergeCell ref="E86:F86"/>
    <mergeCell ref="G86:H86"/>
    <mergeCell ref="A87:B87"/>
    <mergeCell ref="E87:F96"/>
    <mergeCell ref="G87:H96"/>
    <mergeCell ref="A88:B88"/>
    <mergeCell ref="A89:B89"/>
    <mergeCell ref="A90:B90"/>
    <mergeCell ref="A91:B91"/>
    <mergeCell ref="A92:B92"/>
    <mergeCell ref="A93:B93"/>
    <mergeCell ref="A94:B94"/>
    <mergeCell ref="A95:B95"/>
    <mergeCell ref="A96:B96"/>
    <mergeCell ref="A36:B36"/>
    <mergeCell ref="C35:H35"/>
    <mergeCell ref="C36:H36"/>
    <mergeCell ref="A101:B101"/>
    <mergeCell ref="E101:F110"/>
    <mergeCell ref="G101:H110"/>
    <mergeCell ref="A102:B102"/>
    <mergeCell ref="A103:B103"/>
    <mergeCell ref="A104:B104"/>
    <mergeCell ref="A105:B105"/>
    <mergeCell ref="A106:B106"/>
    <mergeCell ref="A107:B107"/>
    <mergeCell ref="A108:B108"/>
    <mergeCell ref="A109:B109"/>
    <mergeCell ref="A110:B110"/>
    <mergeCell ref="A97:B97"/>
    <mergeCell ref="C97:H97"/>
    <mergeCell ref="A98:B98"/>
    <mergeCell ref="C98:D98"/>
    <mergeCell ref="A99:B99"/>
    <mergeCell ref="C99:H99"/>
    <mergeCell ref="A100:B100"/>
    <mergeCell ref="E100:F100"/>
    <mergeCell ref="G100:H100"/>
  </mergeCells>
  <hyperlinks>
    <hyperlink ref="C36" r:id="rId1"/>
  </hyperlinks>
  <printOptions horizontalCentered="1"/>
  <pageMargins left="0.19685039370078741" right="0.19685039370078741"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                                                     &amp;P</oddFooter>
  </headerFooter>
  <rowBreaks count="3" manualBreakCount="3">
    <brk id="96" max="16383" man="1"/>
    <brk id="189" max="16383" man="1"/>
    <brk id="23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28" workbookViewId="0">
      <selection activeCell="A29" sqref="A29:B29"/>
    </sheetView>
  </sheetViews>
  <sheetFormatPr defaultRowHeight="14.5" x14ac:dyDescent="0.35"/>
  <sheetData>
    <row r="1" spans="1:13" x14ac:dyDescent="0.35">
      <c r="A1" s="151" t="s">
        <v>173</v>
      </c>
      <c r="B1" s="151"/>
      <c r="C1" s="151"/>
      <c r="D1" s="151"/>
      <c r="E1" s="151"/>
      <c r="F1" s="151"/>
      <c r="G1" s="151"/>
      <c r="H1" s="151"/>
      <c r="I1" s="151"/>
      <c r="J1" s="151"/>
      <c r="K1" s="151"/>
      <c r="L1" s="151"/>
      <c r="M1" s="151"/>
    </row>
    <row r="2" spans="1:13" x14ac:dyDescent="0.35">
      <c r="A2" s="151" t="s">
        <v>174</v>
      </c>
      <c r="B2" s="151"/>
      <c r="C2" s="151"/>
      <c r="D2" s="151"/>
      <c r="E2" s="151"/>
      <c r="F2" s="151"/>
      <c r="G2" s="151"/>
      <c r="H2" s="151"/>
      <c r="I2" s="151"/>
      <c r="J2" s="151"/>
      <c r="K2" s="151"/>
      <c r="L2" s="151"/>
      <c r="M2" s="151"/>
    </row>
    <row r="3" spans="1:13" x14ac:dyDescent="0.35">
      <c r="A3" s="150" t="s">
        <v>175</v>
      </c>
      <c r="B3" s="150"/>
      <c r="C3" s="9"/>
      <c r="D3" s="150" t="s">
        <v>165</v>
      </c>
      <c r="E3" s="150"/>
      <c r="F3" s="150" t="s">
        <v>165</v>
      </c>
      <c r="G3" s="150"/>
      <c r="H3" s="150" t="s">
        <v>165</v>
      </c>
      <c r="I3" s="150"/>
      <c r="J3" s="150" t="s">
        <v>165</v>
      </c>
      <c r="K3" s="150"/>
      <c r="L3" s="150" t="s">
        <v>165</v>
      </c>
      <c r="M3" s="150"/>
    </row>
    <row r="4" spans="1:13" x14ac:dyDescent="0.35">
      <c r="A4" s="142" t="s">
        <v>176</v>
      </c>
      <c r="B4" s="142"/>
      <c r="C4" s="10"/>
      <c r="D4" s="152">
        <v>201301401</v>
      </c>
      <c r="E4" s="142"/>
      <c r="F4" s="152">
        <v>202302402</v>
      </c>
      <c r="G4" s="142"/>
      <c r="H4" s="152">
        <v>103203303403</v>
      </c>
      <c r="I4" s="142"/>
      <c r="J4" s="153" t="s">
        <v>177</v>
      </c>
      <c r="K4" s="154"/>
      <c r="L4" s="152">
        <v>206306406</v>
      </c>
      <c r="M4" s="142"/>
    </row>
    <row r="5" spans="1:13" x14ac:dyDescent="0.35">
      <c r="A5" s="150" t="s">
        <v>178</v>
      </c>
      <c r="B5" s="150"/>
      <c r="C5" s="9"/>
      <c r="D5" s="150">
        <v>640</v>
      </c>
      <c r="E5" s="150"/>
      <c r="F5" s="150">
        <v>649</v>
      </c>
      <c r="G5" s="150"/>
      <c r="H5" s="150">
        <v>560</v>
      </c>
      <c r="I5" s="150"/>
      <c r="J5" s="150">
        <v>608</v>
      </c>
      <c r="K5" s="150"/>
      <c r="L5" s="150">
        <v>594</v>
      </c>
      <c r="M5" s="150"/>
    </row>
    <row r="6" spans="1:13" x14ac:dyDescent="0.35">
      <c r="A6" s="150" t="s">
        <v>179</v>
      </c>
      <c r="B6" s="150"/>
      <c r="C6" s="9"/>
      <c r="D6" s="150">
        <v>412.57</v>
      </c>
      <c r="E6" s="150"/>
      <c r="F6" s="150">
        <v>419.35</v>
      </c>
      <c r="G6" s="150"/>
      <c r="H6" s="150">
        <v>360.8</v>
      </c>
      <c r="I6" s="150"/>
      <c r="J6" s="150">
        <v>392.45</v>
      </c>
      <c r="K6" s="150"/>
      <c r="L6" s="150">
        <v>382.83</v>
      </c>
      <c r="M6" s="150"/>
    </row>
    <row r="7" spans="1:13" x14ac:dyDescent="0.35">
      <c r="A7" s="150" t="s">
        <v>180</v>
      </c>
      <c r="B7" s="150"/>
      <c r="C7" s="9"/>
      <c r="D7" s="150">
        <v>2999</v>
      </c>
      <c r="E7" s="150"/>
      <c r="F7" s="150">
        <v>2999</v>
      </c>
      <c r="G7" s="150"/>
      <c r="H7" s="150">
        <v>2999</v>
      </c>
      <c r="I7" s="150"/>
      <c r="J7" s="150">
        <v>2999</v>
      </c>
      <c r="K7" s="150"/>
      <c r="L7" s="150">
        <v>2999</v>
      </c>
      <c r="M7" s="150"/>
    </row>
    <row r="8" spans="1:13" x14ac:dyDescent="0.35">
      <c r="A8" s="145" t="s">
        <v>181</v>
      </c>
      <c r="B8" s="145"/>
      <c r="C8" s="11"/>
      <c r="D8" s="145">
        <v>1919360</v>
      </c>
      <c r="E8" s="145"/>
      <c r="F8" s="145">
        <v>1946351</v>
      </c>
      <c r="G8" s="145"/>
      <c r="H8" s="145">
        <v>1679440</v>
      </c>
      <c r="I8" s="145"/>
      <c r="J8" s="145">
        <v>1823392</v>
      </c>
      <c r="K8" s="145"/>
      <c r="L8" s="145">
        <v>1781406</v>
      </c>
      <c r="M8" s="145"/>
    </row>
    <row r="9" spans="1:13" x14ac:dyDescent="0.35">
      <c r="A9" s="143" t="s">
        <v>182</v>
      </c>
      <c r="B9" s="143"/>
      <c r="C9" s="12">
        <v>0.1</v>
      </c>
      <c r="D9" s="142">
        <v>191936</v>
      </c>
      <c r="E9" s="142"/>
      <c r="F9" s="143">
        <v>194635</v>
      </c>
      <c r="G9" s="143"/>
      <c r="H9" s="143">
        <v>167944</v>
      </c>
      <c r="I9" s="143"/>
      <c r="J9" s="143">
        <v>182339</v>
      </c>
      <c r="K9" s="143"/>
      <c r="L9" s="143">
        <v>178140</v>
      </c>
      <c r="M9" s="143"/>
    </row>
    <row r="10" spans="1:13" x14ac:dyDescent="0.35">
      <c r="A10" s="143" t="s">
        <v>183</v>
      </c>
      <c r="B10" s="143"/>
      <c r="C10" s="12">
        <v>0.1</v>
      </c>
      <c r="D10" s="142">
        <v>191936</v>
      </c>
      <c r="E10" s="142"/>
      <c r="F10" s="143">
        <v>194635</v>
      </c>
      <c r="G10" s="143"/>
      <c r="H10" s="143">
        <v>167944</v>
      </c>
      <c r="I10" s="143"/>
      <c r="J10" s="143">
        <v>182339</v>
      </c>
      <c r="K10" s="143"/>
      <c r="L10" s="143">
        <v>178140</v>
      </c>
      <c r="M10" s="143"/>
    </row>
    <row r="11" spans="1:13" x14ac:dyDescent="0.35">
      <c r="A11" s="149" t="s">
        <v>184</v>
      </c>
      <c r="B11" s="148"/>
      <c r="C11" s="12">
        <v>0.1</v>
      </c>
      <c r="D11" s="142">
        <v>191936</v>
      </c>
      <c r="E11" s="142"/>
      <c r="F11" s="143">
        <v>194635</v>
      </c>
      <c r="G11" s="143"/>
      <c r="H11" s="143">
        <v>167944</v>
      </c>
      <c r="I11" s="143"/>
      <c r="J11" s="143">
        <v>182339</v>
      </c>
      <c r="K11" s="143"/>
      <c r="L11" s="143">
        <v>178140</v>
      </c>
      <c r="M11" s="143"/>
    </row>
    <row r="12" spans="1:13" x14ac:dyDescent="0.35">
      <c r="A12" s="143" t="s">
        <v>185</v>
      </c>
      <c r="B12" s="143"/>
      <c r="C12" s="12">
        <v>0.1</v>
      </c>
      <c r="D12" s="142">
        <v>191936</v>
      </c>
      <c r="E12" s="142"/>
      <c r="F12" s="143">
        <v>194635</v>
      </c>
      <c r="G12" s="143"/>
      <c r="H12" s="143">
        <v>167944</v>
      </c>
      <c r="I12" s="143"/>
      <c r="J12" s="143">
        <v>182339</v>
      </c>
      <c r="K12" s="143"/>
      <c r="L12" s="143">
        <v>178140</v>
      </c>
      <c r="M12" s="143"/>
    </row>
    <row r="13" spans="1:13" x14ac:dyDescent="0.35">
      <c r="A13" s="143" t="s">
        <v>186</v>
      </c>
      <c r="B13" s="143"/>
      <c r="C13" s="12">
        <v>0.1</v>
      </c>
      <c r="D13" s="142">
        <v>191936</v>
      </c>
      <c r="E13" s="142"/>
      <c r="F13" s="143">
        <v>194635</v>
      </c>
      <c r="G13" s="143"/>
      <c r="H13" s="143">
        <v>167944</v>
      </c>
      <c r="I13" s="143"/>
      <c r="J13" s="143">
        <v>182339</v>
      </c>
      <c r="K13" s="143"/>
      <c r="L13" s="143">
        <v>178140</v>
      </c>
      <c r="M13" s="143"/>
    </row>
    <row r="14" spans="1:13" x14ac:dyDescent="0.35">
      <c r="A14" s="143" t="s">
        <v>187</v>
      </c>
      <c r="B14" s="143"/>
      <c r="C14" s="12">
        <v>0.1</v>
      </c>
      <c r="D14" s="142">
        <v>191936</v>
      </c>
      <c r="E14" s="142"/>
      <c r="F14" s="143">
        <v>194635</v>
      </c>
      <c r="G14" s="143"/>
      <c r="H14" s="143">
        <v>167944</v>
      </c>
      <c r="I14" s="143"/>
      <c r="J14" s="143">
        <v>182339</v>
      </c>
      <c r="K14" s="143"/>
      <c r="L14" s="143">
        <v>178140</v>
      </c>
      <c r="M14" s="143"/>
    </row>
    <row r="15" spans="1:13" x14ac:dyDescent="0.35">
      <c r="A15" s="143" t="s">
        <v>188</v>
      </c>
      <c r="B15" s="143"/>
      <c r="C15" s="12">
        <v>0.1</v>
      </c>
      <c r="D15" s="142">
        <v>191936</v>
      </c>
      <c r="E15" s="142"/>
      <c r="F15" s="143">
        <v>194635</v>
      </c>
      <c r="G15" s="143"/>
      <c r="H15" s="143">
        <v>167944</v>
      </c>
      <c r="I15" s="143"/>
      <c r="J15" s="143">
        <v>182339</v>
      </c>
      <c r="K15" s="143"/>
      <c r="L15" s="143">
        <v>178140</v>
      </c>
      <c r="M15" s="143"/>
    </row>
    <row r="16" spans="1:13" x14ac:dyDescent="0.35">
      <c r="A16" s="143" t="s">
        <v>189</v>
      </c>
      <c r="B16" s="143"/>
      <c r="C16" s="12">
        <v>0.05</v>
      </c>
      <c r="D16" s="142">
        <v>95968</v>
      </c>
      <c r="E16" s="142"/>
      <c r="F16" s="143">
        <v>973175</v>
      </c>
      <c r="G16" s="143"/>
      <c r="H16" s="143">
        <v>83972</v>
      </c>
      <c r="I16" s="143"/>
      <c r="J16" s="143">
        <v>91169</v>
      </c>
      <c r="K16" s="143"/>
      <c r="L16" s="143">
        <v>89070</v>
      </c>
      <c r="M16" s="143"/>
    </row>
    <row r="17" spans="1:13" x14ac:dyDescent="0.35">
      <c r="A17" s="141" t="s">
        <v>190</v>
      </c>
      <c r="B17" s="141"/>
      <c r="C17" s="13">
        <v>0.05</v>
      </c>
      <c r="D17" s="142">
        <v>95968</v>
      </c>
      <c r="E17" s="142"/>
      <c r="F17" s="143">
        <v>973175</v>
      </c>
      <c r="G17" s="143"/>
      <c r="H17" s="143">
        <v>83972</v>
      </c>
      <c r="I17" s="143"/>
      <c r="J17" s="143">
        <v>91169</v>
      </c>
      <c r="K17" s="143"/>
      <c r="L17" s="143">
        <v>89070</v>
      </c>
      <c r="M17" s="143"/>
    </row>
    <row r="18" spans="1:13" x14ac:dyDescent="0.35">
      <c r="A18" s="147" t="s">
        <v>191</v>
      </c>
      <c r="B18" s="148"/>
      <c r="C18" s="14">
        <v>0.05</v>
      </c>
      <c r="D18" s="142">
        <v>95968</v>
      </c>
      <c r="E18" s="142"/>
      <c r="F18" s="143">
        <v>973175</v>
      </c>
      <c r="G18" s="143"/>
      <c r="H18" s="143">
        <v>83972</v>
      </c>
      <c r="I18" s="143"/>
      <c r="J18" s="143">
        <v>91169</v>
      </c>
      <c r="K18" s="143"/>
      <c r="L18" s="143">
        <v>89070</v>
      </c>
      <c r="M18" s="143"/>
    </row>
    <row r="19" spans="1:13" x14ac:dyDescent="0.35">
      <c r="A19" s="146" t="s">
        <v>192</v>
      </c>
      <c r="B19" s="143"/>
      <c r="C19" s="12">
        <v>0.1</v>
      </c>
      <c r="D19" s="142">
        <v>191936</v>
      </c>
      <c r="E19" s="142"/>
      <c r="F19" s="143">
        <v>194635</v>
      </c>
      <c r="G19" s="143"/>
      <c r="H19" s="143">
        <v>167944</v>
      </c>
      <c r="I19" s="143"/>
      <c r="J19" s="143">
        <v>182339</v>
      </c>
      <c r="K19" s="143"/>
      <c r="L19" s="143">
        <v>178140</v>
      </c>
      <c r="M19" s="143"/>
    </row>
    <row r="20" spans="1:13" x14ac:dyDescent="0.35">
      <c r="A20" s="143" t="s">
        <v>193</v>
      </c>
      <c r="B20" s="143"/>
      <c r="C20" s="12">
        <v>0.05</v>
      </c>
      <c r="D20" s="142">
        <v>95968</v>
      </c>
      <c r="E20" s="142"/>
      <c r="F20" s="143">
        <v>973175</v>
      </c>
      <c r="G20" s="143"/>
      <c r="H20" s="143">
        <v>83972</v>
      </c>
      <c r="I20" s="143"/>
      <c r="J20" s="143">
        <v>91169</v>
      </c>
      <c r="K20" s="143"/>
      <c r="L20" s="143">
        <v>89070</v>
      </c>
      <c r="M20" s="143"/>
    </row>
    <row r="21" spans="1:13" x14ac:dyDescent="0.35">
      <c r="A21" s="144" t="s">
        <v>194</v>
      </c>
      <c r="B21" s="138"/>
      <c r="C21" s="15">
        <v>1</v>
      </c>
      <c r="D21" s="145">
        <v>1919360</v>
      </c>
      <c r="E21" s="145"/>
      <c r="F21" s="145">
        <v>1946351</v>
      </c>
      <c r="G21" s="145"/>
      <c r="H21" s="145">
        <v>1679440</v>
      </c>
      <c r="I21" s="145"/>
      <c r="J21" s="145">
        <v>1823392</v>
      </c>
      <c r="K21" s="145"/>
      <c r="L21" s="145">
        <v>1781406</v>
      </c>
      <c r="M21" s="145"/>
    </row>
    <row r="22" spans="1:13" x14ac:dyDescent="0.35">
      <c r="A22" s="143" t="s">
        <v>195</v>
      </c>
      <c r="B22" s="143"/>
      <c r="C22" s="12">
        <v>0.06</v>
      </c>
      <c r="D22" s="142">
        <v>115161</v>
      </c>
      <c r="E22" s="142"/>
      <c r="F22" s="143">
        <v>116781</v>
      </c>
      <c r="G22" s="143"/>
      <c r="H22" s="143">
        <v>100766</v>
      </c>
      <c r="I22" s="143"/>
      <c r="J22" s="143">
        <v>109403</v>
      </c>
      <c r="K22" s="143"/>
      <c r="L22" s="143">
        <v>106884</v>
      </c>
      <c r="M22" s="143"/>
    </row>
    <row r="23" spans="1:13" x14ac:dyDescent="0.35">
      <c r="A23" s="143" t="s">
        <v>196</v>
      </c>
      <c r="B23" s="143"/>
      <c r="C23" s="12">
        <v>0.01</v>
      </c>
      <c r="D23" s="142">
        <v>19193</v>
      </c>
      <c r="E23" s="142"/>
      <c r="F23" s="143">
        <v>19463</v>
      </c>
      <c r="G23" s="143"/>
      <c r="H23" s="143">
        <v>16794</v>
      </c>
      <c r="I23" s="143"/>
      <c r="J23" s="143">
        <v>18233</v>
      </c>
      <c r="K23" s="143"/>
      <c r="L23" s="143">
        <v>17814</v>
      </c>
      <c r="M23" s="143"/>
    </row>
    <row r="24" spans="1:13" x14ac:dyDescent="0.35">
      <c r="A24" s="143" t="s">
        <v>197</v>
      </c>
      <c r="B24" s="143"/>
      <c r="C24" s="12">
        <v>0.01</v>
      </c>
      <c r="D24" s="142">
        <v>19193</v>
      </c>
      <c r="E24" s="142"/>
      <c r="F24" s="143">
        <v>19463</v>
      </c>
      <c r="G24" s="143"/>
      <c r="H24" s="143">
        <v>16794</v>
      </c>
      <c r="I24" s="143"/>
      <c r="J24" s="143">
        <v>18233</v>
      </c>
      <c r="K24" s="143"/>
      <c r="L24" s="143">
        <v>17814</v>
      </c>
      <c r="M24" s="143"/>
    </row>
    <row r="25" spans="1:13" x14ac:dyDescent="0.35">
      <c r="A25" s="143" t="s">
        <v>171</v>
      </c>
      <c r="B25" s="143"/>
      <c r="C25" s="16"/>
      <c r="D25" s="142">
        <v>60000</v>
      </c>
      <c r="E25" s="142"/>
      <c r="F25" s="142">
        <v>60000</v>
      </c>
      <c r="G25" s="142"/>
      <c r="H25" s="142">
        <v>60000</v>
      </c>
      <c r="I25" s="142"/>
      <c r="J25" s="142">
        <v>60000</v>
      </c>
      <c r="K25" s="142"/>
      <c r="L25" s="142">
        <v>60000</v>
      </c>
      <c r="M25" s="142"/>
    </row>
    <row r="26" spans="1:13" x14ac:dyDescent="0.35">
      <c r="A26" s="141" t="s">
        <v>198</v>
      </c>
      <c r="B26" s="141"/>
      <c r="C26" s="16"/>
      <c r="D26" s="142">
        <v>10000</v>
      </c>
      <c r="E26" s="142"/>
      <c r="F26" s="142">
        <v>10000</v>
      </c>
      <c r="G26" s="142"/>
      <c r="H26" s="142">
        <v>10000</v>
      </c>
      <c r="I26" s="142"/>
      <c r="J26" s="142">
        <v>10000</v>
      </c>
      <c r="K26" s="142"/>
      <c r="L26" s="142">
        <v>10000</v>
      </c>
      <c r="M26" s="142"/>
    </row>
    <row r="27" spans="1:13" ht="18.5" x14ac:dyDescent="0.35">
      <c r="A27" s="138" t="s">
        <v>199</v>
      </c>
      <c r="B27" s="138"/>
      <c r="C27" s="17"/>
      <c r="D27" s="139">
        <f>SUM(D21:D26)</f>
        <v>2142907</v>
      </c>
      <c r="E27" s="139"/>
      <c r="F27" s="140">
        <f>SUM(F21:F26)</f>
        <v>2172058</v>
      </c>
      <c r="G27" s="140"/>
      <c r="H27" s="140">
        <f>SUM(H21:H26)</f>
        <v>1883794</v>
      </c>
      <c r="I27" s="140"/>
      <c r="J27" s="140">
        <f>SUM(J21:J26)</f>
        <v>2039261</v>
      </c>
      <c r="K27" s="140"/>
      <c r="L27" s="140">
        <f>SUM(L21:L26)</f>
        <v>1993918</v>
      </c>
      <c r="M27" s="140"/>
    </row>
    <row r="28" spans="1:13" x14ac:dyDescent="0.35">
      <c r="A28" s="137"/>
      <c r="B28" s="137"/>
      <c r="D28" s="137"/>
      <c r="E28" s="137"/>
      <c r="F28" s="137"/>
      <c r="G28" s="137"/>
      <c r="H28" s="137"/>
      <c r="I28" s="137"/>
      <c r="J28" s="137"/>
      <c r="K28" s="137"/>
    </row>
    <row r="29" spans="1:13" x14ac:dyDescent="0.35">
      <c r="A29" s="137"/>
      <c r="B29" s="137"/>
      <c r="D29" s="137"/>
      <c r="E29" s="137"/>
      <c r="F29" s="137"/>
      <c r="G29" s="137"/>
      <c r="H29" s="137"/>
      <c r="I29" s="137"/>
      <c r="J29" s="137"/>
      <c r="K29" s="137"/>
    </row>
    <row r="30" spans="1:13" x14ac:dyDescent="0.35">
      <c r="A30" s="137"/>
      <c r="B30" s="137"/>
      <c r="D30" s="137"/>
      <c r="E30" s="137"/>
      <c r="F30" s="137"/>
      <c r="G30" s="137"/>
      <c r="H30" s="137"/>
      <c r="I30" s="137"/>
      <c r="J30" s="137"/>
      <c r="K30" s="137"/>
    </row>
    <row r="31" spans="1:13" x14ac:dyDescent="0.35">
      <c r="A31" s="137"/>
      <c r="B31" s="137"/>
      <c r="D31" s="137"/>
      <c r="E31" s="137"/>
      <c r="F31" s="137"/>
      <c r="G31" s="137"/>
      <c r="H31" s="137"/>
      <c r="I31" s="137"/>
      <c r="J31" s="137"/>
      <c r="K31" s="137"/>
    </row>
    <row r="32" spans="1:13" x14ac:dyDescent="0.35">
      <c r="A32" s="137"/>
      <c r="B32" s="137"/>
      <c r="D32" s="137"/>
      <c r="E32" s="137"/>
      <c r="F32" s="137"/>
      <c r="G32" s="137"/>
      <c r="H32" s="137"/>
      <c r="I32" s="137"/>
      <c r="J32" s="137"/>
      <c r="K32" s="137"/>
    </row>
    <row r="33" spans="1:11" x14ac:dyDescent="0.35">
      <c r="A33" s="137"/>
      <c r="B33" s="137"/>
      <c r="D33" s="137"/>
      <c r="E33" s="137"/>
      <c r="F33" s="137"/>
      <c r="G33" s="137"/>
      <c r="H33" s="137"/>
      <c r="I33" s="137"/>
      <c r="J33" s="137"/>
      <c r="K33" s="137"/>
    </row>
    <row r="34" spans="1:11" x14ac:dyDescent="0.35">
      <c r="A34" s="137"/>
      <c r="B34" s="137"/>
      <c r="D34" s="137"/>
      <c r="E34" s="137"/>
      <c r="F34" s="137"/>
      <c r="G34" s="137"/>
      <c r="H34" s="137"/>
      <c r="I34" s="137"/>
      <c r="J34" s="137"/>
      <c r="K34" s="137"/>
    </row>
  </sheetData>
  <mergeCells count="187">
    <mergeCell ref="A1:M1"/>
    <mergeCell ref="A2:M2"/>
    <mergeCell ref="A3:B3"/>
    <mergeCell ref="D3:E3"/>
    <mergeCell ref="F3:G3"/>
    <mergeCell ref="H3:I3"/>
    <mergeCell ref="J3:K3"/>
    <mergeCell ref="L3:M3"/>
    <mergeCell ref="A5:B5"/>
    <mergeCell ref="D5:E5"/>
    <mergeCell ref="F5:G5"/>
    <mergeCell ref="H5:I5"/>
    <mergeCell ref="J5:K5"/>
    <mergeCell ref="L5:M5"/>
    <mergeCell ref="A4:B4"/>
    <mergeCell ref="D4:E4"/>
    <mergeCell ref="F4:G4"/>
    <mergeCell ref="H4:I4"/>
    <mergeCell ref="J4:K4"/>
    <mergeCell ref="L4:M4"/>
    <mergeCell ref="A7:B7"/>
    <mergeCell ref="D7:E7"/>
    <mergeCell ref="F7:G7"/>
    <mergeCell ref="H7:I7"/>
    <mergeCell ref="J7:K7"/>
    <mergeCell ref="L7:M7"/>
    <mergeCell ref="A6:B6"/>
    <mergeCell ref="D6:E6"/>
    <mergeCell ref="F6:G6"/>
    <mergeCell ref="H6:I6"/>
    <mergeCell ref="J6:K6"/>
    <mergeCell ref="L6:M6"/>
    <mergeCell ref="A9:B9"/>
    <mergeCell ref="D9:E9"/>
    <mergeCell ref="F9:G9"/>
    <mergeCell ref="H9:I9"/>
    <mergeCell ref="J9:K9"/>
    <mergeCell ref="L9:M9"/>
    <mergeCell ref="A8:B8"/>
    <mergeCell ref="D8:E8"/>
    <mergeCell ref="F8:G8"/>
    <mergeCell ref="H8:I8"/>
    <mergeCell ref="J8:K8"/>
    <mergeCell ref="L8:M8"/>
    <mergeCell ref="A11:B11"/>
    <mergeCell ref="D11:E11"/>
    <mergeCell ref="F11:G11"/>
    <mergeCell ref="H11:I11"/>
    <mergeCell ref="J11:K11"/>
    <mergeCell ref="L11:M11"/>
    <mergeCell ref="A10:B10"/>
    <mergeCell ref="D10:E10"/>
    <mergeCell ref="F10:G10"/>
    <mergeCell ref="H10:I10"/>
    <mergeCell ref="J10:K10"/>
    <mergeCell ref="L10:M10"/>
    <mergeCell ref="A13:B13"/>
    <mergeCell ref="D13:E13"/>
    <mergeCell ref="F13:G13"/>
    <mergeCell ref="H13:I13"/>
    <mergeCell ref="J13:K13"/>
    <mergeCell ref="L13:M13"/>
    <mergeCell ref="A12:B12"/>
    <mergeCell ref="D12:E12"/>
    <mergeCell ref="F12:G12"/>
    <mergeCell ref="H12:I12"/>
    <mergeCell ref="J12:K12"/>
    <mergeCell ref="L12:M12"/>
    <mergeCell ref="A15:B15"/>
    <mergeCell ref="D15:E15"/>
    <mergeCell ref="F15:G15"/>
    <mergeCell ref="H15:I15"/>
    <mergeCell ref="J15:K15"/>
    <mergeCell ref="L15:M15"/>
    <mergeCell ref="A14:B14"/>
    <mergeCell ref="D14:E14"/>
    <mergeCell ref="F14:G14"/>
    <mergeCell ref="H14:I14"/>
    <mergeCell ref="J14:K14"/>
    <mergeCell ref="L14:M14"/>
    <mergeCell ref="A17:B17"/>
    <mergeCell ref="D17:E17"/>
    <mergeCell ref="F17:G17"/>
    <mergeCell ref="H17:I17"/>
    <mergeCell ref="J17:K17"/>
    <mergeCell ref="L17:M17"/>
    <mergeCell ref="A16:B16"/>
    <mergeCell ref="D16:E16"/>
    <mergeCell ref="F16:G16"/>
    <mergeCell ref="H16:I16"/>
    <mergeCell ref="J16:K16"/>
    <mergeCell ref="L16:M16"/>
    <mergeCell ref="A19:B19"/>
    <mergeCell ref="D19:E19"/>
    <mergeCell ref="F19:G19"/>
    <mergeCell ref="H19:I19"/>
    <mergeCell ref="J19:K19"/>
    <mergeCell ref="L19:M19"/>
    <mergeCell ref="A18:B18"/>
    <mergeCell ref="D18:E18"/>
    <mergeCell ref="F18:G18"/>
    <mergeCell ref="H18:I18"/>
    <mergeCell ref="J18:K18"/>
    <mergeCell ref="L18:M18"/>
    <mergeCell ref="A21:B21"/>
    <mergeCell ref="D21:E21"/>
    <mergeCell ref="F21:G21"/>
    <mergeCell ref="H21:I21"/>
    <mergeCell ref="J21:K21"/>
    <mergeCell ref="L21:M21"/>
    <mergeCell ref="A20:B20"/>
    <mergeCell ref="D20:E20"/>
    <mergeCell ref="F20:G20"/>
    <mergeCell ref="H20:I20"/>
    <mergeCell ref="J20:K20"/>
    <mergeCell ref="L20:M20"/>
    <mergeCell ref="A23:B23"/>
    <mergeCell ref="D23:E23"/>
    <mergeCell ref="F23:G23"/>
    <mergeCell ref="H23:I23"/>
    <mergeCell ref="J23:K23"/>
    <mergeCell ref="L23:M23"/>
    <mergeCell ref="A22:B22"/>
    <mergeCell ref="D22:E22"/>
    <mergeCell ref="F22:G22"/>
    <mergeCell ref="H22:I22"/>
    <mergeCell ref="J22:K22"/>
    <mergeCell ref="L22:M22"/>
    <mergeCell ref="A25:B25"/>
    <mergeCell ref="D25:E25"/>
    <mergeCell ref="F25:G25"/>
    <mergeCell ref="H25:I25"/>
    <mergeCell ref="J25:K25"/>
    <mergeCell ref="L25:M25"/>
    <mergeCell ref="A24:B24"/>
    <mergeCell ref="D24:E24"/>
    <mergeCell ref="F24:G24"/>
    <mergeCell ref="H24:I24"/>
    <mergeCell ref="J24:K24"/>
    <mergeCell ref="L24:M24"/>
    <mergeCell ref="A27:B27"/>
    <mergeCell ref="D27:E27"/>
    <mergeCell ref="F27:G27"/>
    <mergeCell ref="H27:I27"/>
    <mergeCell ref="J27:K27"/>
    <mergeCell ref="L27:M27"/>
    <mergeCell ref="A26:B26"/>
    <mergeCell ref="D26:E26"/>
    <mergeCell ref="F26:G26"/>
    <mergeCell ref="H26:I26"/>
    <mergeCell ref="J26:K26"/>
    <mergeCell ref="L26:M26"/>
    <mergeCell ref="A28:B28"/>
    <mergeCell ref="D28:E28"/>
    <mergeCell ref="F28:G28"/>
    <mergeCell ref="H28:I28"/>
    <mergeCell ref="J28:K28"/>
    <mergeCell ref="A29:B29"/>
    <mergeCell ref="D29:E29"/>
    <mergeCell ref="F29:G29"/>
    <mergeCell ref="H29:I29"/>
    <mergeCell ref="J29:K29"/>
    <mergeCell ref="A30:B30"/>
    <mergeCell ref="D30:E30"/>
    <mergeCell ref="F30:G30"/>
    <mergeCell ref="H30:I30"/>
    <mergeCell ref="J30:K30"/>
    <mergeCell ref="A31:B31"/>
    <mergeCell ref="D31:E31"/>
    <mergeCell ref="F31:G31"/>
    <mergeCell ref="H31:I31"/>
    <mergeCell ref="J31:K31"/>
    <mergeCell ref="A34:B34"/>
    <mergeCell ref="D34:E34"/>
    <mergeCell ref="F34:G34"/>
    <mergeCell ref="H34:I34"/>
    <mergeCell ref="J34:K34"/>
    <mergeCell ref="A32:B32"/>
    <mergeCell ref="D32:E32"/>
    <mergeCell ref="F32:G32"/>
    <mergeCell ref="H32:I32"/>
    <mergeCell ref="J32:K32"/>
    <mergeCell ref="A33:B33"/>
    <mergeCell ref="D33:E33"/>
    <mergeCell ref="F33:G33"/>
    <mergeCell ref="H33:I33"/>
    <mergeCell ref="J33:K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F25" sqref="F25"/>
    </sheetView>
  </sheetViews>
  <sheetFormatPr defaultRowHeight="14.5" x14ac:dyDescent="0.35"/>
  <cols>
    <col min="1" max="1" width="10.36328125" bestFit="1" customWidth="1"/>
  </cols>
  <sheetData>
    <row r="2" spans="1:2" x14ac:dyDescent="0.35">
      <c r="A2" s="18">
        <v>44247</v>
      </c>
      <c r="B2" t="s">
        <v>218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8"/>
  <sheetViews>
    <sheetView workbookViewId="0">
      <selection activeCell="D7" sqref="D7"/>
    </sheetView>
  </sheetViews>
  <sheetFormatPr defaultRowHeight="14.5" x14ac:dyDescent="0.35"/>
  <cols>
    <col min="2" max="2" width="12.36328125" customWidth="1"/>
  </cols>
  <sheetData>
    <row r="2" spans="1:12" x14ac:dyDescent="0.35">
      <c r="B2" s="1" t="s">
        <v>85</v>
      </c>
      <c r="C2" s="155"/>
      <c r="D2" s="155"/>
    </row>
    <row r="3" spans="1:12" x14ac:dyDescent="0.35">
      <c r="D3" s="2"/>
      <c r="E3" s="2"/>
      <c r="F3" s="2"/>
      <c r="G3" s="2"/>
      <c r="H3" s="2">
        <v>19.64</v>
      </c>
      <c r="I3" s="2"/>
    </row>
    <row r="4" spans="1:12" x14ac:dyDescent="0.35">
      <c r="A4" s="1" t="s">
        <v>86</v>
      </c>
      <c r="B4" s="3" t="s">
        <v>87</v>
      </c>
      <c r="C4" s="156" t="s">
        <v>88</v>
      </c>
      <c r="D4" s="156"/>
      <c r="E4" s="156"/>
      <c r="F4" s="4"/>
      <c r="G4" s="156" t="s">
        <v>89</v>
      </c>
      <c r="H4" s="156"/>
      <c r="I4" s="156"/>
      <c r="J4" s="156" t="s">
        <v>90</v>
      </c>
      <c r="K4" s="156"/>
      <c r="L4" s="156"/>
    </row>
    <row r="5" spans="1:12" x14ac:dyDescent="0.35">
      <c r="A5" s="1">
        <v>202</v>
      </c>
      <c r="B5" s="3"/>
      <c r="C5" s="3" t="s">
        <v>91</v>
      </c>
      <c r="D5" s="3" t="s">
        <v>92</v>
      </c>
      <c r="E5" s="3" t="s">
        <v>66</v>
      </c>
      <c r="F5" s="3"/>
      <c r="G5" s="3" t="s">
        <v>91</v>
      </c>
      <c r="H5" s="3" t="s">
        <v>92</v>
      </c>
      <c r="I5" s="3" t="s">
        <v>66</v>
      </c>
      <c r="J5" s="3" t="s">
        <v>91</v>
      </c>
      <c r="K5" s="3" t="s">
        <v>92</v>
      </c>
      <c r="L5" s="3" t="s">
        <v>66</v>
      </c>
    </row>
    <row r="6" spans="1:12" x14ac:dyDescent="0.35">
      <c r="B6" s="5" t="s">
        <v>93</v>
      </c>
      <c r="C6" s="5">
        <v>2.75</v>
      </c>
      <c r="D6" s="5">
        <v>5.22</v>
      </c>
      <c r="E6" s="5">
        <f>C6*D6</f>
        <v>14.354999999999999</v>
      </c>
      <c r="F6" s="5" t="s">
        <v>94</v>
      </c>
      <c r="G6" s="5">
        <v>2.75</v>
      </c>
      <c r="H6" s="5">
        <v>1</v>
      </c>
      <c r="I6" s="5">
        <f>G6*H6</f>
        <v>2.75</v>
      </c>
      <c r="J6" s="5"/>
      <c r="K6" s="5"/>
      <c r="L6" s="5">
        <f>J6*K6</f>
        <v>0</v>
      </c>
    </row>
    <row r="7" spans="1:12" x14ac:dyDescent="0.35">
      <c r="B7" s="5"/>
      <c r="C7" s="5"/>
      <c r="D7" s="5"/>
      <c r="E7" s="5">
        <f t="shared" ref="E7:E33" si="0">C7*D7</f>
        <v>0</v>
      </c>
      <c r="F7" s="5" t="s">
        <v>95</v>
      </c>
      <c r="G7" s="5">
        <v>2.2999999999999998</v>
      </c>
      <c r="H7" s="5">
        <v>1</v>
      </c>
      <c r="I7" s="5">
        <f t="shared" ref="I7:I29" si="1">G7*H7</f>
        <v>2.2999999999999998</v>
      </c>
      <c r="J7" s="5"/>
      <c r="K7" s="5"/>
      <c r="L7" s="5">
        <f t="shared" ref="L7:L29" si="2">J7*K7</f>
        <v>0</v>
      </c>
    </row>
    <row r="8" spans="1:12" x14ac:dyDescent="0.35">
      <c r="B8" s="5"/>
      <c r="C8" s="5"/>
      <c r="D8" s="5"/>
      <c r="E8" s="5">
        <f t="shared" si="0"/>
        <v>0</v>
      </c>
      <c r="F8" s="5"/>
      <c r="G8" s="5">
        <v>2.75</v>
      </c>
      <c r="H8" s="5">
        <v>1</v>
      </c>
      <c r="I8" s="5">
        <f t="shared" si="1"/>
        <v>2.75</v>
      </c>
      <c r="J8" s="5"/>
      <c r="K8" s="5"/>
      <c r="L8" s="5">
        <f t="shared" si="2"/>
        <v>0</v>
      </c>
    </row>
    <row r="9" spans="1:12" x14ac:dyDescent="0.35">
      <c r="B9" s="5" t="s">
        <v>96</v>
      </c>
      <c r="C9" s="5"/>
      <c r="D9" s="5"/>
      <c r="E9" s="5">
        <f t="shared" si="0"/>
        <v>0</v>
      </c>
      <c r="F9" s="5" t="s">
        <v>94</v>
      </c>
      <c r="G9" s="5"/>
      <c r="H9" s="5"/>
      <c r="I9" s="5">
        <f t="shared" si="1"/>
        <v>0</v>
      </c>
      <c r="J9" s="5"/>
      <c r="K9" s="5"/>
      <c r="L9" s="5">
        <f t="shared" si="2"/>
        <v>0</v>
      </c>
    </row>
    <row r="10" spans="1:12" x14ac:dyDescent="0.35">
      <c r="B10" s="5"/>
      <c r="C10" s="5"/>
      <c r="D10" s="5"/>
      <c r="E10" s="5">
        <f t="shared" si="0"/>
        <v>0</v>
      </c>
      <c r="F10" s="5" t="s">
        <v>95</v>
      </c>
      <c r="G10" s="5"/>
      <c r="H10" s="5"/>
      <c r="I10" s="5">
        <f t="shared" si="1"/>
        <v>0</v>
      </c>
      <c r="J10" s="5"/>
      <c r="K10" s="5"/>
      <c r="L10" s="5">
        <f t="shared" si="2"/>
        <v>0</v>
      </c>
    </row>
    <row r="11" spans="1:12" x14ac:dyDescent="0.35">
      <c r="B11" s="5"/>
      <c r="C11" s="5"/>
      <c r="D11" s="5"/>
      <c r="E11" s="5">
        <f t="shared" si="0"/>
        <v>0</v>
      </c>
      <c r="F11" s="5"/>
      <c r="G11" s="5"/>
      <c r="H11" s="5"/>
      <c r="I11" s="5">
        <f t="shared" si="1"/>
        <v>0</v>
      </c>
      <c r="J11" s="5"/>
      <c r="K11" s="5"/>
      <c r="L11" s="5">
        <f t="shared" si="2"/>
        <v>0</v>
      </c>
    </row>
    <row r="12" spans="1:12" x14ac:dyDescent="0.35">
      <c r="B12" s="5"/>
      <c r="C12" s="5"/>
      <c r="D12" s="5"/>
      <c r="E12" s="5">
        <f t="shared" si="0"/>
        <v>0</v>
      </c>
      <c r="F12" s="5"/>
      <c r="G12" s="5"/>
      <c r="H12" s="5"/>
      <c r="I12" s="5">
        <f t="shared" si="1"/>
        <v>0</v>
      </c>
      <c r="J12" s="5"/>
      <c r="K12" s="5"/>
      <c r="L12" s="5">
        <f t="shared" si="2"/>
        <v>0</v>
      </c>
    </row>
    <row r="13" spans="1:12" x14ac:dyDescent="0.35">
      <c r="B13" s="5" t="s">
        <v>97</v>
      </c>
      <c r="C13" s="5"/>
      <c r="D13" s="5"/>
      <c r="E13" s="5">
        <f t="shared" si="0"/>
        <v>0</v>
      </c>
      <c r="F13" s="5" t="s">
        <v>94</v>
      </c>
      <c r="G13" s="5"/>
      <c r="H13" s="5"/>
      <c r="I13" s="5">
        <f t="shared" si="1"/>
        <v>0</v>
      </c>
      <c r="J13" s="5"/>
      <c r="K13" s="5"/>
      <c r="L13" s="5">
        <f t="shared" si="2"/>
        <v>0</v>
      </c>
    </row>
    <row r="14" spans="1:12" x14ac:dyDescent="0.35">
      <c r="B14" s="5"/>
      <c r="C14" s="5"/>
      <c r="D14" s="5"/>
      <c r="E14" s="5">
        <f t="shared" si="0"/>
        <v>0</v>
      </c>
      <c r="F14" s="5" t="s">
        <v>95</v>
      </c>
      <c r="G14" s="5"/>
      <c r="H14" s="5"/>
      <c r="I14" s="5">
        <f t="shared" si="1"/>
        <v>0</v>
      </c>
      <c r="J14" s="5"/>
      <c r="K14" s="5"/>
      <c r="L14" s="5">
        <f t="shared" si="2"/>
        <v>0</v>
      </c>
    </row>
    <row r="15" spans="1:12" x14ac:dyDescent="0.35">
      <c r="B15" s="5"/>
      <c r="C15" s="5"/>
      <c r="D15" s="5"/>
      <c r="E15" s="5">
        <f t="shared" si="0"/>
        <v>0</v>
      </c>
      <c r="F15" s="5"/>
      <c r="G15" s="5"/>
      <c r="H15" s="5"/>
      <c r="I15" s="5">
        <f t="shared" si="1"/>
        <v>0</v>
      </c>
      <c r="J15" s="5"/>
      <c r="K15" s="5"/>
      <c r="L15" s="5">
        <f t="shared" si="2"/>
        <v>0</v>
      </c>
    </row>
    <row r="16" spans="1:12" x14ac:dyDescent="0.35">
      <c r="B16" s="5"/>
      <c r="C16" s="5"/>
      <c r="D16" s="5"/>
      <c r="E16" s="5">
        <f t="shared" si="0"/>
        <v>0</v>
      </c>
      <c r="F16" s="5"/>
      <c r="G16" s="5"/>
      <c r="H16" s="5"/>
      <c r="I16" s="5">
        <f t="shared" si="1"/>
        <v>0</v>
      </c>
      <c r="J16" s="5"/>
      <c r="K16" s="5"/>
      <c r="L16" s="5">
        <f t="shared" si="2"/>
        <v>0</v>
      </c>
    </row>
    <row r="17" spans="2:12" x14ac:dyDescent="0.35">
      <c r="B17" s="5" t="s">
        <v>98</v>
      </c>
      <c r="C17" s="5"/>
      <c r="D17" s="5"/>
      <c r="E17" s="5">
        <f t="shared" si="0"/>
        <v>0</v>
      </c>
      <c r="F17" s="5" t="s">
        <v>94</v>
      </c>
      <c r="G17" s="5"/>
      <c r="H17" s="5"/>
      <c r="I17" s="5">
        <f t="shared" si="1"/>
        <v>0</v>
      </c>
      <c r="J17" s="5"/>
      <c r="K17" s="5"/>
      <c r="L17" s="5">
        <f t="shared" si="2"/>
        <v>0</v>
      </c>
    </row>
    <row r="18" spans="2:12" x14ac:dyDescent="0.35">
      <c r="B18" s="5"/>
      <c r="C18" s="5"/>
      <c r="D18" s="5"/>
      <c r="E18" s="5">
        <f t="shared" si="0"/>
        <v>0</v>
      </c>
      <c r="F18" s="5" t="s">
        <v>95</v>
      </c>
      <c r="G18" s="5"/>
      <c r="H18" s="5"/>
      <c r="I18" s="5">
        <f t="shared" si="1"/>
        <v>0</v>
      </c>
      <c r="J18" s="5"/>
      <c r="K18" s="5"/>
      <c r="L18" s="5">
        <f t="shared" si="2"/>
        <v>0</v>
      </c>
    </row>
    <row r="19" spans="2:12" x14ac:dyDescent="0.35">
      <c r="B19" s="5"/>
      <c r="C19" s="5"/>
      <c r="D19" s="5"/>
      <c r="E19" s="5">
        <f t="shared" si="0"/>
        <v>0</v>
      </c>
      <c r="F19" s="5"/>
      <c r="G19" s="5"/>
      <c r="H19" s="5"/>
      <c r="I19" s="5">
        <f t="shared" si="1"/>
        <v>0</v>
      </c>
      <c r="J19" s="5"/>
      <c r="K19" s="5"/>
      <c r="L19" s="5">
        <f t="shared" si="2"/>
        <v>0</v>
      </c>
    </row>
    <row r="20" spans="2:12" x14ac:dyDescent="0.35">
      <c r="B20" s="5" t="s">
        <v>98</v>
      </c>
      <c r="C20" s="5"/>
      <c r="D20" s="5"/>
      <c r="E20" s="5">
        <f t="shared" si="0"/>
        <v>0</v>
      </c>
      <c r="F20" s="5" t="s">
        <v>94</v>
      </c>
      <c r="G20" s="5"/>
      <c r="H20" s="5"/>
      <c r="I20" s="5">
        <f t="shared" si="1"/>
        <v>0</v>
      </c>
      <c r="J20" s="5"/>
      <c r="K20" s="5"/>
      <c r="L20" s="5">
        <f t="shared" si="2"/>
        <v>0</v>
      </c>
    </row>
    <row r="21" spans="2:12" x14ac:dyDescent="0.35">
      <c r="B21" s="5"/>
      <c r="C21" s="5"/>
      <c r="D21" s="5"/>
      <c r="E21" s="5">
        <f t="shared" si="0"/>
        <v>0</v>
      </c>
      <c r="F21" s="5" t="s">
        <v>95</v>
      </c>
      <c r="G21" s="5"/>
      <c r="H21" s="5"/>
      <c r="I21" s="5">
        <f t="shared" si="1"/>
        <v>0</v>
      </c>
      <c r="J21" s="5"/>
      <c r="K21" s="5"/>
      <c r="L21" s="5">
        <f t="shared" si="2"/>
        <v>0</v>
      </c>
    </row>
    <row r="22" spans="2:12" x14ac:dyDescent="0.35">
      <c r="B22" s="5"/>
      <c r="C22" s="5"/>
      <c r="D22" s="5"/>
      <c r="E22" s="5">
        <f t="shared" si="0"/>
        <v>0</v>
      </c>
      <c r="F22" s="5"/>
      <c r="G22" s="5"/>
      <c r="H22" s="5"/>
      <c r="I22" s="5">
        <f t="shared" si="1"/>
        <v>0</v>
      </c>
      <c r="J22" s="5"/>
      <c r="K22" s="5"/>
      <c r="L22" s="5">
        <f t="shared" si="2"/>
        <v>0</v>
      </c>
    </row>
    <row r="23" spans="2:12" x14ac:dyDescent="0.35">
      <c r="B23" s="5" t="s">
        <v>99</v>
      </c>
      <c r="C23" s="5"/>
      <c r="D23" s="5"/>
      <c r="E23" s="5">
        <f t="shared" si="0"/>
        <v>0</v>
      </c>
      <c r="F23" s="5" t="s">
        <v>100</v>
      </c>
      <c r="G23" s="5"/>
      <c r="H23" s="5"/>
      <c r="I23" s="5">
        <f t="shared" si="1"/>
        <v>0</v>
      </c>
      <c r="J23" s="5"/>
      <c r="K23" s="5"/>
      <c r="L23" s="5">
        <f t="shared" si="2"/>
        <v>0</v>
      </c>
    </row>
    <row r="24" spans="2:12" x14ac:dyDescent="0.35">
      <c r="B24" s="5" t="s">
        <v>101</v>
      </c>
      <c r="C24" s="5"/>
      <c r="D24" s="5"/>
      <c r="E24" s="5">
        <f t="shared" si="0"/>
        <v>0</v>
      </c>
      <c r="F24" s="5" t="s">
        <v>100</v>
      </c>
      <c r="G24" s="5"/>
      <c r="H24" s="5"/>
      <c r="I24" s="5">
        <f t="shared" si="1"/>
        <v>0</v>
      </c>
      <c r="J24" s="5"/>
      <c r="K24" s="5"/>
      <c r="L24" s="5">
        <f t="shared" si="2"/>
        <v>0</v>
      </c>
    </row>
    <row r="25" spans="2:12" x14ac:dyDescent="0.35">
      <c r="B25" s="5" t="s">
        <v>102</v>
      </c>
      <c r="C25" s="5"/>
      <c r="D25" s="5"/>
      <c r="E25" s="5">
        <f t="shared" si="0"/>
        <v>0</v>
      </c>
      <c r="F25" s="5" t="s">
        <v>100</v>
      </c>
      <c r="G25" s="5"/>
      <c r="H25" s="5"/>
      <c r="I25" s="5">
        <f t="shared" si="1"/>
        <v>0</v>
      </c>
      <c r="J25" s="5"/>
      <c r="K25" s="5"/>
      <c r="L25" s="5">
        <f t="shared" si="2"/>
        <v>0</v>
      </c>
    </row>
    <row r="26" spans="2:12" x14ac:dyDescent="0.35">
      <c r="B26" s="5"/>
      <c r="C26" s="5"/>
      <c r="D26" s="5"/>
      <c r="E26" s="5">
        <f t="shared" si="0"/>
        <v>0</v>
      </c>
      <c r="F26" s="5"/>
      <c r="G26" s="5"/>
      <c r="H26" s="5"/>
      <c r="I26" s="5">
        <f t="shared" si="1"/>
        <v>0</v>
      </c>
      <c r="J26" s="5"/>
      <c r="K26" s="5"/>
      <c r="L26" s="5">
        <f t="shared" si="2"/>
        <v>0</v>
      </c>
    </row>
    <row r="27" spans="2:12" x14ac:dyDescent="0.35">
      <c r="B27" s="5" t="s">
        <v>103</v>
      </c>
      <c r="C27" s="5"/>
      <c r="D27" s="5"/>
      <c r="E27" s="5">
        <f t="shared" si="0"/>
        <v>0</v>
      </c>
      <c r="F27" s="5"/>
      <c r="G27" s="5"/>
      <c r="H27" s="5"/>
      <c r="I27" s="5">
        <f t="shared" si="1"/>
        <v>0</v>
      </c>
      <c r="J27" s="5"/>
      <c r="K27" s="5"/>
      <c r="L27" s="5">
        <f t="shared" si="2"/>
        <v>0</v>
      </c>
    </row>
    <row r="28" spans="2:12" x14ac:dyDescent="0.35">
      <c r="B28" s="5" t="s">
        <v>104</v>
      </c>
      <c r="C28" s="5"/>
      <c r="D28" s="5"/>
      <c r="E28" s="5">
        <f t="shared" si="0"/>
        <v>0</v>
      </c>
      <c r="F28" s="5"/>
      <c r="G28" s="5"/>
      <c r="H28" s="5"/>
      <c r="I28" s="5">
        <f t="shared" si="1"/>
        <v>0</v>
      </c>
      <c r="J28" s="5"/>
      <c r="K28" s="5"/>
      <c r="L28" s="5">
        <f t="shared" si="2"/>
        <v>0</v>
      </c>
    </row>
    <row r="29" spans="2:12" x14ac:dyDescent="0.35">
      <c r="B29" s="5" t="s">
        <v>105</v>
      </c>
      <c r="C29" s="5"/>
      <c r="D29" s="5"/>
      <c r="E29" s="5">
        <f t="shared" si="0"/>
        <v>0</v>
      </c>
      <c r="F29" s="5"/>
      <c r="G29" s="5"/>
      <c r="H29" s="5"/>
      <c r="I29" s="5">
        <f t="shared" si="1"/>
        <v>0</v>
      </c>
      <c r="J29" s="5"/>
      <c r="K29" s="5"/>
      <c r="L29" s="5">
        <f t="shared" si="2"/>
        <v>0</v>
      </c>
    </row>
    <row r="30" spans="2:12" x14ac:dyDescent="0.35">
      <c r="B30" s="5" t="s">
        <v>106</v>
      </c>
      <c r="C30" s="5"/>
      <c r="D30" s="5"/>
      <c r="E30" s="5">
        <f t="shared" si="0"/>
        <v>0</v>
      </c>
      <c r="F30" s="5"/>
      <c r="G30" s="5"/>
      <c r="H30" s="5"/>
      <c r="I30" s="5">
        <f>G30*H30</f>
        <v>0</v>
      </c>
      <c r="J30" s="5"/>
      <c r="K30" s="5"/>
      <c r="L30" s="5">
        <f>J30*K30</f>
        <v>0</v>
      </c>
    </row>
    <row r="31" spans="2:12" x14ac:dyDescent="0.35">
      <c r="B31" s="5"/>
      <c r="C31" s="5"/>
      <c r="D31" s="5"/>
      <c r="E31" s="5">
        <f t="shared" si="0"/>
        <v>0</v>
      </c>
      <c r="F31" s="5"/>
      <c r="G31" s="5"/>
      <c r="H31" s="5"/>
      <c r="I31" s="5">
        <f>G31*H31</f>
        <v>0</v>
      </c>
      <c r="J31" s="5"/>
      <c r="K31" s="5"/>
      <c r="L31" s="5">
        <f>J31*K31</f>
        <v>0</v>
      </c>
    </row>
    <row r="32" spans="2:12" x14ac:dyDescent="0.35">
      <c r="B32" s="5"/>
      <c r="C32" s="5"/>
      <c r="D32" s="5"/>
      <c r="E32" s="5">
        <f t="shared" si="0"/>
        <v>0</v>
      </c>
      <c r="F32" s="5"/>
      <c r="G32" s="5"/>
      <c r="H32" s="5"/>
      <c r="I32" s="5">
        <f>G32*H32</f>
        <v>0</v>
      </c>
      <c r="J32" s="5"/>
      <c r="K32" s="5"/>
      <c r="L32" s="5">
        <f>J32*K32</f>
        <v>0</v>
      </c>
    </row>
    <row r="33" spans="2:12" x14ac:dyDescent="0.35">
      <c r="B33" s="5"/>
      <c r="C33" s="5"/>
      <c r="D33" s="5"/>
      <c r="E33" s="5">
        <f t="shared" si="0"/>
        <v>0</v>
      </c>
      <c r="F33" s="5"/>
      <c r="G33" s="5"/>
      <c r="H33" s="5"/>
      <c r="I33" s="5">
        <f>G33*H33</f>
        <v>0</v>
      </c>
      <c r="J33" s="5"/>
      <c r="K33" s="5"/>
      <c r="L33" s="5">
        <f>J33*K33</f>
        <v>0</v>
      </c>
    </row>
    <row r="34" spans="2:12" x14ac:dyDescent="0.35">
      <c r="B34" s="5" t="s">
        <v>67</v>
      </c>
      <c r="C34" s="5"/>
      <c r="D34" s="5">
        <f>E34*10.764</f>
        <v>154.51721999999998</v>
      </c>
      <c r="E34" s="5">
        <f>SUM(E6:E33)</f>
        <v>14.354999999999999</v>
      </c>
      <c r="F34" s="5"/>
      <c r="G34" s="5"/>
      <c r="H34" s="5">
        <f>I34*10.764</f>
        <v>83.959199999999996</v>
      </c>
      <c r="I34" s="5">
        <f>SUM(I6:I33)</f>
        <v>7.8</v>
      </c>
      <c r="J34" s="5"/>
      <c r="K34" s="5">
        <f>L34*10.764</f>
        <v>0</v>
      </c>
      <c r="L34" s="5">
        <f>SUM(L6:L33)</f>
        <v>0</v>
      </c>
    </row>
    <row r="36" spans="2:12" x14ac:dyDescent="0.35">
      <c r="D36">
        <f>D34+H34</f>
        <v>238.47641999999996</v>
      </c>
      <c r="E36">
        <f>E34+I34</f>
        <v>22.154999999999998</v>
      </c>
    </row>
    <row r="38" spans="2:12" x14ac:dyDescent="0.35">
      <c r="I38">
        <v>9.68</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Cost Sheet</vt:lpstr>
      <vt:lpstr>Note</vt:lpstr>
      <vt:lpstr>Flat detail</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2025-04-09T12:15:40Z</cp:lastPrinted>
  <dcterms:created xsi:type="dcterms:W3CDTF">2019-07-16T09:29:46Z</dcterms:created>
  <dcterms:modified xsi:type="dcterms:W3CDTF">2025-07-14T15:09:45Z</dcterms:modified>
</cp:coreProperties>
</file>