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4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K130" i="1" l="1"/>
  <c r="K129" i="1"/>
  <c r="J128" i="1"/>
  <c r="D264" i="1"/>
  <c r="D269" i="1"/>
  <c r="D274" i="1"/>
  <c r="D279" i="1"/>
  <c r="D284" i="1"/>
  <c r="D289" i="1"/>
  <c r="D294" i="1"/>
  <c r="D299" i="1"/>
  <c r="D197" i="1"/>
  <c r="D198" i="1"/>
  <c r="D195" i="1"/>
  <c r="F195" i="1" s="1"/>
  <c r="G194" i="1"/>
  <c r="D194" i="1"/>
  <c r="D185" i="1"/>
  <c r="F185" i="1" s="1"/>
  <c r="D184" i="1"/>
  <c r="D162" i="1"/>
  <c r="D151" i="1"/>
  <c r="E120" i="1" s="1"/>
  <c r="D192" i="1"/>
  <c r="F192" i="1" s="1"/>
  <c r="D181" i="1"/>
  <c r="F181" i="1" s="1"/>
  <c r="D170" i="1"/>
  <c r="F170" i="1" s="1"/>
  <c r="D160" i="1"/>
  <c r="F160" i="1" s="1"/>
  <c r="D159" i="1"/>
  <c r="F159" i="1" s="1"/>
  <c r="D158" i="1"/>
  <c r="F158" i="1" s="1"/>
  <c r="G158" i="1"/>
  <c r="K131" i="1" l="1"/>
  <c r="E121" i="1"/>
  <c r="F194" i="1"/>
  <c r="D155" i="1"/>
  <c r="F155" i="1" s="1"/>
  <c r="J97" i="1" l="1"/>
  <c r="I131" i="1" l="1"/>
  <c r="I130" i="1"/>
  <c r="D415" i="1" l="1"/>
  <c r="F415" i="1" s="1"/>
  <c r="D410" i="1"/>
  <c r="F410" i="1" s="1"/>
  <c r="D406" i="1"/>
  <c r="F406" i="1" s="1"/>
  <c r="D414" i="1"/>
  <c r="F414" i="1" s="1"/>
  <c r="D409" i="1"/>
  <c r="F409" i="1" s="1"/>
  <c r="D404" i="1"/>
  <c r="F404" i="1" s="1"/>
  <c r="D402" i="1"/>
  <c r="F402" i="1" s="1"/>
  <c r="D401" i="1"/>
  <c r="F401" i="1" s="1"/>
  <c r="D399" i="1"/>
  <c r="F399" i="1" s="1"/>
  <c r="D397" i="1"/>
  <c r="F397" i="1" s="1"/>
  <c r="D396" i="1"/>
  <c r="F396" i="1" s="1"/>
  <c r="D395" i="1"/>
  <c r="F395" i="1" s="1"/>
  <c r="D394" i="1"/>
  <c r="F394" i="1" s="1"/>
  <c r="D392" i="1"/>
  <c r="F392" i="1" s="1"/>
  <c r="D391" i="1"/>
  <c r="F391" i="1" s="1"/>
  <c r="D390" i="1"/>
  <c r="F390" i="1" s="1"/>
  <c r="D389" i="1"/>
  <c r="F389" i="1" s="1"/>
  <c r="D386" i="1"/>
  <c r="F386" i="1" s="1"/>
  <c r="D385" i="1"/>
  <c r="F385" i="1" s="1"/>
  <c r="D384" i="1"/>
  <c r="D417" i="1"/>
  <c r="F417" i="1" s="1"/>
  <c r="D416" i="1"/>
  <c r="F416" i="1" s="1"/>
  <c r="A416" i="1"/>
  <c r="A417" i="1" s="1"/>
  <c r="G414" i="1"/>
  <c r="D412" i="1"/>
  <c r="F412" i="1" s="1"/>
  <c r="D411" i="1"/>
  <c r="F411" i="1" s="1"/>
  <c r="A411" i="1"/>
  <c r="A412" i="1" s="1"/>
  <c r="G409" i="1"/>
  <c r="D407" i="1"/>
  <c r="F407" i="1" s="1"/>
  <c r="A406" i="1"/>
  <c r="A407" i="1" s="1"/>
  <c r="G404" i="1"/>
  <c r="A401" i="1"/>
  <c r="A402" i="1" s="1"/>
  <c r="G399" i="1"/>
  <c r="A396" i="1"/>
  <c r="A397" i="1" s="1"/>
  <c r="G394" i="1"/>
  <c r="A391" i="1"/>
  <c r="A392" i="1" s="1"/>
  <c r="G389" i="1"/>
  <c r="D387" i="1"/>
  <c r="F387" i="1" s="1"/>
  <c r="A386" i="1"/>
  <c r="A387" i="1" s="1"/>
  <c r="G384" i="1"/>
  <c r="D380" i="1"/>
  <c r="F380" i="1" s="1"/>
  <c r="D379" i="1"/>
  <c r="F379" i="1" s="1"/>
  <c r="D375" i="1"/>
  <c r="F375" i="1" s="1"/>
  <c r="D374" i="1"/>
  <c r="F374" i="1" s="1"/>
  <c r="D370" i="1"/>
  <c r="F370" i="1" s="1"/>
  <c r="D369" i="1"/>
  <c r="F369" i="1" s="1"/>
  <c r="D381" i="1"/>
  <c r="F381" i="1" s="1"/>
  <c r="D376" i="1"/>
  <c r="F376" i="1" s="1"/>
  <c r="D373" i="1"/>
  <c r="F373" i="1" s="1"/>
  <c r="D371" i="1"/>
  <c r="F371" i="1" s="1"/>
  <c r="D368" i="1"/>
  <c r="F368" i="1" s="1"/>
  <c r="D366" i="1"/>
  <c r="F366" i="1" s="1"/>
  <c r="D361" i="1"/>
  <c r="F361" i="1" s="1"/>
  <c r="D364" i="1"/>
  <c r="F364" i="1" s="1"/>
  <c r="D363" i="1"/>
  <c r="F363" i="1" s="1"/>
  <c r="D359" i="1"/>
  <c r="F359" i="1" s="1"/>
  <c r="D358" i="1"/>
  <c r="F358" i="1" s="1"/>
  <c r="D356" i="1"/>
  <c r="F356" i="1" s="1"/>
  <c r="D355" i="1"/>
  <c r="F355" i="1" s="1"/>
  <c r="D354" i="1"/>
  <c r="F354" i="1" s="1"/>
  <c r="D353" i="1"/>
  <c r="F353" i="1" s="1"/>
  <c r="D351" i="1"/>
  <c r="F351" i="1" s="1"/>
  <c r="D350" i="1"/>
  <c r="F350" i="1" s="1"/>
  <c r="D349" i="1"/>
  <c r="F349" i="1" s="1"/>
  <c r="D348" i="1"/>
  <c r="F348" i="1" s="1"/>
  <c r="D346" i="1"/>
  <c r="F346" i="1" s="1"/>
  <c r="D345" i="1"/>
  <c r="F345" i="1" s="1"/>
  <c r="D344" i="1"/>
  <c r="F344" i="1" s="1"/>
  <c r="A380" i="1"/>
  <c r="A381" i="1" s="1"/>
  <c r="G378" i="1"/>
  <c r="A375" i="1"/>
  <c r="A376" i="1" s="1"/>
  <c r="G373" i="1"/>
  <c r="A370" i="1"/>
  <c r="A371" i="1" s="1"/>
  <c r="G368" i="1"/>
  <c r="D365" i="1"/>
  <c r="F365" i="1" s="1"/>
  <c r="A365" i="1"/>
  <c r="A366" i="1" s="1"/>
  <c r="G363" i="1"/>
  <c r="D360" i="1"/>
  <c r="F360" i="1" s="1"/>
  <c r="A360" i="1"/>
  <c r="A361" i="1" s="1"/>
  <c r="G358" i="1"/>
  <c r="A355" i="1"/>
  <c r="A356" i="1" s="1"/>
  <c r="G353" i="1"/>
  <c r="A350" i="1"/>
  <c r="A351" i="1" s="1"/>
  <c r="G348" i="1"/>
  <c r="A345" i="1"/>
  <c r="A346" i="1" s="1"/>
  <c r="G343" i="1"/>
  <c r="D343" i="1"/>
  <c r="D340" i="1"/>
  <c r="F340" i="1" s="1"/>
  <c r="D339" i="1"/>
  <c r="F339" i="1" s="1"/>
  <c r="D338" i="1"/>
  <c r="F338" i="1" s="1"/>
  <c r="D337" i="1"/>
  <c r="F337" i="1" s="1"/>
  <c r="D335" i="1"/>
  <c r="F335" i="1" s="1"/>
  <c r="D334" i="1"/>
  <c r="F334" i="1" s="1"/>
  <c r="D333" i="1"/>
  <c r="F333" i="1" s="1"/>
  <c r="D332" i="1"/>
  <c r="F332" i="1" s="1"/>
  <c r="D329" i="1"/>
  <c r="F329" i="1" s="1"/>
  <c r="D328" i="1"/>
  <c r="F328" i="1" s="1"/>
  <c r="D330" i="1"/>
  <c r="F330" i="1" s="1"/>
  <c r="D327" i="1"/>
  <c r="F327" i="1" s="1"/>
  <c r="D322" i="1"/>
  <c r="F322" i="1" s="1"/>
  <c r="D325" i="1"/>
  <c r="F325" i="1" s="1"/>
  <c r="D324" i="1"/>
  <c r="F324" i="1" s="1"/>
  <c r="D320" i="1"/>
  <c r="F320" i="1" s="1"/>
  <c r="D319" i="1"/>
  <c r="F319" i="1" s="1"/>
  <c r="D317" i="1"/>
  <c r="F317" i="1" s="1"/>
  <c r="D315" i="1"/>
  <c r="F315" i="1" s="1"/>
  <c r="D314" i="1"/>
  <c r="F314" i="1" s="1"/>
  <c r="D313" i="1"/>
  <c r="F313" i="1" s="1"/>
  <c r="D312" i="1"/>
  <c r="F312" i="1" s="1"/>
  <c r="D310" i="1"/>
  <c r="F310" i="1" s="1"/>
  <c r="D309" i="1"/>
  <c r="F309" i="1" s="1"/>
  <c r="D308" i="1"/>
  <c r="F308" i="1" s="1"/>
  <c r="D307" i="1"/>
  <c r="F307" i="1" s="1"/>
  <c r="D305" i="1"/>
  <c r="F305" i="1" s="1"/>
  <c r="D304" i="1"/>
  <c r="F304" i="1" s="1"/>
  <c r="D303" i="1"/>
  <c r="D302" i="1"/>
  <c r="A339" i="1"/>
  <c r="A340" i="1" s="1"/>
  <c r="G337" i="1"/>
  <c r="A334" i="1"/>
  <c r="A335" i="1" s="1"/>
  <c r="G332" i="1"/>
  <c r="A329" i="1"/>
  <c r="A330" i="1" s="1"/>
  <c r="G327" i="1"/>
  <c r="A324" i="1"/>
  <c r="A325" i="1" s="1"/>
  <c r="G322" i="1"/>
  <c r="A319" i="1"/>
  <c r="A320" i="1" s="1"/>
  <c r="G317" i="1"/>
  <c r="A314" i="1"/>
  <c r="A315" i="1" s="1"/>
  <c r="G312" i="1"/>
  <c r="A309" i="1"/>
  <c r="A310" i="1" s="1"/>
  <c r="G307" i="1"/>
  <c r="A304" i="1"/>
  <c r="A305" i="1" s="1"/>
  <c r="G302" i="1"/>
  <c r="F299" i="1"/>
  <c r="A298" i="1"/>
  <c r="A299" i="1" s="1"/>
  <c r="D297" i="1"/>
  <c r="F297" i="1" s="1"/>
  <c r="G296" i="1"/>
  <c r="D296" i="1"/>
  <c r="F296" i="1" s="1"/>
  <c r="F284" i="1"/>
  <c r="D283" i="1"/>
  <c r="F283" i="1" s="1"/>
  <c r="A283" i="1"/>
  <c r="A284" i="1" s="1"/>
  <c r="D282" i="1"/>
  <c r="F282" i="1" s="1"/>
  <c r="G281" i="1"/>
  <c r="D281" i="1"/>
  <c r="F281" i="1" s="1"/>
  <c r="F279" i="1"/>
  <c r="D278" i="1"/>
  <c r="F278" i="1" s="1"/>
  <c r="A278" i="1"/>
  <c r="A279" i="1" s="1"/>
  <c r="D277" i="1"/>
  <c r="F277" i="1" s="1"/>
  <c r="G276" i="1"/>
  <c r="D276" i="1"/>
  <c r="F276" i="1" s="1"/>
  <c r="F294" i="1"/>
  <c r="D293" i="1"/>
  <c r="F293" i="1" s="1"/>
  <c r="A293" i="1"/>
  <c r="A294" i="1" s="1"/>
  <c r="D292" i="1"/>
  <c r="F292" i="1" s="1"/>
  <c r="G291" i="1"/>
  <c r="D291" i="1"/>
  <c r="F291" i="1" s="1"/>
  <c r="F289" i="1"/>
  <c r="D288" i="1"/>
  <c r="F288" i="1" s="1"/>
  <c r="A288" i="1"/>
  <c r="A289" i="1" s="1"/>
  <c r="D287" i="1"/>
  <c r="F287" i="1" s="1"/>
  <c r="G286" i="1"/>
  <c r="D286" i="1"/>
  <c r="F286" i="1" s="1"/>
  <c r="F274" i="1"/>
  <c r="D273" i="1"/>
  <c r="F273" i="1" s="1"/>
  <c r="A273" i="1"/>
  <c r="A274" i="1" s="1"/>
  <c r="D272" i="1"/>
  <c r="F272" i="1" s="1"/>
  <c r="G271" i="1"/>
  <c r="D271" i="1"/>
  <c r="F271" i="1" s="1"/>
  <c r="F269" i="1"/>
  <c r="D268" i="1"/>
  <c r="F268" i="1" s="1"/>
  <c r="A268" i="1"/>
  <c r="A269" i="1" s="1"/>
  <c r="D267" i="1"/>
  <c r="F267" i="1" s="1"/>
  <c r="G266" i="1"/>
  <c r="D266" i="1"/>
  <c r="F266" i="1" s="1"/>
  <c r="F264" i="1"/>
  <c r="D263" i="1"/>
  <c r="F263" i="1" s="1"/>
  <c r="A263" i="1"/>
  <c r="A264" i="1" s="1"/>
  <c r="D262" i="1"/>
  <c r="G261" i="1"/>
  <c r="D261" i="1"/>
  <c r="D258" i="1"/>
  <c r="F258" i="1" s="1"/>
  <c r="A258" i="1"/>
  <c r="D257" i="1"/>
  <c r="F257" i="1" s="1"/>
  <c r="G256" i="1"/>
  <c r="D256" i="1"/>
  <c r="F256" i="1" s="1"/>
  <c r="D254" i="1"/>
  <c r="F254" i="1" s="1"/>
  <c r="D253" i="1"/>
  <c r="F253" i="1" s="1"/>
  <c r="A253" i="1"/>
  <c r="A254" i="1" s="1"/>
  <c r="D252" i="1"/>
  <c r="F252" i="1" s="1"/>
  <c r="G251" i="1"/>
  <c r="D251" i="1"/>
  <c r="F251" i="1" s="1"/>
  <c r="D223" i="1"/>
  <c r="D228" i="1"/>
  <c r="D233" i="1"/>
  <c r="F233" i="1" s="1"/>
  <c r="D238" i="1"/>
  <c r="F238" i="1" s="1"/>
  <c r="D243" i="1"/>
  <c r="F243" i="1" s="1"/>
  <c r="D248" i="1"/>
  <c r="D247" i="1"/>
  <c r="D249" i="1"/>
  <c r="D246" i="1"/>
  <c r="D244" i="1"/>
  <c r="F244" i="1" s="1"/>
  <c r="A243" i="1"/>
  <c r="A244" i="1" s="1"/>
  <c r="G241" i="1"/>
  <c r="D241" i="1"/>
  <c r="F241" i="1" s="1"/>
  <c r="D239" i="1"/>
  <c r="F239" i="1" s="1"/>
  <c r="A238" i="1"/>
  <c r="A239" i="1" s="1"/>
  <c r="G236" i="1"/>
  <c r="D236" i="1"/>
  <c r="F236" i="1" s="1"/>
  <c r="D234" i="1"/>
  <c r="F234" i="1" s="1"/>
  <c r="A233" i="1"/>
  <c r="A234" i="1" s="1"/>
  <c r="D232" i="1"/>
  <c r="F232" i="1" s="1"/>
  <c r="G231" i="1"/>
  <c r="D231" i="1"/>
  <c r="F231" i="1" s="1"/>
  <c r="D229" i="1"/>
  <c r="D227" i="1"/>
  <c r="D226" i="1"/>
  <c r="D224" i="1"/>
  <c r="D222" i="1"/>
  <c r="D221" i="1"/>
  <c r="D191" i="1"/>
  <c r="F191" i="1" s="1"/>
  <c r="G191" i="1"/>
  <c r="D196" i="1"/>
  <c r="D183" i="1"/>
  <c r="D180" i="1"/>
  <c r="F180" i="1" s="1"/>
  <c r="G179" i="1"/>
  <c r="D179" i="1"/>
  <c r="F179" i="1" s="1"/>
  <c r="D173" i="1"/>
  <c r="D172" i="1"/>
  <c r="D169" i="1"/>
  <c r="F169" i="1" s="1"/>
  <c r="D168" i="1"/>
  <c r="F168" i="1" s="1"/>
  <c r="G168" i="1"/>
  <c r="D189" i="1"/>
  <c r="F189" i="1" s="1"/>
  <c r="G188" i="1"/>
  <c r="D188" i="1"/>
  <c r="D177" i="1"/>
  <c r="F177" i="1" s="1"/>
  <c r="D176" i="1"/>
  <c r="D166" i="1"/>
  <c r="F166" i="1" s="1"/>
  <c r="D165" i="1"/>
  <c r="D156" i="1"/>
  <c r="F156" i="1" s="1"/>
  <c r="D154" i="1"/>
  <c r="D148" i="1"/>
  <c r="E112" i="1" s="1"/>
  <c r="E114" i="1" l="1"/>
  <c r="E115" i="1"/>
  <c r="G135" i="1"/>
  <c r="F384" i="1"/>
  <c r="G136" i="1" s="1"/>
  <c r="E136" i="1"/>
  <c r="D123" i="1"/>
  <c r="E123" i="1"/>
  <c r="E128" i="1"/>
  <c r="F302" i="1"/>
  <c r="G132" i="1" s="1"/>
  <c r="D132" i="1"/>
  <c r="G137" i="1"/>
  <c r="F188" i="1"/>
  <c r="G116" i="1" s="1"/>
  <c r="E116" i="1"/>
  <c r="D124" i="1"/>
  <c r="E124" i="1"/>
  <c r="D129" i="1"/>
  <c r="E129" i="1"/>
  <c r="D131" i="1"/>
  <c r="D122" i="1"/>
  <c r="E122" i="1"/>
  <c r="D130" i="1"/>
  <c r="E130" i="1"/>
  <c r="E113" i="1"/>
  <c r="D134" i="1"/>
  <c r="D115" i="1"/>
  <c r="D114" i="1"/>
  <c r="E132" i="1"/>
  <c r="D137" i="1"/>
  <c r="E137" i="1"/>
  <c r="D128" i="1"/>
  <c r="D136" i="1"/>
  <c r="F261" i="1"/>
  <c r="G130" i="1" s="1"/>
  <c r="E135" i="1"/>
  <c r="D135" i="1"/>
  <c r="D116" i="1"/>
  <c r="D133" i="1"/>
  <c r="E133" i="1"/>
  <c r="F262" i="1"/>
  <c r="G131" i="1" s="1"/>
  <c r="E131" i="1"/>
  <c r="F303" i="1"/>
  <c r="G133" i="1" s="1"/>
  <c r="F343" i="1"/>
  <c r="G134" i="1" s="1"/>
  <c r="E134" i="1"/>
  <c r="D113" i="1"/>
  <c r="F165" i="1"/>
  <c r="G114" i="1" s="1"/>
  <c r="D138" i="1" l="1"/>
  <c r="I133" i="1"/>
  <c r="E138" i="1"/>
  <c r="I134" i="1"/>
  <c r="C13" i="1" l="1"/>
  <c r="D120" i="1"/>
  <c r="D125" i="1" s="1"/>
  <c r="D112" i="1"/>
  <c r="D117" i="1" s="1"/>
  <c r="D215" i="1"/>
  <c r="F215" i="1" s="1"/>
  <c r="D214" i="1"/>
  <c r="F214" i="1" s="1"/>
  <c r="G214" i="1"/>
  <c r="G215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G209" i="1"/>
  <c r="G210" i="1" s="1"/>
  <c r="G211" i="1" s="1"/>
  <c r="G212" i="1" s="1"/>
  <c r="G204" i="1"/>
  <c r="G205" i="1" s="1"/>
  <c r="G206" i="1" s="1"/>
  <c r="G207" i="1" s="1"/>
  <c r="G208" i="1" s="1"/>
  <c r="G201" i="1"/>
  <c r="G202" i="1" s="1"/>
  <c r="G203" i="1" s="1"/>
  <c r="E125" i="1" l="1"/>
  <c r="F249" i="1" l="1"/>
  <c r="F248" i="1"/>
  <c r="A248" i="1"/>
  <c r="A249" i="1" s="1"/>
  <c r="F247" i="1"/>
  <c r="G246" i="1"/>
  <c r="F246" i="1"/>
  <c r="F229" i="1"/>
  <c r="F228" i="1"/>
  <c r="A228" i="1"/>
  <c r="A229" i="1" s="1"/>
  <c r="F227" i="1"/>
  <c r="G226" i="1"/>
  <c r="F226" i="1"/>
  <c r="F198" i="1"/>
  <c r="F197" i="1"/>
  <c r="F196" i="1"/>
  <c r="F184" i="1"/>
  <c r="G183" i="1"/>
  <c r="G184" i="1" s="1"/>
  <c r="G185" i="1" s="1"/>
  <c r="F183" i="1"/>
  <c r="G176" i="1"/>
  <c r="F176" i="1"/>
  <c r="G115" i="1" s="1"/>
  <c r="F173" i="1"/>
  <c r="G172" i="1"/>
  <c r="F172" i="1"/>
  <c r="G165" i="1"/>
  <c r="G162" i="1"/>
  <c r="F162" i="1"/>
  <c r="G121" i="1" s="1"/>
  <c r="G154" i="1"/>
  <c r="F154" i="1"/>
  <c r="G113" i="1" s="1"/>
  <c r="G151" i="1"/>
  <c r="F151" i="1"/>
  <c r="G120" i="1" s="1"/>
  <c r="F148" i="1"/>
  <c r="G112" i="1" s="1"/>
  <c r="G117" i="1" l="1"/>
  <c r="G122" i="1"/>
  <c r="G124" i="1"/>
  <c r="G123" i="1"/>
  <c r="E117" i="1"/>
  <c r="E27" i="1"/>
  <c r="G125" i="1" l="1"/>
  <c r="F224" i="1"/>
  <c r="F222" i="1"/>
  <c r="F221" i="1"/>
  <c r="F223" i="1"/>
  <c r="G128" i="1" l="1"/>
  <c r="G129" i="1"/>
  <c r="B421" i="1"/>
  <c r="B420" i="1"/>
  <c r="G138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44" i="1"/>
  <c r="A420" i="1"/>
  <c r="G221" i="1"/>
  <c r="A223" i="1"/>
  <c r="A224" i="1" s="1"/>
  <c r="G148" i="1"/>
  <c r="F109" i="1"/>
  <c r="J93" i="1"/>
  <c r="J92" i="1"/>
  <c r="J91" i="1"/>
  <c r="C82" i="1"/>
  <c r="J79" i="1"/>
  <c r="J78" i="1"/>
  <c r="J77" i="1"/>
  <c r="C68" i="1"/>
  <c r="D62" i="1"/>
  <c r="D56" i="1"/>
  <c r="G47" i="1"/>
  <c r="C47" i="1"/>
  <c r="E40" i="1"/>
  <c r="E41" i="1" s="1"/>
  <c r="E24" i="1"/>
  <c r="E22" i="1"/>
  <c r="E7" i="1"/>
  <c r="E3" i="1"/>
  <c r="H69" i="1"/>
  <c r="H83" i="1"/>
  <c r="A421" i="1" l="1"/>
  <c r="D74" i="1"/>
  <c r="J72" i="1"/>
  <c r="D81" i="1"/>
  <c r="D79" i="1"/>
  <c r="D77" i="1"/>
  <c r="D75" i="1"/>
  <c r="J73" i="1"/>
  <c r="C72" i="1" s="1"/>
  <c r="D72" i="1" s="1"/>
  <c r="J71" i="1"/>
  <c r="J74" i="1"/>
  <c r="D80" i="1"/>
  <c r="D76" i="1"/>
  <c r="D78" i="1"/>
  <c r="J88" i="1"/>
  <c r="J89" i="1" s="1"/>
  <c r="J94" i="1" s="1"/>
  <c r="D94" i="1"/>
  <c r="D92" i="1"/>
  <c r="D90" i="1"/>
  <c r="D88" i="1"/>
  <c r="J86" i="1"/>
  <c r="D95" i="1"/>
  <c r="J87" i="1"/>
  <c r="C86" i="1" s="1"/>
  <c r="D86" i="1" s="1"/>
  <c r="D89" i="1"/>
  <c r="D91" i="1"/>
  <c r="D93" i="1"/>
  <c r="J85" i="1"/>
  <c r="J90" i="1" l="1"/>
  <c r="J95" i="1" s="1"/>
  <c r="C87" i="1" s="1"/>
  <c r="J75" i="1"/>
  <c r="G72" i="1"/>
  <c r="D66" i="1" s="1"/>
  <c r="A422" i="1"/>
  <c r="A423" i="1" s="1"/>
  <c r="A424" i="1" s="1"/>
  <c r="A425" i="1" s="1"/>
  <c r="A426" i="1" s="1"/>
  <c r="A427" i="1" s="1"/>
  <c r="E86" i="1" l="1"/>
  <c r="I82" i="1" s="1"/>
  <c r="C84" i="1" s="1"/>
  <c r="G86" i="1"/>
  <c r="D87" i="1"/>
  <c r="J80" i="1"/>
  <c r="J76" i="1"/>
  <c r="D73" i="1"/>
  <c r="E72" i="1"/>
  <c r="F67" i="1"/>
  <c r="D67" i="1"/>
  <c r="J81" i="1" l="1"/>
  <c r="I68" i="1" s="1"/>
  <c r="C70" i="1" s="1"/>
</calcChain>
</file>

<file path=xl/sharedStrings.xml><?xml version="1.0" encoding="utf-8"?>
<sst xmlns="http://schemas.openxmlformats.org/spreadsheetml/2006/main" count="817" uniqueCount="267">
  <si>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</si>
  <si>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</si>
  <si>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</si>
  <si>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</si>
  <si>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</si>
  <si>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</si>
  <si>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</si>
  <si>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</si>
  <si>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</si>
  <si>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</si>
  <si>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</si>
  <si>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</si>
  <si>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</si>
  <si>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</si>
  <si>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</si>
  <si>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</si>
  <si>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</si>
  <si>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</si>
  <si>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</si>
  <si>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</si>
  <si>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</si>
  <si>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</si>
  <si>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</si>
  <si>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</si>
  <si>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</si>
  <si>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</si>
  <si>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</si>
  <si>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</si>
  <si>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</si>
  <si>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</si>
  <si>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</si>
  <si>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</si>
  <si>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</si>
  <si>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</si>
  <si>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</si>
  <si>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</si>
  <si>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</si>
  <si>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</si>
  <si>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</si>
  <si>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</si>
  <si>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</si>
  <si>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</si>
  <si>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</si>
  <si>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</si>
  <si>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</si>
  <si>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</si>
  <si>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</si>
  <si>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</si>
  <si>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</si>
  <si>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</si>
  <si>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</si>
  <si>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</si>
  <si>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</si>
  <si>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</si>
  <si>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</si>
  <si>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</si>
  <si>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</si>
  <si>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</si>
  <si>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</si>
  <si>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</si>
  <si>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</si>
  <si>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</si>
  <si>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</si>
  <si>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</si>
  <si>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</si>
  <si>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</si>
  <si>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</si>
  <si>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</si>
  <si>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</si>
  <si>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</si>
  <si>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</si>
  <si>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</si>
  <si>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</si>
  <si>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</si>
  <si>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</si>
  <si>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</si>
  <si>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</si>
  <si>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</si>
  <si>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</si>
  <si>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</si>
  <si>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</si>
  <si>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</si>
  <si>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</si>
  <si>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</si>
  <si>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</si>
  <si>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</si>
  <si>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</si>
  <si>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</si>
  <si>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</si>
  <si>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</si>
  <si>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</si>
  <si>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</si>
  <si>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</si>
  <si>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</si>
  <si>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</si>
  <si>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</si>
  <si>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</si>
  <si>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</si>
  <si>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</si>
  <si>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</si>
  <si>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</si>
  <si>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</si>
  <si>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</si>
  <si>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</si>
  <si>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</si>
  <si>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</si>
  <si>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</si>
  <si>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</si>
  <si>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</si>
  <si>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</si>
  <si>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</si>
  <si>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</si>
  <si>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</si>
  <si>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</si>
  <si>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</si>
  <si>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</si>
  <si>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</si>
  <si>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</si>
  <si>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</si>
  <si>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</si>
  <si>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</si>
  <si>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</si>
  <si>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</si>
  <si>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</si>
  <si>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</si>
  <si>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</si>
  <si>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</si>
  <si>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</si>
  <si>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</si>
  <si>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</si>
  <si>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</si>
  <si>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</si>
  <si>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</si>
  <si>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</si>
  <si>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</si>
  <si>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</si>
  <si>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</si>
  <si>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</si>
  <si>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</si>
  <si>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</si>
  <si>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</si>
  <si>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</si>
  <si>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</si>
  <si>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</si>
  <si>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</si>
  <si>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</si>
  <si>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</si>
  <si>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</si>
  <si>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</si>
  <si>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</si>
  <si>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</si>
  <si>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</si>
  <si>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</si>
  <si>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</si>
  <si>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</si>
  <si>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</si>
  <si>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</si>
  <si>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</si>
  <si>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Axis Goregaon</t>
  </si>
  <si>
    <t>M/s. Shivam Parivar Developers PVT LTD</t>
  </si>
  <si>
    <t>0222878600, 28752764</t>
  </si>
  <si>
    <t>Approved Plans, CC.</t>
  </si>
  <si>
    <t>CTS No</t>
  </si>
  <si>
    <t xml:space="preserve">S V Road </t>
  </si>
  <si>
    <t>Borivali</t>
  </si>
  <si>
    <t>Siddharth Nagar</t>
  </si>
  <si>
    <t>Locality</t>
  </si>
  <si>
    <t>Mumbai Suburban</t>
  </si>
  <si>
    <t>Maharashtra Housing and Area Development Authority (MHADA)</t>
  </si>
  <si>
    <t>MH/EE/(B.P.)/GM/MHADA51/394/2019/2020/FCC/1/New</t>
  </si>
  <si>
    <t>6,00,000/-</t>
  </si>
  <si>
    <t>Commercial Area Details : Shop</t>
  </si>
  <si>
    <t>A Wing</t>
  </si>
  <si>
    <t>B Wing</t>
  </si>
  <si>
    <t>C Wing</t>
  </si>
  <si>
    <t>D Wing</t>
  </si>
  <si>
    <t>Commercial Area Details : Office</t>
  </si>
  <si>
    <t xml:space="preserve">A to E Wing </t>
  </si>
  <si>
    <t>Lower Basement Floor for Parking</t>
  </si>
  <si>
    <t>Upper Basement Floor for Parking</t>
  </si>
  <si>
    <t>Ground Floor for Parking &amp; Commericial</t>
  </si>
  <si>
    <t>Rehab /
Sale</t>
  </si>
  <si>
    <t xml:space="preserve">Sale </t>
  </si>
  <si>
    <t>Shop</t>
  </si>
  <si>
    <t>Upper Ground Floor for Amenities</t>
  </si>
  <si>
    <t>1st Floor for Commericial</t>
  </si>
  <si>
    <t>Office</t>
  </si>
  <si>
    <t>E Wing</t>
  </si>
  <si>
    <t>2nd Floor for Residential</t>
  </si>
  <si>
    <t>Sale</t>
  </si>
  <si>
    <t>Rehab</t>
  </si>
  <si>
    <t>1BHK</t>
  </si>
  <si>
    <t>2BHK</t>
  </si>
  <si>
    <t>We considered Gross carpet area = Net carpet.</t>
  </si>
  <si>
    <t>On Site, we meet Mr. Mahipal (9730889059).</t>
  </si>
  <si>
    <t>0.95 km from Goregaon
Railway Station</t>
  </si>
  <si>
    <t>Shree Datt Mandir</t>
  </si>
  <si>
    <t>Wallfort Tower</t>
  </si>
  <si>
    <t>Shubham Karothi CHS</t>
  </si>
  <si>
    <t>Building No. 1 (Redevelopment of Building No. 10)</t>
  </si>
  <si>
    <t>Ground Floor for Commercial &amp; Parking</t>
  </si>
  <si>
    <t>1st Floor for Commercial</t>
  </si>
  <si>
    <t>Terrace Area</t>
  </si>
  <si>
    <t>-</t>
  </si>
  <si>
    <t>Sale Shop</t>
  </si>
  <si>
    <t>Sale Office</t>
  </si>
  <si>
    <t>Sale Flat</t>
  </si>
  <si>
    <t>Rehab Flat</t>
  </si>
  <si>
    <t>Layout Approval No (Building No. 11, 12, 13)</t>
  </si>
  <si>
    <t>Approved Floor plan No.  (Building No. 11, 12, 13)</t>
  </si>
  <si>
    <t>51/483/Planing Cell/GM/MHADA</t>
  </si>
  <si>
    <t>Commencement Certificate No. (Building No. 10)</t>
  </si>
  <si>
    <t>Layout Approval No (Building No. 10)</t>
  </si>
  <si>
    <t>Approved Floor plan No.  (Building No. 10)</t>
  </si>
  <si>
    <t>A &amp; B Wing = LB + UB + Gr + UG + 1st to 24th Floor</t>
  </si>
  <si>
    <t>C, D &amp; E Wing = LB + UB + Gr + UG + 1st to 24th Floor</t>
  </si>
  <si>
    <r>
      <t xml:space="preserve">Shop / Office No.
</t>
    </r>
    <r>
      <rPr>
        <b/>
        <sz val="11"/>
        <color rgb="FF000000"/>
        <rFont val="Times New Roman"/>
        <family val="1"/>
      </rPr>
      <t>(Approved Plan)</t>
    </r>
  </si>
  <si>
    <t xml:space="preserve">Residential Area Details : Flat </t>
  </si>
  <si>
    <t>Fitness Center</t>
  </si>
  <si>
    <t>Shop (Double height)</t>
  </si>
  <si>
    <t>Upper Ground Floor for Fitness Center  &amp; Commericial</t>
  </si>
  <si>
    <t>Upper Ground Floor for Amenities &amp; Commericial</t>
  </si>
  <si>
    <t xml:space="preserve"> 12th Floor</t>
  </si>
  <si>
    <t>3rd to 5th, 7th to 11th Floor</t>
  </si>
  <si>
    <t>6th Floor (Part Refuge Area)</t>
  </si>
  <si>
    <t>Refuge Area</t>
  </si>
  <si>
    <t>13th Floor (Part Refuge Area)</t>
  </si>
  <si>
    <t>14th Floor</t>
  </si>
  <si>
    <t>15th &amp; 16th Floor</t>
  </si>
  <si>
    <t>17th Floor</t>
  </si>
  <si>
    <t>17th Floor (Part Terrace Area)</t>
  </si>
  <si>
    <t>Location Link</t>
  </si>
  <si>
    <t>https://goo.gl/maps/9LF6YrBF7fSqY9VA8</t>
  </si>
  <si>
    <t>OC</t>
  </si>
  <si>
    <t>MH/EE/(BP)/GM/MHADA-51/483./2022/FCC/2/Amend</t>
  </si>
  <si>
    <t>This Further CC is granted for building consisting of Basement (pt. for Services) + Ground floor (partly for shops, Professional office and partly for society office and meter room) + 1st floor commercial (offices) + 2nd to 16th upper residential floors (ht. upto 52.05m AGL and BUA upto 5095.49 sq.mt) as per approved plans dtd 21.06.2022.</t>
  </si>
  <si>
    <t>Dated
Valid Upto
Date :</t>
  </si>
  <si>
    <t>28/09/2022
05/11/2022</t>
  </si>
  <si>
    <t>13/06/2022
13/12/2022.</t>
  </si>
  <si>
    <t>Dated
Valid Upto 
Date :</t>
  </si>
  <si>
    <t>MHADA - 51/394/2024</t>
  </si>
  <si>
    <t>2B</t>
  </si>
  <si>
    <t xml:space="preserve">Wing A to E </t>
  </si>
  <si>
    <t>Wing A to E  - P51800011447</t>
  </si>
  <si>
    <t>355, 356 (Pt). &amp; Existing Building Name - Building No.11, 12 &amp; 13.</t>
  </si>
  <si>
    <t>Goregaon West</t>
  </si>
  <si>
    <t>5 Wings</t>
  </si>
  <si>
    <t>A &amp; B, C &amp; D Wing = LB + UB + Gr + UG + 1st to 17th Floor
E Wing = LB + UB + Gr + UG + 1st to 16th Floor</t>
  </si>
  <si>
    <t>7A</t>
  </si>
  <si>
    <t>7B</t>
  </si>
  <si>
    <t>7C</t>
  </si>
  <si>
    <t>Sale Flat - 206, Rehab Flat - 96, 
Sale Shop - 10, Sale Office - 23</t>
  </si>
  <si>
    <t>We have updated Approved Plans &amp; CC of Building No.2  (wing A to E) (on 13/02/2024).</t>
  </si>
  <si>
    <t xml:space="preserve">Office No. 1031, Wing J, Akshar Business Park, Plot No. 03 Sector 25, Near APMC Market, Vashi, 
Navi Mumbai, Maharashtra 400703 TEL: 022-46090378/79/80                                                                                                                            Email : vsjcapf@gmail.com. Web site : www.vsjadon.com
</t>
  </si>
  <si>
    <t>Latitude,Longitude</t>
  </si>
  <si>
    <t>19.159796,72.845817</t>
  </si>
  <si>
    <t>Nirlon Employee CHSL Bldg No. 11, 12, 13</t>
  </si>
  <si>
    <t>This Further CC is now granted for Wing A, B, C with lower basement + upper basement + Ground (floor partly for shops and partly for puzzle parking) + Ground floor upper level (for Society office, Fitness Centre and Offices) + 1st floor commercial + 2nd to 12th upper residential floors, Wing D with lower basement + upper basement + Ground (floor partly for shops and partly for puzzle parking) + Ground floor upper level (for Offices) + 1st floor commercial + 2nd to 12th upper residential floors and Wing E with lower basement + upper basement + Ground (floor partly for shops and partly for puzzle parking) + Ground floor upper level (for Offices) + 1st floor commercial + 2nd to 12th upper residential floorsas per approved plans dtd17.01.2022.</t>
  </si>
  <si>
    <t xml:space="preserve">Commencement Certificate No. 
(Building No. 11, 12, 13)
Valid Up to: </t>
  </si>
  <si>
    <t>ss</t>
  </si>
  <si>
    <t xml:space="preserve">Validity of CC is expired. Please provide revised approved CC.
</t>
  </si>
  <si>
    <t>As per RERA, completion period of project is expired on 30/12/2024 but still the project Nirlon Employees CHS Ltd. Bldg No. 11, 12 &amp; 13 is under construction.</t>
  </si>
  <si>
    <t>As per RERA - 30/12/2025</t>
  </si>
  <si>
    <t xml:space="preserve">Construction work is same as visit dtd 10/01/2025. </t>
  </si>
  <si>
    <t>Pooja</t>
  </si>
  <si>
    <t>Sanket Salvi</t>
  </si>
  <si>
    <t>On site we met Mr. Niraj : 8097809048.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</si>
</sst>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sz val="11"/>
      <color rgb="FF333333"/>
      <name val="Arial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0" xfId="0" applyNumberFormat="1" applyFont="1"/>
    <xf numFmtId="1" fontId="26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3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3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Fill="1" applyBorder="1" applyAlignment="1" applyProtection="1">
      <alignment horizontal="center" vertical="top" wrapText="1"/>
      <protection locked="0"/>
    </xf>
    <xf numFmtId="1" fontId="8" fillId="0" borderId="23" xfId="0" applyNumberFormat="1" applyFont="1" applyFill="1" applyBorder="1" applyAlignment="1" applyProtection="1">
      <alignment horizontal="center" vertical="top" wrapText="1"/>
      <protection locked="0"/>
    </xf>
    <xf numFmtId="1" fontId="8" fillId="0" borderId="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6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28" xfId="1" applyFont="1" applyFill="1" applyBorder="1" applyAlignment="1" applyProtection="1">
      <alignment horizontal="left" vertical="top" wrapText="1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3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8" xfId="9" applyBorder="1" applyAlignment="1" applyProtection="1">
      <alignment horizontal="left"/>
      <protection locked="0"/>
    </xf>
    <xf numFmtId="0" fontId="7" fillId="0" borderId="23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403305</xdr:colOff>
      <xdr:row>488</xdr:row>
      <xdr:rowOff>0</xdr:rowOff>
    </xdr:from>
    <xdr:to>
      <xdr:col>6</xdr:col>
      <xdr:colOff>449134</xdr:colOff>
      <xdr:row>506</xdr:row>
      <xdr:rowOff>1885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2455" y="65008125"/>
          <a:ext cx="450352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352425</xdr:colOff>
      <xdr:row>507</xdr:row>
      <xdr:rowOff>70102</xdr:rowOff>
    </xdr:from>
    <xdr:to>
      <xdr:col>6</xdr:col>
      <xdr:colOff>408787</xdr:colOff>
      <xdr:row>525</xdr:row>
      <xdr:rowOff>69652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1575" y="68878702"/>
          <a:ext cx="451406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285190</xdr:colOff>
      <xdr:row>63</xdr:row>
      <xdr:rowOff>143435</xdr:rowOff>
    </xdr:from>
    <xdr:to>
      <xdr:col>21</xdr:col>
      <xdr:colOff>542925</xdr:colOff>
      <xdr:row>87</xdr:row>
      <xdr:rowOff>43739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33865" y="16374035"/>
          <a:ext cx="5506010" cy="58153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762000</xdr:colOff>
      <xdr:row>454</xdr:row>
      <xdr:rowOff>120650</xdr:rowOff>
    </xdr:from>
    <xdr:ext cx="288541" cy="311496"/>
    <xdr:sp macro="" textlink="">
      <xdr:nvSpPr>
        <xdr:cNvPr id="4" name="TextBox 3"/>
        <xdr:cNvSpPr txBox="1"/>
      </xdr:nvSpPr>
      <xdr:spPr>
        <a:xfrm>
          <a:off x="8826500" y="90208100"/>
          <a:ext cx="28854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</a:t>
          </a:r>
        </a:p>
      </xdr:txBody>
    </xdr:sp>
    <xdr:clientData/>
  </xdr:oneCellAnchor>
  <xdr:twoCellAnchor>
    <xdr:from>
      <xdr:col>0</xdr:col>
      <xdr:colOff>317500</xdr:colOff>
      <xdr:row>444</xdr:row>
      <xdr:rowOff>107950</xdr:rowOff>
    </xdr:from>
    <xdr:to>
      <xdr:col>7</xdr:col>
      <xdr:colOff>576372</xdr:colOff>
      <xdr:row>480</xdr:row>
      <xdr:rowOff>28618</xdr:rowOff>
    </xdr:to>
    <xdr:grpSp>
      <xdr:nvGrpSpPr>
        <xdr:cNvPr id="5" name="Group 4"/>
        <xdr:cNvGrpSpPr/>
      </xdr:nvGrpSpPr>
      <xdr:grpSpPr>
        <a:xfrm>
          <a:off x="317500" y="88430100"/>
          <a:ext cx="6234222" cy="7000918"/>
          <a:chOff x="317500" y="88233250"/>
          <a:chExt cx="6234222" cy="7000918"/>
        </a:xfrm>
      </xdr:grpSpPr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17500" y="88233250"/>
            <a:ext cx="6234222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7785" y="9307416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41452" y="9307416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9" name="TextBox 18"/>
          <xdr:cNvSpPr txBox="1"/>
        </xdr:nvSpPr>
        <xdr:spPr>
          <a:xfrm>
            <a:off x="736600" y="90697050"/>
            <a:ext cx="28854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</a:t>
            </a:r>
          </a:p>
        </xdr:txBody>
      </xdr:sp>
      <xdr:sp macro="" textlink="">
        <xdr:nvSpPr>
          <xdr:cNvPr id="28" name="TextBox 27"/>
          <xdr:cNvSpPr txBox="1"/>
        </xdr:nvSpPr>
        <xdr:spPr>
          <a:xfrm>
            <a:off x="1422400" y="90366850"/>
            <a:ext cx="288541" cy="3429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</a:t>
            </a:r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2133600" y="89890600"/>
            <a:ext cx="28854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</a:t>
            </a:r>
          </a:p>
        </xdr:txBody>
      </xdr:sp>
      <xdr:sp macro="" textlink="">
        <xdr:nvSpPr>
          <xdr:cNvPr id="30" name="TextBox 29"/>
          <xdr:cNvSpPr txBox="1"/>
        </xdr:nvSpPr>
        <xdr:spPr>
          <a:xfrm>
            <a:off x="3321050" y="89173050"/>
            <a:ext cx="288541" cy="3175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</a:t>
            </a:r>
          </a:p>
        </xdr:txBody>
      </xdr:sp>
      <xdr:sp macro="" textlink="">
        <xdr:nvSpPr>
          <xdr:cNvPr id="31" name="TextBox 30"/>
          <xdr:cNvSpPr txBox="1"/>
        </xdr:nvSpPr>
        <xdr:spPr>
          <a:xfrm>
            <a:off x="4743450" y="88322150"/>
            <a:ext cx="272319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9LF6YrBF7fSqY9VA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87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10" customWidth="1"/>
    <col min="2" max="2" width="12" style="10" customWidth="1"/>
    <col min="3" max="3" width="12.7265625" style="10" customWidth="1"/>
    <col min="4" max="4" width="14.1796875" style="10" customWidth="1"/>
    <col min="5" max="7" width="11.7265625" style="10" customWidth="1"/>
    <col min="8" max="8" width="12.453125" style="10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72656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89" t="s">
        <v>253</v>
      </c>
      <c r="B1" s="189"/>
      <c r="C1" s="189"/>
      <c r="D1" s="189"/>
      <c r="E1" s="189"/>
      <c r="F1" s="189"/>
      <c r="G1" s="189"/>
      <c r="H1" s="189"/>
    </row>
    <row r="2" spans="1:8" ht="16.5" customHeight="1" x14ac:dyDescent="0.35">
      <c r="A2" s="190" t="s">
        <v>0</v>
      </c>
      <c r="B2" s="190"/>
      <c r="C2" s="190"/>
      <c r="D2" s="190"/>
      <c r="E2" s="190"/>
      <c r="F2" s="190"/>
      <c r="G2" s="190"/>
      <c r="H2" s="190"/>
    </row>
    <row r="3" spans="1:8" x14ac:dyDescent="0.35">
      <c r="A3" s="159" t="s">
        <v>1</v>
      </c>
      <c r="B3" s="159"/>
      <c r="C3" s="159"/>
      <c r="D3" s="159"/>
      <c r="E3" s="191" t="str">
        <f ca="1">TEXT(TODAY(),"DD/MM/YYYY")</f>
        <v>14/07/2025</v>
      </c>
      <c r="F3" s="191"/>
      <c r="G3" s="191"/>
      <c r="H3" s="191"/>
    </row>
    <row r="4" spans="1:8" ht="15" customHeight="1" x14ac:dyDescent="0.35">
      <c r="A4" s="159" t="s">
        <v>2</v>
      </c>
      <c r="B4" s="159"/>
      <c r="C4" s="159"/>
      <c r="D4" s="159"/>
      <c r="E4" s="193" t="s">
        <v>158</v>
      </c>
      <c r="F4" s="193"/>
      <c r="G4" s="193"/>
      <c r="H4" s="193"/>
    </row>
    <row r="5" spans="1:8" x14ac:dyDescent="0.35">
      <c r="A5" s="159" t="s">
        <v>3</v>
      </c>
      <c r="B5" s="159"/>
      <c r="C5" s="159"/>
      <c r="D5" s="159"/>
      <c r="E5" s="191">
        <v>45849</v>
      </c>
      <c r="F5" s="191"/>
      <c r="G5" s="191"/>
      <c r="H5" s="191"/>
    </row>
    <row r="6" spans="1:8" ht="16.5" customHeight="1" x14ac:dyDescent="0.35">
      <c r="A6" s="159" t="s">
        <v>4</v>
      </c>
      <c r="B6" s="159"/>
      <c r="C6" s="159"/>
      <c r="D6" s="159"/>
      <c r="E6" s="158" t="s">
        <v>159</v>
      </c>
      <c r="F6" s="158"/>
      <c r="G6" s="158"/>
      <c r="H6" s="158"/>
    </row>
    <row r="7" spans="1:8" ht="15" customHeight="1" x14ac:dyDescent="0.35">
      <c r="A7" s="159" t="s">
        <v>5</v>
      </c>
      <c r="B7" s="159"/>
      <c r="C7" s="159"/>
      <c r="D7" s="159"/>
      <c r="E7" s="158" t="str">
        <f>E6</f>
        <v>M/s. Shivam Parivar Developers PVT LTD</v>
      </c>
      <c r="F7" s="158"/>
      <c r="G7" s="158"/>
      <c r="H7" s="158"/>
    </row>
    <row r="8" spans="1:8" x14ac:dyDescent="0.35">
      <c r="A8" s="159" t="s">
        <v>6</v>
      </c>
      <c r="B8" s="159"/>
      <c r="C8" s="159"/>
      <c r="D8" s="159"/>
      <c r="E8" s="192" t="s">
        <v>256</v>
      </c>
      <c r="F8" s="192"/>
      <c r="G8" s="192"/>
      <c r="H8" s="192"/>
    </row>
    <row r="9" spans="1:8" x14ac:dyDescent="0.35">
      <c r="A9" s="159" t="s">
        <v>126</v>
      </c>
      <c r="B9" s="159"/>
      <c r="C9" s="159"/>
      <c r="D9" s="159"/>
      <c r="E9" s="159" t="s">
        <v>160</v>
      </c>
      <c r="F9" s="159"/>
      <c r="G9" s="159"/>
      <c r="H9" s="159"/>
    </row>
    <row r="10" spans="1:8" x14ac:dyDescent="0.35">
      <c r="A10" s="194" t="s">
        <v>7</v>
      </c>
      <c r="B10" s="194"/>
      <c r="C10" s="194"/>
      <c r="D10" s="194"/>
      <c r="E10" s="195" t="s">
        <v>242</v>
      </c>
      <c r="F10" s="195"/>
      <c r="G10" s="195"/>
      <c r="H10" s="195"/>
    </row>
    <row r="11" spans="1:8" x14ac:dyDescent="0.35">
      <c r="A11" s="159" t="s">
        <v>8</v>
      </c>
      <c r="B11" s="159"/>
      <c r="C11" s="159"/>
      <c r="D11" s="159"/>
      <c r="E11" s="195" t="s">
        <v>161</v>
      </c>
      <c r="F11" s="195"/>
      <c r="G11" s="195"/>
      <c r="H11" s="195"/>
    </row>
    <row r="12" spans="1:8" ht="16.5" customHeight="1" x14ac:dyDescent="0.35">
      <c r="A12" s="159" t="s">
        <v>9</v>
      </c>
      <c r="B12" s="159"/>
      <c r="C12" s="159"/>
      <c r="D12" s="159"/>
      <c r="E12" s="195" t="s">
        <v>243</v>
      </c>
      <c r="F12" s="194"/>
      <c r="G12" s="194"/>
      <c r="H12" s="194"/>
    </row>
    <row r="13" spans="1:8" ht="51" customHeight="1" x14ac:dyDescent="0.35">
      <c r="A13" s="158" t="s">
        <v>10</v>
      </c>
      <c r="B13" s="158"/>
      <c r="C13" s="158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Nirlon Employee CHSL Bldg No. 11, 12, 13, CTS No.355, 356 (Pt). &amp; Existing Building Name - Building No.11, 12 &amp; 13., near Shree Datt Mandir, S V Road , Siddharth Nagar, Goregaon West, Borivali, Mumbai Suburban - 400062.</v>
      </c>
      <c r="D13" s="158"/>
      <c r="E13" s="158"/>
      <c r="F13" s="158"/>
      <c r="G13" s="158"/>
      <c r="H13" s="158"/>
    </row>
    <row r="14" spans="1:8" x14ac:dyDescent="0.35">
      <c r="A14" s="127" t="s">
        <v>162</v>
      </c>
      <c r="B14" s="127"/>
      <c r="C14" s="127" t="s">
        <v>244</v>
      </c>
      <c r="D14" s="127"/>
      <c r="E14" s="127"/>
      <c r="F14" s="127"/>
      <c r="G14" s="127"/>
      <c r="H14" s="127"/>
    </row>
    <row r="15" spans="1:8" ht="15.75" customHeight="1" x14ac:dyDescent="0.35">
      <c r="A15" s="144" t="s">
        <v>11</v>
      </c>
      <c r="B15" s="144"/>
      <c r="C15" s="145" t="s">
        <v>163</v>
      </c>
      <c r="D15" s="145"/>
      <c r="E15" s="144" t="s">
        <v>166</v>
      </c>
      <c r="F15" s="144"/>
      <c r="G15" s="127" t="s">
        <v>165</v>
      </c>
      <c r="H15" s="127"/>
    </row>
    <row r="16" spans="1:8" x14ac:dyDescent="0.35">
      <c r="A16" s="126" t="s">
        <v>13</v>
      </c>
      <c r="B16" s="126"/>
      <c r="C16" s="127" t="s">
        <v>245</v>
      </c>
      <c r="D16" s="127"/>
      <c r="E16" s="144" t="s">
        <v>12</v>
      </c>
      <c r="F16" s="144"/>
      <c r="G16" s="196" t="s">
        <v>167</v>
      </c>
      <c r="H16" s="196"/>
    </row>
    <row r="17" spans="1:8" x14ac:dyDescent="0.35">
      <c r="A17" s="126" t="s">
        <v>73</v>
      </c>
      <c r="B17" s="126"/>
      <c r="C17" s="127" t="s">
        <v>164</v>
      </c>
      <c r="D17" s="127"/>
      <c r="E17" s="144" t="s">
        <v>14</v>
      </c>
      <c r="F17" s="144"/>
      <c r="G17" s="127">
        <v>400062</v>
      </c>
      <c r="H17" s="127"/>
    </row>
    <row r="18" spans="1:8" ht="32.25" customHeight="1" x14ac:dyDescent="0.35">
      <c r="A18" s="126" t="s">
        <v>127</v>
      </c>
      <c r="B18" s="126"/>
      <c r="C18" s="197" t="s">
        <v>196</v>
      </c>
      <c r="D18" s="197"/>
      <c r="E18" s="144" t="s">
        <v>15</v>
      </c>
      <c r="F18" s="144"/>
      <c r="G18" s="127" t="s">
        <v>195</v>
      </c>
      <c r="H18" s="127"/>
    </row>
    <row r="19" spans="1:8" ht="15" customHeight="1" x14ac:dyDescent="0.35">
      <c r="A19" s="144" t="s">
        <v>76</v>
      </c>
      <c r="B19" s="144"/>
      <c r="C19" s="144"/>
      <c r="D19" s="144"/>
      <c r="E19" s="145" t="s">
        <v>16</v>
      </c>
      <c r="F19" s="145"/>
      <c r="G19" s="145"/>
      <c r="H19" s="145"/>
    </row>
    <row r="20" spans="1:8" ht="18.75" customHeight="1" x14ac:dyDescent="0.35">
      <c r="A20" s="144"/>
      <c r="B20" s="144"/>
      <c r="C20" s="144"/>
      <c r="D20" s="144"/>
      <c r="E20" s="145"/>
      <c r="F20" s="145"/>
      <c r="G20" s="145"/>
      <c r="H20" s="145"/>
    </row>
    <row r="21" spans="1:8" ht="15" customHeight="1" x14ac:dyDescent="0.35">
      <c r="A21" s="144" t="s">
        <v>17</v>
      </c>
      <c r="B21" s="144"/>
      <c r="C21" s="144"/>
      <c r="D21" s="144"/>
      <c r="E21" s="127" t="s">
        <v>18</v>
      </c>
      <c r="F21" s="127"/>
      <c r="G21" s="127"/>
      <c r="H21" s="127"/>
    </row>
    <row r="22" spans="1:8" ht="15" customHeight="1" x14ac:dyDescent="0.35">
      <c r="A22" s="126" t="s">
        <v>19</v>
      </c>
      <c r="B22" s="126"/>
      <c r="C22" s="126"/>
      <c r="D22" s="126"/>
      <c r="E22" s="127" t="str">
        <f>IF(AND(G16="Mumbai"),"Upper Class","Middle Class")</f>
        <v>Middle Class</v>
      </c>
      <c r="F22" s="127"/>
      <c r="G22" s="127"/>
      <c r="H22" s="127"/>
    </row>
    <row r="23" spans="1:8" x14ac:dyDescent="0.35">
      <c r="A23" s="126" t="s">
        <v>20</v>
      </c>
      <c r="B23" s="126"/>
      <c r="C23" s="126"/>
      <c r="D23" s="126"/>
      <c r="E23" s="127" t="s">
        <v>21</v>
      </c>
      <c r="F23" s="127"/>
      <c r="G23" s="127"/>
      <c r="H23" s="127"/>
    </row>
    <row r="24" spans="1:8" ht="15.75" customHeight="1" x14ac:dyDescent="0.35">
      <c r="A24" s="126" t="s">
        <v>22</v>
      </c>
      <c r="B24" s="126"/>
      <c r="C24" s="126"/>
      <c r="D24" s="126"/>
      <c r="E24" s="127" t="str">
        <f>IF(AND(G16="Mumbai"),"Developed","Developing")</f>
        <v>Developing</v>
      </c>
      <c r="F24" s="127"/>
      <c r="G24" s="127"/>
      <c r="H24" s="127"/>
    </row>
    <row r="25" spans="1:8" x14ac:dyDescent="0.35">
      <c r="A25" s="126" t="s">
        <v>23</v>
      </c>
      <c r="B25" s="126"/>
      <c r="C25" s="126"/>
      <c r="D25" s="126"/>
      <c r="E25" s="127" t="s">
        <v>24</v>
      </c>
      <c r="F25" s="127"/>
      <c r="G25" s="127"/>
      <c r="H25" s="127"/>
    </row>
    <row r="26" spans="1:8" x14ac:dyDescent="0.35">
      <c r="A26" s="126" t="s">
        <v>83</v>
      </c>
      <c r="B26" s="126"/>
      <c r="C26" s="126"/>
      <c r="D26" s="126"/>
      <c r="E26" s="127" t="s">
        <v>84</v>
      </c>
      <c r="F26" s="127"/>
      <c r="G26" s="127"/>
      <c r="H26" s="127"/>
    </row>
    <row r="27" spans="1:8" ht="15" customHeight="1" x14ac:dyDescent="0.35">
      <c r="A27" s="144" t="s">
        <v>33</v>
      </c>
      <c r="B27" s="144"/>
      <c r="C27" s="144"/>
      <c r="D27" s="144"/>
      <c r="E27" s="193" t="str">
        <f>IF(ISNUMBER(SEARCH("Shop",D57)),"Residential + Commercial",IF(ISNUMBER(SEARCH("Office",D57)),"Residential + Commercial",IF(SEARCH("Flats",D57),"Residential","")))</f>
        <v>Residential + Commercial</v>
      </c>
      <c r="F27" s="193"/>
      <c r="G27" s="193"/>
      <c r="H27" s="193"/>
    </row>
    <row r="28" spans="1:8" x14ac:dyDescent="0.35">
      <c r="A28" s="144" t="s">
        <v>95</v>
      </c>
      <c r="B28" s="144"/>
      <c r="C28" s="144"/>
      <c r="D28" s="144"/>
      <c r="E28" s="144" t="s">
        <v>34</v>
      </c>
      <c r="F28" s="144"/>
      <c r="G28" s="144"/>
      <c r="H28" s="144"/>
    </row>
    <row r="29" spans="1:8" s="6" customFormat="1" x14ac:dyDescent="0.35">
      <c r="A29" s="202" t="s">
        <v>96</v>
      </c>
      <c r="B29" s="202"/>
      <c r="C29" s="201" t="s">
        <v>29</v>
      </c>
      <c r="D29" s="201"/>
      <c r="E29" s="201"/>
      <c r="F29" s="201" t="s">
        <v>31</v>
      </c>
      <c r="G29" s="201"/>
      <c r="H29" s="201"/>
    </row>
    <row r="30" spans="1:8" s="6" customFormat="1" x14ac:dyDescent="0.35">
      <c r="A30" s="198" t="s">
        <v>25</v>
      </c>
      <c r="B30" s="198" t="s">
        <v>30</v>
      </c>
      <c r="C30" s="199" t="s">
        <v>30</v>
      </c>
      <c r="D30" s="199"/>
      <c r="E30" s="199"/>
      <c r="F30" s="199" t="s">
        <v>163</v>
      </c>
      <c r="G30" s="199"/>
      <c r="H30" s="199"/>
    </row>
    <row r="31" spans="1:8" x14ac:dyDescent="0.35">
      <c r="A31" s="198" t="s">
        <v>26</v>
      </c>
      <c r="B31" s="198" t="s">
        <v>30</v>
      </c>
      <c r="C31" s="199" t="s">
        <v>30</v>
      </c>
      <c r="D31" s="199"/>
      <c r="E31" s="199"/>
      <c r="F31" s="199" t="s">
        <v>196</v>
      </c>
      <c r="G31" s="199"/>
      <c r="H31" s="199"/>
    </row>
    <row r="32" spans="1:8" s="6" customFormat="1" x14ac:dyDescent="0.35">
      <c r="A32" s="198" t="s">
        <v>28</v>
      </c>
      <c r="B32" s="198" t="s">
        <v>30</v>
      </c>
      <c r="C32" s="199" t="s">
        <v>30</v>
      </c>
      <c r="D32" s="199"/>
      <c r="E32" s="199"/>
      <c r="F32" s="199" t="s">
        <v>197</v>
      </c>
      <c r="G32" s="199"/>
      <c r="H32" s="199"/>
    </row>
    <row r="33" spans="1:8" x14ac:dyDescent="0.35">
      <c r="A33" s="198" t="s">
        <v>27</v>
      </c>
      <c r="B33" s="198" t="s">
        <v>30</v>
      </c>
      <c r="C33" s="199" t="s">
        <v>30</v>
      </c>
      <c r="D33" s="199"/>
      <c r="E33" s="199"/>
      <c r="F33" s="199" t="s">
        <v>198</v>
      </c>
      <c r="G33" s="199"/>
      <c r="H33" s="199"/>
    </row>
    <row r="34" spans="1:8" x14ac:dyDescent="0.35">
      <c r="A34" s="126" t="s">
        <v>32</v>
      </c>
      <c r="B34" s="126"/>
      <c r="C34" s="126"/>
      <c r="D34" s="126"/>
      <c r="E34" s="126"/>
      <c r="F34" s="126"/>
      <c r="G34" s="126"/>
      <c r="H34" s="126"/>
    </row>
    <row r="35" spans="1:8" ht="15.75" customHeight="1" x14ac:dyDescent="0.35">
      <c r="A35" s="126" t="s">
        <v>254</v>
      </c>
      <c r="B35" s="126"/>
      <c r="C35" s="206" t="s">
        <v>255</v>
      </c>
      <c r="D35" s="207"/>
      <c r="E35" s="207"/>
      <c r="F35" s="207"/>
      <c r="G35" s="207"/>
      <c r="H35" s="208"/>
    </row>
    <row r="36" spans="1:8" ht="15.75" customHeight="1" x14ac:dyDescent="0.35">
      <c r="A36" s="126" t="s">
        <v>231</v>
      </c>
      <c r="B36" s="126"/>
      <c r="C36" s="203" t="s">
        <v>232</v>
      </c>
      <c r="D36" s="204"/>
      <c r="E36" s="204"/>
      <c r="F36" s="204"/>
      <c r="G36" s="204"/>
      <c r="H36" s="205"/>
    </row>
    <row r="37" spans="1:8" x14ac:dyDescent="0.35">
      <c r="A37" s="154" t="s">
        <v>35</v>
      </c>
      <c r="B37" s="154"/>
      <c r="C37" s="154"/>
      <c r="D37" s="154"/>
      <c r="E37" s="154"/>
      <c r="F37" s="154"/>
      <c r="G37" s="154"/>
      <c r="H37" s="154"/>
    </row>
    <row r="38" spans="1:8" x14ac:dyDescent="0.35">
      <c r="A38" s="126" t="s">
        <v>36</v>
      </c>
      <c r="B38" s="126"/>
      <c r="C38" s="126"/>
      <c r="D38" s="126"/>
      <c r="E38" s="200">
        <v>3274.3</v>
      </c>
      <c r="F38" s="200"/>
      <c r="G38" s="200"/>
      <c r="H38" s="200"/>
    </row>
    <row r="39" spans="1:8" x14ac:dyDescent="0.35">
      <c r="A39" s="126" t="s">
        <v>37</v>
      </c>
      <c r="B39" s="126"/>
      <c r="C39" s="126"/>
      <c r="D39" s="126"/>
      <c r="E39" s="132">
        <v>2.5</v>
      </c>
      <c r="F39" s="132"/>
      <c r="G39" s="132"/>
      <c r="H39" s="132"/>
    </row>
    <row r="40" spans="1:8" x14ac:dyDescent="0.35">
      <c r="A40" s="126" t="s">
        <v>38</v>
      </c>
      <c r="B40" s="126"/>
      <c r="C40" s="126"/>
      <c r="D40" s="126"/>
      <c r="E40" s="132">
        <f>E42/E38-E39</f>
        <v>-2.4432703173197456E-2</v>
      </c>
      <c r="F40" s="132"/>
      <c r="G40" s="132"/>
      <c r="H40" s="132"/>
    </row>
    <row r="41" spans="1:8" x14ac:dyDescent="0.35">
      <c r="A41" s="126" t="s">
        <v>39</v>
      </c>
      <c r="B41" s="126"/>
      <c r="C41" s="126"/>
      <c r="D41" s="126"/>
      <c r="E41" s="132">
        <f>E39+E40</f>
        <v>2.4755672968268025</v>
      </c>
      <c r="F41" s="132"/>
      <c r="G41" s="132"/>
      <c r="H41" s="132"/>
    </row>
    <row r="42" spans="1:8" x14ac:dyDescent="0.35">
      <c r="A42" s="126" t="s">
        <v>94</v>
      </c>
      <c r="B42" s="126"/>
      <c r="C42" s="126"/>
      <c r="D42" s="126"/>
      <c r="E42" s="185">
        <v>8105.75</v>
      </c>
      <c r="F42" s="185"/>
      <c r="G42" s="185"/>
      <c r="H42" s="185"/>
    </row>
    <row r="43" spans="1:8" x14ac:dyDescent="0.35">
      <c r="A43" s="145" t="s">
        <v>40</v>
      </c>
      <c r="B43" s="145"/>
      <c r="C43" s="145"/>
      <c r="D43" s="145"/>
      <c r="E43" s="145" t="s">
        <v>246</v>
      </c>
      <c r="F43" s="145"/>
      <c r="G43" s="145"/>
      <c r="H43" s="145"/>
    </row>
    <row r="44" spans="1:8" x14ac:dyDescent="0.35">
      <c r="A44" s="112" t="s">
        <v>41</v>
      </c>
      <c r="B44" s="112"/>
      <c r="C44" s="112"/>
      <c r="D44" s="112"/>
      <c r="E44" s="112"/>
      <c r="F44" s="112"/>
      <c r="G44" s="112"/>
      <c r="H44" s="112"/>
    </row>
    <row r="45" spans="1:8" ht="33.75" customHeight="1" x14ac:dyDescent="0.35">
      <c r="A45" s="114" t="s">
        <v>156</v>
      </c>
      <c r="B45" s="115"/>
      <c r="C45" s="186" t="s">
        <v>168</v>
      </c>
      <c r="D45" s="187"/>
      <c r="E45" s="187"/>
      <c r="F45" s="187"/>
      <c r="G45" s="187"/>
      <c r="H45" s="188"/>
    </row>
    <row r="46" spans="1:8" ht="33.65" customHeight="1" x14ac:dyDescent="0.35">
      <c r="A46" s="127" t="s">
        <v>208</v>
      </c>
      <c r="B46" s="127"/>
      <c r="C46" s="139" t="s">
        <v>240</v>
      </c>
      <c r="D46" s="139"/>
      <c r="E46" s="139"/>
      <c r="F46" s="60" t="s">
        <v>42</v>
      </c>
      <c r="G46" s="113">
        <v>45303</v>
      </c>
      <c r="H46" s="113"/>
    </row>
    <row r="47" spans="1:8" ht="32.5" customHeight="1" x14ac:dyDescent="0.35">
      <c r="A47" s="127" t="s">
        <v>209</v>
      </c>
      <c r="B47" s="127"/>
      <c r="C47" s="139" t="str">
        <f>C46</f>
        <v>MHADA - 51/394/2024</v>
      </c>
      <c r="D47" s="139"/>
      <c r="E47" s="139"/>
      <c r="F47" s="60" t="s">
        <v>42</v>
      </c>
      <c r="G47" s="113">
        <f>G46</f>
        <v>45303</v>
      </c>
      <c r="H47" s="113"/>
    </row>
    <row r="48" spans="1:8" s="5" customFormat="1" ht="54" customHeight="1" x14ac:dyDescent="0.35">
      <c r="A48" s="127" t="s">
        <v>258</v>
      </c>
      <c r="B48" s="127"/>
      <c r="C48" s="139" t="s">
        <v>169</v>
      </c>
      <c r="D48" s="155"/>
      <c r="E48" s="155"/>
      <c r="F48" s="37" t="s">
        <v>239</v>
      </c>
      <c r="G48" s="113" t="s">
        <v>238</v>
      </c>
      <c r="H48" s="113"/>
    </row>
    <row r="49" spans="1:14" s="5" customFormat="1" ht="157.5" customHeight="1" x14ac:dyDescent="0.35">
      <c r="A49" s="127"/>
      <c r="B49" s="127"/>
      <c r="C49" s="182" t="s">
        <v>257</v>
      </c>
      <c r="D49" s="183"/>
      <c r="E49" s="183"/>
      <c r="F49" s="183"/>
      <c r="G49" s="183"/>
      <c r="H49" s="184"/>
    </row>
    <row r="50" spans="1:14" ht="33.75" hidden="1" customHeight="1" x14ac:dyDescent="0.35">
      <c r="A50" s="127" t="s">
        <v>212</v>
      </c>
      <c r="B50" s="127"/>
      <c r="C50" s="139" t="s">
        <v>210</v>
      </c>
      <c r="D50" s="139"/>
      <c r="E50" s="139"/>
      <c r="F50" s="67" t="s">
        <v>42</v>
      </c>
      <c r="G50" s="113">
        <v>43887</v>
      </c>
      <c r="H50" s="113"/>
    </row>
    <row r="51" spans="1:14" ht="33.75" hidden="1" customHeight="1" x14ac:dyDescent="0.35">
      <c r="A51" s="127" t="s">
        <v>213</v>
      </c>
      <c r="B51" s="127"/>
      <c r="C51" s="139" t="s">
        <v>210</v>
      </c>
      <c r="D51" s="139"/>
      <c r="E51" s="139"/>
      <c r="F51" s="67" t="s">
        <v>42</v>
      </c>
      <c r="G51" s="113">
        <v>43887</v>
      </c>
      <c r="H51" s="113"/>
    </row>
    <row r="52" spans="1:14" s="5" customFormat="1" ht="49.5" hidden="1" customHeight="1" x14ac:dyDescent="0.35">
      <c r="A52" s="127" t="s">
        <v>211</v>
      </c>
      <c r="B52" s="127"/>
      <c r="C52" s="139" t="s">
        <v>234</v>
      </c>
      <c r="D52" s="155"/>
      <c r="E52" s="155"/>
      <c r="F52" s="37" t="s">
        <v>236</v>
      </c>
      <c r="G52" s="113" t="s">
        <v>237</v>
      </c>
      <c r="H52" s="113"/>
    </row>
    <row r="53" spans="1:14" s="5" customFormat="1" ht="82.5" hidden="1" customHeight="1" x14ac:dyDescent="0.35">
      <c r="A53" s="127"/>
      <c r="B53" s="127"/>
      <c r="C53" s="182" t="s">
        <v>235</v>
      </c>
      <c r="D53" s="183"/>
      <c r="E53" s="183"/>
      <c r="F53" s="183"/>
      <c r="G53" s="183"/>
      <c r="H53" s="184"/>
    </row>
    <row r="54" spans="1:14" x14ac:dyDescent="0.35">
      <c r="A54" s="140" t="s">
        <v>233</v>
      </c>
      <c r="B54" s="140"/>
      <c r="C54" s="141" t="s">
        <v>111</v>
      </c>
      <c r="D54" s="142"/>
      <c r="E54" s="142" t="s">
        <v>43</v>
      </c>
      <c r="F54" s="63" t="s">
        <v>42</v>
      </c>
      <c r="G54" s="146" t="s">
        <v>30</v>
      </c>
      <c r="H54" s="146"/>
    </row>
    <row r="55" spans="1:14" x14ac:dyDescent="0.35">
      <c r="A55" s="143" t="s">
        <v>45</v>
      </c>
      <c r="B55" s="143"/>
      <c r="C55" s="143"/>
      <c r="D55" s="143"/>
      <c r="E55" s="143"/>
      <c r="F55" s="143"/>
      <c r="G55" s="143"/>
      <c r="H55" s="143"/>
    </row>
    <row r="56" spans="1:14" x14ac:dyDescent="0.35">
      <c r="A56" s="144" t="s">
        <v>93</v>
      </c>
      <c r="B56" s="144"/>
      <c r="C56" s="144"/>
      <c r="D56" s="145">
        <f>E42</f>
        <v>8105.75</v>
      </c>
      <c r="E56" s="145"/>
      <c r="F56" s="145"/>
      <c r="G56" s="145"/>
      <c r="H56" s="145"/>
    </row>
    <row r="57" spans="1:14" ht="30.75" customHeight="1" x14ac:dyDescent="0.35">
      <c r="A57" s="127" t="s">
        <v>46</v>
      </c>
      <c r="B57" s="145"/>
      <c r="C57" s="145"/>
      <c r="D57" s="127" t="s">
        <v>251</v>
      </c>
      <c r="E57" s="145"/>
      <c r="F57" s="145"/>
      <c r="G57" s="145"/>
      <c r="H57" s="145"/>
      <c r="I57" s="40"/>
    </row>
    <row r="58" spans="1:14" ht="32.25" customHeight="1" x14ac:dyDescent="0.35">
      <c r="A58" s="176" t="s">
        <v>47</v>
      </c>
      <c r="B58" s="177"/>
      <c r="C58" s="178"/>
      <c r="D58" s="169" t="s">
        <v>247</v>
      </c>
      <c r="E58" s="175"/>
      <c r="F58" s="175"/>
      <c r="G58" s="175"/>
      <c r="H58" s="175"/>
      <c r="I58" s="41"/>
    </row>
    <row r="59" spans="1:14" ht="15.75" customHeight="1" x14ac:dyDescent="0.35">
      <c r="A59" s="176" t="s">
        <v>91</v>
      </c>
      <c r="B59" s="177"/>
      <c r="C59" s="178"/>
      <c r="D59" s="172" t="s">
        <v>214</v>
      </c>
      <c r="E59" s="172"/>
      <c r="F59" s="172"/>
      <c r="G59" s="172"/>
      <c r="H59" s="173"/>
      <c r="I59" s="41"/>
    </row>
    <row r="60" spans="1:14" ht="15.75" customHeight="1" x14ac:dyDescent="0.35">
      <c r="A60" s="179"/>
      <c r="B60" s="180"/>
      <c r="C60" s="181"/>
      <c r="D60" s="174" t="s">
        <v>215</v>
      </c>
      <c r="E60" s="174"/>
      <c r="F60" s="174"/>
      <c r="G60" s="174"/>
      <c r="H60" s="174"/>
      <c r="I60" s="41"/>
    </row>
    <row r="61" spans="1:14" ht="15.75" customHeight="1" x14ac:dyDescent="0.35">
      <c r="A61" s="126" t="s">
        <v>44</v>
      </c>
      <c r="B61" s="126"/>
      <c r="C61" s="126"/>
      <c r="D61" s="127" t="s">
        <v>262</v>
      </c>
      <c r="E61" s="127"/>
      <c r="F61" s="127"/>
      <c r="G61" s="127"/>
      <c r="H61" s="127"/>
      <c r="I61" s="88">
        <v>45473</v>
      </c>
      <c r="J61" s="39"/>
      <c r="K61" s="40"/>
      <c r="N61" s="40"/>
    </row>
    <row r="62" spans="1:14" ht="15.75" customHeight="1" x14ac:dyDescent="0.35">
      <c r="A62" s="126" t="s">
        <v>89</v>
      </c>
      <c r="B62" s="126"/>
      <c r="C62" s="126"/>
      <c r="D62" s="168" t="str">
        <f>(IF(G54="NA","60 Years After Completion",IF(G54&lt;&gt;"NA",""&amp;60-ROUNDDOWN((E3-G54)/360,0)&amp;" Years"," ")))</f>
        <v>60 Years After Completion</v>
      </c>
      <c r="E62" s="168"/>
      <c r="F62" s="168"/>
      <c r="G62" s="168"/>
      <c r="H62" s="168"/>
      <c r="N62" s="40"/>
    </row>
    <row r="63" spans="1:14" ht="15.75" customHeight="1" x14ac:dyDescent="0.35">
      <c r="A63" s="126" t="s">
        <v>90</v>
      </c>
      <c r="B63" s="126"/>
      <c r="C63" s="126"/>
      <c r="D63" s="144" t="s">
        <v>24</v>
      </c>
      <c r="E63" s="144"/>
      <c r="F63" s="144"/>
      <c r="G63" s="144"/>
      <c r="H63" s="144"/>
      <c r="J63" s="12"/>
      <c r="K63" s="12"/>
    </row>
    <row r="64" spans="1:14" ht="15" customHeight="1" x14ac:dyDescent="0.35">
      <c r="A64" s="126" t="s">
        <v>74</v>
      </c>
      <c r="B64" s="126"/>
      <c r="C64" s="126"/>
      <c r="D64" s="127" t="s">
        <v>218</v>
      </c>
      <c r="E64" s="144"/>
      <c r="F64" s="144"/>
      <c r="G64" s="144"/>
      <c r="H64" s="144"/>
    </row>
    <row r="65" spans="1:14" x14ac:dyDescent="0.35">
      <c r="A65" s="144" t="s">
        <v>153</v>
      </c>
      <c r="B65" s="144"/>
      <c r="C65" s="144"/>
      <c r="D65" s="144" t="s">
        <v>30</v>
      </c>
      <c r="E65" s="144"/>
      <c r="F65" s="144"/>
      <c r="G65" s="144"/>
      <c r="H65" s="144"/>
      <c r="I65" s="57"/>
      <c r="J65" s="57"/>
      <c r="K65" s="57"/>
      <c r="L65" s="57"/>
      <c r="M65" s="57"/>
      <c r="N65" s="57"/>
    </row>
    <row r="66" spans="1:14" ht="15.75" customHeight="1" x14ac:dyDescent="0.35">
      <c r="A66" s="170" t="s">
        <v>88</v>
      </c>
      <c r="B66" s="170"/>
      <c r="C66" s="170"/>
      <c r="D66" s="169" t="str">
        <f ca="1">(IF(G72&gt;95%,"Nothing",IF(G72&gt;0%,"Cement, Aggregate, Steel, etc",IF(G72=0%,"Work not yet Started"))))</f>
        <v>Cement, Aggregate, Steel, etc</v>
      </c>
      <c r="E66" s="169"/>
      <c r="F66" s="169"/>
      <c r="G66" s="169"/>
      <c r="H66" s="169"/>
      <c r="J66" s="12"/>
    </row>
    <row r="67" spans="1:14" ht="33.75" customHeight="1" thickBot="1" x14ac:dyDescent="0.4">
      <c r="A67" s="125" t="s">
        <v>124</v>
      </c>
      <c r="B67" s="125"/>
      <c r="C67" s="125"/>
      <c r="D67" s="169" t="str">
        <f ca="1">(IF(D66="Nothing","Yes",IF(D66="Cement, Aggregate, Steel, etc","Under Construction",IF(D66="Work not yet Started","Work not yet Started"))))</f>
        <v>Under Construction</v>
      </c>
      <c r="E67" s="169"/>
      <c r="F67" s="169" t="str">
        <f ca="1">(IF(D66="Nothing","Yes",IF(D66="Cement, Aggregate, Steel, etc","Under Construction",IF(D66="Work not yet Started","Work not yet Started"))))</f>
        <v>Under Construction</v>
      </c>
      <c r="G67" s="169"/>
      <c r="H67" s="169"/>
    </row>
    <row r="68" spans="1:14" ht="15.75" customHeight="1" x14ac:dyDescent="0.35">
      <c r="A68" s="133" t="s">
        <v>145</v>
      </c>
      <c r="B68" s="134"/>
      <c r="C68" s="135" t="str">
        <f>D59</f>
        <v>A &amp; B Wing = LB + UB + Gr + UG + 1st to 24th Floor</v>
      </c>
      <c r="D68" s="136"/>
      <c r="E68" s="136"/>
      <c r="F68" s="136"/>
      <c r="G68" s="136"/>
      <c r="H68" s="137"/>
      <c r="I68" s="46" t="str">
        <f ca="1">(IF(E72&gt;99%,"All work completed. Please provide OC.",IF(E72&gt;89.8%,"Plinth, RCC, Brick, Plaster, Flooring, Painting work Completed. Finishing work is in process.",IF(E72&lt;94%,(IF(C72=0,"Work not yet Started.",IF(D72=25%,"Piling work in process",IF(D72=50%,"Excavation work in process",IF(D72=100%,"Excavation work Completed. ","0")))&amp;(IF(C73=0%,"",IF(C73=J74,"Footing work is process",IF(C73=J75,"Footing work Completed",IF(C73=J76,"1st Basement Completed",IF(C73=J77,"1st &amp; 2nd Basement Completed",IF(C73=J78,"1st to 3rd Basement Completed",IF(C73=J79,"1st to 4th Basement Completed",IF(C73=J80,"Plinth work is process",IF(C73=J81,"Plinth work completed","0")))))))))))&amp;(IF(C74=(D69+F69+H69),", RCC Slab",IF(C74&gt;0,", RCC upto "&amp;C74&amp;" Slab",""))&amp;(IF(C75=H69,", Brickwork",IF(C75&gt;0,", Brickwork upto "&amp;C75&amp;" Floor",""))&amp;(IF(C76=H69,", Internal Plaster",IF(C76&gt;0,", Internal Plaster upto "&amp;C76&amp;" Floor",""))&amp;(IF(C77=H69,", External Plaster",IF(C77&gt;0,", External Plaster upto "&amp;C77&amp;" Floor",""))&amp;(IF(C78=H69,", Flooring",IF(C78&gt;0,", Flooring upto "&amp;C78&amp;" Floor",""))&amp;(IF(C79=H69,", Painting",IF(C79&gt;0,", Painting upto "&amp;C79&amp;" Floor",""))&amp;(IF(C80&gt;0,", Finishing upto "&amp;C80&amp;" Floor","")&amp;(IF(C74&gt;0.5," Completed",""))))))))))))))</f>
        <v>Excavation work Completed. Plinth work completed, RCC upto 13 Slab, Brickwork upto 12 Floor, Internal Plaster upto 9 Floor, External Plaster upto 9 Floor, Flooring upto 6 Floor, Painting upto 5 Floor Completed</v>
      </c>
      <c r="J68" s="14"/>
    </row>
    <row r="69" spans="1:14" x14ac:dyDescent="0.35">
      <c r="A69" s="52" t="s">
        <v>147</v>
      </c>
      <c r="B69" s="70">
        <v>2</v>
      </c>
      <c r="C69" s="70" t="s">
        <v>72</v>
      </c>
      <c r="D69" s="70">
        <v>2</v>
      </c>
      <c r="E69" s="70" t="s">
        <v>71</v>
      </c>
      <c r="F69" s="70">
        <v>0</v>
      </c>
      <c r="G69" s="70" t="s">
        <v>82</v>
      </c>
      <c r="H69" s="54">
        <f ca="1">--TRIM(RIGHT(SUBSTITUTE(LEFT(C68,_xlfn.AGGREGATE(16,6,FIND({0,1,2,3,4,5,6,7,8,9},C68,ROW(INDIRECT("1:"&amp;LEN(C68)))),1))," ",REPT(" ",LEN(C68))),LEN(C68)))</f>
        <v>24</v>
      </c>
      <c r="I69" s="47"/>
      <c r="J69" s="15"/>
    </row>
    <row r="70" spans="1:14" ht="51" customHeight="1" x14ac:dyDescent="0.35">
      <c r="A70" s="111" t="s">
        <v>92</v>
      </c>
      <c r="B70" s="112"/>
      <c r="C70" s="140" t="str">
        <f ca="1">I68</f>
        <v>Excavation work Completed. Plinth work completed, RCC upto 13 Slab, Brickwork upto 12 Floor, Internal Plaster upto 9 Floor, External Plaster upto 9 Floor, Flooring upto 6 Floor, Painting upto 5 Floor Completed</v>
      </c>
      <c r="D70" s="140"/>
      <c r="E70" s="140"/>
      <c r="F70" s="140"/>
      <c r="G70" s="140"/>
      <c r="H70" s="171"/>
      <c r="I70" s="47" t="s">
        <v>110</v>
      </c>
      <c r="J70" s="15"/>
    </row>
    <row r="71" spans="1:14" ht="15.75" customHeight="1" x14ac:dyDescent="0.35">
      <c r="A71" s="138" t="s">
        <v>48</v>
      </c>
      <c r="B71" s="109"/>
      <c r="C71" s="75" t="s">
        <v>144</v>
      </c>
      <c r="D71" s="76" t="s">
        <v>85</v>
      </c>
      <c r="E71" s="109" t="s">
        <v>87</v>
      </c>
      <c r="F71" s="109"/>
      <c r="G71" s="109" t="s">
        <v>86</v>
      </c>
      <c r="H71" s="110"/>
      <c r="I71" s="38" t="s">
        <v>146</v>
      </c>
      <c r="J71" s="16">
        <f ca="1">H69*25%</f>
        <v>6</v>
      </c>
    </row>
    <row r="72" spans="1:14" x14ac:dyDescent="0.35">
      <c r="A72" s="138" t="s">
        <v>133</v>
      </c>
      <c r="B72" s="109"/>
      <c r="C72" s="77">
        <f ca="1">J73</f>
        <v>24</v>
      </c>
      <c r="D72" s="78">
        <f ca="1">((100/H69)*C72)/100</f>
        <v>1</v>
      </c>
      <c r="E72" s="128">
        <f ca="1">(((C73/H69*10)+(40/(D69+F69+H69)*C74)+(7.5/(H69)*C75)+(7.5/(H69)*C76)+(10/H69*C77)+(10/H69*C78)+(5/H69*C79)+(5/H69*C80)+(5/H69*C81))/100)</f>
        <v>0.43854166666666666</v>
      </c>
      <c r="F72" s="128"/>
      <c r="G72" s="128">
        <f ca="1">((((C72/H69)*20)+((C73/H69)*25)+(30/(H69+F69+D69)*C74)+(5/H69*C75)+(5/H69*C76)+(5/H69*C77)+(5/H69*C78)+(0/H69*C79)+(0/H69*C80)+(5/H69*C81))/100)</f>
        <v>0.67500000000000004</v>
      </c>
      <c r="H72" s="130"/>
      <c r="I72" s="38" t="s">
        <v>105</v>
      </c>
      <c r="J72" s="45">
        <f ca="1">H69*50%</f>
        <v>12</v>
      </c>
    </row>
    <row r="73" spans="1:14" x14ac:dyDescent="0.35">
      <c r="A73" s="138" t="s">
        <v>49</v>
      </c>
      <c r="B73" s="109"/>
      <c r="C73" s="79">
        <v>24</v>
      </c>
      <c r="D73" s="78">
        <f ca="1">((100/H69)*C73)/100</f>
        <v>1</v>
      </c>
      <c r="E73" s="128"/>
      <c r="F73" s="128"/>
      <c r="G73" s="128"/>
      <c r="H73" s="130"/>
      <c r="I73" s="38" t="s">
        <v>106</v>
      </c>
      <c r="J73" s="45">
        <f ca="1">H69</f>
        <v>24</v>
      </c>
    </row>
    <row r="74" spans="1:14" ht="15.75" customHeight="1" x14ac:dyDescent="0.35">
      <c r="A74" s="138" t="s">
        <v>134</v>
      </c>
      <c r="B74" s="109"/>
      <c r="C74" s="79">
        <v>13</v>
      </c>
      <c r="D74" s="78">
        <f ca="1">((100/(D69+F69+H69))*C74)/100</f>
        <v>0.5</v>
      </c>
      <c r="E74" s="128"/>
      <c r="F74" s="128"/>
      <c r="G74" s="128"/>
      <c r="H74" s="130"/>
      <c r="I74" s="38" t="s">
        <v>107</v>
      </c>
      <c r="J74" s="49">
        <f ca="1">(IF(B69&gt;1,(H69/(B69+2)),H69/4))</f>
        <v>6</v>
      </c>
    </row>
    <row r="75" spans="1:14" ht="15.75" customHeight="1" x14ac:dyDescent="0.35">
      <c r="A75" s="138" t="s">
        <v>141</v>
      </c>
      <c r="B75" s="109" t="s">
        <v>135</v>
      </c>
      <c r="C75" s="77">
        <v>12</v>
      </c>
      <c r="D75" s="78">
        <f ca="1">((100/H69)*C75)/100</f>
        <v>0.5</v>
      </c>
      <c r="E75" s="128"/>
      <c r="F75" s="128"/>
      <c r="G75" s="128"/>
      <c r="H75" s="130"/>
      <c r="I75" s="38" t="s">
        <v>108</v>
      </c>
      <c r="J75" s="49">
        <f ca="1">(IF(B69&gt;1,(H69/(B69+2)+J74),H69/4+J74))</f>
        <v>12</v>
      </c>
    </row>
    <row r="76" spans="1:14" ht="15.75" customHeight="1" x14ac:dyDescent="0.35">
      <c r="A76" s="138" t="s">
        <v>142</v>
      </c>
      <c r="B76" s="109" t="s">
        <v>135</v>
      </c>
      <c r="C76" s="77">
        <v>9</v>
      </c>
      <c r="D76" s="78">
        <f ca="1">((100/H69)*C76)/100</f>
        <v>0.375</v>
      </c>
      <c r="E76" s="128"/>
      <c r="F76" s="128"/>
      <c r="G76" s="128"/>
      <c r="H76" s="130"/>
      <c r="I76" s="38" t="s">
        <v>151</v>
      </c>
      <c r="J76" s="49">
        <f ca="1">(IF(B69&gt;1,(H69/(B69+2)+J75),0))</f>
        <v>18</v>
      </c>
    </row>
    <row r="77" spans="1:14" ht="15" customHeight="1" x14ac:dyDescent="0.35">
      <c r="A77" s="138" t="s">
        <v>140</v>
      </c>
      <c r="B77" s="109" t="s">
        <v>137</v>
      </c>
      <c r="C77" s="77">
        <v>9</v>
      </c>
      <c r="D77" s="78">
        <f ca="1">((100/(H69))*C77)/100</f>
        <v>0.375</v>
      </c>
      <c r="E77" s="128"/>
      <c r="F77" s="128"/>
      <c r="G77" s="128"/>
      <c r="H77" s="130"/>
      <c r="I77" s="38" t="s">
        <v>148</v>
      </c>
      <c r="J77" s="49">
        <f>(IF(B69&gt;2,(H69/(B69+2)+J76),0))</f>
        <v>0</v>
      </c>
    </row>
    <row r="78" spans="1:14" ht="15.75" customHeight="1" x14ac:dyDescent="0.35">
      <c r="A78" s="138" t="s">
        <v>136</v>
      </c>
      <c r="B78" s="109" t="s">
        <v>136</v>
      </c>
      <c r="C78" s="77">
        <v>6</v>
      </c>
      <c r="D78" s="78">
        <f ca="1">((100/H69)*C78)/100</f>
        <v>0.25</v>
      </c>
      <c r="E78" s="128"/>
      <c r="F78" s="128"/>
      <c r="G78" s="128"/>
      <c r="H78" s="130"/>
      <c r="I78" s="38" t="s">
        <v>149</v>
      </c>
      <c r="J78" s="50">
        <f>(IF(B69&gt;3,(H69/(B69+2)+J77),0))</f>
        <v>0</v>
      </c>
    </row>
    <row r="79" spans="1:14" ht="15.75" customHeight="1" x14ac:dyDescent="0.35">
      <c r="A79" s="138" t="s">
        <v>143</v>
      </c>
      <c r="B79" s="109"/>
      <c r="C79" s="77">
        <v>5</v>
      </c>
      <c r="D79" s="78">
        <f ca="1">((100/H69)*C79)/100</f>
        <v>0.20833333333333337</v>
      </c>
      <c r="E79" s="128"/>
      <c r="F79" s="128"/>
      <c r="G79" s="128"/>
      <c r="H79" s="130"/>
      <c r="I79" s="38" t="s">
        <v>150</v>
      </c>
      <c r="J79" s="49">
        <f>(IF(B69&gt;4,(H69/(B69+2)+J78),0))</f>
        <v>0</v>
      </c>
    </row>
    <row r="80" spans="1:14" ht="15.75" customHeight="1" x14ac:dyDescent="0.35">
      <c r="A80" s="138" t="s">
        <v>138</v>
      </c>
      <c r="B80" s="109" t="s">
        <v>138</v>
      </c>
      <c r="C80" s="77">
        <v>0</v>
      </c>
      <c r="D80" s="78">
        <f ca="1">((100/(H69))*C80)/100</f>
        <v>0</v>
      </c>
      <c r="E80" s="128"/>
      <c r="F80" s="128"/>
      <c r="G80" s="128"/>
      <c r="H80" s="130"/>
      <c r="I80" s="38" t="s">
        <v>152</v>
      </c>
      <c r="J80" s="49">
        <f>(IF(B69=1,(H69/(B69+3)+J75),IF(B69=0,(H69/4+J75),IF(B69&gt;1,0))))</f>
        <v>0</v>
      </c>
    </row>
    <row r="81" spans="1:10" ht="16" thickBot="1" x14ac:dyDescent="0.4">
      <c r="A81" s="166" t="s">
        <v>139</v>
      </c>
      <c r="B81" s="167"/>
      <c r="C81" s="80">
        <v>0</v>
      </c>
      <c r="D81" s="81">
        <f ca="1">((100/(H69))*C81)/100</f>
        <v>0</v>
      </c>
      <c r="E81" s="129"/>
      <c r="F81" s="129"/>
      <c r="G81" s="129"/>
      <c r="H81" s="131"/>
      <c r="I81" s="48" t="s">
        <v>109</v>
      </c>
      <c r="J81" s="51">
        <f ca="1">(IF(B69&gt;1.5,(H69/(B69+2)+J75+MAX(0,J76-J75)+MAX(0,J77-J76)+MAX(0,J78-J77)+MAX(0,J79-J78)+MAX(0,J80-J79)),IF(B69=1,(H69/(B69+3)+J80),IF(B69=0,H69/4+J80))))</f>
        <v>24</v>
      </c>
    </row>
    <row r="82" spans="1:10" ht="15.75" customHeight="1" x14ac:dyDescent="0.35">
      <c r="A82" s="133" t="s">
        <v>145</v>
      </c>
      <c r="B82" s="134"/>
      <c r="C82" s="135" t="str">
        <f>D60</f>
        <v>C, D &amp; E Wing = LB + UB + Gr + UG + 1st to 24th Floor</v>
      </c>
      <c r="D82" s="136"/>
      <c r="E82" s="136"/>
      <c r="F82" s="136"/>
      <c r="G82" s="136"/>
      <c r="H82" s="137"/>
      <c r="I82" s="46" t="str">
        <f ca="1">(IF(E86&gt;99%,"All work completed. Please provide OC.",IF(E86&gt;89.8%,"Plinth, RCC, Brick, Plaster, Flooring, Painting work Completed. Finishing work is in process.",IF(E86&lt;94%,(IF(C86=0,"Work not yet Started.",IF(D86=25%,"Piling work in process",IF(D86=50%,"Excavation work in process",IF(D86=100%,"Excavation work Completed. ","0")))&amp;(IF(C87=0%,"",IF(C87=J88,"Footing work is process",IF(C87=J89,"Footing work Completed",IF(C87=J90,"1st Basement Completed",IF(C87=J91,"1st &amp; 2nd Basement Completed",IF(C87=J92,"1st to 3rd Basement Completed",IF(C87=J93,"1st to 4th Basement Completed",IF(C87=J94,"Plinth work is process",IF(C87=J95,"Plinth work completed","0")))))))))))&amp;(IF(C88=(D83+F83+H83),", RCC Slab",IF(C88&gt;0,", RCC upto "&amp;C88&amp;" Slab",""))&amp;(IF(C89=H83,", Brickwork",IF(C89&gt;0,", Brickwork upto "&amp;C89&amp;" Floor",""))&amp;(IF(C90=H83,", Internal Plaster",IF(C90&gt;0,", Internal Plaster upto "&amp;C90&amp;" Floor",""))&amp;(IF(C91=H83,", External Plaster",IF(C91&gt;0,", External Plaster upto "&amp;C91&amp;" Floor",""))&amp;(IF(C92=H83,", Flooring",IF(C92&gt;0,", Flooring upto "&amp;C92&amp;" Floor",""))&amp;(IF(C93=H83,", Painting",IF(C93&gt;0,", Painting upto "&amp;C93&amp;" Floor",""))&amp;(IF(C94&gt;0,", Finishing upto "&amp;C94&amp;" Floor","")&amp;(IF(C88&gt;0.5," Completed",""))))))))))))))</f>
        <v>Excavation work Completed. Plinth work completed, RCC upto 13 Slab, Brickwork upto 12 Floor, Internal Plaster upto 9 Floor, External Plaster upto 9 Floor, Flooring upto 6 Floor, Painting upto 5 Floor Completed</v>
      </c>
      <c r="J82" s="14"/>
    </row>
    <row r="83" spans="1:10" x14ac:dyDescent="0.35">
      <c r="A83" s="52" t="s">
        <v>147</v>
      </c>
      <c r="B83" s="70">
        <v>2</v>
      </c>
      <c r="C83" s="70" t="s">
        <v>72</v>
      </c>
      <c r="D83" s="70">
        <v>2</v>
      </c>
      <c r="E83" s="70" t="s">
        <v>71</v>
      </c>
      <c r="F83" s="70">
        <v>0</v>
      </c>
      <c r="G83" s="70" t="s">
        <v>82</v>
      </c>
      <c r="H83" s="54">
        <f ca="1">--TRIM(RIGHT(SUBSTITUTE(LEFT(C82,_xlfn.AGGREGATE(16,6,FIND({0,1,2,3,4,5,6,7,8,9},C82,ROW(INDIRECT("1:"&amp;LEN(C82)))),1))," ",REPT(" ",LEN(C82))),LEN(C82)))</f>
        <v>24</v>
      </c>
      <c r="I83" s="47"/>
      <c r="J83" s="15"/>
    </row>
    <row r="84" spans="1:10" ht="51" customHeight="1" x14ac:dyDescent="0.35">
      <c r="A84" s="111" t="s">
        <v>92</v>
      </c>
      <c r="B84" s="112"/>
      <c r="C84" s="140" t="str">
        <f ca="1">I82</f>
        <v>Excavation work Completed. Plinth work completed, RCC upto 13 Slab, Brickwork upto 12 Floor, Internal Plaster upto 9 Floor, External Plaster upto 9 Floor, Flooring upto 6 Floor, Painting upto 5 Floor Completed</v>
      </c>
      <c r="D84" s="140"/>
      <c r="E84" s="140"/>
      <c r="F84" s="140"/>
      <c r="G84" s="140"/>
      <c r="H84" s="171"/>
      <c r="I84" s="47" t="s">
        <v>110</v>
      </c>
      <c r="J84" s="15"/>
    </row>
    <row r="85" spans="1:10" ht="15.75" customHeight="1" x14ac:dyDescent="0.35">
      <c r="A85" s="138" t="s">
        <v>48</v>
      </c>
      <c r="B85" s="109"/>
      <c r="C85" s="75" t="s">
        <v>144</v>
      </c>
      <c r="D85" s="76" t="s">
        <v>85</v>
      </c>
      <c r="E85" s="109" t="s">
        <v>87</v>
      </c>
      <c r="F85" s="109"/>
      <c r="G85" s="109" t="s">
        <v>86</v>
      </c>
      <c r="H85" s="110"/>
      <c r="I85" s="38" t="s">
        <v>146</v>
      </c>
      <c r="J85" s="16">
        <f ca="1">H83*25%</f>
        <v>6</v>
      </c>
    </row>
    <row r="86" spans="1:10" x14ac:dyDescent="0.35">
      <c r="A86" s="138" t="s">
        <v>133</v>
      </c>
      <c r="B86" s="109"/>
      <c r="C86" s="77">
        <f ca="1">J87</f>
        <v>24</v>
      </c>
      <c r="D86" s="78">
        <f ca="1">((100/H83)*C86)/100</f>
        <v>1</v>
      </c>
      <c r="E86" s="128">
        <f ca="1">(((C87/H83*10)+(40/(D83+F83+H83)*C88)+(7.5/(H83)*C89)+(7.5/(H83)*C90)+(10/H83*C91)+(10/H83*C92)+(5/H83*C93)+(5/H83*C94)+(5/H83*C95))/100)</f>
        <v>0.43854166666666666</v>
      </c>
      <c r="F86" s="128"/>
      <c r="G86" s="128">
        <f ca="1">((((C86/H83)*20)+((C87/H83)*25)+(30/(H83+F83+D83)*C88)+(5/H83*C89)+(5/H83*C90)+(5/H83*C91)+(5/H83*C92)+(0/H83*C93)+(0/H83*C94)+(5/H83*C95))/100)</f>
        <v>0.67500000000000004</v>
      </c>
      <c r="H86" s="130"/>
      <c r="I86" s="38" t="s">
        <v>105</v>
      </c>
      <c r="J86" s="45">
        <f ca="1">H83*50%</f>
        <v>12</v>
      </c>
    </row>
    <row r="87" spans="1:10" x14ac:dyDescent="0.35">
      <c r="A87" s="138" t="s">
        <v>49</v>
      </c>
      <c r="B87" s="109"/>
      <c r="C87" s="79">
        <f ca="1">J95</f>
        <v>24</v>
      </c>
      <c r="D87" s="78">
        <f ca="1">((100/H83)*C87)/100</f>
        <v>1</v>
      </c>
      <c r="E87" s="128"/>
      <c r="F87" s="128"/>
      <c r="G87" s="128"/>
      <c r="H87" s="130"/>
      <c r="I87" s="38" t="s">
        <v>106</v>
      </c>
      <c r="J87" s="45">
        <f ca="1">H83</f>
        <v>24</v>
      </c>
    </row>
    <row r="88" spans="1:10" ht="15.75" customHeight="1" x14ac:dyDescent="0.35">
      <c r="A88" s="138" t="s">
        <v>134</v>
      </c>
      <c r="B88" s="109"/>
      <c r="C88" s="79">
        <f>D83+11</f>
        <v>13</v>
      </c>
      <c r="D88" s="78">
        <f ca="1">((100/(D83+F83+H83))*C88)/100</f>
        <v>0.5</v>
      </c>
      <c r="E88" s="128"/>
      <c r="F88" s="128"/>
      <c r="G88" s="128"/>
      <c r="H88" s="130"/>
      <c r="I88" s="38" t="s">
        <v>107</v>
      </c>
      <c r="J88" s="49">
        <f ca="1">(IF(B83&gt;1,(H83/(B83+2)),H83/4))</f>
        <v>6</v>
      </c>
    </row>
    <row r="89" spans="1:10" ht="15.75" customHeight="1" x14ac:dyDescent="0.35">
      <c r="A89" s="138" t="s">
        <v>141</v>
      </c>
      <c r="B89" s="109" t="s">
        <v>135</v>
      </c>
      <c r="C89" s="77">
        <v>12</v>
      </c>
      <c r="D89" s="78">
        <f ca="1">((100/H83)*C89)/100</f>
        <v>0.5</v>
      </c>
      <c r="E89" s="128"/>
      <c r="F89" s="128"/>
      <c r="G89" s="128"/>
      <c r="H89" s="130"/>
      <c r="I89" s="38" t="s">
        <v>108</v>
      </c>
      <c r="J89" s="49">
        <f ca="1">(IF(B83&gt;1,(H83/(B83+2)+J88),H83/4+J88))</f>
        <v>12</v>
      </c>
    </row>
    <row r="90" spans="1:10" ht="15.75" customHeight="1" x14ac:dyDescent="0.35">
      <c r="A90" s="138" t="s">
        <v>142</v>
      </c>
      <c r="B90" s="109" t="s">
        <v>135</v>
      </c>
      <c r="C90" s="77">
        <v>9</v>
      </c>
      <c r="D90" s="78">
        <f ca="1">((100/H83)*C90)/100</f>
        <v>0.375</v>
      </c>
      <c r="E90" s="128"/>
      <c r="F90" s="128"/>
      <c r="G90" s="128"/>
      <c r="H90" s="130"/>
      <c r="I90" s="38" t="s">
        <v>151</v>
      </c>
      <c r="J90" s="49">
        <f ca="1">(IF(B83&gt;1,(H83/(B83+2)+J89),0))</f>
        <v>18</v>
      </c>
    </row>
    <row r="91" spans="1:10" ht="15" customHeight="1" x14ac:dyDescent="0.35">
      <c r="A91" s="138" t="s">
        <v>140</v>
      </c>
      <c r="B91" s="109" t="s">
        <v>137</v>
      </c>
      <c r="C91" s="77">
        <v>9</v>
      </c>
      <c r="D91" s="78">
        <f ca="1">((100/(H83))*C91)/100</f>
        <v>0.375</v>
      </c>
      <c r="E91" s="128"/>
      <c r="F91" s="128"/>
      <c r="G91" s="128"/>
      <c r="H91" s="130"/>
      <c r="I91" s="38" t="s">
        <v>148</v>
      </c>
      <c r="J91" s="49">
        <f>(IF(B83&gt;2,(H83/(B83+2)+J90),0))</f>
        <v>0</v>
      </c>
    </row>
    <row r="92" spans="1:10" ht="15.75" customHeight="1" x14ac:dyDescent="0.35">
      <c r="A92" s="138" t="s">
        <v>136</v>
      </c>
      <c r="B92" s="109" t="s">
        <v>136</v>
      </c>
      <c r="C92" s="77">
        <v>6</v>
      </c>
      <c r="D92" s="78">
        <f ca="1">((100/H83)*C92)/100</f>
        <v>0.25</v>
      </c>
      <c r="E92" s="128"/>
      <c r="F92" s="128"/>
      <c r="G92" s="128"/>
      <c r="H92" s="130"/>
      <c r="I92" s="38" t="s">
        <v>149</v>
      </c>
      <c r="J92" s="50">
        <f>(IF(B83&gt;3,(H83/(B83+2)+J91),0))</f>
        <v>0</v>
      </c>
    </row>
    <row r="93" spans="1:10" ht="15.75" customHeight="1" x14ac:dyDescent="0.35">
      <c r="A93" s="138" t="s">
        <v>143</v>
      </c>
      <c r="B93" s="109"/>
      <c r="C93" s="77">
        <v>5</v>
      </c>
      <c r="D93" s="78">
        <f ca="1">((100/H83)*C93)/100</f>
        <v>0.20833333333333337</v>
      </c>
      <c r="E93" s="128"/>
      <c r="F93" s="128"/>
      <c r="G93" s="128"/>
      <c r="H93" s="130"/>
      <c r="I93" s="38" t="s">
        <v>150</v>
      </c>
      <c r="J93" s="49">
        <f>(IF(B83&gt;4,(H83/(B83+2)+J92),0))</f>
        <v>0</v>
      </c>
    </row>
    <row r="94" spans="1:10" ht="15.75" customHeight="1" x14ac:dyDescent="0.35">
      <c r="A94" s="138" t="s">
        <v>138</v>
      </c>
      <c r="B94" s="109" t="s">
        <v>138</v>
      </c>
      <c r="C94" s="77">
        <v>0</v>
      </c>
      <c r="D94" s="78">
        <f ca="1">((100/(H83))*C94)/100</f>
        <v>0</v>
      </c>
      <c r="E94" s="128"/>
      <c r="F94" s="128"/>
      <c r="G94" s="128"/>
      <c r="H94" s="130"/>
      <c r="I94" s="38" t="s">
        <v>152</v>
      </c>
      <c r="J94" s="49">
        <f>(IF(B83=1,(H83/(B83+3)+J89),IF(B83=0,(H83/4+J89),IF(B83&gt;1,0))))</f>
        <v>0</v>
      </c>
    </row>
    <row r="95" spans="1:10" ht="16" thickBot="1" x14ac:dyDescent="0.4">
      <c r="A95" s="166" t="s">
        <v>139</v>
      </c>
      <c r="B95" s="167"/>
      <c r="C95" s="80">
        <v>0</v>
      </c>
      <c r="D95" s="81">
        <f ca="1">((100/(H83))*C95)/100</f>
        <v>0</v>
      </c>
      <c r="E95" s="129"/>
      <c r="F95" s="129"/>
      <c r="G95" s="129"/>
      <c r="H95" s="131"/>
      <c r="I95" s="48" t="s">
        <v>109</v>
      </c>
      <c r="J95" s="51">
        <f ca="1">(IF(B83&gt;1.5,(H83/(B83+2)+J89+MAX(0,J90-J89)+MAX(0,J91-J90)+MAX(0,J92-J91)+MAX(0,J93-J92)+MAX(0,J94-J93)),IF(B83=1,(H83/(B83+3)+J94),IF(B83=0,H83/4+J94))))</f>
        <v>24</v>
      </c>
    </row>
    <row r="96" spans="1:10" x14ac:dyDescent="0.35">
      <c r="A96" s="154" t="s">
        <v>50</v>
      </c>
      <c r="B96" s="154"/>
      <c r="C96" s="154"/>
      <c r="D96" s="154"/>
      <c r="E96" s="154"/>
      <c r="F96" s="154"/>
      <c r="G96" s="154"/>
      <c r="H96" s="154"/>
    </row>
    <row r="97" spans="1:10" x14ac:dyDescent="0.35">
      <c r="A97" s="126" t="s">
        <v>75</v>
      </c>
      <c r="B97" s="126"/>
      <c r="C97" s="126"/>
      <c r="D97" s="126"/>
      <c r="E97" s="126"/>
      <c r="F97" s="155">
        <v>14500</v>
      </c>
      <c r="G97" s="155"/>
      <c r="H97" s="155"/>
      <c r="J97" s="3">
        <f>21750/1.6</f>
        <v>13593.75</v>
      </c>
    </row>
    <row r="98" spans="1:10" x14ac:dyDescent="0.35">
      <c r="A98" s="126" t="s">
        <v>80</v>
      </c>
      <c r="B98" s="126"/>
      <c r="C98" s="126"/>
      <c r="D98" s="126"/>
      <c r="E98" s="126"/>
      <c r="F98" s="155">
        <v>30000</v>
      </c>
      <c r="G98" s="155"/>
      <c r="H98" s="155"/>
    </row>
    <row r="99" spans="1:10" x14ac:dyDescent="0.35">
      <c r="A99" s="126" t="s">
        <v>81</v>
      </c>
      <c r="B99" s="126"/>
      <c r="C99" s="126"/>
      <c r="D99" s="126"/>
      <c r="E99" s="126"/>
      <c r="F99" s="155">
        <v>22000</v>
      </c>
      <c r="G99" s="155"/>
      <c r="H99" s="155"/>
    </row>
    <row r="100" spans="1:10" s="7" customFormat="1" hidden="1" x14ac:dyDescent="0.3">
      <c r="A100" s="126" t="s">
        <v>97</v>
      </c>
      <c r="B100" s="126"/>
      <c r="C100" s="126"/>
      <c r="D100" s="126"/>
      <c r="E100" s="126"/>
      <c r="F100" s="155" t="s">
        <v>30</v>
      </c>
      <c r="G100" s="155"/>
      <c r="H100" s="155"/>
    </row>
    <row r="101" spans="1:10" s="7" customFormat="1" hidden="1" x14ac:dyDescent="0.3">
      <c r="A101" s="126" t="s">
        <v>98</v>
      </c>
      <c r="B101" s="126"/>
      <c r="C101" s="126"/>
      <c r="D101" s="126"/>
      <c r="E101" s="126"/>
      <c r="F101" s="155" t="s">
        <v>30</v>
      </c>
      <c r="G101" s="155"/>
      <c r="H101" s="155"/>
    </row>
    <row r="102" spans="1:10" s="7" customFormat="1" hidden="1" x14ac:dyDescent="0.3">
      <c r="A102" s="126" t="s">
        <v>99</v>
      </c>
      <c r="B102" s="126"/>
      <c r="C102" s="126"/>
      <c r="D102" s="126"/>
      <c r="E102" s="126"/>
      <c r="F102" s="155" t="s">
        <v>30</v>
      </c>
      <c r="G102" s="155"/>
      <c r="H102" s="155"/>
    </row>
    <row r="103" spans="1:10" s="7" customFormat="1" hidden="1" x14ac:dyDescent="0.3">
      <c r="A103" s="126" t="s">
        <v>100</v>
      </c>
      <c r="B103" s="126"/>
      <c r="C103" s="126"/>
      <c r="D103" s="126"/>
      <c r="E103" s="126"/>
      <c r="F103" s="155" t="s">
        <v>30</v>
      </c>
      <c r="G103" s="155"/>
      <c r="H103" s="155"/>
    </row>
    <row r="104" spans="1:10" s="7" customFormat="1" hidden="1" x14ac:dyDescent="0.3">
      <c r="A104" s="126" t="s">
        <v>101</v>
      </c>
      <c r="B104" s="126"/>
      <c r="C104" s="126"/>
      <c r="D104" s="126"/>
      <c r="E104" s="126"/>
      <c r="F104" s="155" t="s">
        <v>30</v>
      </c>
      <c r="G104" s="155"/>
      <c r="H104" s="155"/>
    </row>
    <row r="105" spans="1:10" s="7" customFormat="1" hidden="1" x14ac:dyDescent="0.3">
      <c r="A105" s="126" t="s">
        <v>102</v>
      </c>
      <c r="B105" s="126"/>
      <c r="C105" s="126"/>
      <c r="D105" s="126"/>
      <c r="E105" s="126"/>
      <c r="F105" s="155" t="s">
        <v>30</v>
      </c>
      <c r="G105" s="155"/>
      <c r="H105" s="155"/>
    </row>
    <row r="106" spans="1:10" s="7" customFormat="1" hidden="1" x14ac:dyDescent="0.3">
      <c r="A106" s="126" t="s">
        <v>103</v>
      </c>
      <c r="B106" s="126"/>
      <c r="C106" s="126"/>
      <c r="D106" s="126"/>
      <c r="E106" s="126"/>
      <c r="F106" s="155" t="s">
        <v>30</v>
      </c>
      <c r="G106" s="155"/>
      <c r="H106" s="155"/>
    </row>
    <row r="107" spans="1:10" s="7" customFormat="1" hidden="1" x14ac:dyDescent="0.3">
      <c r="A107" s="126" t="s">
        <v>104</v>
      </c>
      <c r="B107" s="126"/>
      <c r="C107" s="126"/>
      <c r="D107" s="126"/>
      <c r="E107" s="126"/>
      <c r="F107" s="155" t="s">
        <v>30</v>
      </c>
      <c r="G107" s="155"/>
      <c r="H107" s="155"/>
    </row>
    <row r="108" spans="1:10" x14ac:dyDescent="0.35">
      <c r="A108" s="126" t="s">
        <v>51</v>
      </c>
      <c r="B108" s="126"/>
      <c r="C108" s="126"/>
      <c r="D108" s="126"/>
      <c r="E108" s="126"/>
      <c r="F108" s="139" t="s">
        <v>170</v>
      </c>
      <c r="G108" s="139"/>
      <c r="H108" s="139"/>
    </row>
    <row r="109" spans="1:10" s="4" customFormat="1" x14ac:dyDescent="0.35">
      <c r="A109" s="154" t="s">
        <v>52</v>
      </c>
      <c r="B109" s="154"/>
      <c r="C109" s="154"/>
      <c r="D109" s="154"/>
      <c r="E109" s="154"/>
      <c r="F109" s="155">
        <f>F97*0.8</f>
        <v>11600</v>
      </c>
      <c r="G109" s="155"/>
      <c r="H109" s="155"/>
    </row>
    <row r="110" spans="1:10" s="1" customFormat="1" ht="15.75" customHeight="1" x14ac:dyDescent="0.35">
      <c r="A110" s="164" t="s">
        <v>171</v>
      </c>
      <c r="B110" s="164"/>
      <c r="C110" s="164"/>
      <c r="D110" s="164"/>
      <c r="E110" s="164"/>
      <c r="F110" s="164"/>
      <c r="G110" s="164"/>
      <c r="H110" s="164"/>
    </row>
    <row r="111" spans="1:10" s="1" customFormat="1" ht="15.75" customHeight="1" x14ac:dyDescent="0.35">
      <c r="A111" s="151" t="s">
        <v>53</v>
      </c>
      <c r="B111" s="152"/>
      <c r="C111" s="153"/>
      <c r="D111" s="69" t="s">
        <v>78</v>
      </c>
      <c r="E111" s="209" t="s">
        <v>54</v>
      </c>
      <c r="F111" s="209"/>
      <c r="G111" s="147" t="s">
        <v>55</v>
      </c>
      <c r="H111" s="147"/>
    </row>
    <row r="112" spans="1:10" s="1" customFormat="1" x14ac:dyDescent="0.35">
      <c r="A112" s="150" t="s">
        <v>172</v>
      </c>
      <c r="B112" s="150"/>
      <c r="C112" s="82" t="s">
        <v>204</v>
      </c>
      <c r="D112" s="65">
        <f>COUNT(E148)</f>
        <v>1</v>
      </c>
      <c r="E112" s="148">
        <f>SUM(D148)</f>
        <v>266.11299000000002</v>
      </c>
      <c r="F112" s="149"/>
      <c r="G112" s="148">
        <f>SUM(F148)</f>
        <v>425.78078400000004</v>
      </c>
      <c r="H112" s="149"/>
    </row>
    <row r="113" spans="1:10" s="1" customFormat="1" x14ac:dyDescent="0.35">
      <c r="A113" s="150" t="s">
        <v>173</v>
      </c>
      <c r="B113" s="150"/>
      <c r="C113" s="82" t="s">
        <v>204</v>
      </c>
      <c r="D113" s="65">
        <f>COUNT(D154:D156)</f>
        <v>3</v>
      </c>
      <c r="E113" s="148">
        <f>SUM(D154:D156)</f>
        <v>510.18669</v>
      </c>
      <c r="F113" s="149"/>
      <c r="G113" s="148">
        <f>SUM(F154:F156)</f>
        <v>816.29870400000004</v>
      </c>
      <c r="H113" s="149"/>
    </row>
    <row r="114" spans="1:10" s="1" customFormat="1" x14ac:dyDescent="0.35">
      <c r="A114" s="150" t="s">
        <v>174</v>
      </c>
      <c r="B114" s="150"/>
      <c r="C114" s="82" t="s">
        <v>204</v>
      </c>
      <c r="D114" s="65">
        <f>COUNT(D165:D166)</f>
        <v>2</v>
      </c>
      <c r="E114" s="148">
        <f>SUM(D165:D166)</f>
        <v>295.01432999999997</v>
      </c>
      <c r="F114" s="149"/>
      <c r="G114" s="148">
        <f>SUM(F165:F166)</f>
        <v>472.02292800000004</v>
      </c>
      <c r="H114" s="149"/>
    </row>
    <row r="115" spans="1:10" s="1" customFormat="1" x14ac:dyDescent="0.35">
      <c r="A115" s="150" t="s">
        <v>175</v>
      </c>
      <c r="B115" s="150"/>
      <c r="C115" s="82" t="s">
        <v>204</v>
      </c>
      <c r="D115" s="65">
        <f>COUNT(D176:D177)</f>
        <v>2</v>
      </c>
      <c r="E115" s="148">
        <f>SUM(D176:D177)</f>
        <v>286.37621999999999</v>
      </c>
      <c r="F115" s="149"/>
      <c r="G115" s="148">
        <f>SUM(F176:F177)</f>
        <v>458.20195200000001</v>
      </c>
      <c r="H115" s="149"/>
    </row>
    <row r="116" spans="1:10" s="1" customFormat="1" x14ac:dyDescent="0.35">
      <c r="A116" s="150" t="s">
        <v>187</v>
      </c>
      <c r="B116" s="150"/>
      <c r="C116" s="82" t="s">
        <v>204</v>
      </c>
      <c r="D116" s="84">
        <f>COUNT(D188:D189)</f>
        <v>2</v>
      </c>
      <c r="E116" s="148">
        <f>SUM(D188:D189)</f>
        <v>574.81912799999998</v>
      </c>
      <c r="F116" s="149"/>
      <c r="G116" s="148">
        <f>SUM(F188:F189)</f>
        <v>919.71060480000006</v>
      </c>
      <c r="H116" s="149"/>
    </row>
    <row r="117" spans="1:10" s="1" customFormat="1" x14ac:dyDescent="0.35">
      <c r="A117" s="215" t="s">
        <v>155</v>
      </c>
      <c r="B117" s="216"/>
      <c r="C117" s="217"/>
      <c r="D117" s="66">
        <f>SUM(D112:D116)</f>
        <v>10</v>
      </c>
      <c r="E117" s="214">
        <f>SUM(E112:F116)</f>
        <v>1932.5093580000002</v>
      </c>
      <c r="F117" s="209"/>
      <c r="G117" s="214">
        <f>SUM(G112:H116)</f>
        <v>3092.0149728000001</v>
      </c>
      <c r="H117" s="209"/>
    </row>
    <row r="118" spans="1:10" s="1" customFormat="1" ht="15.75" customHeight="1" x14ac:dyDescent="0.35">
      <c r="A118" s="164" t="s">
        <v>176</v>
      </c>
      <c r="B118" s="164"/>
      <c r="C118" s="164"/>
      <c r="D118" s="164"/>
      <c r="E118" s="164"/>
      <c r="F118" s="164"/>
      <c r="G118" s="164"/>
      <c r="H118" s="164"/>
    </row>
    <row r="119" spans="1:10" s="1" customFormat="1" ht="15.75" customHeight="1" x14ac:dyDescent="0.35">
      <c r="A119" s="151" t="s">
        <v>53</v>
      </c>
      <c r="B119" s="152"/>
      <c r="C119" s="153"/>
      <c r="D119" s="69" t="s">
        <v>78</v>
      </c>
      <c r="E119" s="209" t="s">
        <v>54</v>
      </c>
      <c r="F119" s="209"/>
      <c r="G119" s="147" t="s">
        <v>55</v>
      </c>
      <c r="H119" s="147"/>
    </row>
    <row r="120" spans="1:10" s="1" customFormat="1" x14ac:dyDescent="0.35">
      <c r="A120" s="150" t="s">
        <v>172</v>
      </c>
      <c r="B120" s="150"/>
      <c r="C120" s="73" t="s">
        <v>205</v>
      </c>
      <c r="D120" s="73">
        <f>COUNT(E151)</f>
        <v>1</v>
      </c>
      <c r="E120" s="148">
        <f>SUM(D151)</f>
        <v>4243.0073399999992</v>
      </c>
      <c r="F120" s="149"/>
      <c r="G120" s="148">
        <f>SUM(F151)</f>
        <v>6788.8117439999987</v>
      </c>
      <c r="H120" s="149"/>
    </row>
    <row r="121" spans="1:10" s="1" customFormat="1" x14ac:dyDescent="0.35">
      <c r="A121" s="150" t="s">
        <v>173</v>
      </c>
      <c r="B121" s="150"/>
      <c r="C121" s="73" t="s">
        <v>205</v>
      </c>
      <c r="D121" s="73">
        <v>4</v>
      </c>
      <c r="E121" s="148">
        <f>SUM(D158:D160,D162)</f>
        <v>1885.7128679999998</v>
      </c>
      <c r="F121" s="149"/>
      <c r="G121" s="148">
        <f>SUM(F158:F160,F162)</f>
        <v>3017.1405887999999</v>
      </c>
      <c r="H121" s="149"/>
    </row>
    <row r="122" spans="1:10" s="1" customFormat="1" x14ac:dyDescent="0.35">
      <c r="A122" s="150" t="s">
        <v>174</v>
      </c>
      <c r="B122" s="150"/>
      <c r="C122" s="73" t="s">
        <v>205</v>
      </c>
      <c r="D122" s="73">
        <f>COUNT(D172:D173)+COUNT(D168:D170)</f>
        <v>5</v>
      </c>
      <c r="E122" s="148">
        <f>SUM(D172:D173)+SUM(D168:D170)</f>
        <v>2983.554756</v>
      </c>
      <c r="F122" s="149"/>
      <c r="G122" s="148">
        <f>SUM(F172:F173)+SUM(F168:F170)</f>
        <v>4773.6876095999996</v>
      </c>
      <c r="H122" s="149"/>
    </row>
    <row r="123" spans="1:10" s="1" customFormat="1" x14ac:dyDescent="0.35">
      <c r="A123" s="150" t="s">
        <v>175</v>
      </c>
      <c r="B123" s="150"/>
      <c r="C123" s="73" t="s">
        <v>205</v>
      </c>
      <c r="D123" s="73">
        <f>COUNT(D183:D185)+COUNT(D179:D181)</f>
        <v>6</v>
      </c>
      <c r="E123" s="148">
        <f>SUM(D183:D185)+SUM(D179:D181)</f>
        <v>3233.0804219999995</v>
      </c>
      <c r="F123" s="149"/>
      <c r="G123" s="148">
        <f>SUM(F183:F185)+SUM(F179:F181)</f>
        <v>5172.9286751999998</v>
      </c>
      <c r="H123" s="149"/>
    </row>
    <row r="124" spans="1:10" s="1" customFormat="1" x14ac:dyDescent="0.35">
      <c r="A124" s="150" t="s">
        <v>187</v>
      </c>
      <c r="B124" s="150"/>
      <c r="C124" s="73" t="s">
        <v>205</v>
      </c>
      <c r="D124" s="73">
        <f>COUNT(D194:D198)+COUNT(D191:D192)</f>
        <v>7</v>
      </c>
      <c r="E124" s="148">
        <f>SUM(D194:D198)+SUM(D191:D192)</f>
        <v>3434.5771199999995</v>
      </c>
      <c r="F124" s="149"/>
      <c r="G124" s="148">
        <f>SUM(F194:F198)+SUM(F191:F192)</f>
        <v>5495.3233920000002</v>
      </c>
      <c r="H124" s="149"/>
    </row>
    <row r="125" spans="1:10" s="1" customFormat="1" x14ac:dyDescent="0.35">
      <c r="A125" s="215" t="s">
        <v>155</v>
      </c>
      <c r="B125" s="216"/>
      <c r="C125" s="217"/>
      <c r="D125" s="74">
        <f>SUM(D120:D124)</f>
        <v>23</v>
      </c>
      <c r="E125" s="214">
        <f>SUM(E120:F124)</f>
        <v>15779.932505999997</v>
      </c>
      <c r="F125" s="209"/>
      <c r="G125" s="214">
        <f>SUM(G120:H124)</f>
        <v>25247.8920096</v>
      </c>
      <c r="H125" s="209"/>
    </row>
    <row r="126" spans="1:10" s="1" customFormat="1" x14ac:dyDescent="0.35">
      <c r="A126" s="164" t="s">
        <v>217</v>
      </c>
      <c r="B126" s="164"/>
      <c r="C126" s="164"/>
      <c r="D126" s="164"/>
      <c r="E126" s="164"/>
      <c r="F126" s="164"/>
      <c r="G126" s="164"/>
      <c r="H126" s="164"/>
    </row>
    <row r="127" spans="1:10" s="1" customFormat="1" ht="15.75" customHeight="1" x14ac:dyDescent="0.35">
      <c r="A127" s="151" t="s">
        <v>53</v>
      </c>
      <c r="B127" s="152"/>
      <c r="C127" s="153"/>
      <c r="D127" s="69" t="s">
        <v>78</v>
      </c>
      <c r="E127" s="209" t="s">
        <v>54</v>
      </c>
      <c r="F127" s="209"/>
      <c r="G127" s="147" t="s">
        <v>55</v>
      </c>
      <c r="H127" s="147"/>
    </row>
    <row r="128" spans="1:10" s="1" customFormat="1" x14ac:dyDescent="0.35">
      <c r="A128" s="210" t="s">
        <v>172</v>
      </c>
      <c r="B128" s="211"/>
      <c r="C128" s="72" t="s">
        <v>206</v>
      </c>
      <c r="D128" s="72">
        <f>COUNT(D221,D224)+COUNT(D226,D229)*8+COUNT(D231,D233:D234)+COUNT(D236,D239)+COUNT(D241,D243:D244)+COUNT(D246:D249)+COUNT(D251:D254)*2+COUNT(D256:D258)</f>
        <v>41</v>
      </c>
      <c r="E128" s="148">
        <f>SUM(D221,D224)+SUM(D226,D229)*8+SUM(D231,D233:D234)+SUM(D236,D239)+SUM(D241,D243:D244)+SUM(D246:D249)+SUM(D251:D254)*2+SUM(D256:D258)</f>
        <v>19435.908960000001</v>
      </c>
      <c r="F128" s="149"/>
      <c r="G128" s="148">
        <f>SUM(F221,F224)+SUM(F226,F229)*8+SUM(F231,F233:F234)+SUM(F236,F239)+SUM(F241,F243:F244)+SUM(F246:F249)+SUM(F251:F254)*2+SUM(F256:F258)</f>
        <v>29153.863440000001</v>
      </c>
      <c r="H128" s="149"/>
      <c r="J128" s="1">
        <f>16+10+4+12+4+15</f>
        <v>61</v>
      </c>
    </row>
    <row r="129" spans="1:11" s="1" customFormat="1" x14ac:dyDescent="0.35">
      <c r="A129" s="212"/>
      <c r="B129" s="213"/>
      <c r="C129" s="72" t="s">
        <v>207</v>
      </c>
      <c r="D129" s="72">
        <f>COUNT(D222:D223)+COUNT(D227:D228)*8+COUNT(D232,D238)</f>
        <v>20</v>
      </c>
      <c r="E129" s="148">
        <f>SUM(D222:D223)+SUM(D227:D228)*8+SUM(D232,D238)</f>
        <v>11185.948800000002</v>
      </c>
      <c r="F129" s="149"/>
      <c r="G129" s="148">
        <f>SUM(F222:F223)+SUM(F227:F228)*8+SUM(F232,F238)</f>
        <v>16778.923199999997</v>
      </c>
      <c r="H129" s="149"/>
      <c r="K129" s="1">
        <f>41+42+43+41+39</f>
        <v>206</v>
      </c>
    </row>
    <row r="130" spans="1:11" s="1" customFormat="1" x14ac:dyDescent="0.35">
      <c r="A130" s="210" t="s">
        <v>173</v>
      </c>
      <c r="B130" s="211"/>
      <c r="C130" s="72" t="s">
        <v>206</v>
      </c>
      <c r="D130" s="72">
        <f>COUNT(D261,D264)+COUNT(D266,D269)*8+COUNT(D271:D274)+COUNT(D276,D279)+COUNT(D281:D282,D284)+COUNT(D286:D289)+COUNT(D291:D294)*2+COUNT(D296:D297,D299)</f>
        <v>42</v>
      </c>
      <c r="E130" s="148">
        <f>SUM(D261,D264)+SUM(D266,D269)*8+SUM(D271:D274)+SUM(D276,D279)+SUM(D281:D282,D284)+SUM(D286:D289)+SUM(D291:D294)*2+SUM(D296:D297,D299)</f>
        <v>19913.830559999999</v>
      </c>
      <c r="F130" s="148"/>
      <c r="G130" s="148">
        <f>SUM(F261,F264)+SUM(F266,F269)*8+SUM(F271:F274)+SUM(F276,F279)+SUM(F281:F282,F284)+SUM(F286:F289)+SUM(F291:F294)*2+SUM(F296:F297,F299)</f>
        <v>29870.74584</v>
      </c>
      <c r="H130" s="148"/>
      <c r="I130" s="1">
        <f>4*16</f>
        <v>64</v>
      </c>
      <c r="K130" s="1">
        <f>20+19+19+19+19</f>
        <v>96</v>
      </c>
    </row>
    <row r="131" spans="1:11" s="1" customFormat="1" x14ac:dyDescent="0.35">
      <c r="A131" s="212"/>
      <c r="B131" s="213"/>
      <c r="C131" s="72" t="s">
        <v>207</v>
      </c>
      <c r="D131" s="72">
        <f>COUNT(D262:D263)+COUNT(D267:D268)*8+COUNT(D277)</f>
        <v>19</v>
      </c>
      <c r="E131" s="148">
        <f>SUM(D262:D263)+SUM(D267:D268)*8+SUM(D277)</f>
        <v>10626.328440000001</v>
      </c>
      <c r="F131" s="148"/>
      <c r="G131" s="148">
        <f>SUM(F262:F263)+SUM(F267:F268)*8+SUM(F277)</f>
        <v>15939.492659999998</v>
      </c>
      <c r="H131" s="148"/>
      <c r="I131" s="1">
        <f>43+19</f>
        <v>62</v>
      </c>
      <c r="K131" s="1">
        <f>K130+K129</f>
        <v>302</v>
      </c>
    </row>
    <row r="132" spans="1:11" s="1" customFormat="1" x14ac:dyDescent="0.35">
      <c r="A132" s="210" t="s">
        <v>174</v>
      </c>
      <c r="B132" s="211"/>
      <c r="C132" s="72" t="s">
        <v>206</v>
      </c>
      <c r="D132" s="72">
        <f>COUNT(D302,D305)+COUNT(D307,D310)*8+COUNT(D312:D315)+COUNT(D317,D320)+COUNT(D322,D324:D325)+COUNT(D327:D330)+COUNT(D332:D335)*2+COUNT(D337:D340)</f>
        <v>43</v>
      </c>
      <c r="E132" s="148">
        <f>SUM(D302,D305)+SUM(D307,D310)*8+SUM(D312:D315)+SUM(D317,D320)+SUM(D322,D324:D325)+SUM(D327:D330)+SUM(D332:D335)*2+SUM(D337:D340)</f>
        <v>20606.816879999998</v>
      </c>
      <c r="F132" s="148"/>
      <c r="G132" s="148">
        <f>SUM(F302,F305)+SUM(F307,F310)*8+SUM(F312:F315)+SUM(F317,F320)+SUM(F322,F324:F325)+SUM(F327:F330)+SUM(F332:F335)*2+SUM(F337:F340)</f>
        <v>30910.225319999998</v>
      </c>
      <c r="H132" s="148"/>
    </row>
    <row r="133" spans="1:11" s="1" customFormat="1" x14ac:dyDescent="0.35">
      <c r="A133" s="212"/>
      <c r="B133" s="213"/>
      <c r="C133" s="72" t="s">
        <v>207</v>
      </c>
      <c r="D133" s="72">
        <f>COUNT(D303:D304)+COUNT(D308:D309)*8+COUNT(D319)</f>
        <v>19</v>
      </c>
      <c r="E133" s="148">
        <f>SUM(D303:D304)+SUM(D308:D309)*8+SUM(D319)</f>
        <v>10668.2004</v>
      </c>
      <c r="F133" s="148"/>
      <c r="G133" s="148">
        <f>SUM(F303:F304)+SUM(F308:F309)*8+SUM(F319)</f>
        <v>16002.3006</v>
      </c>
      <c r="H133" s="148"/>
      <c r="I133" s="1" t="e">
        <f>D128+D130+D132+D134+D136+#REF!</f>
        <v>#REF!</v>
      </c>
    </row>
    <row r="134" spans="1:11" s="1" customFormat="1" x14ac:dyDescent="0.35">
      <c r="A134" s="210" t="s">
        <v>175</v>
      </c>
      <c r="B134" s="211"/>
      <c r="C134" s="72" t="s">
        <v>206</v>
      </c>
      <c r="D134" s="72">
        <f>COUNT(D343,D346)+COUNT(D348,D351)*8+COUNT(D353:D356)+COUNT(D358,D361)+COUNT(D363:D364,D366)+COUNT(D368:D371)+COUNT(D373:D376)*2+COUNT(D379,D381)</f>
        <v>41</v>
      </c>
      <c r="E134" s="148">
        <f>SUM(D343,D346)+SUM(D348,D351)*8+SUM(D353:D356)+SUM(D358,D361)+SUM(D363:D364,D366)+SUM(D368:D371)+SUM(D373:D376)*2+SUM(D379:D381)</f>
        <v>20159.572680000001</v>
      </c>
      <c r="F134" s="148"/>
      <c r="G134" s="148">
        <f>SUM(F343,F346)+SUM(F348,F351)*8+SUM(F353:F356)+SUM(F358,F361)+SUM(F363:F364,F366)+SUM(F368:F371)+SUM(F373:F376)*2+SUM(F379:F381)</f>
        <v>30239.359019999996</v>
      </c>
      <c r="H134" s="148"/>
      <c r="I134" s="1" t="e">
        <f>D129+D131+D133+D135+D137+#REF!</f>
        <v>#REF!</v>
      </c>
    </row>
    <row r="135" spans="1:11" s="1" customFormat="1" x14ac:dyDescent="0.35">
      <c r="A135" s="212"/>
      <c r="B135" s="213"/>
      <c r="C135" s="72" t="s">
        <v>207</v>
      </c>
      <c r="D135" s="72">
        <f>COUNT(D344:D345)+COUNT(D349:D350)*8+COUNT(D359)</f>
        <v>19</v>
      </c>
      <c r="E135" s="148">
        <f>SUM(D344:D345)+SUM(D349:D350)*8+SUM(D359)</f>
        <v>10668.2004</v>
      </c>
      <c r="F135" s="148"/>
      <c r="G135" s="148">
        <f>SUM(F344:F345)+SUM(F349:F350)*8+SUM(F359)</f>
        <v>16002.3006</v>
      </c>
      <c r="H135" s="148"/>
    </row>
    <row r="136" spans="1:11" s="1" customFormat="1" x14ac:dyDescent="0.35">
      <c r="A136" s="210" t="s">
        <v>187</v>
      </c>
      <c r="B136" s="211"/>
      <c r="C136" s="72" t="s">
        <v>206</v>
      </c>
      <c r="D136" s="72">
        <f>COUNT(D384,D387)+COUNT(D389,D392)*8+COUNT(D394:D397)+COUNT(D399,D402)+COUNT(D404,D406:D407)+COUNT(D409:D412)+COUNT(D414:D417)*2</f>
        <v>39</v>
      </c>
      <c r="E136" s="148">
        <f>SUM(D384,D387)+SUM(D389,D392)*8+SUM(D394:D397)+SUM(D399,D402)+SUM(D404,D406:D407)+SUM(D409:D412)+SUM(D414:D417)*2</f>
        <v>18414.082439999998</v>
      </c>
      <c r="F136" s="148"/>
      <c r="G136" s="148">
        <f>SUM(F384,F387)+SUM(F389,F392)*8+SUM(F394:F397)+SUM(F399,F402)+SUM(F404,F406:F407)+SUM(F409:F412)+SUM(F414:F417)*2</f>
        <v>27621.123660000001</v>
      </c>
      <c r="H136" s="148"/>
    </row>
    <row r="137" spans="1:11" s="1" customFormat="1" x14ac:dyDescent="0.35">
      <c r="A137" s="212"/>
      <c r="B137" s="213"/>
      <c r="C137" s="72" t="s">
        <v>207</v>
      </c>
      <c r="D137" s="72">
        <f>COUNT(D385:D386)+COUNT(D390:D391)*8+COUNT(D401)</f>
        <v>19</v>
      </c>
      <c r="E137" s="148">
        <f>SUM(D385:D386)+SUM(D390:D391)*8+SUM(D401)</f>
        <v>10625.57496</v>
      </c>
      <c r="F137" s="148"/>
      <c r="G137" s="148">
        <f>SUM(F385:F386)+SUM(F390:F391)*8+SUM(F401)</f>
        <v>15938.362440000001</v>
      </c>
      <c r="H137" s="148"/>
    </row>
    <row r="138" spans="1:11" s="1" customFormat="1" x14ac:dyDescent="0.35">
      <c r="A138" s="215" t="s">
        <v>155</v>
      </c>
      <c r="B138" s="216"/>
      <c r="C138" s="217"/>
      <c r="D138" s="69">
        <f>SUM(D128:D137)</f>
        <v>302</v>
      </c>
      <c r="E138" s="214">
        <f>SUM(E128:F137)</f>
        <v>152304.46451999998</v>
      </c>
      <c r="F138" s="209"/>
      <c r="G138" s="214">
        <f>SUM(G128:H137)</f>
        <v>228456.69678</v>
      </c>
      <c r="H138" s="209"/>
    </row>
    <row r="139" spans="1:11" s="4" customFormat="1" x14ac:dyDescent="0.35">
      <c r="A139" s="108" t="s">
        <v>56</v>
      </c>
      <c r="B139" s="108"/>
      <c r="C139" s="108"/>
      <c r="D139" s="108"/>
      <c r="E139" s="108"/>
      <c r="F139" s="108"/>
      <c r="G139" s="108"/>
      <c r="H139" s="108"/>
    </row>
    <row r="140" spans="1:11" x14ac:dyDescent="0.35">
      <c r="A140" s="108" t="s">
        <v>57</v>
      </c>
      <c r="B140" s="108"/>
      <c r="C140" s="108"/>
      <c r="D140" s="108"/>
      <c r="E140" s="108"/>
      <c r="F140" s="108"/>
      <c r="G140" s="108"/>
      <c r="H140" s="108"/>
    </row>
    <row r="141" spans="1:11" ht="47.25" customHeight="1" x14ac:dyDescent="0.35">
      <c r="A141" s="161" t="s">
        <v>216</v>
      </c>
      <c r="B141" s="161" t="s">
        <v>181</v>
      </c>
      <c r="C141" s="161" t="s">
        <v>58</v>
      </c>
      <c r="D141" s="161" t="s">
        <v>59</v>
      </c>
      <c r="E141" s="116" t="s">
        <v>60</v>
      </c>
      <c r="F141" s="31" t="s">
        <v>154</v>
      </c>
      <c r="G141" s="118" t="s">
        <v>61</v>
      </c>
      <c r="H141" s="119"/>
    </row>
    <row r="142" spans="1:11" s="2" customFormat="1" x14ac:dyDescent="0.35">
      <c r="A142" s="162"/>
      <c r="B142" s="162"/>
      <c r="C142" s="162"/>
      <c r="D142" s="162"/>
      <c r="E142" s="117"/>
      <c r="F142" s="32">
        <v>0.6</v>
      </c>
      <c r="G142" s="120"/>
      <c r="H142" s="121"/>
    </row>
    <row r="143" spans="1:11" x14ac:dyDescent="0.35">
      <c r="A143" s="107" t="s">
        <v>177</v>
      </c>
      <c r="B143" s="107"/>
      <c r="C143" s="107"/>
      <c r="D143" s="107"/>
      <c r="E143" s="107"/>
      <c r="F143" s="107"/>
      <c r="G143" s="107"/>
      <c r="H143" s="107"/>
    </row>
    <row r="144" spans="1:11" x14ac:dyDescent="0.35">
      <c r="A144" s="108" t="s">
        <v>178</v>
      </c>
      <c r="B144" s="108"/>
      <c r="C144" s="108"/>
      <c r="D144" s="108"/>
      <c r="E144" s="108"/>
      <c r="F144" s="108"/>
      <c r="G144" s="108"/>
      <c r="H144" s="108"/>
    </row>
    <row r="145" spans="1:14" x14ac:dyDescent="0.35">
      <c r="A145" s="108" t="s">
        <v>179</v>
      </c>
      <c r="B145" s="108"/>
      <c r="C145" s="108"/>
      <c r="D145" s="108"/>
      <c r="E145" s="108"/>
      <c r="F145" s="108"/>
      <c r="G145" s="108"/>
      <c r="H145" s="108"/>
    </row>
    <row r="146" spans="1:14" x14ac:dyDescent="0.35">
      <c r="A146" s="107" t="s">
        <v>172</v>
      </c>
      <c r="B146" s="107"/>
      <c r="C146" s="107"/>
      <c r="D146" s="107"/>
      <c r="E146" s="107"/>
      <c r="F146" s="107"/>
      <c r="G146" s="107"/>
      <c r="H146" s="107"/>
    </row>
    <row r="147" spans="1:14" s="2" customFormat="1" x14ac:dyDescent="0.35">
      <c r="A147" s="122" t="s">
        <v>180</v>
      </c>
      <c r="B147" s="123"/>
      <c r="C147" s="123"/>
      <c r="D147" s="123"/>
      <c r="E147" s="123"/>
      <c r="F147" s="123"/>
      <c r="G147" s="123"/>
      <c r="H147" s="124"/>
      <c r="J147" s="34"/>
    </row>
    <row r="148" spans="1:14" s="2" customFormat="1" x14ac:dyDescent="0.35">
      <c r="A148" s="61">
        <v>1</v>
      </c>
      <c r="B148" s="61" t="s">
        <v>182</v>
      </c>
      <c r="C148" s="33" t="s">
        <v>183</v>
      </c>
      <c r="D148" s="33">
        <f>(4.325*4.7+1.05*2.9+0.9*1.5)*10.764</f>
        <v>266.11299000000002</v>
      </c>
      <c r="E148" s="33">
        <v>0</v>
      </c>
      <c r="F148" s="33">
        <f>D148*(($F$142)+1)+(IF(E148&lt;101,E148,IF(E148&lt;201,E148/2,IF(E148&lt;=301,E148/3,E148/4))))</f>
        <v>425.78078400000004</v>
      </c>
      <c r="G148" s="104" t="str">
        <f>A147</f>
        <v>Ground Floor for Parking &amp; Commericial</v>
      </c>
      <c r="H148" s="106"/>
      <c r="I148" s="34"/>
      <c r="L148" s="92"/>
      <c r="M148" s="92"/>
      <c r="N148" s="34"/>
    </row>
    <row r="149" spans="1:14" x14ac:dyDescent="0.35">
      <c r="A149" s="108" t="s">
        <v>184</v>
      </c>
      <c r="B149" s="108"/>
      <c r="C149" s="108"/>
      <c r="D149" s="108"/>
      <c r="E149" s="108"/>
      <c r="F149" s="108"/>
      <c r="G149" s="108"/>
      <c r="H149" s="108"/>
    </row>
    <row r="150" spans="1:14" s="62" customFormat="1" x14ac:dyDescent="0.35">
      <c r="A150" s="122" t="s">
        <v>185</v>
      </c>
      <c r="B150" s="123"/>
      <c r="C150" s="123"/>
      <c r="D150" s="123"/>
      <c r="E150" s="123"/>
      <c r="F150" s="123"/>
      <c r="G150" s="123"/>
      <c r="H150" s="124"/>
      <c r="J150" s="34"/>
    </row>
    <row r="151" spans="1:14" s="62" customFormat="1" x14ac:dyDescent="0.35">
      <c r="A151" s="61">
        <v>2</v>
      </c>
      <c r="B151" s="61" t="s">
        <v>182</v>
      </c>
      <c r="C151" s="61" t="s">
        <v>186</v>
      </c>
      <c r="D151" s="87">
        <f>(9.45*5.75+3.5*2.35+1.2*2.1+1.2*2.35+27.2*6.05+9.9*5.75+2.65*4.4+3.3*5.8+2.35*1.2+8.35*2.35+1.35*2.1+2.35*1.2+2.65*4.65+5.55*6.05)*10.764</f>
        <v>4243.0073399999992</v>
      </c>
      <c r="E151" s="61">
        <v>0</v>
      </c>
      <c r="F151" s="61">
        <f>D151*(($F$142)+1)+(IF(E151&lt;101,E151,IF(E151&lt;201,E151/2,IF(E151&lt;=301,E151/3,E151/4))))</f>
        <v>6788.8117439999987</v>
      </c>
      <c r="G151" s="104" t="str">
        <f>A150</f>
        <v>1st Floor for Commericial</v>
      </c>
      <c r="H151" s="106"/>
      <c r="I151" s="34"/>
      <c r="L151" s="92"/>
      <c r="M151" s="92"/>
      <c r="N151" s="34"/>
    </row>
    <row r="152" spans="1:14" x14ac:dyDescent="0.35">
      <c r="A152" s="107" t="s">
        <v>173</v>
      </c>
      <c r="B152" s="107"/>
      <c r="C152" s="107"/>
      <c r="D152" s="107"/>
      <c r="E152" s="107"/>
      <c r="F152" s="107"/>
      <c r="G152" s="107"/>
      <c r="H152" s="107"/>
    </row>
    <row r="153" spans="1:14" s="62" customFormat="1" x14ac:dyDescent="0.35">
      <c r="A153" s="122" t="s">
        <v>180</v>
      </c>
      <c r="B153" s="123"/>
      <c r="C153" s="123"/>
      <c r="D153" s="123"/>
      <c r="E153" s="123"/>
      <c r="F153" s="123"/>
      <c r="G153" s="123"/>
      <c r="H153" s="124"/>
      <c r="J153" s="34"/>
    </row>
    <row r="154" spans="1:14" s="62" customFormat="1" ht="15.75" customHeight="1" x14ac:dyDescent="0.35">
      <c r="A154" s="61">
        <v>2</v>
      </c>
      <c r="B154" s="61" t="s">
        <v>182</v>
      </c>
      <c r="C154" s="61" t="s">
        <v>183</v>
      </c>
      <c r="D154" s="83">
        <f>(4.325*4.7+1.05*2.9+0.9*1.5)*10.764</f>
        <v>266.11299000000002</v>
      </c>
      <c r="E154" s="61">
        <v>0</v>
      </c>
      <c r="F154" s="61">
        <f>D154*(($F$142)+1)+(IF(E154&lt;101,E154,IF(E154&lt;201,E154/2,IF(E154&lt;=301,E154/3,E154/4))))</f>
        <v>425.78078400000004</v>
      </c>
      <c r="G154" s="93" t="str">
        <f>A153</f>
        <v>Ground Floor for Parking &amp; Commericial</v>
      </c>
      <c r="H154" s="94"/>
      <c r="I154" s="34"/>
      <c r="L154" s="92"/>
      <c r="M154" s="92"/>
      <c r="N154" s="34"/>
    </row>
    <row r="155" spans="1:14" s="86" customFormat="1" ht="15.75" customHeight="1" x14ac:dyDescent="0.35">
      <c r="A155" s="87" t="s">
        <v>241</v>
      </c>
      <c r="B155" s="87" t="s">
        <v>182</v>
      </c>
      <c r="C155" s="87" t="s">
        <v>183</v>
      </c>
      <c r="D155" s="87">
        <f>(1.9*4.55)*10.764</f>
        <v>93.054779999999994</v>
      </c>
      <c r="E155" s="87">
        <v>0</v>
      </c>
      <c r="F155" s="87">
        <f>D155*(($F$142)+1)+(IF(E155&lt;101,E155,IF(E155&lt;201,E155/2,IF(E155&lt;=301,E155/3,E155/4))))</f>
        <v>148.88764799999998</v>
      </c>
      <c r="G155" s="95"/>
      <c r="H155" s="96"/>
      <c r="I155" s="34"/>
      <c r="L155" s="92"/>
      <c r="M155" s="92"/>
      <c r="N155" s="34"/>
    </row>
    <row r="156" spans="1:14" s="85" customFormat="1" x14ac:dyDescent="0.35">
      <c r="A156" s="83">
        <v>9</v>
      </c>
      <c r="B156" s="83" t="s">
        <v>182</v>
      </c>
      <c r="C156" s="83" t="s">
        <v>183</v>
      </c>
      <c r="D156" s="83">
        <f>(3.05*4.6)*10.764</f>
        <v>151.01891999999995</v>
      </c>
      <c r="E156" s="83">
        <v>0</v>
      </c>
      <c r="F156" s="83">
        <f>D156*(($F$142)+1)+(IF(E156&lt;101,E156,IF(E156&lt;201,E156/2,IF(E156&lt;=301,E156/3,E156/4))))</f>
        <v>241.63027199999993</v>
      </c>
      <c r="G156" s="97"/>
      <c r="H156" s="98"/>
      <c r="I156" s="34"/>
      <c r="L156" s="92"/>
      <c r="M156" s="92"/>
      <c r="N156" s="34"/>
    </row>
    <row r="157" spans="1:14" x14ac:dyDescent="0.35">
      <c r="A157" s="108" t="s">
        <v>220</v>
      </c>
      <c r="B157" s="108"/>
      <c r="C157" s="108"/>
      <c r="D157" s="108"/>
      <c r="E157" s="108"/>
      <c r="F157" s="108"/>
      <c r="G157" s="108"/>
      <c r="H157" s="108"/>
    </row>
    <row r="158" spans="1:14" s="86" customFormat="1" ht="15.75" customHeight="1" x14ac:dyDescent="0.35">
      <c r="A158" s="87">
        <v>1</v>
      </c>
      <c r="B158" s="87" t="s">
        <v>182</v>
      </c>
      <c r="C158" s="87" t="s">
        <v>186</v>
      </c>
      <c r="D158" s="87">
        <f>(3.05*4.6)*10.764</f>
        <v>151.01891999999995</v>
      </c>
      <c r="E158" s="87">
        <v>0</v>
      </c>
      <c r="F158" s="87">
        <f>D158*(($F$142)+1)+(IF(E158&lt;101,E158,IF(E158&lt;201,E158/2,IF(E158&lt;=301,E158/3,E158/4))))</f>
        <v>241.63027199999993</v>
      </c>
      <c r="G158" s="93" t="str">
        <f>A157</f>
        <v>Upper Ground Floor for Fitness Center  &amp; Commericial</v>
      </c>
      <c r="H158" s="94"/>
      <c r="I158" s="34"/>
      <c r="L158" s="92"/>
      <c r="M158" s="92"/>
      <c r="N158" s="34"/>
    </row>
    <row r="159" spans="1:14" s="86" customFormat="1" ht="15.75" customHeight="1" x14ac:dyDescent="0.35">
      <c r="A159" s="87">
        <v>2</v>
      </c>
      <c r="B159" s="87" t="s">
        <v>182</v>
      </c>
      <c r="C159" s="87" t="s">
        <v>186</v>
      </c>
      <c r="D159" s="87">
        <f>(4.33*4.7)*10.764</f>
        <v>219.058164</v>
      </c>
      <c r="E159" s="87">
        <v>0</v>
      </c>
      <c r="F159" s="87">
        <f>D159*(($F$142)+1)+(IF(E159&lt;101,E159,IF(E159&lt;201,E159/2,IF(E159&lt;=301,E159/3,E159/4))))</f>
        <v>350.49306240000004</v>
      </c>
      <c r="G159" s="95"/>
      <c r="H159" s="96"/>
      <c r="I159" s="34"/>
      <c r="L159" s="92"/>
      <c r="M159" s="92"/>
      <c r="N159" s="34"/>
    </row>
    <row r="160" spans="1:14" s="86" customFormat="1" x14ac:dyDescent="0.35">
      <c r="A160" s="87">
        <v>3</v>
      </c>
      <c r="B160" s="87" t="s">
        <v>182</v>
      </c>
      <c r="C160" s="87" t="s">
        <v>186</v>
      </c>
      <c r="D160" s="87">
        <f>(5.23*4.7)*10.764</f>
        <v>264.58988400000004</v>
      </c>
      <c r="E160" s="87">
        <v>0</v>
      </c>
      <c r="F160" s="87">
        <f>D160*(($F$142)+1)+(IF(E160&lt;101,E160,IF(E160&lt;201,E160/2,IF(E160&lt;=301,E160/3,E160/4))))</f>
        <v>423.3438144000001</v>
      </c>
      <c r="G160" s="97"/>
      <c r="H160" s="98"/>
      <c r="I160" s="34"/>
      <c r="L160" s="92"/>
      <c r="M160" s="92"/>
      <c r="N160" s="34"/>
    </row>
    <row r="161" spans="1:14" s="62" customFormat="1" x14ac:dyDescent="0.35">
      <c r="A161" s="122" t="s">
        <v>185</v>
      </c>
      <c r="B161" s="123"/>
      <c r="C161" s="123"/>
      <c r="D161" s="123"/>
      <c r="E161" s="123"/>
      <c r="F161" s="123"/>
      <c r="G161" s="123"/>
      <c r="H161" s="124"/>
      <c r="J161" s="34"/>
    </row>
    <row r="162" spans="1:14" s="62" customFormat="1" x14ac:dyDescent="0.35">
      <c r="A162" s="61">
        <v>3</v>
      </c>
      <c r="B162" s="61" t="s">
        <v>182</v>
      </c>
      <c r="C162" s="61" t="s">
        <v>186</v>
      </c>
      <c r="D162" s="61">
        <f>(5.7*6.05+6*4.65+2.35*1.2+3.35*9.5+2.9*5.75+1.2*2.1)*10.764</f>
        <v>1251.0458999999998</v>
      </c>
      <c r="E162" s="61">
        <v>0</v>
      </c>
      <c r="F162" s="61">
        <f>D162*(($F$142)+1)+(IF(E162&lt;101,E162,IF(E162&lt;201,E162/2,IF(E162&lt;=301,E162/3,E162/4))))</f>
        <v>2001.6734399999998</v>
      </c>
      <c r="G162" s="104" t="str">
        <f>A161</f>
        <v>1st Floor for Commericial</v>
      </c>
      <c r="H162" s="106"/>
      <c r="I162" s="34"/>
      <c r="L162" s="92"/>
      <c r="M162" s="92"/>
      <c r="N162" s="34"/>
    </row>
    <row r="163" spans="1:14" x14ac:dyDescent="0.35">
      <c r="A163" s="107" t="s">
        <v>174</v>
      </c>
      <c r="B163" s="107"/>
      <c r="C163" s="107"/>
      <c r="D163" s="107"/>
      <c r="E163" s="107"/>
      <c r="F163" s="107"/>
      <c r="G163" s="107"/>
      <c r="H163" s="107"/>
    </row>
    <row r="164" spans="1:14" s="62" customFormat="1" x14ac:dyDescent="0.35">
      <c r="A164" s="122" t="s">
        <v>180</v>
      </c>
      <c r="B164" s="123"/>
      <c r="C164" s="123"/>
      <c r="D164" s="123"/>
      <c r="E164" s="123"/>
      <c r="F164" s="123"/>
      <c r="G164" s="123"/>
      <c r="H164" s="124"/>
      <c r="J164" s="34"/>
    </row>
    <row r="165" spans="1:14" s="62" customFormat="1" ht="15.75" customHeight="1" x14ac:dyDescent="0.35">
      <c r="A165" s="61">
        <v>3</v>
      </c>
      <c r="B165" s="61" t="s">
        <v>182</v>
      </c>
      <c r="C165" s="61" t="s">
        <v>183</v>
      </c>
      <c r="D165" s="61">
        <f>(3.13*4.25)*10.764</f>
        <v>143.18810999999999</v>
      </c>
      <c r="E165" s="61">
        <v>0</v>
      </c>
      <c r="F165" s="61">
        <f>D165*(($F$142)+1)+(IF(E165&lt;101,E165,IF(E165&lt;201,E165/2,IF(E165&lt;=301,E165/3,E165/4))))</f>
        <v>229.100976</v>
      </c>
      <c r="G165" s="93" t="str">
        <f>A164</f>
        <v>Ground Floor for Parking &amp; Commericial</v>
      </c>
      <c r="H165" s="94"/>
      <c r="I165" s="34"/>
      <c r="L165" s="92"/>
      <c r="M165" s="92"/>
      <c r="N165" s="34"/>
    </row>
    <row r="166" spans="1:14" s="85" customFormat="1" x14ac:dyDescent="0.35">
      <c r="A166" s="83">
        <v>4</v>
      </c>
      <c r="B166" s="83" t="s">
        <v>182</v>
      </c>
      <c r="C166" s="83" t="s">
        <v>183</v>
      </c>
      <c r="D166" s="83">
        <f>(4.55*3.1)*10.764</f>
        <v>151.82622000000001</v>
      </c>
      <c r="E166" s="83">
        <v>0</v>
      </c>
      <c r="F166" s="83">
        <f>D166*(($F$142)+1)+(IF(E166&lt;101,E166,IF(E166&lt;201,E166/2,IF(E166&lt;=301,E166/3,E166/4))))</f>
        <v>242.92195200000003</v>
      </c>
      <c r="G166" s="97"/>
      <c r="H166" s="98"/>
      <c r="I166" s="34"/>
      <c r="L166" s="92"/>
      <c r="M166" s="92"/>
      <c r="N166" s="34"/>
    </row>
    <row r="167" spans="1:14" x14ac:dyDescent="0.35">
      <c r="A167" s="108" t="s">
        <v>221</v>
      </c>
      <c r="B167" s="108"/>
      <c r="C167" s="108"/>
      <c r="D167" s="108"/>
      <c r="E167" s="108"/>
      <c r="F167" s="108"/>
      <c r="G167" s="108"/>
      <c r="H167" s="108"/>
    </row>
    <row r="168" spans="1:14" s="85" customFormat="1" ht="15.75" customHeight="1" x14ac:dyDescent="0.35">
      <c r="A168" s="83">
        <v>1</v>
      </c>
      <c r="B168" s="83" t="s">
        <v>182</v>
      </c>
      <c r="C168" s="83" t="s">
        <v>186</v>
      </c>
      <c r="D168" s="83">
        <f>(3.13*4.25)*10.764</f>
        <v>143.18810999999999</v>
      </c>
      <c r="E168" s="83">
        <v>0</v>
      </c>
      <c r="F168" s="83">
        <f>D168*(($F$142)+1)+(IF(E168&lt;101,E168,IF(E168&lt;201,E168/2,IF(E168&lt;=301,E168/3,E168/4))))</f>
        <v>229.100976</v>
      </c>
      <c r="G168" s="93" t="str">
        <f>A167</f>
        <v>Upper Ground Floor for Amenities &amp; Commericial</v>
      </c>
      <c r="H168" s="94"/>
      <c r="I168" s="34"/>
      <c r="L168" s="92"/>
      <c r="M168" s="92"/>
      <c r="N168" s="34"/>
    </row>
    <row r="169" spans="1:14" s="85" customFormat="1" x14ac:dyDescent="0.35">
      <c r="A169" s="83">
        <v>2</v>
      </c>
      <c r="B169" s="83" t="s">
        <v>182</v>
      </c>
      <c r="C169" s="83" t="s">
        <v>186</v>
      </c>
      <c r="D169" s="83">
        <f>(3.13*4.25)*10.764</f>
        <v>143.18810999999999</v>
      </c>
      <c r="E169" s="83">
        <v>0</v>
      </c>
      <c r="F169" s="83">
        <f>D169*(($F$142)+1)+(IF(E169&lt;101,E169,IF(E169&lt;201,E169/2,IF(E169&lt;=301,E169/3,E169/4))))</f>
        <v>229.100976</v>
      </c>
      <c r="G169" s="95"/>
      <c r="H169" s="96"/>
      <c r="I169" s="34"/>
      <c r="L169" s="92"/>
      <c r="M169" s="92"/>
      <c r="N169" s="34"/>
    </row>
    <row r="170" spans="1:14" s="86" customFormat="1" x14ac:dyDescent="0.35">
      <c r="A170" s="87">
        <v>3</v>
      </c>
      <c r="B170" s="87" t="s">
        <v>182</v>
      </c>
      <c r="C170" s="87" t="s">
        <v>186</v>
      </c>
      <c r="D170" s="87">
        <f>(4.19*4.25)*10.764</f>
        <v>191.67993000000001</v>
      </c>
      <c r="E170" s="87">
        <v>0</v>
      </c>
      <c r="F170" s="87">
        <f>D170*(($F$142)+1)+(IF(E170&lt;101,E170,IF(E170&lt;201,E170/2,IF(E170&lt;=301,E170/3,E170/4))))</f>
        <v>306.68788800000004</v>
      </c>
      <c r="G170" s="97"/>
      <c r="H170" s="98"/>
      <c r="I170" s="34"/>
      <c r="L170" s="92"/>
      <c r="M170" s="92"/>
      <c r="N170" s="34"/>
    </row>
    <row r="171" spans="1:14" s="62" customFormat="1" x14ac:dyDescent="0.35">
      <c r="A171" s="122" t="s">
        <v>185</v>
      </c>
      <c r="B171" s="123"/>
      <c r="C171" s="123"/>
      <c r="D171" s="123"/>
      <c r="E171" s="123"/>
      <c r="F171" s="123"/>
      <c r="G171" s="123"/>
      <c r="H171" s="124"/>
      <c r="J171" s="34"/>
    </row>
    <row r="172" spans="1:14" s="62" customFormat="1" ht="15.75" customHeight="1" x14ac:dyDescent="0.35">
      <c r="A172" s="61">
        <v>4</v>
      </c>
      <c r="B172" s="61" t="s">
        <v>182</v>
      </c>
      <c r="C172" s="61" t="s">
        <v>186</v>
      </c>
      <c r="D172" s="61">
        <f>(5.3*6.05+6.4*4.65+3.06*9.5+2.65*5.75+2.35*1.2+1.2*2.1)*10.764</f>
        <v>1199.8899899999999</v>
      </c>
      <c r="E172" s="61">
        <v>0</v>
      </c>
      <c r="F172" s="61">
        <f>D172*(($F$142)+1)+(IF(E172&lt;101,E172,IF(E172&lt;201,E172/2,IF(E172&lt;=301,E172/3,E172/4))))</f>
        <v>1919.8239839999999</v>
      </c>
      <c r="G172" s="93" t="str">
        <f>A171</f>
        <v>1st Floor for Commericial</v>
      </c>
      <c r="H172" s="94"/>
      <c r="I172" s="34"/>
      <c r="L172" s="92"/>
      <c r="M172" s="92"/>
      <c r="N172" s="34"/>
    </row>
    <row r="173" spans="1:14" s="62" customFormat="1" ht="15.75" customHeight="1" x14ac:dyDescent="0.35">
      <c r="A173" s="61">
        <v>5</v>
      </c>
      <c r="B173" s="61" t="s">
        <v>182</v>
      </c>
      <c r="C173" s="61" t="s">
        <v>186</v>
      </c>
      <c r="D173" s="83">
        <f>(5.3*6.05+6.53*4.65+3.73*0.7+3.38*3.7+6.38*0.65+6.38*5.1+2.65*0.65+2.35*1.2+1.2*2.1)*10.764</f>
        <v>1305.608616</v>
      </c>
      <c r="E173" s="61">
        <v>0</v>
      </c>
      <c r="F173" s="61">
        <f>D173*(($F$142)+1)+(IF(E173&lt;101,E173,IF(E173&lt;201,E173/2,IF(E173&lt;=301,E173/3,E173/4))))</f>
        <v>2088.9737856000002</v>
      </c>
      <c r="G173" s="97"/>
      <c r="H173" s="98"/>
      <c r="I173" s="34"/>
      <c r="L173" s="92"/>
      <c r="M173" s="92"/>
      <c r="N173" s="34"/>
    </row>
    <row r="174" spans="1:14" x14ac:dyDescent="0.35">
      <c r="A174" s="107" t="s">
        <v>175</v>
      </c>
      <c r="B174" s="107"/>
      <c r="C174" s="107"/>
      <c r="D174" s="107"/>
      <c r="E174" s="107"/>
      <c r="F174" s="107"/>
      <c r="G174" s="107"/>
      <c r="H174" s="107"/>
    </row>
    <row r="175" spans="1:14" s="62" customFormat="1" x14ac:dyDescent="0.35">
      <c r="A175" s="122" t="s">
        <v>180</v>
      </c>
      <c r="B175" s="123"/>
      <c r="C175" s="123"/>
      <c r="D175" s="123"/>
      <c r="E175" s="123"/>
      <c r="F175" s="123"/>
      <c r="G175" s="123"/>
      <c r="H175" s="124"/>
      <c r="J175" s="34"/>
    </row>
    <row r="176" spans="1:14" s="62" customFormat="1" ht="15.75" customHeight="1" x14ac:dyDescent="0.35">
      <c r="A176" s="61">
        <v>5</v>
      </c>
      <c r="B176" s="61" t="s">
        <v>182</v>
      </c>
      <c r="C176" s="61" t="s">
        <v>183</v>
      </c>
      <c r="D176" s="61">
        <f>(3.13*4.25)*10.764</f>
        <v>143.18810999999999</v>
      </c>
      <c r="E176" s="61">
        <v>0</v>
      </c>
      <c r="F176" s="61">
        <f>D176*(($F$142)+1)+(IF(E176&lt;101,E176,IF(E176&lt;201,E176/2,IF(E176&lt;=301,E176/3,E176/4))))</f>
        <v>229.100976</v>
      </c>
      <c r="G176" s="93" t="str">
        <f>A175</f>
        <v>Ground Floor for Parking &amp; Commericial</v>
      </c>
      <c r="H176" s="94"/>
      <c r="I176" s="34"/>
      <c r="L176" s="92"/>
      <c r="M176" s="92"/>
      <c r="N176" s="34"/>
    </row>
    <row r="177" spans="1:14" s="85" customFormat="1" x14ac:dyDescent="0.35">
      <c r="A177" s="83">
        <v>6</v>
      </c>
      <c r="B177" s="83" t="s">
        <v>182</v>
      </c>
      <c r="C177" s="83" t="s">
        <v>183</v>
      </c>
      <c r="D177" s="83">
        <f>(3.13*4.25)*10.764</f>
        <v>143.18810999999999</v>
      </c>
      <c r="E177" s="83">
        <v>0</v>
      </c>
      <c r="F177" s="83">
        <f>D177*(($F$142)+1)+(IF(E177&lt;101,E177,IF(E177&lt;201,E177/2,IF(E177&lt;=301,E177/3,E177/4))))</f>
        <v>229.100976</v>
      </c>
      <c r="G177" s="97"/>
      <c r="H177" s="98"/>
      <c r="I177" s="34"/>
      <c r="L177" s="92"/>
      <c r="M177" s="92"/>
      <c r="N177" s="34"/>
    </row>
    <row r="178" spans="1:14" x14ac:dyDescent="0.35">
      <c r="A178" s="108" t="s">
        <v>221</v>
      </c>
      <c r="B178" s="108"/>
      <c r="C178" s="108"/>
      <c r="D178" s="108"/>
      <c r="E178" s="108"/>
      <c r="F178" s="108"/>
      <c r="G178" s="108"/>
      <c r="H178" s="108"/>
    </row>
    <row r="179" spans="1:14" s="85" customFormat="1" ht="15.75" customHeight="1" x14ac:dyDescent="0.35">
      <c r="A179" s="83">
        <v>1</v>
      </c>
      <c r="B179" s="83" t="s">
        <v>182</v>
      </c>
      <c r="C179" s="83" t="s">
        <v>186</v>
      </c>
      <c r="D179" s="83">
        <f>(3.13*4.25)*10.764</f>
        <v>143.18810999999999</v>
      </c>
      <c r="E179" s="83">
        <v>0</v>
      </c>
      <c r="F179" s="83">
        <f>D179*(($F$142)+1)+(IF(E179&lt;101,E179,IF(E179&lt;201,E179/2,IF(E179&lt;=301,E179/3,E179/4))))</f>
        <v>229.100976</v>
      </c>
      <c r="G179" s="93" t="str">
        <f>A178</f>
        <v>Upper Ground Floor for Amenities &amp; Commericial</v>
      </c>
      <c r="H179" s="94"/>
      <c r="I179" s="34"/>
      <c r="L179" s="92"/>
      <c r="M179" s="92"/>
      <c r="N179" s="34"/>
    </row>
    <row r="180" spans="1:14" s="85" customFormat="1" x14ac:dyDescent="0.35">
      <c r="A180" s="83">
        <v>2</v>
      </c>
      <c r="B180" s="83" t="s">
        <v>182</v>
      </c>
      <c r="C180" s="83" t="s">
        <v>186</v>
      </c>
      <c r="D180" s="83">
        <f>(3.13*4.25)*10.764</f>
        <v>143.18810999999999</v>
      </c>
      <c r="E180" s="83">
        <v>0</v>
      </c>
      <c r="F180" s="83">
        <f>D180*(($F$142)+1)+(IF(E180&lt;101,E180,IF(E180&lt;201,E180/2,IF(E180&lt;=301,E180/3,E180/4))))</f>
        <v>229.100976</v>
      </c>
      <c r="G180" s="95"/>
      <c r="H180" s="96"/>
      <c r="I180" s="34"/>
      <c r="L180" s="92"/>
      <c r="M180" s="92"/>
      <c r="N180" s="34"/>
    </row>
    <row r="181" spans="1:14" s="86" customFormat="1" x14ac:dyDescent="0.35">
      <c r="A181" s="87">
        <v>3</v>
      </c>
      <c r="B181" s="87" t="s">
        <v>182</v>
      </c>
      <c r="C181" s="87" t="s">
        <v>186</v>
      </c>
      <c r="D181" s="87">
        <f>(4.19*4.25)*10.764</f>
        <v>191.67993000000001</v>
      </c>
      <c r="E181" s="87">
        <v>0</v>
      </c>
      <c r="F181" s="87">
        <f>D181*(($F$142)+1)+(IF(E181&lt;101,E181,IF(E181&lt;201,E181/2,IF(E181&lt;=301,E181/3,E181/4))))</f>
        <v>306.68788800000004</v>
      </c>
      <c r="G181" s="97"/>
      <c r="H181" s="98"/>
      <c r="I181" s="34"/>
      <c r="L181" s="92"/>
      <c r="M181" s="92"/>
      <c r="N181" s="34"/>
    </row>
    <row r="182" spans="1:14" s="62" customFormat="1" x14ac:dyDescent="0.35">
      <c r="A182" s="122" t="s">
        <v>185</v>
      </c>
      <c r="B182" s="123"/>
      <c r="C182" s="123"/>
      <c r="D182" s="123"/>
      <c r="E182" s="123"/>
      <c r="F182" s="123"/>
      <c r="G182" s="123"/>
      <c r="H182" s="124"/>
      <c r="J182" s="34"/>
    </row>
    <row r="183" spans="1:14" s="62" customFormat="1" x14ac:dyDescent="0.35">
      <c r="A183" s="61">
        <v>6</v>
      </c>
      <c r="B183" s="61" t="s">
        <v>182</v>
      </c>
      <c r="C183" s="61" t="s">
        <v>186</v>
      </c>
      <c r="D183" s="61">
        <f>(6.68*4.65+3.75*0.85+4.23*3.4+6.53*5.25+7.6*6.05+1.2*2.1+2.35*1.2+0.5*2.65)*10.764</f>
        <v>1459.157076</v>
      </c>
      <c r="E183" s="61">
        <v>0</v>
      </c>
      <c r="F183" s="61">
        <f>D183*(($F$142)+1)+(IF(E183&lt;101,E183,IF(E183&lt;201,E183/2,IF(E183&lt;=301,E183/3,E183/4))))</f>
        <v>2334.6513215999998</v>
      </c>
      <c r="G183" s="104" t="str">
        <f>A182</f>
        <v>1st Floor for Commericial</v>
      </c>
      <c r="H183" s="106"/>
      <c r="I183" s="34"/>
      <c r="L183" s="92"/>
      <c r="M183" s="92"/>
      <c r="N183" s="34"/>
    </row>
    <row r="184" spans="1:14" s="62" customFormat="1" x14ac:dyDescent="0.35">
      <c r="A184" s="61">
        <v>7</v>
      </c>
      <c r="B184" s="61" t="s">
        <v>182</v>
      </c>
      <c r="C184" s="61" t="s">
        <v>186</v>
      </c>
      <c r="D184" s="61">
        <f>(3.2*5.8+2.65*4.4+3.64*5.75+2.35*1.2)*10.764</f>
        <v>580.9330799999999</v>
      </c>
      <c r="E184" s="61">
        <v>0</v>
      </c>
      <c r="F184" s="61">
        <f>D184*(($F$142)+1)+(IF(E184&lt;101,E184,IF(E184&lt;201,E184/2,IF(E184&lt;=301,E184/3,E184/4))))</f>
        <v>929.49292799999989</v>
      </c>
      <c r="G184" s="104" t="str">
        <f>G183</f>
        <v>1st Floor for Commericial</v>
      </c>
      <c r="H184" s="106"/>
      <c r="I184" s="34"/>
      <c r="L184" s="92"/>
      <c r="M184" s="92"/>
      <c r="N184" s="34"/>
    </row>
    <row r="185" spans="1:14" s="86" customFormat="1" x14ac:dyDescent="0.35">
      <c r="A185" s="87" t="s">
        <v>248</v>
      </c>
      <c r="B185" s="87" t="s">
        <v>182</v>
      </c>
      <c r="C185" s="87" t="s">
        <v>186</v>
      </c>
      <c r="D185" s="87">
        <f>(2.98*6.05+6.44*4.65+2.35*1.2+3.64*3.6+1.2*2.1)*10.764</f>
        <v>714.93411600000013</v>
      </c>
      <c r="E185" s="87">
        <v>0</v>
      </c>
      <c r="F185" s="87">
        <f>D185*(($F$142)+1)+(IF(E185&lt;101,E185,IF(E185&lt;201,E185/2,IF(E185&lt;=301,E185/3,E185/4))))</f>
        <v>1143.8945856000003</v>
      </c>
      <c r="G185" s="104" t="str">
        <f>G184</f>
        <v>1st Floor for Commericial</v>
      </c>
      <c r="H185" s="106"/>
      <c r="I185" s="34"/>
      <c r="L185" s="92"/>
      <c r="M185" s="92"/>
      <c r="N185" s="34"/>
    </row>
    <row r="186" spans="1:14" x14ac:dyDescent="0.35">
      <c r="A186" s="107" t="s">
        <v>187</v>
      </c>
      <c r="B186" s="107"/>
      <c r="C186" s="107"/>
      <c r="D186" s="107"/>
      <c r="E186" s="107"/>
      <c r="F186" s="107"/>
      <c r="G186" s="107"/>
      <c r="H186" s="107"/>
    </row>
    <row r="187" spans="1:14" s="62" customFormat="1" x14ac:dyDescent="0.35">
      <c r="A187" s="122" t="s">
        <v>180</v>
      </c>
      <c r="B187" s="123"/>
      <c r="C187" s="123"/>
      <c r="D187" s="123"/>
      <c r="E187" s="123"/>
      <c r="F187" s="123"/>
      <c r="G187" s="123"/>
      <c r="H187" s="124"/>
      <c r="J187" s="34"/>
    </row>
    <row r="188" spans="1:14" s="85" customFormat="1" ht="15.75" customHeight="1" x14ac:dyDescent="0.35">
      <c r="A188" s="83">
        <v>7</v>
      </c>
      <c r="B188" s="83" t="s">
        <v>182</v>
      </c>
      <c r="C188" s="83" t="s">
        <v>183</v>
      </c>
      <c r="D188" s="83">
        <f>(3.13*4.25)*10.764</f>
        <v>143.18810999999999</v>
      </c>
      <c r="E188" s="83">
        <v>0</v>
      </c>
      <c r="F188" s="83">
        <f>D188*(($F$142)+1)+(IF(E188&lt;101,E188,IF(E188&lt;201,E188/2,IF(E188&lt;=301,E188/3,E188/4))))</f>
        <v>229.100976</v>
      </c>
      <c r="G188" s="93" t="str">
        <f>A187</f>
        <v>Ground Floor for Parking &amp; Commericial</v>
      </c>
      <c r="H188" s="94"/>
      <c r="I188" s="34"/>
      <c r="L188" s="92"/>
      <c r="M188" s="92"/>
      <c r="N188" s="34"/>
    </row>
    <row r="189" spans="1:14" s="85" customFormat="1" ht="46.5" x14ac:dyDescent="0.35">
      <c r="A189" s="83">
        <v>8</v>
      </c>
      <c r="B189" s="83" t="s">
        <v>182</v>
      </c>
      <c r="C189" s="83" t="s">
        <v>219</v>
      </c>
      <c r="D189" s="83">
        <f>(3.43*4.6+4.58*4.9+1.79*1.05)*10.764</f>
        <v>431.63101799999998</v>
      </c>
      <c r="E189" s="83">
        <v>0</v>
      </c>
      <c r="F189" s="83">
        <f>D189*(($F$142)+1)+(IF(E189&lt;101,E189,IF(E189&lt;201,E189/2,IF(E189&lt;=301,E189/3,E189/4))))</f>
        <v>690.6096288</v>
      </c>
      <c r="G189" s="97"/>
      <c r="H189" s="98"/>
      <c r="I189" s="34"/>
      <c r="L189" s="92"/>
      <c r="M189" s="92"/>
      <c r="N189" s="34"/>
    </row>
    <row r="190" spans="1:14" x14ac:dyDescent="0.35">
      <c r="A190" s="108" t="s">
        <v>221</v>
      </c>
      <c r="B190" s="108"/>
      <c r="C190" s="108"/>
      <c r="D190" s="108"/>
      <c r="E190" s="108"/>
      <c r="F190" s="108"/>
      <c r="G190" s="108"/>
      <c r="H190" s="108"/>
    </row>
    <row r="191" spans="1:14" s="85" customFormat="1" ht="15.75" customHeight="1" x14ac:dyDescent="0.35">
      <c r="A191" s="83">
        <v>1</v>
      </c>
      <c r="B191" s="83" t="s">
        <v>182</v>
      </c>
      <c r="C191" s="83" t="s">
        <v>186</v>
      </c>
      <c r="D191" s="83">
        <f>(3.13*4.2)*10.764</f>
        <v>141.50354400000001</v>
      </c>
      <c r="E191" s="83">
        <v>0</v>
      </c>
      <c r="F191" s="83">
        <f>D191*(($F$142)+1)+(IF(E191&lt;101,E191,IF(E191&lt;201,E191/2,IF(E191&lt;=301,E191/3,E191/4))))</f>
        <v>226.40567040000002</v>
      </c>
      <c r="G191" s="93" t="str">
        <f>A190</f>
        <v>Upper Ground Floor for Amenities &amp; Commericial</v>
      </c>
      <c r="H191" s="94"/>
      <c r="I191" s="34"/>
      <c r="L191" s="92"/>
      <c r="M191" s="92"/>
      <c r="N191" s="34"/>
    </row>
    <row r="192" spans="1:14" s="86" customFormat="1" x14ac:dyDescent="0.35">
      <c r="A192" s="87">
        <v>2</v>
      </c>
      <c r="B192" s="87" t="s">
        <v>182</v>
      </c>
      <c r="C192" s="87" t="s">
        <v>186</v>
      </c>
      <c r="D192" s="87">
        <f>(4.19*4.25)*10.764</f>
        <v>191.67993000000001</v>
      </c>
      <c r="E192" s="87">
        <v>0</v>
      </c>
      <c r="F192" s="87">
        <f>D192*(($F$142)+1)+(IF(E192&lt;101,E192,IF(E192&lt;201,E192/2,IF(E192&lt;=301,E192/3,E192/4))))</f>
        <v>306.68788800000004</v>
      </c>
      <c r="G192" s="97"/>
      <c r="H192" s="98"/>
      <c r="I192" s="34"/>
      <c r="L192" s="92"/>
      <c r="M192" s="92"/>
      <c r="N192" s="34"/>
    </row>
    <row r="193" spans="1:14" s="62" customFormat="1" x14ac:dyDescent="0.35">
      <c r="A193" s="122" t="s">
        <v>185</v>
      </c>
      <c r="B193" s="123"/>
      <c r="C193" s="123"/>
      <c r="D193" s="123"/>
      <c r="E193" s="123"/>
      <c r="F193" s="123"/>
      <c r="G193" s="123"/>
      <c r="H193" s="124"/>
      <c r="J193" s="34"/>
    </row>
    <row r="194" spans="1:14" s="86" customFormat="1" x14ac:dyDescent="0.35">
      <c r="A194" s="87" t="s">
        <v>249</v>
      </c>
      <c r="B194" s="87" t="s">
        <v>182</v>
      </c>
      <c r="C194" s="87" t="s">
        <v>186</v>
      </c>
      <c r="D194" s="87">
        <f>(6.21*5.75+3.56*2.4+1.2*2.1+4.71*2.25+6.17*3.75)*10.764</f>
        <v>866.57196600000009</v>
      </c>
      <c r="E194" s="87">
        <v>0</v>
      </c>
      <c r="F194" s="87">
        <f>D194*(($F$142)+1)+(IF(E194&lt;101,E194,IF(E194&lt;201,E194/2,IF(E194&lt;=301,E194/3,E194/4))))</f>
        <v>1386.5151456000003</v>
      </c>
      <c r="G194" s="93" t="str">
        <f>A193</f>
        <v>1st Floor for Commericial</v>
      </c>
      <c r="H194" s="94"/>
      <c r="I194" s="34"/>
      <c r="L194" s="92"/>
      <c r="M194" s="92"/>
      <c r="N194" s="34"/>
    </row>
    <row r="195" spans="1:14" s="86" customFormat="1" x14ac:dyDescent="0.35">
      <c r="A195" s="87" t="s">
        <v>250</v>
      </c>
      <c r="B195" s="87" t="s">
        <v>182</v>
      </c>
      <c r="C195" s="87" t="s">
        <v>186</v>
      </c>
      <c r="D195" s="87">
        <f>(7.66*6.05+1.2*2.1)*10.764</f>
        <v>525.96133199999997</v>
      </c>
      <c r="E195" s="87">
        <v>0</v>
      </c>
      <c r="F195" s="87">
        <f>D195*(($F$142)+1)+(IF(E195&lt;101,E195,IF(E195&lt;201,E195/2,IF(E195&lt;=301,E195/3,E195/4))))</f>
        <v>841.53813119999995</v>
      </c>
      <c r="G195" s="95"/>
      <c r="H195" s="96"/>
      <c r="I195" s="34"/>
      <c r="L195" s="92"/>
      <c r="M195" s="92"/>
      <c r="N195" s="34"/>
    </row>
    <row r="196" spans="1:14" s="62" customFormat="1" ht="15.75" customHeight="1" x14ac:dyDescent="0.35">
      <c r="A196" s="61">
        <v>8</v>
      </c>
      <c r="B196" s="61" t="s">
        <v>182</v>
      </c>
      <c r="C196" s="61" t="s">
        <v>186</v>
      </c>
      <c r="D196" s="61">
        <f>(2.98*4.8)*10.764</f>
        <v>153.968256</v>
      </c>
      <c r="E196" s="61">
        <v>0</v>
      </c>
      <c r="F196" s="61">
        <f>D196*(($F$142)+1)+(IF(E196&lt;101,E196,IF(E196&lt;201,E196/2,IF(E196&lt;=301,E196/3,E196/4))))</f>
        <v>246.34920959999999</v>
      </c>
      <c r="G196" s="95"/>
      <c r="H196" s="96"/>
      <c r="I196" s="34"/>
      <c r="L196" s="92"/>
      <c r="M196" s="92"/>
      <c r="N196" s="34"/>
    </row>
    <row r="197" spans="1:14" s="62" customFormat="1" ht="15.75" customHeight="1" x14ac:dyDescent="0.35">
      <c r="A197" s="61">
        <v>9</v>
      </c>
      <c r="B197" s="61" t="s">
        <v>182</v>
      </c>
      <c r="C197" s="61" t="s">
        <v>186</v>
      </c>
      <c r="D197" s="87">
        <f>(1.78*1.05+4.73*1.35+1.22*1.05+6.25*4.65*1.2*2.1)*10.764</f>
        <v>890.96857199999988</v>
      </c>
      <c r="E197" s="61">
        <v>0</v>
      </c>
      <c r="F197" s="61">
        <f>D197*(($F$142)+1)+(IF(E197&lt;101,E197,IF(E197&lt;201,E197/2,IF(E197&lt;=301,E197/3,E197/4))))</f>
        <v>1425.5497151999998</v>
      </c>
      <c r="G197" s="95"/>
      <c r="H197" s="96"/>
      <c r="I197" s="34"/>
      <c r="L197" s="92"/>
      <c r="M197" s="92"/>
      <c r="N197" s="34"/>
    </row>
    <row r="198" spans="1:14" s="62" customFormat="1" ht="15.75" customHeight="1" x14ac:dyDescent="0.35">
      <c r="A198" s="61">
        <v>10</v>
      </c>
      <c r="B198" s="61" t="s">
        <v>182</v>
      </c>
      <c r="C198" s="61" t="s">
        <v>186</v>
      </c>
      <c r="D198" s="61">
        <f>(3.2*1.35+2.35*1.2+3.6*3.6+9.45*4.4)*10.764</f>
        <v>663.92351999999994</v>
      </c>
      <c r="E198" s="61">
        <v>0</v>
      </c>
      <c r="F198" s="61">
        <f>D198*(($F$142)+1)+(IF(E198&lt;101,E198,IF(E198&lt;201,E198/2,IF(E198&lt;=301,E198/3,E198/4))))</f>
        <v>1062.277632</v>
      </c>
      <c r="G198" s="97"/>
      <c r="H198" s="98"/>
      <c r="I198" s="34"/>
      <c r="L198" s="92"/>
      <c r="M198" s="92"/>
      <c r="N198" s="34"/>
    </row>
    <row r="199" spans="1:14" hidden="1" x14ac:dyDescent="0.35">
      <c r="A199" s="107" t="s">
        <v>199</v>
      </c>
      <c r="B199" s="107"/>
      <c r="C199" s="107"/>
      <c r="D199" s="107"/>
      <c r="E199" s="107"/>
      <c r="F199" s="107"/>
      <c r="G199" s="107"/>
      <c r="H199" s="107"/>
    </row>
    <row r="200" spans="1:14" s="71" customFormat="1" hidden="1" x14ac:dyDescent="0.35">
      <c r="A200" s="122" t="s">
        <v>200</v>
      </c>
      <c r="B200" s="123"/>
      <c r="C200" s="123"/>
      <c r="D200" s="123"/>
      <c r="E200" s="123"/>
      <c r="F200" s="123"/>
      <c r="G200" s="123"/>
      <c r="H200" s="124"/>
      <c r="J200" s="34"/>
    </row>
    <row r="201" spans="1:14" s="71" customFormat="1" hidden="1" x14ac:dyDescent="0.35">
      <c r="A201" s="68">
        <v>1</v>
      </c>
      <c r="B201" s="68" t="s">
        <v>182</v>
      </c>
      <c r="C201" s="68" t="s">
        <v>183</v>
      </c>
      <c r="D201" s="68">
        <f>(2*5.6)*10.764</f>
        <v>120.55679999999998</v>
      </c>
      <c r="E201" s="68">
        <v>0</v>
      </c>
      <c r="F201" s="68">
        <f t="shared" ref="F201:F212" si="0">D201*(($F$142)+1)+(IF(E201&lt;101,E201,IF(E201&lt;201,E201/2,IF(E201&lt;=301,E201/3,E201/4))))</f>
        <v>192.89087999999998</v>
      </c>
      <c r="G201" s="104" t="str">
        <f>A200</f>
        <v>Ground Floor for Commercial &amp; Parking</v>
      </c>
      <c r="H201" s="106"/>
      <c r="I201" s="34"/>
      <c r="L201" s="92"/>
      <c r="M201" s="92"/>
      <c r="N201" s="34"/>
    </row>
    <row r="202" spans="1:14" s="71" customFormat="1" hidden="1" x14ac:dyDescent="0.35">
      <c r="A202" s="68">
        <v>2</v>
      </c>
      <c r="B202" s="68" t="s">
        <v>182</v>
      </c>
      <c r="C202" s="68" t="s">
        <v>183</v>
      </c>
      <c r="D202" s="68">
        <f>(3.4*5.7+1.3*2)*10.764</f>
        <v>236.59271999999999</v>
      </c>
      <c r="E202" s="68">
        <v>0</v>
      </c>
      <c r="F202" s="68">
        <f t="shared" si="0"/>
        <v>378.54835200000002</v>
      </c>
      <c r="G202" s="104" t="str">
        <f>G201</f>
        <v>Ground Floor for Commercial &amp; Parking</v>
      </c>
      <c r="H202" s="106"/>
      <c r="I202" s="34"/>
      <c r="L202" s="92"/>
      <c r="M202" s="92"/>
      <c r="N202" s="34"/>
    </row>
    <row r="203" spans="1:14" s="71" customFormat="1" hidden="1" x14ac:dyDescent="0.35">
      <c r="A203" s="68">
        <v>3</v>
      </c>
      <c r="B203" s="68" t="s">
        <v>182</v>
      </c>
      <c r="C203" s="68" t="s">
        <v>183</v>
      </c>
      <c r="D203" s="68">
        <f>(3.15*4.15+1.9*1.45+1.3*3.45)*10.764</f>
        <v>218.64374999999998</v>
      </c>
      <c r="E203" s="68">
        <v>0</v>
      </c>
      <c r="F203" s="68">
        <f t="shared" si="0"/>
        <v>349.83</v>
      </c>
      <c r="G203" s="104" t="str">
        <f>G202</f>
        <v>Ground Floor for Commercial &amp; Parking</v>
      </c>
      <c r="H203" s="106"/>
      <c r="I203" s="34"/>
      <c r="L203" s="92"/>
      <c r="M203" s="92"/>
      <c r="N203" s="34"/>
    </row>
    <row r="204" spans="1:14" s="71" customFormat="1" hidden="1" x14ac:dyDescent="0.35">
      <c r="A204" s="68">
        <v>4</v>
      </c>
      <c r="B204" s="68" t="s">
        <v>182</v>
      </c>
      <c r="C204" s="68" t="s">
        <v>183</v>
      </c>
      <c r="D204" s="68">
        <f>(1.95*4.15)*10.764</f>
        <v>87.107670000000013</v>
      </c>
      <c r="E204" s="68">
        <v>0</v>
      </c>
      <c r="F204" s="68">
        <f t="shared" si="0"/>
        <v>139.37227200000004</v>
      </c>
      <c r="G204" s="104" t="str">
        <f>A200</f>
        <v>Ground Floor for Commercial &amp; Parking</v>
      </c>
      <c r="H204" s="106"/>
      <c r="I204" s="34"/>
      <c r="L204" s="92"/>
      <c r="M204" s="92"/>
      <c r="N204" s="34"/>
    </row>
    <row r="205" spans="1:14" s="71" customFormat="1" hidden="1" x14ac:dyDescent="0.35">
      <c r="A205" s="68">
        <v>5</v>
      </c>
      <c r="B205" s="68" t="s">
        <v>182</v>
      </c>
      <c r="C205" s="68" t="s">
        <v>183</v>
      </c>
      <c r="D205" s="68">
        <f>(2.35*5.6+0.7*1.2)*10.764</f>
        <v>150.696</v>
      </c>
      <c r="E205" s="68">
        <v>0</v>
      </c>
      <c r="F205" s="68">
        <f t="shared" si="0"/>
        <v>241.11360000000002</v>
      </c>
      <c r="G205" s="104" t="str">
        <f>G204</f>
        <v>Ground Floor for Commercial &amp; Parking</v>
      </c>
      <c r="H205" s="106"/>
      <c r="I205" s="34"/>
      <c r="L205" s="92"/>
      <c r="M205" s="92"/>
      <c r="N205" s="34"/>
    </row>
    <row r="206" spans="1:14" s="71" customFormat="1" hidden="1" x14ac:dyDescent="0.35">
      <c r="A206" s="68">
        <v>6</v>
      </c>
      <c r="B206" s="68" t="s">
        <v>182</v>
      </c>
      <c r="C206" s="68" t="s">
        <v>183</v>
      </c>
      <c r="D206" s="68">
        <f>(2.2*5.6)*10.764</f>
        <v>132.61248000000001</v>
      </c>
      <c r="E206" s="68">
        <v>0</v>
      </c>
      <c r="F206" s="68">
        <f t="shared" si="0"/>
        <v>212.17996800000003</v>
      </c>
      <c r="G206" s="104" t="str">
        <f>G205</f>
        <v>Ground Floor for Commercial &amp; Parking</v>
      </c>
      <c r="H206" s="106"/>
      <c r="I206" s="34"/>
      <c r="L206" s="92"/>
      <c r="M206" s="92"/>
      <c r="N206" s="34"/>
    </row>
    <row r="207" spans="1:14" s="71" customFormat="1" hidden="1" x14ac:dyDescent="0.35">
      <c r="A207" s="68">
        <v>7</v>
      </c>
      <c r="B207" s="68" t="s">
        <v>182</v>
      </c>
      <c r="C207" s="68" t="s">
        <v>183</v>
      </c>
      <c r="D207" s="68">
        <f>(2.85*5.6)*10.764</f>
        <v>171.79343999999998</v>
      </c>
      <c r="E207" s="68">
        <v>0</v>
      </c>
      <c r="F207" s="68">
        <f t="shared" si="0"/>
        <v>274.86950399999995</v>
      </c>
      <c r="G207" s="104" t="str">
        <f>G206</f>
        <v>Ground Floor for Commercial &amp; Parking</v>
      </c>
      <c r="H207" s="106"/>
      <c r="I207" s="34"/>
      <c r="L207" s="92"/>
      <c r="M207" s="92"/>
      <c r="N207" s="34"/>
    </row>
    <row r="208" spans="1:14" s="71" customFormat="1" hidden="1" x14ac:dyDescent="0.35">
      <c r="A208" s="68">
        <v>8</v>
      </c>
      <c r="B208" s="68" t="s">
        <v>182</v>
      </c>
      <c r="C208" s="68" t="s">
        <v>183</v>
      </c>
      <c r="D208" s="68">
        <f>(1.7*5.5)*10.764</f>
        <v>100.64339999999999</v>
      </c>
      <c r="E208" s="68">
        <v>0</v>
      </c>
      <c r="F208" s="68">
        <f t="shared" si="0"/>
        <v>161.02943999999999</v>
      </c>
      <c r="G208" s="104" t="str">
        <f>G207</f>
        <v>Ground Floor for Commercial &amp; Parking</v>
      </c>
      <c r="H208" s="106"/>
      <c r="I208" s="34"/>
      <c r="L208" s="92"/>
      <c r="M208" s="92"/>
      <c r="N208" s="34"/>
    </row>
    <row r="209" spans="1:14" s="71" customFormat="1" hidden="1" x14ac:dyDescent="0.35">
      <c r="A209" s="68">
        <v>9</v>
      </c>
      <c r="B209" s="68" t="s">
        <v>182</v>
      </c>
      <c r="C209" s="68" t="s">
        <v>183</v>
      </c>
      <c r="D209" s="68">
        <f>(1.65*3.85)*10.764</f>
        <v>68.378309999999999</v>
      </c>
      <c r="E209" s="68">
        <v>0</v>
      </c>
      <c r="F209" s="68">
        <f t="shared" si="0"/>
        <v>109.40529600000001</v>
      </c>
      <c r="G209" s="104" t="str">
        <f>A200</f>
        <v>Ground Floor for Commercial &amp; Parking</v>
      </c>
      <c r="H209" s="106"/>
      <c r="I209" s="34"/>
      <c r="L209" s="92"/>
      <c r="M209" s="92"/>
      <c r="N209" s="34"/>
    </row>
    <row r="210" spans="1:14" s="71" customFormat="1" hidden="1" x14ac:dyDescent="0.35">
      <c r="A210" s="68">
        <v>10</v>
      </c>
      <c r="B210" s="68" t="s">
        <v>182</v>
      </c>
      <c r="C210" s="68" t="s">
        <v>183</v>
      </c>
      <c r="D210" s="68">
        <f>(1.65*3.84)*10.764</f>
        <v>68.200703999999988</v>
      </c>
      <c r="E210" s="68">
        <v>0</v>
      </c>
      <c r="F210" s="68">
        <f t="shared" si="0"/>
        <v>109.12112639999998</v>
      </c>
      <c r="G210" s="104" t="str">
        <f>G209</f>
        <v>Ground Floor for Commercial &amp; Parking</v>
      </c>
      <c r="H210" s="106"/>
      <c r="I210" s="34"/>
      <c r="L210" s="92"/>
      <c r="M210" s="92"/>
      <c r="N210" s="34"/>
    </row>
    <row r="211" spans="1:14" s="71" customFormat="1" hidden="1" x14ac:dyDescent="0.35">
      <c r="A211" s="68">
        <v>11</v>
      </c>
      <c r="B211" s="68" t="s">
        <v>182</v>
      </c>
      <c r="C211" s="68" t="s">
        <v>183</v>
      </c>
      <c r="D211" s="68">
        <f>(1.85*3.85)*10.764</f>
        <v>76.666589999999999</v>
      </c>
      <c r="E211" s="68">
        <v>0</v>
      </c>
      <c r="F211" s="68">
        <f t="shared" si="0"/>
        <v>122.666544</v>
      </c>
      <c r="G211" s="104" t="str">
        <f>G210</f>
        <v>Ground Floor for Commercial &amp; Parking</v>
      </c>
      <c r="H211" s="106"/>
      <c r="I211" s="34"/>
      <c r="L211" s="92"/>
      <c r="M211" s="92"/>
      <c r="N211" s="34"/>
    </row>
    <row r="212" spans="1:14" s="71" customFormat="1" hidden="1" x14ac:dyDescent="0.35">
      <c r="A212" s="68" t="s">
        <v>203</v>
      </c>
      <c r="B212" s="68" t="s">
        <v>182</v>
      </c>
      <c r="C212" s="68" t="s">
        <v>186</v>
      </c>
      <c r="D212" s="68">
        <f>(3.6*3.25+1.35*2.05+3.8*2.2)*10.764</f>
        <v>245.71520999999998</v>
      </c>
      <c r="E212" s="68">
        <v>0</v>
      </c>
      <c r="F212" s="68">
        <f t="shared" si="0"/>
        <v>393.14433600000001</v>
      </c>
      <c r="G212" s="104" t="str">
        <f>G211</f>
        <v>Ground Floor for Commercial &amp; Parking</v>
      </c>
      <c r="H212" s="106"/>
      <c r="I212" s="34"/>
      <c r="L212" s="92"/>
      <c r="M212" s="92"/>
      <c r="N212" s="34"/>
    </row>
    <row r="213" spans="1:14" s="71" customFormat="1" hidden="1" x14ac:dyDescent="0.35">
      <c r="A213" s="122" t="s">
        <v>201</v>
      </c>
      <c r="B213" s="123"/>
      <c r="C213" s="123"/>
      <c r="D213" s="123"/>
      <c r="E213" s="123"/>
      <c r="F213" s="123"/>
      <c r="G213" s="123"/>
      <c r="H213" s="124"/>
      <c r="J213" s="34"/>
    </row>
    <row r="214" spans="1:14" s="71" customFormat="1" hidden="1" x14ac:dyDescent="0.35">
      <c r="A214" s="68">
        <v>1</v>
      </c>
      <c r="B214" s="68" t="s">
        <v>182</v>
      </c>
      <c r="C214" s="68" t="s">
        <v>186</v>
      </c>
      <c r="D214" s="68">
        <f>(3.95*5.2+13.5*6.65+2.45*2.3+2.25*3+3.05*2.2+5.6*3.25+2.1*1.2)*10.764</f>
        <v>1615.9993200000001</v>
      </c>
      <c r="E214" s="68">
        <v>0</v>
      </c>
      <c r="F214" s="68">
        <f>D214*(($F$142)+1)+(IF(E214&lt;101,E214,IF(E214&lt;201,E214/2,IF(E214&lt;=301,E214/3,E214/4))))</f>
        <v>2585.5989120000004</v>
      </c>
      <c r="G214" s="104" t="str">
        <f>A213</f>
        <v>1st Floor for Commercial</v>
      </c>
      <c r="H214" s="106"/>
      <c r="I214" s="34"/>
      <c r="L214" s="92"/>
      <c r="M214" s="92"/>
      <c r="N214" s="34"/>
    </row>
    <row r="215" spans="1:14" s="71" customFormat="1" hidden="1" x14ac:dyDescent="0.35">
      <c r="A215" s="68">
        <v>2</v>
      </c>
      <c r="B215" s="68" t="s">
        <v>182</v>
      </c>
      <c r="C215" s="68" t="s">
        <v>186</v>
      </c>
      <c r="D215" s="68">
        <f>(13*5.2+3.15*1.55+2*1.2+4.3*4.4+3.3*0.75+9.1*2.65+7.05*2.8+1*2)*10.764</f>
        <v>1529.9142300000001</v>
      </c>
      <c r="E215" s="68">
        <v>0</v>
      </c>
      <c r="F215" s="68">
        <f>D215*(($F$142)+1)+(IF(E215&lt;101,E215,IF(E215&lt;201,E215/2,IF(E215&lt;=301,E215/3,E215/4))))</f>
        <v>2447.8627680000004</v>
      </c>
      <c r="G215" s="104" t="str">
        <f>G214</f>
        <v>1st Floor for Commercial</v>
      </c>
      <c r="H215" s="106"/>
      <c r="I215" s="34"/>
      <c r="L215" s="92"/>
      <c r="M215" s="92"/>
      <c r="N215" s="34"/>
    </row>
    <row r="216" spans="1:14" s="35" customFormat="1" x14ac:dyDescent="0.35">
      <c r="A216" s="104"/>
      <c r="B216" s="105"/>
      <c r="C216" s="105"/>
      <c r="D216" s="105"/>
      <c r="E216" s="105"/>
      <c r="F216" s="105"/>
      <c r="G216" s="105"/>
      <c r="H216" s="106"/>
      <c r="I216" s="34"/>
      <c r="N216" s="34"/>
    </row>
    <row r="217" spans="1:14" ht="47.25" customHeight="1" x14ac:dyDescent="0.35">
      <c r="A217" s="118" t="s">
        <v>125</v>
      </c>
      <c r="B217" s="118" t="s">
        <v>181</v>
      </c>
      <c r="C217" s="161" t="s">
        <v>58</v>
      </c>
      <c r="D217" s="161" t="s">
        <v>59</v>
      </c>
      <c r="E217" s="116" t="s">
        <v>60</v>
      </c>
      <c r="F217" s="36" t="s">
        <v>154</v>
      </c>
      <c r="G217" s="118" t="s">
        <v>61</v>
      </c>
      <c r="H217" s="119"/>
      <c r="I217" s="34"/>
    </row>
    <row r="218" spans="1:14" s="35" customFormat="1" x14ac:dyDescent="0.35">
      <c r="A218" s="120"/>
      <c r="B218" s="120"/>
      <c r="C218" s="162"/>
      <c r="D218" s="162"/>
      <c r="E218" s="117"/>
      <c r="F218" s="32">
        <v>0.5</v>
      </c>
      <c r="G218" s="120"/>
      <c r="H218" s="121"/>
      <c r="I218" s="34"/>
    </row>
    <row r="219" spans="1:14" x14ac:dyDescent="0.35">
      <c r="A219" s="107" t="s">
        <v>172</v>
      </c>
      <c r="B219" s="107"/>
      <c r="C219" s="107"/>
      <c r="D219" s="107"/>
      <c r="E219" s="107"/>
      <c r="F219" s="107"/>
      <c r="G219" s="107"/>
      <c r="H219" s="107"/>
    </row>
    <row r="220" spans="1:14" s="2" customFormat="1" x14ac:dyDescent="0.35">
      <c r="A220" s="99" t="s">
        <v>188</v>
      </c>
      <c r="B220" s="99"/>
      <c r="C220" s="99"/>
      <c r="D220" s="99"/>
      <c r="E220" s="99"/>
      <c r="F220" s="99"/>
      <c r="G220" s="99"/>
      <c r="H220" s="99"/>
      <c r="I220" s="34"/>
      <c r="L220" s="92"/>
      <c r="M220" s="92"/>
    </row>
    <row r="221" spans="1:14" s="2" customFormat="1" ht="15.75" customHeight="1" x14ac:dyDescent="0.35">
      <c r="A221" s="61">
        <v>1</v>
      </c>
      <c r="B221" s="61" t="s">
        <v>189</v>
      </c>
      <c r="C221" s="13" t="s">
        <v>191</v>
      </c>
      <c r="D221" s="13">
        <f>41.71*10.764</f>
        <v>448.96643999999998</v>
      </c>
      <c r="E221" s="13">
        <v>0</v>
      </c>
      <c r="F221" s="58">
        <f>D221*(($F$218)+1)+(IF(E221&lt;101,E221,IF(E221&lt;201,E221/2,IF(E221&lt;=301,E221/3,E221/4))))</f>
        <v>673.44965999999999</v>
      </c>
      <c r="G221" s="93" t="str">
        <f>A220</f>
        <v>2nd Floor for Residential</v>
      </c>
      <c r="H221" s="94"/>
      <c r="I221" s="34"/>
      <c r="L221" s="42"/>
      <c r="M221" s="42"/>
      <c r="N221" s="34"/>
    </row>
    <row r="222" spans="1:14" s="2" customFormat="1" ht="15.75" customHeight="1" x14ac:dyDescent="0.35">
      <c r="A222" s="61">
        <v>2</v>
      </c>
      <c r="B222" s="61" t="s">
        <v>190</v>
      </c>
      <c r="C222" s="13" t="s">
        <v>192</v>
      </c>
      <c r="D222" s="13">
        <f>51.93*10.764</f>
        <v>558.97451999999998</v>
      </c>
      <c r="E222" s="43">
        <v>0</v>
      </c>
      <c r="F222" s="58">
        <f>D222*(($F$218)+1)+(IF(E222&lt;101,E222,IF(E222&lt;201,E222/2,IF(E222&lt;=301,E222/3,E222/4))))</f>
        <v>838.46177999999998</v>
      </c>
      <c r="G222" s="95"/>
      <c r="H222" s="96"/>
      <c r="I222" s="34"/>
      <c r="L222" s="42"/>
      <c r="M222" s="42"/>
      <c r="N222" s="34"/>
    </row>
    <row r="223" spans="1:14" s="2" customFormat="1" ht="15.75" customHeight="1" x14ac:dyDescent="0.35">
      <c r="A223" s="61">
        <f>A222+1</f>
        <v>3</v>
      </c>
      <c r="B223" s="61" t="s">
        <v>190</v>
      </c>
      <c r="C223" s="13" t="s">
        <v>192</v>
      </c>
      <c r="D223" s="83">
        <f>51.99*10.764</f>
        <v>559.62036000000001</v>
      </c>
      <c r="E223" s="43">
        <v>0</v>
      </c>
      <c r="F223" s="56">
        <f>D223*(($F$218)+1)+(IF(E223&lt;101,E223,IF(E223&lt;201,E223/2,IF(E223&lt;=301,E223/3,E223/4))))</f>
        <v>839.43054000000006</v>
      </c>
      <c r="G223" s="95"/>
      <c r="H223" s="96"/>
      <c r="I223" s="34"/>
      <c r="L223" s="42"/>
      <c r="M223" s="42"/>
      <c r="N223" s="34"/>
    </row>
    <row r="224" spans="1:14" s="2" customFormat="1" ht="15.75" customHeight="1" x14ac:dyDescent="0.35">
      <c r="A224" s="61">
        <f>A223+1</f>
        <v>4</v>
      </c>
      <c r="B224" s="61" t="s">
        <v>189</v>
      </c>
      <c r="C224" s="33" t="s">
        <v>191</v>
      </c>
      <c r="D224" s="33">
        <f>41.66*10.764</f>
        <v>448.42823999999996</v>
      </c>
      <c r="E224" s="43">
        <v>0</v>
      </c>
      <c r="F224" s="58">
        <f>D224*(($F$218)+1)+(IF(E224&lt;101,E224,IF(E224&lt;201,E224/2,IF(E224&lt;=301,E224/3,E224/4))))</f>
        <v>672.64235999999994</v>
      </c>
      <c r="G224" s="97"/>
      <c r="H224" s="98"/>
      <c r="I224" s="34"/>
      <c r="L224" s="42"/>
      <c r="M224" s="42"/>
      <c r="N224" s="34"/>
    </row>
    <row r="225" spans="1:14" s="62" customFormat="1" x14ac:dyDescent="0.35">
      <c r="A225" s="99" t="s">
        <v>223</v>
      </c>
      <c r="B225" s="99"/>
      <c r="C225" s="99"/>
      <c r="D225" s="99"/>
      <c r="E225" s="99"/>
      <c r="F225" s="99"/>
      <c r="G225" s="99"/>
      <c r="H225" s="99"/>
      <c r="I225" s="34"/>
      <c r="L225" s="92"/>
      <c r="M225" s="92"/>
    </row>
    <row r="226" spans="1:14" s="62" customFormat="1" ht="15.75" customHeight="1" x14ac:dyDescent="0.35">
      <c r="A226" s="61">
        <v>1</v>
      </c>
      <c r="B226" s="61" t="s">
        <v>189</v>
      </c>
      <c r="C226" s="61" t="s">
        <v>191</v>
      </c>
      <c r="D226" s="83">
        <f>41.71*10.764</f>
        <v>448.96643999999998</v>
      </c>
      <c r="E226" s="61">
        <v>0</v>
      </c>
      <c r="F226" s="61">
        <f>D226*(($F$218)+1)+(IF(E226&lt;101,E226,IF(E226&lt;201,E226/2,IF(E226&lt;=301,E226/3,E226/4))))</f>
        <v>673.44965999999999</v>
      </c>
      <c r="G226" s="93" t="str">
        <f>A225</f>
        <v>3rd to 5th, 7th to 11th Floor</v>
      </c>
      <c r="H226" s="94"/>
      <c r="I226" s="34"/>
      <c r="N226" s="34"/>
    </row>
    <row r="227" spans="1:14" s="62" customFormat="1" ht="15.75" customHeight="1" x14ac:dyDescent="0.35">
      <c r="A227" s="61">
        <v>2</v>
      </c>
      <c r="B227" s="61" t="s">
        <v>190</v>
      </c>
      <c r="C227" s="61" t="s">
        <v>192</v>
      </c>
      <c r="D227" s="83">
        <f>51.93*10.764</f>
        <v>558.97451999999998</v>
      </c>
      <c r="E227" s="61">
        <v>0</v>
      </c>
      <c r="F227" s="61">
        <f>D227*(($F$218)+1)+(IF(E227&lt;101,E227,IF(E227&lt;201,E227/2,IF(E227&lt;=301,E227/3,E227/4))))</f>
        <v>838.46177999999998</v>
      </c>
      <c r="G227" s="95"/>
      <c r="H227" s="96"/>
      <c r="I227" s="34"/>
      <c r="N227" s="34"/>
    </row>
    <row r="228" spans="1:14" s="62" customFormat="1" ht="15.75" customHeight="1" x14ac:dyDescent="0.35">
      <c r="A228" s="61">
        <f>A227+1</f>
        <v>3</v>
      </c>
      <c r="B228" s="61" t="s">
        <v>190</v>
      </c>
      <c r="C228" s="61" t="s">
        <v>192</v>
      </c>
      <c r="D228" s="83">
        <f>51.99*10.764</f>
        <v>559.62036000000001</v>
      </c>
      <c r="E228" s="61">
        <v>0</v>
      </c>
      <c r="F228" s="61">
        <f>D228*(($F$218)+1)+(IF(E228&lt;101,E228,IF(E228&lt;201,E228/2,IF(E228&lt;=301,E228/3,E228/4))))</f>
        <v>839.43054000000006</v>
      </c>
      <c r="G228" s="95"/>
      <c r="H228" s="96"/>
      <c r="I228" s="34"/>
      <c r="N228" s="34"/>
    </row>
    <row r="229" spans="1:14" s="62" customFormat="1" ht="15.75" customHeight="1" x14ac:dyDescent="0.35">
      <c r="A229" s="61">
        <f>A228+1</f>
        <v>4</v>
      </c>
      <c r="B229" s="61" t="s">
        <v>189</v>
      </c>
      <c r="C229" s="61" t="s">
        <v>191</v>
      </c>
      <c r="D229" s="83">
        <f>41.66*10.764</f>
        <v>448.42823999999996</v>
      </c>
      <c r="E229" s="61">
        <v>0</v>
      </c>
      <c r="F229" s="61">
        <f>D229*(($F$218)+1)+(IF(E229&lt;101,E229,IF(E229&lt;201,E229/2,IF(E229&lt;=301,E229/3,E229/4))))</f>
        <v>672.64235999999994</v>
      </c>
      <c r="G229" s="97"/>
      <c r="H229" s="98"/>
      <c r="I229" s="34"/>
      <c r="N229" s="34"/>
    </row>
    <row r="230" spans="1:14" s="85" customFormat="1" x14ac:dyDescent="0.35">
      <c r="A230" s="99" t="s">
        <v>222</v>
      </c>
      <c r="B230" s="99"/>
      <c r="C230" s="99"/>
      <c r="D230" s="99"/>
      <c r="E230" s="99"/>
      <c r="F230" s="99"/>
      <c r="G230" s="99"/>
      <c r="H230" s="99"/>
      <c r="I230" s="34"/>
      <c r="L230" s="92"/>
      <c r="M230" s="92"/>
    </row>
    <row r="231" spans="1:14" s="85" customFormat="1" ht="15.75" customHeight="1" x14ac:dyDescent="0.35">
      <c r="A231" s="83">
        <v>1</v>
      </c>
      <c r="B231" s="83" t="s">
        <v>189</v>
      </c>
      <c r="C231" s="83" t="s">
        <v>191</v>
      </c>
      <c r="D231" s="83">
        <f>41.71*10.764</f>
        <v>448.96643999999998</v>
      </c>
      <c r="E231" s="83">
        <v>0</v>
      </c>
      <c r="F231" s="83">
        <f>D231*(($F$218)+1)+(IF(E231&lt;101,E231,IF(E231&lt;201,E231/2,IF(E231&lt;=301,E231/3,E231/4))))</f>
        <v>673.44965999999999</v>
      </c>
      <c r="G231" s="93" t="str">
        <f>A230</f>
        <v xml:space="preserve"> 12th Floor</v>
      </c>
      <c r="H231" s="94"/>
      <c r="I231" s="34"/>
      <c r="N231" s="34"/>
    </row>
    <row r="232" spans="1:14" s="85" customFormat="1" ht="15.75" customHeight="1" x14ac:dyDescent="0.35">
      <c r="A232" s="83">
        <v>2</v>
      </c>
      <c r="B232" s="83" t="s">
        <v>190</v>
      </c>
      <c r="C232" s="83" t="s">
        <v>192</v>
      </c>
      <c r="D232" s="83">
        <f>51.93*10.764</f>
        <v>558.97451999999998</v>
      </c>
      <c r="E232" s="83">
        <v>0</v>
      </c>
      <c r="F232" s="83">
        <f>D232*(($F$218)+1)+(IF(E232&lt;101,E232,IF(E232&lt;201,E232/2,IF(E232&lt;=301,E232/3,E232/4))))</f>
        <v>838.46177999999998</v>
      </c>
      <c r="G232" s="95"/>
      <c r="H232" s="96"/>
      <c r="I232" s="34"/>
      <c r="N232" s="34"/>
    </row>
    <row r="233" spans="1:14" s="85" customFormat="1" ht="15.75" customHeight="1" x14ac:dyDescent="0.35">
      <c r="A233" s="83">
        <f>A232+1</f>
        <v>3</v>
      </c>
      <c r="B233" s="83" t="s">
        <v>189</v>
      </c>
      <c r="C233" s="83" t="s">
        <v>192</v>
      </c>
      <c r="D233" s="83">
        <f>51.99*10.764</f>
        <v>559.62036000000001</v>
      </c>
      <c r="E233" s="83">
        <v>0</v>
      </c>
      <c r="F233" s="83">
        <f>D233*(($F$218)+1)+(IF(E233&lt;101,E233,IF(E233&lt;201,E233/2,IF(E233&lt;=301,E233/3,E233/4))))</f>
        <v>839.43054000000006</v>
      </c>
      <c r="G233" s="95"/>
      <c r="H233" s="96"/>
      <c r="I233" s="34"/>
      <c r="N233" s="34"/>
    </row>
    <row r="234" spans="1:14" s="85" customFormat="1" ht="15.75" customHeight="1" x14ac:dyDescent="0.35">
      <c r="A234" s="83">
        <f>A233+1</f>
        <v>4</v>
      </c>
      <c r="B234" s="83" t="s">
        <v>189</v>
      </c>
      <c r="C234" s="83" t="s">
        <v>191</v>
      </c>
      <c r="D234" s="83">
        <f>41.66*10.764</f>
        <v>448.42823999999996</v>
      </c>
      <c r="E234" s="83">
        <v>0</v>
      </c>
      <c r="F234" s="83">
        <f>D234*(($F$218)+1)+(IF(E234&lt;101,E234,IF(E234&lt;201,E234/2,IF(E234&lt;=301,E234/3,E234/4))))</f>
        <v>672.64235999999994</v>
      </c>
      <c r="G234" s="97"/>
      <c r="H234" s="98"/>
      <c r="I234" s="34"/>
      <c r="N234" s="34"/>
    </row>
    <row r="235" spans="1:14" s="85" customFormat="1" x14ac:dyDescent="0.35">
      <c r="A235" s="99" t="s">
        <v>224</v>
      </c>
      <c r="B235" s="99"/>
      <c r="C235" s="99"/>
      <c r="D235" s="99"/>
      <c r="E235" s="99"/>
      <c r="F235" s="99"/>
      <c r="G235" s="99"/>
      <c r="H235" s="99"/>
      <c r="I235" s="34"/>
      <c r="L235" s="92"/>
      <c r="M235" s="92"/>
    </row>
    <row r="236" spans="1:14" s="85" customFormat="1" ht="15.75" customHeight="1" x14ac:dyDescent="0.35">
      <c r="A236" s="83">
        <v>1</v>
      </c>
      <c r="B236" s="83" t="s">
        <v>189</v>
      </c>
      <c r="C236" s="83" t="s">
        <v>191</v>
      </c>
      <c r="D236" s="83">
        <f>41.71*10.764</f>
        <v>448.96643999999998</v>
      </c>
      <c r="E236" s="83">
        <v>0</v>
      </c>
      <c r="F236" s="83">
        <f>D236*(($F$218)+1)+(IF(E236&lt;101,E236,IF(E236&lt;201,E236/2,IF(E236&lt;=301,E236/3,E236/4))))</f>
        <v>673.44965999999999</v>
      </c>
      <c r="G236" s="93" t="str">
        <f>A235</f>
        <v>6th Floor (Part Refuge Area)</v>
      </c>
      <c r="H236" s="94"/>
      <c r="I236" s="34"/>
      <c r="N236" s="34"/>
    </row>
    <row r="237" spans="1:14" s="85" customFormat="1" ht="15.75" customHeight="1" x14ac:dyDescent="0.35">
      <c r="A237" s="83">
        <v>2</v>
      </c>
      <c r="B237" s="104" t="s">
        <v>225</v>
      </c>
      <c r="C237" s="105"/>
      <c r="D237" s="105"/>
      <c r="E237" s="105"/>
      <c r="F237" s="106"/>
      <c r="G237" s="95"/>
      <c r="H237" s="96"/>
      <c r="I237" s="34"/>
      <c r="N237" s="34"/>
    </row>
    <row r="238" spans="1:14" s="85" customFormat="1" ht="15.75" customHeight="1" x14ac:dyDescent="0.35">
      <c r="A238" s="83">
        <f>A237+1</f>
        <v>3</v>
      </c>
      <c r="B238" s="83" t="s">
        <v>190</v>
      </c>
      <c r="C238" s="83" t="s">
        <v>192</v>
      </c>
      <c r="D238" s="83">
        <f>51.99*10.764</f>
        <v>559.62036000000001</v>
      </c>
      <c r="E238" s="83">
        <v>0</v>
      </c>
      <c r="F238" s="83">
        <f>D238*(($F$218)+1)+(IF(E238&lt;101,E238,IF(E238&lt;201,E238/2,IF(E238&lt;=301,E238/3,E238/4))))</f>
        <v>839.43054000000006</v>
      </c>
      <c r="G238" s="95"/>
      <c r="H238" s="96"/>
      <c r="I238" s="34"/>
      <c r="N238" s="34"/>
    </row>
    <row r="239" spans="1:14" s="85" customFormat="1" ht="15.75" customHeight="1" x14ac:dyDescent="0.35">
      <c r="A239" s="83">
        <f>A238+1</f>
        <v>4</v>
      </c>
      <c r="B239" s="83" t="s">
        <v>189</v>
      </c>
      <c r="C239" s="83" t="s">
        <v>191</v>
      </c>
      <c r="D239" s="83">
        <f>41.66*10.764</f>
        <v>448.42823999999996</v>
      </c>
      <c r="E239" s="83">
        <v>0</v>
      </c>
      <c r="F239" s="83">
        <f>D239*(($F$218)+1)+(IF(E239&lt;101,E239,IF(E239&lt;201,E239/2,IF(E239&lt;=301,E239/3,E239/4))))</f>
        <v>672.64235999999994</v>
      </c>
      <c r="G239" s="97"/>
      <c r="H239" s="98"/>
      <c r="I239" s="34"/>
      <c r="N239" s="34"/>
    </row>
    <row r="240" spans="1:14" s="85" customFormat="1" x14ac:dyDescent="0.35">
      <c r="A240" s="99" t="s">
        <v>226</v>
      </c>
      <c r="B240" s="99"/>
      <c r="C240" s="99"/>
      <c r="D240" s="99"/>
      <c r="E240" s="99"/>
      <c r="F240" s="99"/>
      <c r="G240" s="99"/>
      <c r="H240" s="99"/>
      <c r="I240" s="34"/>
      <c r="L240" s="92"/>
      <c r="M240" s="92"/>
    </row>
    <row r="241" spans="1:14" s="85" customFormat="1" ht="15.75" customHeight="1" x14ac:dyDescent="0.35">
      <c r="A241" s="83">
        <v>1</v>
      </c>
      <c r="B241" s="83" t="s">
        <v>189</v>
      </c>
      <c r="C241" s="83" t="s">
        <v>191</v>
      </c>
      <c r="D241" s="83">
        <f>41.71*10.764</f>
        <v>448.96643999999998</v>
      </c>
      <c r="E241" s="83">
        <v>0</v>
      </c>
      <c r="F241" s="83">
        <f>D241*(($F$218)+1)+(IF(E241&lt;101,E241,IF(E241&lt;201,E241/2,IF(E241&lt;=301,E241/3,E241/4))))</f>
        <v>673.44965999999999</v>
      </c>
      <c r="G241" s="93" t="str">
        <f>A240</f>
        <v>13th Floor (Part Refuge Area)</v>
      </c>
      <c r="H241" s="94"/>
      <c r="I241" s="34"/>
      <c r="N241" s="34"/>
    </row>
    <row r="242" spans="1:14" s="85" customFormat="1" ht="15.75" customHeight="1" x14ac:dyDescent="0.35">
      <c r="A242" s="83">
        <v>2</v>
      </c>
      <c r="B242" s="104" t="s">
        <v>225</v>
      </c>
      <c r="C242" s="105"/>
      <c r="D242" s="105"/>
      <c r="E242" s="105"/>
      <c r="F242" s="106"/>
      <c r="G242" s="95"/>
      <c r="H242" s="96"/>
      <c r="I242" s="34"/>
      <c r="N242" s="34"/>
    </row>
    <row r="243" spans="1:14" s="85" customFormat="1" ht="15.75" customHeight="1" x14ac:dyDescent="0.35">
      <c r="A243" s="83">
        <f>A242+1</f>
        <v>3</v>
      </c>
      <c r="B243" s="83" t="s">
        <v>189</v>
      </c>
      <c r="C243" s="83" t="s">
        <v>192</v>
      </c>
      <c r="D243" s="83">
        <f>51.99*10.764</f>
        <v>559.62036000000001</v>
      </c>
      <c r="E243" s="83">
        <v>0</v>
      </c>
      <c r="F243" s="83">
        <f>D243*(($F$218)+1)+(IF(E243&lt;101,E243,IF(E243&lt;201,E243/2,IF(E243&lt;=301,E243/3,E243/4))))</f>
        <v>839.43054000000006</v>
      </c>
      <c r="G243" s="95"/>
      <c r="H243" s="96"/>
      <c r="I243" s="34"/>
      <c r="N243" s="34"/>
    </row>
    <row r="244" spans="1:14" s="85" customFormat="1" ht="15.75" customHeight="1" x14ac:dyDescent="0.35">
      <c r="A244" s="83">
        <f>A243+1</f>
        <v>4</v>
      </c>
      <c r="B244" s="83" t="s">
        <v>189</v>
      </c>
      <c r="C244" s="83" t="s">
        <v>191</v>
      </c>
      <c r="D244" s="83">
        <f>41.66*10.764</f>
        <v>448.42823999999996</v>
      </c>
      <c r="E244" s="83">
        <v>0</v>
      </c>
      <c r="F244" s="83">
        <f>D244*(($F$218)+1)+(IF(E244&lt;101,E244,IF(E244&lt;201,E244/2,IF(E244&lt;=301,E244/3,E244/4))))</f>
        <v>672.64235999999994</v>
      </c>
      <c r="G244" s="97"/>
      <c r="H244" s="98"/>
      <c r="I244" s="34"/>
      <c r="N244" s="34"/>
    </row>
    <row r="245" spans="1:14" s="62" customFormat="1" x14ac:dyDescent="0.35">
      <c r="A245" s="99" t="s">
        <v>227</v>
      </c>
      <c r="B245" s="99"/>
      <c r="C245" s="99"/>
      <c r="D245" s="99"/>
      <c r="E245" s="99"/>
      <c r="F245" s="99"/>
      <c r="G245" s="99"/>
      <c r="H245" s="99"/>
      <c r="I245" s="34"/>
      <c r="L245" s="92"/>
      <c r="M245" s="92"/>
    </row>
    <row r="246" spans="1:14" s="62" customFormat="1" x14ac:dyDescent="0.35">
      <c r="A246" s="61">
        <v>1</v>
      </c>
      <c r="B246" s="61" t="s">
        <v>189</v>
      </c>
      <c r="C246" s="61" t="s">
        <v>191</v>
      </c>
      <c r="D246" s="83">
        <f>41.71*10.764</f>
        <v>448.96643999999998</v>
      </c>
      <c r="E246" s="61">
        <v>0</v>
      </c>
      <c r="F246" s="61">
        <f>D246*(($F$218)+1)+(IF(E246&lt;101,E246,IF(E246&lt;201,E246/2,IF(E246&lt;=301,E246/3,E246/4))))</f>
        <v>673.44965999999999</v>
      </c>
      <c r="G246" s="93" t="str">
        <f>A245</f>
        <v>14th Floor</v>
      </c>
      <c r="H246" s="94"/>
      <c r="I246" s="34"/>
      <c r="N246" s="34"/>
    </row>
    <row r="247" spans="1:14" s="62" customFormat="1" x14ac:dyDescent="0.35">
      <c r="A247" s="61">
        <v>2</v>
      </c>
      <c r="B247" s="83" t="s">
        <v>189</v>
      </c>
      <c r="C247" s="61" t="s">
        <v>192</v>
      </c>
      <c r="D247" s="83">
        <f>51.14*10.764</f>
        <v>550.47095999999999</v>
      </c>
      <c r="E247" s="61">
        <v>0</v>
      </c>
      <c r="F247" s="61">
        <f>D247*(($F$218)+1)+(IF(E247&lt;101,E247,IF(E247&lt;201,E247/2,IF(E247&lt;=301,E247/3,E247/4))))</f>
        <v>825.70643999999993</v>
      </c>
      <c r="G247" s="95"/>
      <c r="H247" s="96"/>
      <c r="I247" s="34"/>
      <c r="N247" s="34"/>
    </row>
    <row r="248" spans="1:14" s="62" customFormat="1" x14ac:dyDescent="0.35">
      <c r="A248" s="61">
        <f>A247+1</f>
        <v>3</v>
      </c>
      <c r="B248" s="83" t="s">
        <v>189</v>
      </c>
      <c r="C248" s="61" t="s">
        <v>192</v>
      </c>
      <c r="D248" s="83">
        <f>51.21*10.764</f>
        <v>551.22443999999996</v>
      </c>
      <c r="E248" s="61">
        <v>0</v>
      </c>
      <c r="F248" s="61">
        <f>D248*(($F$218)+1)+(IF(E248&lt;101,E248,IF(E248&lt;201,E248/2,IF(E248&lt;=301,E248/3,E248/4))))</f>
        <v>826.83665999999994</v>
      </c>
      <c r="G248" s="95"/>
      <c r="H248" s="96"/>
      <c r="I248" s="34"/>
      <c r="N248" s="34"/>
    </row>
    <row r="249" spans="1:14" s="62" customFormat="1" x14ac:dyDescent="0.35">
      <c r="A249" s="61">
        <f>A248+1</f>
        <v>4</v>
      </c>
      <c r="B249" s="83" t="s">
        <v>189</v>
      </c>
      <c r="C249" s="61" t="s">
        <v>191</v>
      </c>
      <c r="D249" s="83">
        <f>41.66*10.764</f>
        <v>448.42823999999996</v>
      </c>
      <c r="E249" s="61">
        <v>0</v>
      </c>
      <c r="F249" s="61">
        <f>D249*(($F$218)+1)+(IF(E249&lt;101,E249,IF(E249&lt;201,E249/2,IF(E249&lt;=301,E249/3,E249/4))))</f>
        <v>672.64235999999994</v>
      </c>
      <c r="G249" s="97"/>
      <c r="H249" s="98"/>
      <c r="I249" s="34"/>
      <c r="N249" s="34"/>
    </row>
    <row r="250" spans="1:14" s="85" customFormat="1" x14ac:dyDescent="0.35">
      <c r="A250" s="99" t="s">
        <v>228</v>
      </c>
      <c r="B250" s="99"/>
      <c r="C250" s="99"/>
      <c r="D250" s="99"/>
      <c r="E250" s="99"/>
      <c r="F250" s="99"/>
      <c r="G250" s="99"/>
      <c r="H250" s="99"/>
      <c r="I250" s="34"/>
      <c r="L250" s="92"/>
      <c r="M250" s="92"/>
    </row>
    <row r="251" spans="1:14" s="85" customFormat="1" x14ac:dyDescent="0.35">
      <c r="A251" s="83">
        <v>1</v>
      </c>
      <c r="B251" s="83" t="s">
        <v>189</v>
      </c>
      <c r="C251" s="83" t="s">
        <v>191</v>
      </c>
      <c r="D251" s="83">
        <f>41.71*10.764</f>
        <v>448.96643999999998</v>
      </c>
      <c r="E251" s="83">
        <v>0</v>
      </c>
      <c r="F251" s="83">
        <f>D251*(($F$218)+1)+(IF(E251&lt;101,E251,IF(E251&lt;201,E251/2,IF(E251&lt;=301,E251/3,E251/4))))</f>
        <v>673.44965999999999</v>
      </c>
      <c r="G251" s="93" t="str">
        <f>A250</f>
        <v>15th &amp; 16th Floor</v>
      </c>
      <c r="H251" s="94"/>
      <c r="I251" s="34"/>
      <c r="N251" s="34"/>
    </row>
    <row r="252" spans="1:14" s="85" customFormat="1" x14ac:dyDescent="0.35">
      <c r="A252" s="83">
        <v>2</v>
      </c>
      <c r="B252" s="83" t="s">
        <v>189</v>
      </c>
      <c r="C252" s="83" t="s">
        <v>192</v>
      </c>
      <c r="D252" s="83">
        <f>51.14*10.764</f>
        <v>550.47095999999999</v>
      </c>
      <c r="E252" s="83">
        <v>0</v>
      </c>
      <c r="F252" s="83">
        <f>D252*(($F$218)+1)+(IF(E252&lt;101,E252,IF(E252&lt;201,E252/2,IF(E252&lt;=301,E252/3,E252/4))))</f>
        <v>825.70643999999993</v>
      </c>
      <c r="G252" s="95"/>
      <c r="H252" s="96"/>
      <c r="I252" s="34"/>
      <c r="N252" s="34"/>
    </row>
    <row r="253" spans="1:14" s="85" customFormat="1" x14ac:dyDescent="0.35">
      <c r="A253" s="83">
        <f>A252+1</f>
        <v>3</v>
      </c>
      <c r="B253" s="83" t="s">
        <v>189</v>
      </c>
      <c r="C253" s="83" t="s">
        <v>192</v>
      </c>
      <c r="D253" s="83">
        <f>51.21*10.764</f>
        <v>551.22443999999996</v>
      </c>
      <c r="E253" s="83">
        <v>0</v>
      </c>
      <c r="F253" s="83">
        <f>D253*(($F$218)+1)+(IF(E253&lt;101,E253,IF(E253&lt;201,E253/2,IF(E253&lt;=301,E253/3,E253/4))))</f>
        <v>826.83665999999994</v>
      </c>
      <c r="G253" s="95"/>
      <c r="H253" s="96"/>
      <c r="I253" s="34"/>
      <c r="N253" s="34"/>
    </row>
    <row r="254" spans="1:14" s="85" customFormat="1" x14ac:dyDescent="0.35">
      <c r="A254" s="83">
        <f>A253+1</f>
        <v>4</v>
      </c>
      <c r="B254" s="83" t="s">
        <v>189</v>
      </c>
      <c r="C254" s="83" t="s">
        <v>191</v>
      </c>
      <c r="D254" s="83">
        <f>41.66*10.764</f>
        <v>448.42823999999996</v>
      </c>
      <c r="E254" s="83">
        <v>0</v>
      </c>
      <c r="F254" s="83">
        <f>D254*(($F$218)+1)+(IF(E254&lt;101,E254,IF(E254&lt;201,E254/2,IF(E254&lt;=301,E254/3,E254/4))))</f>
        <v>672.64235999999994</v>
      </c>
      <c r="G254" s="97"/>
      <c r="H254" s="98"/>
      <c r="I254" s="34"/>
      <c r="N254" s="34"/>
    </row>
    <row r="255" spans="1:14" s="85" customFormat="1" x14ac:dyDescent="0.35">
      <c r="A255" s="99" t="s">
        <v>229</v>
      </c>
      <c r="B255" s="99"/>
      <c r="C255" s="99"/>
      <c r="D255" s="99"/>
      <c r="E255" s="99"/>
      <c r="F255" s="99"/>
      <c r="G255" s="99"/>
      <c r="H255" s="99"/>
      <c r="I255" s="34"/>
      <c r="L255" s="92"/>
      <c r="M255" s="92"/>
    </row>
    <row r="256" spans="1:14" s="85" customFormat="1" x14ac:dyDescent="0.35">
      <c r="A256" s="83">
        <v>1</v>
      </c>
      <c r="B256" s="83" t="s">
        <v>189</v>
      </c>
      <c r="C256" s="83" t="s">
        <v>191</v>
      </c>
      <c r="D256" s="83">
        <f>41.71*10.764</f>
        <v>448.96643999999998</v>
      </c>
      <c r="E256" s="83">
        <v>0</v>
      </c>
      <c r="F256" s="83">
        <f>D256*(($F$218)+1)+(IF(E256&lt;101,E256,IF(E256&lt;201,E256/2,IF(E256&lt;=301,E256/3,E256/4))))</f>
        <v>673.44965999999999</v>
      </c>
      <c r="G256" s="93" t="str">
        <f>A255</f>
        <v>17th Floor</v>
      </c>
      <c r="H256" s="94"/>
      <c r="I256" s="34"/>
      <c r="N256" s="34"/>
    </row>
    <row r="257" spans="1:14" s="85" customFormat="1" x14ac:dyDescent="0.35">
      <c r="A257" s="83">
        <v>2</v>
      </c>
      <c r="B257" s="83" t="s">
        <v>189</v>
      </c>
      <c r="C257" s="83" t="s">
        <v>192</v>
      </c>
      <c r="D257" s="83">
        <f>51.14*10.764</f>
        <v>550.47095999999999</v>
      </c>
      <c r="E257" s="83">
        <v>0</v>
      </c>
      <c r="F257" s="83">
        <f>D257*(($F$218)+1)+(IF(E257&lt;101,E257,IF(E257&lt;201,E257/2,IF(E257&lt;=301,E257/3,E257/4))))</f>
        <v>825.70643999999993</v>
      </c>
      <c r="G257" s="95"/>
      <c r="H257" s="96"/>
      <c r="I257" s="34"/>
      <c r="N257" s="34"/>
    </row>
    <row r="258" spans="1:14" s="85" customFormat="1" x14ac:dyDescent="0.35">
      <c r="A258" s="83">
        <f>A257+1</f>
        <v>3</v>
      </c>
      <c r="B258" s="83" t="s">
        <v>189</v>
      </c>
      <c r="C258" s="83" t="s">
        <v>192</v>
      </c>
      <c r="D258" s="83">
        <f>51.21*10.764</f>
        <v>551.22443999999996</v>
      </c>
      <c r="E258" s="83">
        <v>0</v>
      </c>
      <c r="F258" s="83">
        <f>D258*(($F$218)+1)+(IF(E258&lt;101,E258,IF(E258&lt;201,E258/2,IF(E258&lt;=301,E258/3,E258/4))))</f>
        <v>826.83665999999994</v>
      </c>
      <c r="G258" s="95"/>
      <c r="H258" s="96"/>
      <c r="I258" s="34"/>
      <c r="N258" s="34"/>
    </row>
    <row r="259" spans="1:14" x14ac:dyDescent="0.35">
      <c r="A259" s="107" t="s">
        <v>173</v>
      </c>
      <c r="B259" s="107"/>
      <c r="C259" s="107"/>
      <c r="D259" s="107"/>
      <c r="E259" s="107"/>
      <c r="F259" s="107"/>
      <c r="G259" s="107"/>
      <c r="H259" s="107"/>
    </row>
    <row r="260" spans="1:14" s="85" customFormat="1" x14ac:dyDescent="0.35">
      <c r="A260" s="99" t="s">
        <v>188</v>
      </c>
      <c r="B260" s="99"/>
      <c r="C260" s="99"/>
      <c r="D260" s="99"/>
      <c r="E260" s="99"/>
      <c r="F260" s="99"/>
      <c r="G260" s="99"/>
      <c r="H260" s="99"/>
      <c r="I260" s="34"/>
      <c r="L260" s="92"/>
      <c r="M260" s="92"/>
    </row>
    <row r="261" spans="1:14" s="85" customFormat="1" ht="15.75" customHeight="1" x14ac:dyDescent="0.35">
      <c r="A261" s="83">
        <v>1</v>
      </c>
      <c r="B261" s="83" t="s">
        <v>189</v>
      </c>
      <c r="C261" s="83" t="s">
        <v>191</v>
      </c>
      <c r="D261" s="83">
        <f>41.71*10.764</f>
        <v>448.96643999999998</v>
      </c>
      <c r="E261" s="83">
        <v>0</v>
      </c>
      <c r="F261" s="83">
        <f>D261*(($F$218)+1)+(IF(E261&lt;101,E261,IF(E261&lt;201,E261/2,IF(E261&lt;=301,E261/3,E261/4))))</f>
        <v>673.44965999999999</v>
      </c>
      <c r="G261" s="93" t="str">
        <f>A260</f>
        <v>2nd Floor for Residential</v>
      </c>
      <c r="H261" s="94"/>
      <c r="I261" s="34"/>
      <c r="N261" s="34"/>
    </row>
    <row r="262" spans="1:14" s="85" customFormat="1" ht="15.75" customHeight="1" x14ac:dyDescent="0.35">
      <c r="A262" s="83">
        <v>2</v>
      </c>
      <c r="B262" s="83" t="s">
        <v>190</v>
      </c>
      <c r="C262" s="83" t="s">
        <v>192</v>
      </c>
      <c r="D262" s="83">
        <f>51.93*10.764</f>
        <v>558.97451999999998</v>
      </c>
      <c r="E262" s="83">
        <v>0</v>
      </c>
      <c r="F262" s="83">
        <f>D262*(($F$218)+1)+(IF(E262&lt;101,E262,IF(E262&lt;201,E262/2,IF(E262&lt;=301,E262/3,E262/4))))</f>
        <v>838.46177999999998</v>
      </c>
      <c r="G262" s="95"/>
      <c r="H262" s="96"/>
      <c r="I262" s="34"/>
      <c r="N262" s="34"/>
    </row>
    <row r="263" spans="1:14" s="85" customFormat="1" ht="15.75" customHeight="1" x14ac:dyDescent="0.35">
      <c r="A263" s="83">
        <f>A262+1</f>
        <v>3</v>
      </c>
      <c r="B263" s="83" t="s">
        <v>190</v>
      </c>
      <c r="C263" s="83" t="s">
        <v>192</v>
      </c>
      <c r="D263" s="83">
        <f>51.99*10.764</f>
        <v>559.62036000000001</v>
      </c>
      <c r="E263" s="83">
        <v>0</v>
      </c>
      <c r="F263" s="83">
        <f>D263*(($F$218)+1)+(IF(E263&lt;101,E263,IF(E263&lt;201,E263/2,IF(E263&lt;=301,E263/3,E263/4))))</f>
        <v>839.43054000000006</v>
      </c>
      <c r="G263" s="95"/>
      <c r="H263" s="96"/>
      <c r="I263" s="34"/>
      <c r="N263" s="34"/>
    </row>
    <row r="264" spans="1:14" s="85" customFormat="1" ht="15.75" customHeight="1" x14ac:dyDescent="0.35">
      <c r="A264" s="83">
        <f>A263+1</f>
        <v>4</v>
      </c>
      <c r="B264" s="83" t="s">
        <v>189</v>
      </c>
      <c r="C264" s="83" t="s">
        <v>191</v>
      </c>
      <c r="D264" s="87">
        <f>41.79*10.764</f>
        <v>449.82755999999995</v>
      </c>
      <c r="E264" s="83">
        <v>0</v>
      </c>
      <c r="F264" s="83">
        <f>D264*(($F$218)+1)+(IF(E264&lt;101,E264,IF(E264&lt;201,E264/2,IF(E264&lt;=301,E264/3,E264/4))))</f>
        <v>674.74133999999992</v>
      </c>
      <c r="G264" s="97"/>
      <c r="H264" s="98"/>
      <c r="I264" s="34"/>
      <c r="N264" s="34"/>
    </row>
    <row r="265" spans="1:14" s="85" customFormat="1" x14ac:dyDescent="0.35">
      <c r="A265" s="99" t="s">
        <v>223</v>
      </c>
      <c r="B265" s="99"/>
      <c r="C265" s="99"/>
      <c r="D265" s="99"/>
      <c r="E265" s="99"/>
      <c r="F265" s="99"/>
      <c r="G265" s="99"/>
      <c r="H265" s="99"/>
      <c r="I265" s="34"/>
      <c r="L265" s="92"/>
      <c r="M265" s="92"/>
    </row>
    <row r="266" spans="1:14" s="85" customFormat="1" ht="15.75" customHeight="1" x14ac:dyDescent="0.35">
      <c r="A266" s="83">
        <v>1</v>
      </c>
      <c r="B266" s="83" t="s">
        <v>189</v>
      </c>
      <c r="C266" s="83" t="s">
        <v>191</v>
      </c>
      <c r="D266" s="83">
        <f>41.71*10.764</f>
        <v>448.96643999999998</v>
      </c>
      <c r="E266" s="83">
        <v>0</v>
      </c>
      <c r="F266" s="83">
        <f>D266*(($F$218)+1)+(IF(E266&lt;101,E266,IF(E266&lt;201,E266/2,IF(E266&lt;=301,E266/3,E266/4))))</f>
        <v>673.44965999999999</v>
      </c>
      <c r="G266" s="93" t="str">
        <f>A265</f>
        <v>3rd to 5th, 7th to 11th Floor</v>
      </c>
      <c r="H266" s="94"/>
      <c r="I266" s="34"/>
      <c r="N266" s="34"/>
    </row>
    <row r="267" spans="1:14" s="85" customFormat="1" ht="15.75" customHeight="1" x14ac:dyDescent="0.35">
      <c r="A267" s="83">
        <v>2</v>
      </c>
      <c r="B267" s="83" t="s">
        <v>190</v>
      </c>
      <c r="C267" s="83" t="s">
        <v>192</v>
      </c>
      <c r="D267" s="83">
        <f>51.93*10.764</f>
        <v>558.97451999999998</v>
      </c>
      <c r="E267" s="83">
        <v>0</v>
      </c>
      <c r="F267" s="83">
        <f>D267*(($F$218)+1)+(IF(E267&lt;101,E267,IF(E267&lt;201,E267/2,IF(E267&lt;=301,E267/3,E267/4))))</f>
        <v>838.46177999999998</v>
      </c>
      <c r="G267" s="95"/>
      <c r="H267" s="96"/>
      <c r="I267" s="34"/>
      <c r="N267" s="34"/>
    </row>
    <row r="268" spans="1:14" s="85" customFormat="1" ht="15.75" customHeight="1" x14ac:dyDescent="0.35">
      <c r="A268" s="83">
        <f>A267+1</f>
        <v>3</v>
      </c>
      <c r="B268" s="83" t="s">
        <v>190</v>
      </c>
      <c r="C268" s="83" t="s">
        <v>192</v>
      </c>
      <c r="D268" s="83">
        <f>51.99*10.764</f>
        <v>559.62036000000001</v>
      </c>
      <c r="E268" s="83">
        <v>0</v>
      </c>
      <c r="F268" s="83">
        <f>D268*(($F$218)+1)+(IF(E268&lt;101,E268,IF(E268&lt;201,E268/2,IF(E268&lt;=301,E268/3,E268/4))))</f>
        <v>839.43054000000006</v>
      </c>
      <c r="G268" s="95"/>
      <c r="H268" s="96"/>
      <c r="I268" s="34"/>
      <c r="N268" s="34"/>
    </row>
    <row r="269" spans="1:14" s="85" customFormat="1" ht="15.75" customHeight="1" x14ac:dyDescent="0.35">
      <c r="A269" s="83">
        <f>A268+1</f>
        <v>4</v>
      </c>
      <c r="B269" s="83" t="s">
        <v>189</v>
      </c>
      <c r="C269" s="83" t="s">
        <v>191</v>
      </c>
      <c r="D269" s="87">
        <f>41.79*10.764</f>
        <v>449.82755999999995</v>
      </c>
      <c r="E269" s="83">
        <v>0</v>
      </c>
      <c r="F269" s="83">
        <f>D269*(($F$218)+1)+(IF(E269&lt;101,E269,IF(E269&lt;201,E269/2,IF(E269&lt;=301,E269/3,E269/4))))</f>
        <v>674.74133999999992</v>
      </c>
      <c r="G269" s="97"/>
      <c r="H269" s="98"/>
      <c r="I269" s="34"/>
      <c r="N269" s="34"/>
    </row>
    <row r="270" spans="1:14" s="85" customFormat="1" x14ac:dyDescent="0.35">
      <c r="A270" s="99" t="s">
        <v>222</v>
      </c>
      <c r="B270" s="99"/>
      <c r="C270" s="99"/>
      <c r="D270" s="99"/>
      <c r="E270" s="99"/>
      <c r="F270" s="99"/>
      <c r="G270" s="99"/>
      <c r="H270" s="99"/>
      <c r="I270" s="34"/>
      <c r="L270" s="92"/>
      <c r="M270" s="92"/>
    </row>
    <row r="271" spans="1:14" s="85" customFormat="1" ht="15.75" customHeight="1" x14ac:dyDescent="0.35">
      <c r="A271" s="83">
        <v>1</v>
      </c>
      <c r="B271" s="83" t="s">
        <v>189</v>
      </c>
      <c r="C271" s="83" t="s">
        <v>191</v>
      </c>
      <c r="D271" s="83">
        <f>41.71*10.764</f>
        <v>448.96643999999998</v>
      </c>
      <c r="E271" s="83">
        <v>0</v>
      </c>
      <c r="F271" s="83">
        <f>D271*(($F$218)+1)+(IF(E271&lt;101,E271,IF(E271&lt;201,E271/2,IF(E271&lt;=301,E271/3,E271/4))))</f>
        <v>673.44965999999999</v>
      </c>
      <c r="G271" s="93" t="str">
        <f>A270</f>
        <v xml:space="preserve"> 12th Floor</v>
      </c>
      <c r="H271" s="94"/>
      <c r="I271" s="34"/>
      <c r="N271" s="34"/>
    </row>
    <row r="272" spans="1:14" s="85" customFormat="1" ht="15.75" customHeight="1" x14ac:dyDescent="0.35">
      <c r="A272" s="83">
        <v>2</v>
      </c>
      <c r="B272" s="83" t="s">
        <v>189</v>
      </c>
      <c r="C272" s="83" t="s">
        <v>192</v>
      </c>
      <c r="D272" s="83">
        <f>51.93*10.764</f>
        <v>558.97451999999998</v>
      </c>
      <c r="E272" s="83">
        <v>0</v>
      </c>
      <c r="F272" s="83">
        <f>D272*(($F$218)+1)+(IF(E272&lt;101,E272,IF(E272&lt;201,E272/2,IF(E272&lt;=301,E272/3,E272/4))))</f>
        <v>838.46177999999998</v>
      </c>
      <c r="G272" s="95"/>
      <c r="H272" s="96"/>
      <c r="I272" s="34"/>
      <c r="N272" s="34"/>
    </row>
    <row r="273" spans="1:14" s="85" customFormat="1" ht="15.75" customHeight="1" x14ac:dyDescent="0.35">
      <c r="A273" s="83">
        <f>A272+1</f>
        <v>3</v>
      </c>
      <c r="B273" s="83" t="s">
        <v>189</v>
      </c>
      <c r="C273" s="83" t="s">
        <v>192</v>
      </c>
      <c r="D273" s="83">
        <f>51.99*10.764</f>
        <v>559.62036000000001</v>
      </c>
      <c r="E273" s="83">
        <v>0</v>
      </c>
      <c r="F273" s="83">
        <f>D273*(($F$218)+1)+(IF(E273&lt;101,E273,IF(E273&lt;201,E273/2,IF(E273&lt;=301,E273/3,E273/4))))</f>
        <v>839.43054000000006</v>
      </c>
      <c r="G273" s="95"/>
      <c r="H273" s="96"/>
      <c r="I273" s="34"/>
      <c r="N273" s="34"/>
    </row>
    <row r="274" spans="1:14" s="85" customFormat="1" ht="15.75" customHeight="1" x14ac:dyDescent="0.35">
      <c r="A274" s="83">
        <f>A273+1</f>
        <v>4</v>
      </c>
      <c r="B274" s="83" t="s">
        <v>189</v>
      </c>
      <c r="C274" s="83" t="s">
        <v>191</v>
      </c>
      <c r="D274" s="87">
        <f>41.79*10.764</f>
        <v>449.82755999999995</v>
      </c>
      <c r="E274" s="83">
        <v>0</v>
      </c>
      <c r="F274" s="83">
        <f>D274*(($F$218)+1)+(IF(E274&lt;101,E274,IF(E274&lt;201,E274/2,IF(E274&lt;=301,E274/3,E274/4))))</f>
        <v>674.74133999999992</v>
      </c>
      <c r="G274" s="97"/>
      <c r="H274" s="98"/>
      <c r="I274" s="34"/>
      <c r="N274" s="34"/>
    </row>
    <row r="275" spans="1:14" s="85" customFormat="1" x14ac:dyDescent="0.35">
      <c r="A275" s="99" t="s">
        <v>224</v>
      </c>
      <c r="B275" s="99"/>
      <c r="C275" s="99"/>
      <c r="D275" s="99"/>
      <c r="E275" s="99"/>
      <c r="F275" s="99"/>
      <c r="G275" s="99"/>
      <c r="H275" s="99"/>
      <c r="I275" s="34"/>
      <c r="L275" s="92"/>
      <c r="M275" s="92"/>
    </row>
    <row r="276" spans="1:14" s="85" customFormat="1" ht="15.75" customHeight="1" x14ac:dyDescent="0.35">
      <c r="A276" s="83">
        <v>1</v>
      </c>
      <c r="B276" s="83" t="s">
        <v>189</v>
      </c>
      <c r="C276" s="83" t="s">
        <v>191</v>
      </c>
      <c r="D276" s="83">
        <f>41.71*10.764</f>
        <v>448.96643999999998</v>
      </c>
      <c r="E276" s="83">
        <v>0</v>
      </c>
      <c r="F276" s="83">
        <f>D276*(($F$218)+1)+(IF(E276&lt;101,E276,IF(E276&lt;201,E276/2,IF(E276&lt;=301,E276/3,E276/4))))</f>
        <v>673.44965999999999</v>
      </c>
      <c r="G276" s="93" t="str">
        <f>A275</f>
        <v>6th Floor (Part Refuge Area)</v>
      </c>
      <c r="H276" s="94"/>
      <c r="I276" s="34"/>
      <c r="N276" s="34"/>
    </row>
    <row r="277" spans="1:14" s="85" customFormat="1" ht="15.75" customHeight="1" x14ac:dyDescent="0.35">
      <c r="A277" s="83">
        <v>2</v>
      </c>
      <c r="B277" s="83" t="s">
        <v>190</v>
      </c>
      <c r="C277" s="83" t="s">
        <v>192</v>
      </c>
      <c r="D277" s="83">
        <f>51.93*10.764</f>
        <v>558.97451999999998</v>
      </c>
      <c r="E277" s="83">
        <v>0</v>
      </c>
      <c r="F277" s="83">
        <f>D277*(($F$218)+1)+(IF(E277&lt;101,E277,IF(E277&lt;201,E277/2,IF(E277&lt;=301,E277/3,E277/4))))</f>
        <v>838.46177999999998</v>
      </c>
      <c r="G277" s="95"/>
      <c r="H277" s="96"/>
      <c r="I277" s="34"/>
      <c r="N277" s="34"/>
    </row>
    <row r="278" spans="1:14" s="85" customFormat="1" ht="15.75" customHeight="1" x14ac:dyDescent="0.35">
      <c r="A278" s="83">
        <f>A277+1</f>
        <v>3</v>
      </c>
      <c r="B278" s="104" t="s">
        <v>225</v>
      </c>
      <c r="C278" s="105" t="s">
        <v>192</v>
      </c>
      <c r="D278" s="105">
        <f>51.99*10.764</f>
        <v>559.62036000000001</v>
      </c>
      <c r="E278" s="105">
        <v>0</v>
      </c>
      <c r="F278" s="106">
        <f>D278*(($F$218)+1)+(IF(E278&lt;101,E278,IF(E278&lt;201,E278/2,IF(E278&lt;=301,E278/3,E278/4))))</f>
        <v>839.43054000000006</v>
      </c>
      <c r="G278" s="95"/>
      <c r="H278" s="96"/>
      <c r="I278" s="34"/>
      <c r="N278" s="34"/>
    </row>
    <row r="279" spans="1:14" s="85" customFormat="1" ht="15.75" customHeight="1" x14ac:dyDescent="0.35">
      <c r="A279" s="83">
        <f>A278+1</f>
        <v>4</v>
      </c>
      <c r="B279" s="83" t="s">
        <v>189</v>
      </c>
      <c r="C279" s="83" t="s">
        <v>191</v>
      </c>
      <c r="D279" s="87">
        <f>41.79*10.764</f>
        <v>449.82755999999995</v>
      </c>
      <c r="E279" s="83">
        <v>0</v>
      </c>
      <c r="F279" s="83">
        <f>D279*(($F$218)+1)+(IF(E279&lt;101,E279,IF(E279&lt;201,E279/2,IF(E279&lt;=301,E279/3,E279/4))))</f>
        <v>674.74133999999992</v>
      </c>
      <c r="G279" s="97"/>
      <c r="H279" s="98"/>
      <c r="I279" s="34"/>
      <c r="N279" s="34"/>
    </row>
    <row r="280" spans="1:14" s="85" customFormat="1" x14ac:dyDescent="0.35">
      <c r="A280" s="99" t="s">
        <v>226</v>
      </c>
      <c r="B280" s="99"/>
      <c r="C280" s="99"/>
      <c r="D280" s="99"/>
      <c r="E280" s="99"/>
      <c r="F280" s="99"/>
      <c r="G280" s="99"/>
      <c r="H280" s="99"/>
      <c r="I280" s="34"/>
      <c r="L280" s="92"/>
      <c r="M280" s="92"/>
    </row>
    <row r="281" spans="1:14" s="85" customFormat="1" ht="15.75" customHeight="1" x14ac:dyDescent="0.35">
      <c r="A281" s="83">
        <v>1</v>
      </c>
      <c r="B281" s="83" t="s">
        <v>189</v>
      </c>
      <c r="C281" s="83" t="s">
        <v>191</v>
      </c>
      <c r="D281" s="83">
        <f>41.71*10.764</f>
        <v>448.96643999999998</v>
      </c>
      <c r="E281" s="83">
        <v>0</v>
      </c>
      <c r="F281" s="83">
        <f>D281*(($F$218)+1)+(IF(E281&lt;101,E281,IF(E281&lt;201,E281/2,IF(E281&lt;=301,E281/3,E281/4))))</f>
        <v>673.44965999999999</v>
      </c>
      <c r="G281" s="93" t="str">
        <f>A280</f>
        <v>13th Floor (Part Refuge Area)</v>
      </c>
      <c r="H281" s="94"/>
      <c r="I281" s="34"/>
      <c r="N281" s="34"/>
    </row>
    <row r="282" spans="1:14" s="85" customFormat="1" ht="15.75" customHeight="1" x14ac:dyDescent="0.35">
      <c r="A282" s="83">
        <v>2</v>
      </c>
      <c r="B282" s="83" t="s">
        <v>189</v>
      </c>
      <c r="C282" s="83" t="s">
        <v>192</v>
      </c>
      <c r="D282" s="83">
        <f>51.93*10.764</f>
        <v>558.97451999999998</v>
      </c>
      <c r="E282" s="83">
        <v>0</v>
      </c>
      <c r="F282" s="83">
        <f>D282*(($F$218)+1)+(IF(E282&lt;101,E282,IF(E282&lt;201,E282/2,IF(E282&lt;=301,E282/3,E282/4))))</f>
        <v>838.46177999999998</v>
      </c>
      <c r="G282" s="95"/>
      <c r="H282" s="96"/>
      <c r="I282" s="34"/>
      <c r="N282" s="34"/>
    </row>
    <row r="283" spans="1:14" s="85" customFormat="1" ht="15.75" customHeight="1" x14ac:dyDescent="0.35">
      <c r="A283" s="83">
        <f>A282+1</f>
        <v>3</v>
      </c>
      <c r="B283" s="104" t="s">
        <v>225</v>
      </c>
      <c r="C283" s="105" t="s">
        <v>192</v>
      </c>
      <c r="D283" s="105">
        <f>51.99*10.764</f>
        <v>559.62036000000001</v>
      </c>
      <c r="E283" s="105">
        <v>0</v>
      </c>
      <c r="F283" s="106">
        <f>D283*(($F$218)+1)+(IF(E283&lt;101,E283,IF(E283&lt;201,E283/2,IF(E283&lt;=301,E283/3,E283/4))))</f>
        <v>839.43054000000006</v>
      </c>
      <c r="G283" s="95"/>
      <c r="H283" s="96"/>
      <c r="I283" s="34"/>
      <c r="N283" s="34"/>
    </row>
    <row r="284" spans="1:14" s="85" customFormat="1" ht="15.75" customHeight="1" x14ac:dyDescent="0.35">
      <c r="A284" s="83">
        <f>A283+1</f>
        <v>4</v>
      </c>
      <c r="B284" s="83" t="s">
        <v>189</v>
      </c>
      <c r="C284" s="83" t="s">
        <v>191</v>
      </c>
      <c r="D284" s="87">
        <f>41.79*10.764</f>
        <v>449.82755999999995</v>
      </c>
      <c r="E284" s="83">
        <v>0</v>
      </c>
      <c r="F284" s="83">
        <f>D284*(($F$218)+1)+(IF(E284&lt;101,E284,IF(E284&lt;201,E284/2,IF(E284&lt;=301,E284/3,E284/4))))</f>
        <v>674.74133999999992</v>
      </c>
      <c r="G284" s="97"/>
      <c r="H284" s="98"/>
      <c r="I284" s="34"/>
      <c r="N284" s="34"/>
    </row>
    <row r="285" spans="1:14" s="85" customFormat="1" x14ac:dyDescent="0.35">
      <c r="A285" s="99" t="s">
        <v>227</v>
      </c>
      <c r="B285" s="99"/>
      <c r="C285" s="99"/>
      <c r="D285" s="99"/>
      <c r="E285" s="99"/>
      <c r="F285" s="99"/>
      <c r="G285" s="99"/>
      <c r="H285" s="99"/>
      <c r="I285" s="34"/>
      <c r="L285" s="92"/>
      <c r="M285" s="92"/>
    </row>
    <row r="286" spans="1:14" s="85" customFormat="1" x14ac:dyDescent="0.35">
      <c r="A286" s="83">
        <v>1</v>
      </c>
      <c r="B286" s="83" t="s">
        <v>189</v>
      </c>
      <c r="C286" s="83" t="s">
        <v>191</v>
      </c>
      <c r="D286" s="83">
        <f>41.71*10.764</f>
        <v>448.96643999999998</v>
      </c>
      <c r="E286" s="83">
        <v>0</v>
      </c>
      <c r="F286" s="83">
        <f>D286*(($F$218)+1)+(IF(E286&lt;101,E286,IF(E286&lt;201,E286/2,IF(E286&lt;=301,E286/3,E286/4))))</f>
        <v>673.44965999999999</v>
      </c>
      <c r="G286" s="93" t="str">
        <f>A285</f>
        <v>14th Floor</v>
      </c>
      <c r="H286" s="94"/>
      <c r="I286" s="34"/>
      <c r="N286" s="34"/>
    </row>
    <row r="287" spans="1:14" s="85" customFormat="1" x14ac:dyDescent="0.35">
      <c r="A287" s="83">
        <v>2</v>
      </c>
      <c r="B287" s="83" t="s">
        <v>189</v>
      </c>
      <c r="C287" s="83" t="s">
        <v>192</v>
      </c>
      <c r="D287" s="83">
        <f>51.14*10.764</f>
        <v>550.47095999999999</v>
      </c>
      <c r="E287" s="83">
        <v>0</v>
      </c>
      <c r="F287" s="83">
        <f>D287*(($F$218)+1)+(IF(E287&lt;101,E287,IF(E287&lt;201,E287/2,IF(E287&lt;=301,E287/3,E287/4))))</f>
        <v>825.70643999999993</v>
      </c>
      <c r="G287" s="95"/>
      <c r="H287" s="96"/>
      <c r="I287" s="34"/>
      <c r="N287" s="34"/>
    </row>
    <row r="288" spans="1:14" s="85" customFormat="1" x14ac:dyDescent="0.35">
      <c r="A288" s="83">
        <f>A287+1</f>
        <v>3</v>
      </c>
      <c r="B288" s="83" t="s">
        <v>189</v>
      </c>
      <c r="C288" s="83" t="s">
        <v>192</v>
      </c>
      <c r="D288" s="83">
        <f>51.21*10.764</f>
        <v>551.22443999999996</v>
      </c>
      <c r="E288" s="83">
        <v>0</v>
      </c>
      <c r="F288" s="83">
        <f>D288*(($F$218)+1)+(IF(E288&lt;101,E288,IF(E288&lt;201,E288/2,IF(E288&lt;=301,E288/3,E288/4))))</f>
        <v>826.83665999999994</v>
      </c>
      <c r="G288" s="95"/>
      <c r="H288" s="96"/>
      <c r="I288" s="34"/>
      <c r="N288" s="34"/>
    </row>
    <row r="289" spans="1:14" s="85" customFormat="1" x14ac:dyDescent="0.35">
      <c r="A289" s="83">
        <f>A288+1</f>
        <v>4</v>
      </c>
      <c r="B289" s="83" t="s">
        <v>189</v>
      </c>
      <c r="C289" s="83" t="s">
        <v>191</v>
      </c>
      <c r="D289" s="87">
        <f>41.79*10.764</f>
        <v>449.82755999999995</v>
      </c>
      <c r="E289" s="83">
        <v>0</v>
      </c>
      <c r="F289" s="83">
        <f>D289*(($F$218)+1)+(IF(E289&lt;101,E289,IF(E289&lt;201,E289/2,IF(E289&lt;=301,E289/3,E289/4))))</f>
        <v>674.74133999999992</v>
      </c>
      <c r="G289" s="97"/>
      <c r="H289" s="98"/>
      <c r="I289" s="34"/>
      <c r="N289" s="34"/>
    </row>
    <row r="290" spans="1:14" s="85" customFormat="1" x14ac:dyDescent="0.35">
      <c r="A290" s="99" t="s">
        <v>228</v>
      </c>
      <c r="B290" s="99"/>
      <c r="C290" s="99"/>
      <c r="D290" s="99"/>
      <c r="E290" s="99"/>
      <c r="F290" s="99"/>
      <c r="G290" s="99"/>
      <c r="H290" s="99"/>
      <c r="I290" s="34"/>
      <c r="L290" s="92"/>
      <c r="M290" s="92"/>
    </row>
    <row r="291" spans="1:14" s="85" customFormat="1" x14ac:dyDescent="0.35">
      <c r="A291" s="83">
        <v>1</v>
      </c>
      <c r="B291" s="83" t="s">
        <v>189</v>
      </c>
      <c r="C291" s="83" t="s">
        <v>191</v>
      </c>
      <c r="D291" s="83">
        <f>41.71*10.764</f>
        <v>448.96643999999998</v>
      </c>
      <c r="E291" s="83">
        <v>0</v>
      </c>
      <c r="F291" s="83">
        <f>D291*(($F$218)+1)+(IF(E291&lt;101,E291,IF(E291&lt;201,E291/2,IF(E291&lt;=301,E291/3,E291/4))))</f>
        <v>673.44965999999999</v>
      </c>
      <c r="G291" s="93" t="str">
        <f>A290</f>
        <v>15th &amp; 16th Floor</v>
      </c>
      <c r="H291" s="94"/>
      <c r="I291" s="34"/>
      <c r="N291" s="34"/>
    </row>
    <row r="292" spans="1:14" s="85" customFormat="1" x14ac:dyDescent="0.35">
      <c r="A292" s="83">
        <v>2</v>
      </c>
      <c r="B292" s="83" t="s">
        <v>189</v>
      </c>
      <c r="C292" s="83" t="s">
        <v>192</v>
      </c>
      <c r="D292" s="83">
        <f>51.14*10.764</f>
        <v>550.47095999999999</v>
      </c>
      <c r="E292" s="83">
        <v>0</v>
      </c>
      <c r="F292" s="83">
        <f>D292*(($F$218)+1)+(IF(E292&lt;101,E292,IF(E292&lt;201,E292/2,IF(E292&lt;=301,E292/3,E292/4))))</f>
        <v>825.70643999999993</v>
      </c>
      <c r="G292" s="95"/>
      <c r="H292" s="96"/>
      <c r="I292" s="34"/>
      <c r="N292" s="34"/>
    </row>
    <row r="293" spans="1:14" s="85" customFormat="1" x14ac:dyDescent="0.35">
      <c r="A293" s="83">
        <f>A292+1</f>
        <v>3</v>
      </c>
      <c r="B293" s="83" t="s">
        <v>189</v>
      </c>
      <c r="C293" s="83" t="s">
        <v>192</v>
      </c>
      <c r="D293" s="83">
        <f>51.21*10.764</f>
        <v>551.22443999999996</v>
      </c>
      <c r="E293" s="83">
        <v>0</v>
      </c>
      <c r="F293" s="83">
        <f>D293*(($F$218)+1)+(IF(E293&lt;101,E293,IF(E293&lt;201,E293/2,IF(E293&lt;=301,E293/3,E293/4))))</f>
        <v>826.83665999999994</v>
      </c>
      <c r="G293" s="95"/>
      <c r="H293" s="96"/>
      <c r="I293" s="34"/>
      <c r="N293" s="34"/>
    </row>
    <row r="294" spans="1:14" s="85" customFormat="1" x14ac:dyDescent="0.35">
      <c r="A294" s="83">
        <f>A293+1</f>
        <v>4</v>
      </c>
      <c r="B294" s="83" t="s">
        <v>189</v>
      </c>
      <c r="C294" s="83" t="s">
        <v>191</v>
      </c>
      <c r="D294" s="87">
        <f>41.79*10.764</f>
        <v>449.82755999999995</v>
      </c>
      <c r="E294" s="83">
        <v>0</v>
      </c>
      <c r="F294" s="83">
        <f>D294*(($F$218)+1)+(IF(E294&lt;101,E294,IF(E294&lt;201,E294/2,IF(E294&lt;=301,E294/3,E294/4))))</f>
        <v>674.74133999999992</v>
      </c>
      <c r="G294" s="97"/>
      <c r="H294" s="98"/>
      <c r="I294" s="34"/>
      <c r="N294" s="34"/>
    </row>
    <row r="295" spans="1:14" s="85" customFormat="1" x14ac:dyDescent="0.35">
      <c r="A295" s="99" t="s">
        <v>229</v>
      </c>
      <c r="B295" s="99"/>
      <c r="C295" s="99"/>
      <c r="D295" s="99"/>
      <c r="E295" s="99"/>
      <c r="F295" s="99"/>
      <c r="G295" s="99"/>
      <c r="H295" s="99"/>
      <c r="I295" s="34"/>
      <c r="L295" s="92"/>
      <c r="M295" s="92"/>
    </row>
    <row r="296" spans="1:14" s="85" customFormat="1" x14ac:dyDescent="0.35">
      <c r="A296" s="83">
        <v>1</v>
      </c>
      <c r="B296" s="83" t="s">
        <v>189</v>
      </c>
      <c r="C296" s="83" t="s">
        <v>191</v>
      </c>
      <c r="D296" s="83">
        <f>41.71*10.764</f>
        <v>448.96643999999998</v>
      </c>
      <c r="E296" s="83">
        <v>0</v>
      </c>
      <c r="F296" s="83">
        <f>D296*(($F$218)+1)+(IF(E296&lt;101,E296,IF(E296&lt;201,E296/2,IF(E296&lt;=301,E296/3,E296/4))))</f>
        <v>673.44965999999999</v>
      </c>
      <c r="G296" s="93" t="str">
        <f>A295</f>
        <v>17th Floor</v>
      </c>
      <c r="H296" s="94"/>
      <c r="I296" s="34"/>
      <c r="N296" s="34"/>
    </row>
    <row r="297" spans="1:14" s="85" customFormat="1" x14ac:dyDescent="0.35">
      <c r="A297" s="83">
        <v>2</v>
      </c>
      <c r="B297" s="83" t="s">
        <v>189</v>
      </c>
      <c r="C297" s="83" t="s">
        <v>192</v>
      </c>
      <c r="D297" s="83">
        <f>51.14*10.764</f>
        <v>550.47095999999999</v>
      </c>
      <c r="E297" s="83">
        <v>0</v>
      </c>
      <c r="F297" s="83">
        <f>D297*(($F$218)+1)+(IF(E297&lt;101,E297,IF(E297&lt;201,E297/2,IF(E297&lt;=301,E297/3,E297/4))))</f>
        <v>825.70643999999993</v>
      </c>
      <c r="G297" s="95"/>
      <c r="H297" s="96"/>
      <c r="I297" s="34"/>
      <c r="N297" s="34"/>
    </row>
    <row r="298" spans="1:14" s="85" customFormat="1" x14ac:dyDescent="0.35">
      <c r="A298" s="83">
        <f>A297+1</f>
        <v>3</v>
      </c>
      <c r="B298" s="83" t="s">
        <v>203</v>
      </c>
      <c r="C298" s="104" t="s">
        <v>202</v>
      </c>
      <c r="D298" s="105"/>
      <c r="E298" s="105"/>
      <c r="F298" s="106"/>
      <c r="G298" s="95"/>
      <c r="H298" s="96"/>
      <c r="I298" s="34"/>
      <c r="N298" s="34"/>
    </row>
    <row r="299" spans="1:14" s="85" customFormat="1" x14ac:dyDescent="0.35">
      <c r="A299" s="83">
        <f>A298+1</f>
        <v>4</v>
      </c>
      <c r="B299" s="83" t="s">
        <v>189</v>
      </c>
      <c r="C299" s="83" t="s">
        <v>191</v>
      </c>
      <c r="D299" s="83">
        <f>41.79*10.764</f>
        <v>449.82755999999995</v>
      </c>
      <c r="E299" s="83">
        <v>0</v>
      </c>
      <c r="F299" s="83">
        <f>D299*(($F$218)+1)+(IF(E299&lt;101,E299,IF(E299&lt;201,E299/2,IF(E299&lt;=301,E299/3,E299/4))))</f>
        <v>674.74133999999992</v>
      </c>
      <c r="G299" s="97"/>
      <c r="H299" s="98"/>
      <c r="I299" s="34"/>
      <c r="N299" s="34"/>
    </row>
    <row r="300" spans="1:14" x14ac:dyDescent="0.35">
      <c r="A300" s="107" t="s">
        <v>174</v>
      </c>
      <c r="B300" s="107"/>
      <c r="C300" s="107"/>
      <c r="D300" s="107"/>
      <c r="E300" s="107"/>
      <c r="F300" s="107"/>
      <c r="G300" s="107"/>
      <c r="H300" s="107"/>
    </row>
    <row r="301" spans="1:14" s="85" customFormat="1" x14ac:dyDescent="0.35">
      <c r="A301" s="99" t="s">
        <v>188</v>
      </c>
      <c r="B301" s="99"/>
      <c r="C301" s="99"/>
      <c r="D301" s="99"/>
      <c r="E301" s="99"/>
      <c r="F301" s="99"/>
      <c r="G301" s="99"/>
      <c r="H301" s="99"/>
      <c r="I301" s="34"/>
      <c r="L301" s="92"/>
      <c r="M301" s="92"/>
    </row>
    <row r="302" spans="1:14" s="85" customFormat="1" ht="15.75" customHeight="1" x14ac:dyDescent="0.35">
      <c r="A302" s="83">
        <v>1</v>
      </c>
      <c r="B302" s="83" t="s">
        <v>189</v>
      </c>
      <c r="C302" s="83" t="s">
        <v>191</v>
      </c>
      <c r="D302" s="83">
        <f>42.41*10.764</f>
        <v>456.50123999999994</v>
      </c>
      <c r="E302" s="83">
        <v>0</v>
      </c>
      <c r="F302" s="83">
        <f>D302*(($F$218)+1)+(IF(E302&lt;101,E302,IF(E302&lt;201,E302/2,IF(E302&lt;=301,E302/3,E302/4))))</f>
        <v>684.75185999999985</v>
      </c>
      <c r="G302" s="93" t="str">
        <f>A301</f>
        <v>2nd Floor for Residential</v>
      </c>
      <c r="H302" s="94"/>
      <c r="I302" s="34"/>
      <c r="N302" s="34"/>
    </row>
    <row r="303" spans="1:14" s="85" customFormat="1" ht="15.75" customHeight="1" x14ac:dyDescent="0.35">
      <c r="A303" s="83">
        <v>2</v>
      </c>
      <c r="B303" s="83" t="s">
        <v>190</v>
      </c>
      <c r="C303" s="83" t="s">
        <v>192</v>
      </c>
      <c r="D303" s="83">
        <f>52.3*10.764</f>
        <v>562.95719999999994</v>
      </c>
      <c r="E303" s="83">
        <v>0</v>
      </c>
      <c r="F303" s="83">
        <f>D303*(($F$218)+1)+(IF(E303&lt;101,E303,IF(E303&lt;201,E303/2,IF(E303&lt;=301,E303/3,E303/4))))</f>
        <v>844.43579999999997</v>
      </c>
      <c r="G303" s="95"/>
      <c r="H303" s="96"/>
      <c r="I303" s="34"/>
      <c r="N303" s="34"/>
    </row>
    <row r="304" spans="1:14" s="85" customFormat="1" ht="15.75" customHeight="1" x14ac:dyDescent="0.35">
      <c r="A304" s="83">
        <f>A303+1</f>
        <v>3</v>
      </c>
      <c r="B304" s="83" t="s">
        <v>190</v>
      </c>
      <c r="C304" s="83" t="s">
        <v>192</v>
      </c>
      <c r="D304" s="83">
        <f>52.04*10.764</f>
        <v>560.15855999999997</v>
      </c>
      <c r="E304" s="83">
        <v>0</v>
      </c>
      <c r="F304" s="83">
        <f>D304*(($F$218)+1)+(IF(E304&lt;101,E304,IF(E304&lt;201,E304/2,IF(E304&lt;=301,E304/3,E304/4))))</f>
        <v>840.23784000000001</v>
      </c>
      <c r="G304" s="95"/>
      <c r="H304" s="96"/>
      <c r="I304" s="34"/>
      <c r="N304" s="34"/>
    </row>
    <row r="305" spans="1:14" s="85" customFormat="1" ht="15.75" customHeight="1" x14ac:dyDescent="0.35">
      <c r="A305" s="83">
        <f>A304+1</f>
        <v>4</v>
      </c>
      <c r="B305" s="83" t="s">
        <v>189</v>
      </c>
      <c r="C305" s="83" t="s">
        <v>191</v>
      </c>
      <c r="D305" s="83">
        <f>41.79*10.764</f>
        <v>449.82755999999995</v>
      </c>
      <c r="E305" s="83">
        <v>0</v>
      </c>
      <c r="F305" s="83">
        <f>D305*(($F$218)+1)+(IF(E305&lt;101,E305,IF(E305&lt;201,E305/2,IF(E305&lt;=301,E305/3,E305/4))))</f>
        <v>674.74133999999992</v>
      </c>
      <c r="G305" s="97"/>
      <c r="H305" s="98"/>
      <c r="I305" s="34"/>
      <c r="N305" s="34"/>
    </row>
    <row r="306" spans="1:14" s="85" customFormat="1" x14ac:dyDescent="0.35">
      <c r="A306" s="99" t="s">
        <v>223</v>
      </c>
      <c r="B306" s="99"/>
      <c r="C306" s="99"/>
      <c r="D306" s="99"/>
      <c r="E306" s="99"/>
      <c r="F306" s="99"/>
      <c r="G306" s="99"/>
      <c r="H306" s="99"/>
      <c r="I306" s="34"/>
      <c r="L306" s="92"/>
      <c r="M306" s="92"/>
    </row>
    <row r="307" spans="1:14" s="85" customFormat="1" ht="15.75" customHeight="1" x14ac:dyDescent="0.35">
      <c r="A307" s="83">
        <v>1</v>
      </c>
      <c r="B307" s="83" t="s">
        <v>189</v>
      </c>
      <c r="C307" s="83" t="s">
        <v>191</v>
      </c>
      <c r="D307" s="83">
        <f>42.41*10.764</f>
        <v>456.50123999999994</v>
      </c>
      <c r="E307" s="83">
        <v>0</v>
      </c>
      <c r="F307" s="83">
        <f>D307*(($F$218)+1)+(IF(E307&lt;101,E307,IF(E307&lt;201,E307/2,IF(E307&lt;=301,E307/3,E307/4))))</f>
        <v>684.75185999999985</v>
      </c>
      <c r="G307" s="93" t="str">
        <f>A306</f>
        <v>3rd to 5th, 7th to 11th Floor</v>
      </c>
      <c r="H307" s="94"/>
      <c r="I307" s="34"/>
      <c r="N307" s="34"/>
    </row>
    <row r="308" spans="1:14" s="85" customFormat="1" ht="15.75" customHeight="1" x14ac:dyDescent="0.35">
      <c r="A308" s="83">
        <v>2</v>
      </c>
      <c r="B308" s="83" t="s">
        <v>190</v>
      </c>
      <c r="C308" s="83" t="s">
        <v>192</v>
      </c>
      <c r="D308" s="83">
        <f>52.3*10.764</f>
        <v>562.95719999999994</v>
      </c>
      <c r="E308" s="83">
        <v>0</v>
      </c>
      <c r="F308" s="83">
        <f>D308*(($F$218)+1)+(IF(E308&lt;101,E308,IF(E308&lt;201,E308/2,IF(E308&lt;=301,E308/3,E308/4))))</f>
        <v>844.43579999999997</v>
      </c>
      <c r="G308" s="95"/>
      <c r="H308" s="96"/>
      <c r="I308" s="34"/>
      <c r="N308" s="34"/>
    </row>
    <row r="309" spans="1:14" s="85" customFormat="1" ht="15.75" customHeight="1" x14ac:dyDescent="0.35">
      <c r="A309" s="83">
        <f>A308+1</f>
        <v>3</v>
      </c>
      <c r="B309" s="83" t="s">
        <v>190</v>
      </c>
      <c r="C309" s="83" t="s">
        <v>192</v>
      </c>
      <c r="D309" s="83">
        <f>52.04*10.764</f>
        <v>560.15855999999997</v>
      </c>
      <c r="E309" s="83">
        <v>0</v>
      </c>
      <c r="F309" s="83">
        <f>D309*(($F$218)+1)+(IF(E309&lt;101,E309,IF(E309&lt;201,E309/2,IF(E309&lt;=301,E309/3,E309/4))))</f>
        <v>840.23784000000001</v>
      </c>
      <c r="G309" s="95"/>
      <c r="H309" s="96"/>
      <c r="I309" s="34"/>
      <c r="N309" s="34"/>
    </row>
    <row r="310" spans="1:14" s="85" customFormat="1" ht="15.75" customHeight="1" x14ac:dyDescent="0.35">
      <c r="A310" s="83">
        <f>A309+1</f>
        <v>4</v>
      </c>
      <c r="B310" s="83" t="s">
        <v>189</v>
      </c>
      <c r="C310" s="83" t="s">
        <v>191</v>
      </c>
      <c r="D310" s="83">
        <f>41.79*10.764</f>
        <v>449.82755999999995</v>
      </c>
      <c r="E310" s="83">
        <v>0</v>
      </c>
      <c r="F310" s="83">
        <f>D310*(($F$218)+1)+(IF(E310&lt;101,E310,IF(E310&lt;201,E310/2,IF(E310&lt;=301,E310/3,E310/4))))</f>
        <v>674.74133999999992</v>
      </c>
      <c r="G310" s="97"/>
      <c r="H310" s="98"/>
      <c r="I310" s="34"/>
      <c r="N310" s="34"/>
    </row>
    <row r="311" spans="1:14" s="85" customFormat="1" x14ac:dyDescent="0.35">
      <c r="A311" s="99" t="s">
        <v>222</v>
      </c>
      <c r="B311" s="99"/>
      <c r="C311" s="99"/>
      <c r="D311" s="99"/>
      <c r="E311" s="99"/>
      <c r="F311" s="99"/>
      <c r="G311" s="99"/>
      <c r="H311" s="99"/>
      <c r="I311" s="34"/>
      <c r="L311" s="92"/>
      <c r="M311" s="92"/>
    </row>
    <row r="312" spans="1:14" s="85" customFormat="1" ht="15.75" customHeight="1" x14ac:dyDescent="0.35">
      <c r="A312" s="83">
        <v>1</v>
      </c>
      <c r="B312" s="83" t="s">
        <v>189</v>
      </c>
      <c r="C312" s="83" t="s">
        <v>191</v>
      </c>
      <c r="D312" s="83">
        <f>42.41*10.764</f>
        <v>456.50123999999994</v>
      </c>
      <c r="E312" s="83">
        <v>0</v>
      </c>
      <c r="F312" s="83">
        <f>D312*(($F$218)+1)+(IF(E312&lt;101,E312,IF(E312&lt;201,E312/2,IF(E312&lt;=301,E312/3,E312/4))))</f>
        <v>684.75185999999985</v>
      </c>
      <c r="G312" s="93" t="str">
        <f>A311</f>
        <v xml:space="preserve"> 12th Floor</v>
      </c>
      <c r="H312" s="94"/>
      <c r="I312" s="34"/>
      <c r="N312" s="34"/>
    </row>
    <row r="313" spans="1:14" s="85" customFormat="1" ht="15.75" customHeight="1" x14ac:dyDescent="0.35">
      <c r="A313" s="83">
        <v>2</v>
      </c>
      <c r="B313" s="83" t="s">
        <v>189</v>
      </c>
      <c r="C313" s="83" t="s">
        <v>192</v>
      </c>
      <c r="D313" s="83">
        <f>52.3*10.764</f>
        <v>562.95719999999994</v>
      </c>
      <c r="E313" s="83">
        <v>0</v>
      </c>
      <c r="F313" s="83">
        <f>D313*(($F$218)+1)+(IF(E313&lt;101,E313,IF(E313&lt;201,E313/2,IF(E313&lt;=301,E313/3,E313/4))))</f>
        <v>844.43579999999997</v>
      </c>
      <c r="G313" s="95"/>
      <c r="H313" s="96"/>
      <c r="I313" s="34"/>
      <c r="N313" s="34"/>
    </row>
    <row r="314" spans="1:14" s="85" customFormat="1" ht="15.75" customHeight="1" x14ac:dyDescent="0.35">
      <c r="A314" s="83">
        <f>A313+1</f>
        <v>3</v>
      </c>
      <c r="B314" s="83" t="s">
        <v>189</v>
      </c>
      <c r="C314" s="83" t="s">
        <v>192</v>
      </c>
      <c r="D314" s="83">
        <f>52.04*10.764</f>
        <v>560.15855999999997</v>
      </c>
      <c r="E314" s="83">
        <v>0</v>
      </c>
      <c r="F314" s="83">
        <f>D314*(($F$218)+1)+(IF(E314&lt;101,E314,IF(E314&lt;201,E314/2,IF(E314&lt;=301,E314/3,E314/4))))</f>
        <v>840.23784000000001</v>
      </c>
      <c r="G314" s="95"/>
      <c r="H314" s="96"/>
      <c r="I314" s="34"/>
      <c r="N314" s="34"/>
    </row>
    <row r="315" spans="1:14" s="85" customFormat="1" ht="15.75" customHeight="1" x14ac:dyDescent="0.35">
      <c r="A315" s="83">
        <f>A314+1</f>
        <v>4</v>
      </c>
      <c r="B315" s="83" t="s">
        <v>189</v>
      </c>
      <c r="C315" s="83" t="s">
        <v>191</v>
      </c>
      <c r="D315" s="83">
        <f>41.79*10.764</f>
        <v>449.82755999999995</v>
      </c>
      <c r="E315" s="83">
        <v>0</v>
      </c>
      <c r="F315" s="83">
        <f>D315*(($F$218)+1)+(IF(E315&lt;101,E315,IF(E315&lt;201,E315/2,IF(E315&lt;=301,E315/3,E315/4))))</f>
        <v>674.74133999999992</v>
      </c>
      <c r="G315" s="97"/>
      <c r="H315" s="98"/>
      <c r="I315" s="34"/>
      <c r="N315" s="34"/>
    </row>
    <row r="316" spans="1:14" s="85" customFormat="1" x14ac:dyDescent="0.35">
      <c r="A316" s="99" t="s">
        <v>224</v>
      </c>
      <c r="B316" s="99"/>
      <c r="C316" s="99"/>
      <c r="D316" s="99"/>
      <c r="E316" s="99"/>
      <c r="F316" s="99"/>
      <c r="G316" s="99"/>
      <c r="H316" s="99"/>
      <c r="I316" s="34"/>
      <c r="L316" s="92"/>
      <c r="M316" s="92"/>
    </row>
    <row r="317" spans="1:14" s="85" customFormat="1" ht="15.75" customHeight="1" x14ac:dyDescent="0.35">
      <c r="A317" s="83">
        <v>1</v>
      </c>
      <c r="B317" s="83" t="s">
        <v>189</v>
      </c>
      <c r="C317" s="83" t="s">
        <v>191</v>
      </c>
      <c r="D317" s="83">
        <f>42.41*10.764</f>
        <v>456.50123999999994</v>
      </c>
      <c r="E317" s="83">
        <v>0</v>
      </c>
      <c r="F317" s="83">
        <f>D317*(($F$218)+1)+(IF(E317&lt;101,E317,IF(E317&lt;201,E317/2,IF(E317&lt;=301,E317/3,E317/4))))</f>
        <v>684.75185999999985</v>
      </c>
      <c r="G317" s="93" t="str">
        <f>A316</f>
        <v>6th Floor (Part Refuge Area)</v>
      </c>
      <c r="H317" s="94"/>
      <c r="I317" s="34"/>
      <c r="N317" s="34"/>
    </row>
    <row r="318" spans="1:14" s="85" customFormat="1" ht="15.75" customHeight="1" x14ac:dyDescent="0.35">
      <c r="A318" s="83">
        <v>2</v>
      </c>
      <c r="B318" s="104" t="s">
        <v>225</v>
      </c>
      <c r="C318" s="105"/>
      <c r="D318" s="105"/>
      <c r="E318" s="105"/>
      <c r="F318" s="106"/>
      <c r="G318" s="95"/>
      <c r="H318" s="96"/>
      <c r="I318" s="34"/>
      <c r="N318" s="34"/>
    </row>
    <row r="319" spans="1:14" s="85" customFormat="1" ht="15.75" customHeight="1" x14ac:dyDescent="0.35">
      <c r="A319" s="83">
        <f>A318+1</f>
        <v>3</v>
      </c>
      <c r="B319" s="83" t="s">
        <v>190</v>
      </c>
      <c r="C319" s="83" t="s">
        <v>192</v>
      </c>
      <c r="D319" s="83">
        <f>52.04*10.764</f>
        <v>560.15855999999997</v>
      </c>
      <c r="E319" s="83">
        <v>0</v>
      </c>
      <c r="F319" s="83">
        <f>D319*(($F$218)+1)+(IF(E319&lt;101,E319,IF(E319&lt;201,E319/2,IF(E319&lt;=301,E319/3,E319/4))))</f>
        <v>840.23784000000001</v>
      </c>
      <c r="G319" s="95"/>
      <c r="H319" s="96"/>
      <c r="I319" s="34"/>
      <c r="N319" s="34"/>
    </row>
    <row r="320" spans="1:14" s="85" customFormat="1" ht="15.75" customHeight="1" x14ac:dyDescent="0.35">
      <c r="A320" s="83">
        <f>A319+1</f>
        <v>4</v>
      </c>
      <c r="B320" s="83" t="s">
        <v>189</v>
      </c>
      <c r="C320" s="83" t="s">
        <v>191</v>
      </c>
      <c r="D320" s="83">
        <f>41.79*10.764</f>
        <v>449.82755999999995</v>
      </c>
      <c r="E320" s="83">
        <v>0</v>
      </c>
      <c r="F320" s="83">
        <f>D320*(($F$218)+1)+(IF(E320&lt;101,E320,IF(E320&lt;201,E320/2,IF(E320&lt;=301,E320/3,E320/4))))</f>
        <v>674.74133999999992</v>
      </c>
      <c r="G320" s="97"/>
      <c r="H320" s="98"/>
      <c r="I320" s="34"/>
      <c r="N320" s="34"/>
    </row>
    <row r="321" spans="1:14" s="85" customFormat="1" x14ac:dyDescent="0.35">
      <c r="A321" s="99" t="s">
        <v>226</v>
      </c>
      <c r="B321" s="99"/>
      <c r="C321" s="99"/>
      <c r="D321" s="99"/>
      <c r="E321" s="99"/>
      <c r="F321" s="99"/>
      <c r="G321" s="99"/>
      <c r="H321" s="99"/>
      <c r="I321" s="34"/>
      <c r="L321" s="92"/>
      <c r="M321" s="92"/>
    </row>
    <row r="322" spans="1:14" s="85" customFormat="1" ht="15.75" customHeight="1" x14ac:dyDescent="0.35">
      <c r="A322" s="83">
        <v>1</v>
      </c>
      <c r="B322" s="83" t="s">
        <v>189</v>
      </c>
      <c r="C322" s="83" t="s">
        <v>191</v>
      </c>
      <c r="D322" s="83">
        <f>42.41*10.764</f>
        <v>456.50123999999994</v>
      </c>
      <c r="E322" s="83">
        <v>0</v>
      </c>
      <c r="F322" s="83">
        <f>D322*(($F$218)+1)+(IF(E322&lt;101,E322,IF(E322&lt;201,E322/2,IF(E322&lt;=301,E322/3,E322/4))))</f>
        <v>684.75185999999985</v>
      </c>
      <c r="G322" s="93" t="str">
        <f>A321</f>
        <v>13th Floor (Part Refuge Area)</v>
      </c>
      <c r="H322" s="94"/>
      <c r="I322" s="34"/>
      <c r="N322" s="34"/>
    </row>
    <row r="323" spans="1:14" s="85" customFormat="1" ht="15.75" customHeight="1" x14ac:dyDescent="0.35">
      <c r="A323" s="83">
        <v>2</v>
      </c>
      <c r="B323" s="104" t="s">
        <v>225</v>
      </c>
      <c r="C323" s="105"/>
      <c r="D323" s="105"/>
      <c r="E323" s="105"/>
      <c r="F323" s="106"/>
      <c r="G323" s="95"/>
      <c r="H323" s="96"/>
      <c r="I323" s="34"/>
      <c r="N323" s="34"/>
    </row>
    <row r="324" spans="1:14" s="85" customFormat="1" ht="15.75" customHeight="1" x14ac:dyDescent="0.35">
      <c r="A324" s="83">
        <f>A323+1</f>
        <v>3</v>
      </c>
      <c r="B324" s="83" t="s">
        <v>189</v>
      </c>
      <c r="C324" s="83" t="s">
        <v>192</v>
      </c>
      <c r="D324" s="83">
        <f>52.04*10.764</f>
        <v>560.15855999999997</v>
      </c>
      <c r="E324" s="83">
        <v>0</v>
      </c>
      <c r="F324" s="83">
        <f>D324*(($F$218)+1)+(IF(E324&lt;101,E324,IF(E324&lt;201,E324/2,IF(E324&lt;=301,E324/3,E324/4))))</f>
        <v>840.23784000000001</v>
      </c>
      <c r="G324" s="95"/>
      <c r="H324" s="96"/>
      <c r="I324" s="34"/>
      <c r="N324" s="34"/>
    </row>
    <row r="325" spans="1:14" s="85" customFormat="1" ht="15.75" customHeight="1" x14ac:dyDescent="0.35">
      <c r="A325" s="83">
        <f>A324+1</f>
        <v>4</v>
      </c>
      <c r="B325" s="83" t="s">
        <v>189</v>
      </c>
      <c r="C325" s="83" t="s">
        <v>191</v>
      </c>
      <c r="D325" s="83">
        <f>41.79*10.764</f>
        <v>449.82755999999995</v>
      </c>
      <c r="E325" s="83">
        <v>0</v>
      </c>
      <c r="F325" s="83">
        <f>D325*(($F$218)+1)+(IF(E325&lt;101,E325,IF(E325&lt;201,E325/2,IF(E325&lt;=301,E325/3,E325/4))))</f>
        <v>674.74133999999992</v>
      </c>
      <c r="G325" s="97"/>
      <c r="H325" s="98"/>
      <c r="I325" s="34"/>
      <c r="N325" s="34"/>
    </row>
    <row r="326" spans="1:14" s="85" customFormat="1" x14ac:dyDescent="0.35">
      <c r="A326" s="99" t="s">
        <v>227</v>
      </c>
      <c r="B326" s="99"/>
      <c r="C326" s="99"/>
      <c r="D326" s="99"/>
      <c r="E326" s="99"/>
      <c r="F326" s="99"/>
      <c r="G326" s="99"/>
      <c r="H326" s="99"/>
      <c r="I326" s="34"/>
      <c r="L326" s="92"/>
      <c r="M326" s="92"/>
    </row>
    <row r="327" spans="1:14" s="85" customFormat="1" x14ac:dyDescent="0.35">
      <c r="A327" s="83">
        <v>1</v>
      </c>
      <c r="B327" s="83" t="s">
        <v>189</v>
      </c>
      <c r="C327" s="83" t="s">
        <v>191</v>
      </c>
      <c r="D327" s="83">
        <f>42.41*10.764</f>
        <v>456.50123999999994</v>
      </c>
      <c r="E327" s="83">
        <v>0</v>
      </c>
      <c r="F327" s="83">
        <f>D327*(($F$218)+1)+(IF(E327&lt;101,E327,IF(E327&lt;201,E327/2,IF(E327&lt;=301,E327/3,E327/4))))</f>
        <v>684.75185999999985</v>
      </c>
      <c r="G327" s="93" t="str">
        <f>A326</f>
        <v>14th Floor</v>
      </c>
      <c r="H327" s="94"/>
      <c r="I327" s="34"/>
      <c r="N327" s="34"/>
    </row>
    <row r="328" spans="1:14" s="85" customFormat="1" x14ac:dyDescent="0.35">
      <c r="A328" s="83">
        <v>2</v>
      </c>
      <c r="B328" s="83" t="s">
        <v>189</v>
      </c>
      <c r="C328" s="83" t="s">
        <v>192</v>
      </c>
      <c r="D328" s="83">
        <f>51.46*10.764</f>
        <v>553.91543999999999</v>
      </c>
      <c r="E328" s="83">
        <v>0</v>
      </c>
      <c r="F328" s="83">
        <f>D328*(($F$218)+1)+(IF(E328&lt;101,E328,IF(E328&lt;201,E328/2,IF(E328&lt;=301,E328/3,E328/4))))</f>
        <v>830.87315999999998</v>
      </c>
      <c r="G328" s="95"/>
      <c r="H328" s="96"/>
      <c r="I328" s="34"/>
      <c r="N328" s="34"/>
    </row>
    <row r="329" spans="1:14" s="85" customFormat="1" x14ac:dyDescent="0.35">
      <c r="A329" s="83">
        <f>A328+1</f>
        <v>3</v>
      </c>
      <c r="B329" s="83" t="s">
        <v>189</v>
      </c>
      <c r="C329" s="83" t="s">
        <v>192</v>
      </c>
      <c r="D329" s="83">
        <f>51.25*10.764</f>
        <v>551.65499999999997</v>
      </c>
      <c r="E329" s="83">
        <v>0</v>
      </c>
      <c r="F329" s="83">
        <f>D329*(($F$218)+1)+(IF(E329&lt;101,E329,IF(E329&lt;201,E329/2,IF(E329&lt;=301,E329/3,E329/4))))</f>
        <v>827.48249999999996</v>
      </c>
      <c r="G329" s="95"/>
      <c r="H329" s="96"/>
      <c r="I329" s="34"/>
      <c r="N329" s="34"/>
    </row>
    <row r="330" spans="1:14" s="85" customFormat="1" x14ac:dyDescent="0.35">
      <c r="A330" s="83">
        <f>A329+1</f>
        <v>4</v>
      </c>
      <c r="B330" s="83" t="s">
        <v>189</v>
      </c>
      <c r="C330" s="83" t="s">
        <v>191</v>
      </c>
      <c r="D330" s="83">
        <f>41.79*10.764</f>
        <v>449.82755999999995</v>
      </c>
      <c r="E330" s="83">
        <v>0</v>
      </c>
      <c r="F330" s="83">
        <f>D330*(($F$218)+1)+(IF(E330&lt;101,E330,IF(E330&lt;201,E330/2,IF(E330&lt;=301,E330/3,E330/4))))</f>
        <v>674.74133999999992</v>
      </c>
      <c r="G330" s="97"/>
      <c r="H330" s="98"/>
      <c r="I330" s="34"/>
      <c r="N330" s="34"/>
    </row>
    <row r="331" spans="1:14" s="85" customFormat="1" x14ac:dyDescent="0.35">
      <c r="A331" s="99" t="s">
        <v>228</v>
      </c>
      <c r="B331" s="99"/>
      <c r="C331" s="99"/>
      <c r="D331" s="99"/>
      <c r="E331" s="99"/>
      <c r="F331" s="99"/>
      <c r="G331" s="99"/>
      <c r="H331" s="99"/>
      <c r="I331" s="34"/>
      <c r="L331" s="92"/>
      <c r="M331" s="92"/>
    </row>
    <row r="332" spans="1:14" s="85" customFormat="1" x14ac:dyDescent="0.35">
      <c r="A332" s="83">
        <v>1</v>
      </c>
      <c r="B332" s="83" t="s">
        <v>189</v>
      </c>
      <c r="C332" s="83" t="s">
        <v>191</v>
      </c>
      <c r="D332" s="83">
        <f>42.41*10.764</f>
        <v>456.50123999999994</v>
      </c>
      <c r="E332" s="83">
        <v>0</v>
      </c>
      <c r="F332" s="83">
        <f>D332*(($F$218)+1)+(IF(E332&lt;101,E332,IF(E332&lt;201,E332/2,IF(E332&lt;=301,E332/3,E332/4))))</f>
        <v>684.75185999999985</v>
      </c>
      <c r="G332" s="93" t="str">
        <f>A331</f>
        <v>15th &amp; 16th Floor</v>
      </c>
      <c r="H332" s="94"/>
      <c r="I332" s="34"/>
      <c r="N332" s="34"/>
    </row>
    <row r="333" spans="1:14" s="85" customFormat="1" x14ac:dyDescent="0.35">
      <c r="A333" s="83">
        <v>2</v>
      </c>
      <c r="B333" s="83" t="s">
        <v>189</v>
      </c>
      <c r="C333" s="83" t="s">
        <v>192</v>
      </c>
      <c r="D333" s="83">
        <f>51.46*10.764</f>
        <v>553.91543999999999</v>
      </c>
      <c r="E333" s="83">
        <v>0</v>
      </c>
      <c r="F333" s="83">
        <f>D333*(($F$218)+1)+(IF(E333&lt;101,E333,IF(E333&lt;201,E333/2,IF(E333&lt;=301,E333/3,E333/4))))</f>
        <v>830.87315999999998</v>
      </c>
      <c r="G333" s="95"/>
      <c r="H333" s="96"/>
      <c r="I333" s="34"/>
      <c r="N333" s="34"/>
    </row>
    <row r="334" spans="1:14" s="85" customFormat="1" x14ac:dyDescent="0.35">
      <c r="A334" s="83">
        <f>A333+1</f>
        <v>3</v>
      </c>
      <c r="B334" s="83" t="s">
        <v>189</v>
      </c>
      <c r="C334" s="83" t="s">
        <v>192</v>
      </c>
      <c r="D334" s="83">
        <f>51.25*10.764</f>
        <v>551.65499999999997</v>
      </c>
      <c r="E334" s="83">
        <v>0</v>
      </c>
      <c r="F334" s="83">
        <f>D334*(($F$218)+1)+(IF(E334&lt;101,E334,IF(E334&lt;201,E334/2,IF(E334&lt;=301,E334/3,E334/4))))</f>
        <v>827.48249999999996</v>
      </c>
      <c r="G334" s="95"/>
      <c r="H334" s="96"/>
      <c r="I334" s="34"/>
      <c r="N334" s="34"/>
    </row>
    <row r="335" spans="1:14" s="85" customFormat="1" x14ac:dyDescent="0.35">
      <c r="A335" s="83">
        <f>A334+1</f>
        <v>4</v>
      </c>
      <c r="B335" s="83" t="s">
        <v>189</v>
      </c>
      <c r="C335" s="83" t="s">
        <v>191</v>
      </c>
      <c r="D335" s="83">
        <f>41.79*10.764</f>
        <v>449.82755999999995</v>
      </c>
      <c r="E335" s="83">
        <v>0</v>
      </c>
      <c r="F335" s="83">
        <f>D335*(($F$218)+1)+(IF(E335&lt;101,E335,IF(E335&lt;201,E335/2,IF(E335&lt;=301,E335/3,E335/4))))</f>
        <v>674.74133999999992</v>
      </c>
      <c r="G335" s="97"/>
      <c r="H335" s="98"/>
      <c r="I335" s="34"/>
      <c r="N335" s="34"/>
    </row>
    <row r="336" spans="1:14" s="85" customFormat="1" x14ac:dyDescent="0.35">
      <c r="A336" s="99" t="s">
        <v>229</v>
      </c>
      <c r="B336" s="99"/>
      <c r="C336" s="99"/>
      <c r="D336" s="99"/>
      <c r="E336" s="99"/>
      <c r="F336" s="99"/>
      <c r="G336" s="99"/>
      <c r="H336" s="99"/>
      <c r="I336" s="34"/>
      <c r="L336" s="92"/>
      <c r="M336" s="92"/>
    </row>
    <row r="337" spans="1:14" s="85" customFormat="1" x14ac:dyDescent="0.35">
      <c r="A337" s="83">
        <v>1</v>
      </c>
      <c r="B337" s="83" t="s">
        <v>189</v>
      </c>
      <c r="C337" s="83" t="s">
        <v>191</v>
      </c>
      <c r="D337" s="83">
        <f>42.41*10.764</f>
        <v>456.50123999999994</v>
      </c>
      <c r="E337" s="83">
        <v>0</v>
      </c>
      <c r="F337" s="83">
        <f>D337*(($F$218)+1)+(IF(E337&lt;101,E337,IF(E337&lt;201,E337/2,IF(E337&lt;=301,E337/3,E337/4))))</f>
        <v>684.75185999999985</v>
      </c>
      <c r="G337" s="93" t="str">
        <f>A336</f>
        <v>17th Floor</v>
      </c>
      <c r="H337" s="94"/>
      <c r="I337" s="34"/>
      <c r="N337" s="34"/>
    </row>
    <row r="338" spans="1:14" s="85" customFormat="1" x14ac:dyDescent="0.35">
      <c r="A338" s="83">
        <v>2</v>
      </c>
      <c r="B338" s="83" t="s">
        <v>189</v>
      </c>
      <c r="C338" s="83" t="s">
        <v>192</v>
      </c>
      <c r="D338" s="83">
        <f>51.46*10.764</f>
        <v>553.91543999999999</v>
      </c>
      <c r="E338" s="83">
        <v>0</v>
      </c>
      <c r="F338" s="83">
        <f>D338*(($F$218)+1)+(IF(E338&lt;101,E338,IF(E338&lt;201,E338/2,IF(E338&lt;=301,E338/3,E338/4))))</f>
        <v>830.87315999999998</v>
      </c>
      <c r="G338" s="95"/>
      <c r="H338" s="96"/>
      <c r="I338" s="34"/>
      <c r="N338" s="34"/>
    </row>
    <row r="339" spans="1:14" s="85" customFormat="1" x14ac:dyDescent="0.35">
      <c r="A339" s="83">
        <f>A338+1</f>
        <v>3</v>
      </c>
      <c r="B339" s="83" t="s">
        <v>189</v>
      </c>
      <c r="C339" s="83" t="s">
        <v>192</v>
      </c>
      <c r="D339" s="83">
        <f>51.25*10.764</f>
        <v>551.65499999999997</v>
      </c>
      <c r="E339" s="83">
        <v>0</v>
      </c>
      <c r="F339" s="83">
        <f>D339*(($F$218)+1)+(IF(E339&lt;101,E339,IF(E339&lt;201,E339/2,IF(E339&lt;=301,E339/3,E339/4))))</f>
        <v>827.48249999999996</v>
      </c>
      <c r="G339" s="95"/>
      <c r="H339" s="96"/>
      <c r="I339" s="34"/>
      <c r="N339" s="34"/>
    </row>
    <row r="340" spans="1:14" s="85" customFormat="1" x14ac:dyDescent="0.35">
      <c r="A340" s="83">
        <f>A339+1</f>
        <v>4</v>
      </c>
      <c r="B340" s="83" t="s">
        <v>189</v>
      </c>
      <c r="C340" s="83" t="s">
        <v>191</v>
      </c>
      <c r="D340" s="83">
        <f>41.79*10.764</f>
        <v>449.82755999999995</v>
      </c>
      <c r="E340" s="83">
        <v>0</v>
      </c>
      <c r="F340" s="83">
        <f>D340*(($F$218)+1)+(IF(E340&lt;101,E340,IF(E340&lt;201,E340/2,IF(E340&lt;=301,E340/3,E340/4))))</f>
        <v>674.74133999999992</v>
      </c>
      <c r="G340" s="97"/>
      <c r="H340" s="98"/>
      <c r="I340" s="34"/>
      <c r="N340" s="34"/>
    </row>
    <row r="341" spans="1:14" x14ac:dyDescent="0.35">
      <c r="A341" s="107" t="s">
        <v>175</v>
      </c>
      <c r="B341" s="107"/>
      <c r="C341" s="107"/>
      <c r="D341" s="107"/>
      <c r="E341" s="107"/>
      <c r="F341" s="107"/>
      <c r="G341" s="107"/>
      <c r="H341" s="107"/>
    </row>
    <row r="342" spans="1:14" s="85" customFormat="1" x14ac:dyDescent="0.35">
      <c r="A342" s="99" t="s">
        <v>188</v>
      </c>
      <c r="B342" s="99"/>
      <c r="C342" s="99"/>
      <c r="D342" s="99"/>
      <c r="E342" s="99"/>
      <c r="F342" s="99"/>
      <c r="G342" s="99"/>
      <c r="H342" s="99"/>
      <c r="I342" s="34"/>
      <c r="L342" s="92"/>
      <c r="M342" s="92"/>
    </row>
    <row r="343" spans="1:14" s="85" customFormat="1" ht="15.75" customHeight="1" x14ac:dyDescent="0.35">
      <c r="A343" s="83">
        <v>1</v>
      </c>
      <c r="B343" s="83" t="s">
        <v>189</v>
      </c>
      <c r="C343" s="83" t="s">
        <v>191</v>
      </c>
      <c r="D343" s="83">
        <f>41.71*10.764</f>
        <v>448.96643999999998</v>
      </c>
      <c r="E343" s="83">
        <v>0</v>
      </c>
      <c r="F343" s="83">
        <f>D343*(($F$218)+1)+(IF(E343&lt;101,E343,IF(E343&lt;201,E343/2,IF(E343&lt;=301,E343/3,E343/4))))</f>
        <v>673.44965999999999</v>
      </c>
      <c r="G343" s="93" t="str">
        <f>A342</f>
        <v>2nd Floor for Residential</v>
      </c>
      <c r="H343" s="94"/>
      <c r="I343" s="34"/>
      <c r="N343" s="34"/>
    </row>
    <row r="344" spans="1:14" s="85" customFormat="1" ht="15.75" customHeight="1" x14ac:dyDescent="0.35">
      <c r="A344" s="83">
        <v>2</v>
      </c>
      <c r="B344" s="83" t="s">
        <v>190</v>
      </c>
      <c r="C344" s="83" t="s">
        <v>192</v>
      </c>
      <c r="D344" s="83">
        <f>52.04*10.764</f>
        <v>560.15855999999997</v>
      </c>
      <c r="E344" s="83">
        <v>0</v>
      </c>
      <c r="F344" s="83">
        <f>D344*(($F$218)+1)+(IF(E344&lt;101,E344,IF(E344&lt;201,E344/2,IF(E344&lt;=301,E344/3,E344/4))))</f>
        <v>840.23784000000001</v>
      </c>
      <c r="G344" s="95"/>
      <c r="H344" s="96"/>
      <c r="I344" s="34"/>
      <c r="N344" s="34"/>
    </row>
    <row r="345" spans="1:14" s="85" customFormat="1" ht="15.75" customHeight="1" x14ac:dyDescent="0.35">
      <c r="A345" s="83">
        <f>A344+1</f>
        <v>3</v>
      </c>
      <c r="B345" s="83" t="s">
        <v>190</v>
      </c>
      <c r="C345" s="83" t="s">
        <v>192</v>
      </c>
      <c r="D345" s="83">
        <f>52.3*10.764</f>
        <v>562.95719999999994</v>
      </c>
      <c r="E345" s="83">
        <v>0</v>
      </c>
      <c r="F345" s="83">
        <f>D345*(($F$218)+1)+(IF(E345&lt;101,E345,IF(E345&lt;201,E345/2,IF(E345&lt;=301,E345/3,E345/4))))</f>
        <v>844.43579999999997</v>
      </c>
      <c r="G345" s="95"/>
      <c r="H345" s="96"/>
      <c r="I345" s="34"/>
      <c r="N345" s="34"/>
    </row>
    <row r="346" spans="1:14" s="85" customFormat="1" ht="15.75" customHeight="1" x14ac:dyDescent="0.35">
      <c r="A346" s="83">
        <f>A345+1</f>
        <v>4</v>
      </c>
      <c r="B346" s="83" t="s">
        <v>189</v>
      </c>
      <c r="C346" s="83" t="s">
        <v>191</v>
      </c>
      <c r="D346" s="83">
        <f>42.5*10.764</f>
        <v>457.46999999999997</v>
      </c>
      <c r="E346" s="83">
        <v>0</v>
      </c>
      <c r="F346" s="83">
        <f>D346*(($F$218)+1)+(IF(E346&lt;101,E346,IF(E346&lt;201,E346/2,IF(E346&lt;=301,E346/3,E346/4))))</f>
        <v>686.20499999999993</v>
      </c>
      <c r="G346" s="97"/>
      <c r="H346" s="98"/>
      <c r="I346" s="34"/>
      <c r="N346" s="34"/>
    </row>
    <row r="347" spans="1:14" s="85" customFormat="1" x14ac:dyDescent="0.35">
      <c r="A347" s="99" t="s">
        <v>223</v>
      </c>
      <c r="B347" s="99"/>
      <c r="C347" s="99"/>
      <c r="D347" s="99"/>
      <c r="E347" s="99"/>
      <c r="F347" s="99"/>
      <c r="G347" s="99"/>
      <c r="H347" s="99"/>
      <c r="I347" s="34"/>
      <c r="L347" s="92"/>
      <c r="M347" s="92"/>
    </row>
    <row r="348" spans="1:14" s="85" customFormat="1" ht="15.75" customHeight="1" x14ac:dyDescent="0.35">
      <c r="A348" s="83">
        <v>1</v>
      </c>
      <c r="B348" s="83" t="s">
        <v>189</v>
      </c>
      <c r="C348" s="83" t="s">
        <v>191</v>
      </c>
      <c r="D348" s="83">
        <f>41.71*10.764</f>
        <v>448.96643999999998</v>
      </c>
      <c r="E348" s="83">
        <v>0</v>
      </c>
      <c r="F348" s="83">
        <f>D348*(($F$218)+1)+(IF(E348&lt;101,E348,IF(E348&lt;201,E348/2,IF(E348&lt;=301,E348/3,E348/4))))</f>
        <v>673.44965999999999</v>
      </c>
      <c r="G348" s="93" t="str">
        <f>A347</f>
        <v>3rd to 5th, 7th to 11th Floor</v>
      </c>
      <c r="H348" s="94"/>
      <c r="I348" s="34"/>
      <c r="N348" s="34"/>
    </row>
    <row r="349" spans="1:14" s="85" customFormat="1" ht="15.75" customHeight="1" x14ac:dyDescent="0.35">
      <c r="A349" s="83">
        <v>2</v>
      </c>
      <c r="B349" s="83" t="s">
        <v>190</v>
      </c>
      <c r="C349" s="83" t="s">
        <v>192</v>
      </c>
      <c r="D349" s="83">
        <f>52.04*10.764</f>
        <v>560.15855999999997</v>
      </c>
      <c r="E349" s="83">
        <v>0</v>
      </c>
      <c r="F349" s="83">
        <f>D349*(($F$218)+1)+(IF(E349&lt;101,E349,IF(E349&lt;201,E349/2,IF(E349&lt;=301,E349/3,E349/4))))</f>
        <v>840.23784000000001</v>
      </c>
      <c r="G349" s="95"/>
      <c r="H349" s="96"/>
      <c r="I349" s="34"/>
      <c r="N349" s="34"/>
    </row>
    <row r="350" spans="1:14" s="85" customFormat="1" ht="15.75" customHeight="1" x14ac:dyDescent="0.35">
      <c r="A350" s="83">
        <f>A349+1</f>
        <v>3</v>
      </c>
      <c r="B350" s="83" t="s">
        <v>190</v>
      </c>
      <c r="C350" s="83" t="s">
        <v>192</v>
      </c>
      <c r="D350" s="83">
        <f>52.3*10.764</f>
        <v>562.95719999999994</v>
      </c>
      <c r="E350" s="83">
        <v>0</v>
      </c>
      <c r="F350" s="83">
        <f>D350*(($F$218)+1)+(IF(E350&lt;101,E350,IF(E350&lt;201,E350/2,IF(E350&lt;=301,E350/3,E350/4))))</f>
        <v>844.43579999999997</v>
      </c>
      <c r="G350" s="95"/>
      <c r="H350" s="96"/>
      <c r="I350" s="34"/>
      <c r="N350" s="34"/>
    </row>
    <row r="351" spans="1:14" s="85" customFormat="1" ht="15.75" customHeight="1" x14ac:dyDescent="0.35">
      <c r="A351" s="83">
        <f>A350+1</f>
        <v>4</v>
      </c>
      <c r="B351" s="83" t="s">
        <v>189</v>
      </c>
      <c r="C351" s="83" t="s">
        <v>191</v>
      </c>
      <c r="D351" s="83">
        <f>42.5*10.764</f>
        <v>457.46999999999997</v>
      </c>
      <c r="E351" s="83">
        <v>0</v>
      </c>
      <c r="F351" s="83">
        <f>D351*(($F$218)+1)+(IF(E351&lt;101,E351,IF(E351&lt;201,E351/2,IF(E351&lt;=301,E351/3,E351/4))))</f>
        <v>686.20499999999993</v>
      </c>
      <c r="G351" s="97"/>
      <c r="H351" s="98"/>
      <c r="I351" s="34"/>
      <c r="N351" s="34"/>
    </row>
    <row r="352" spans="1:14" s="85" customFormat="1" x14ac:dyDescent="0.35">
      <c r="A352" s="99" t="s">
        <v>222</v>
      </c>
      <c r="B352" s="99"/>
      <c r="C352" s="99"/>
      <c r="D352" s="99"/>
      <c r="E352" s="99"/>
      <c r="F352" s="99"/>
      <c r="G352" s="99"/>
      <c r="H352" s="99"/>
      <c r="I352" s="34"/>
      <c r="L352" s="92"/>
      <c r="M352" s="92"/>
    </row>
    <row r="353" spans="1:14" s="85" customFormat="1" ht="15.75" customHeight="1" x14ac:dyDescent="0.35">
      <c r="A353" s="83">
        <v>1</v>
      </c>
      <c r="B353" s="83" t="s">
        <v>189</v>
      </c>
      <c r="C353" s="83" t="s">
        <v>191</v>
      </c>
      <c r="D353" s="83">
        <f>41.71*10.764</f>
        <v>448.96643999999998</v>
      </c>
      <c r="E353" s="83">
        <v>0</v>
      </c>
      <c r="F353" s="83">
        <f>D353*(($F$218)+1)+(IF(E353&lt;101,E353,IF(E353&lt;201,E353/2,IF(E353&lt;=301,E353/3,E353/4))))</f>
        <v>673.44965999999999</v>
      </c>
      <c r="G353" s="93" t="str">
        <f>A352</f>
        <v xml:space="preserve"> 12th Floor</v>
      </c>
      <c r="H353" s="94"/>
      <c r="I353" s="34"/>
      <c r="N353" s="34"/>
    </row>
    <row r="354" spans="1:14" s="85" customFormat="1" ht="15.75" customHeight="1" x14ac:dyDescent="0.35">
      <c r="A354" s="83">
        <v>2</v>
      </c>
      <c r="B354" s="83" t="s">
        <v>189</v>
      </c>
      <c r="C354" s="83" t="s">
        <v>192</v>
      </c>
      <c r="D354" s="83">
        <f>52.04*10.764</f>
        <v>560.15855999999997</v>
      </c>
      <c r="E354" s="83">
        <v>0</v>
      </c>
      <c r="F354" s="83">
        <f>D354*(($F$218)+1)+(IF(E354&lt;101,E354,IF(E354&lt;201,E354/2,IF(E354&lt;=301,E354/3,E354/4))))</f>
        <v>840.23784000000001</v>
      </c>
      <c r="G354" s="95"/>
      <c r="H354" s="96"/>
      <c r="I354" s="34"/>
      <c r="N354" s="34"/>
    </row>
    <row r="355" spans="1:14" s="85" customFormat="1" ht="15.75" customHeight="1" x14ac:dyDescent="0.35">
      <c r="A355" s="83">
        <f>A354+1</f>
        <v>3</v>
      </c>
      <c r="B355" s="83" t="s">
        <v>189</v>
      </c>
      <c r="C355" s="83" t="s">
        <v>192</v>
      </c>
      <c r="D355" s="83">
        <f>52.3*10.764</f>
        <v>562.95719999999994</v>
      </c>
      <c r="E355" s="83">
        <v>0</v>
      </c>
      <c r="F355" s="83">
        <f>D355*(($F$218)+1)+(IF(E355&lt;101,E355,IF(E355&lt;201,E355/2,IF(E355&lt;=301,E355/3,E355/4))))</f>
        <v>844.43579999999997</v>
      </c>
      <c r="G355" s="95"/>
      <c r="H355" s="96"/>
      <c r="I355" s="34"/>
      <c r="N355" s="34"/>
    </row>
    <row r="356" spans="1:14" s="85" customFormat="1" ht="15.75" customHeight="1" x14ac:dyDescent="0.35">
      <c r="A356" s="83">
        <f>A355+1</f>
        <v>4</v>
      </c>
      <c r="B356" s="83" t="s">
        <v>189</v>
      </c>
      <c r="C356" s="83" t="s">
        <v>191</v>
      </c>
      <c r="D356" s="83">
        <f>42.5*10.764</f>
        <v>457.46999999999997</v>
      </c>
      <c r="E356" s="83">
        <v>0</v>
      </c>
      <c r="F356" s="83">
        <f>D356*(($F$218)+1)+(IF(E356&lt;101,E356,IF(E356&lt;201,E356/2,IF(E356&lt;=301,E356/3,E356/4))))</f>
        <v>686.20499999999993</v>
      </c>
      <c r="G356" s="97"/>
      <c r="H356" s="98"/>
      <c r="I356" s="34"/>
      <c r="N356" s="34"/>
    </row>
    <row r="357" spans="1:14" s="85" customFormat="1" x14ac:dyDescent="0.35">
      <c r="A357" s="99" t="s">
        <v>224</v>
      </c>
      <c r="B357" s="99"/>
      <c r="C357" s="99"/>
      <c r="D357" s="99"/>
      <c r="E357" s="99"/>
      <c r="F357" s="99"/>
      <c r="G357" s="99"/>
      <c r="H357" s="99"/>
      <c r="I357" s="34"/>
      <c r="L357" s="92"/>
      <c r="M357" s="92"/>
    </row>
    <row r="358" spans="1:14" s="85" customFormat="1" ht="15.75" customHeight="1" x14ac:dyDescent="0.35">
      <c r="A358" s="83">
        <v>1</v>
      </c>
      <c r="B358" s="83" t="s">
        <v>189</v>
      </c>
      <c r="C358" s="83" t="s">
        <v>191</v>
      </c>
      <c r="D358" s="83">
        <f>41.71*10.764</f>
        <v>448.96643999999998</v>
      </c>
      <c r="E358" s="83">
        <v>0</v>
      </c>
      <c r="F358" s="83">
        <f>D358*(($F$218)+1)+(IF(E358&lt;101,E358,IF(E358&lt;201,E358/2,IF(E358&lt;=301,E358/3,E358/4))))</f>
        <v>673.44965999999999</v>
      </c>
      <c r="G358" s="93" t="str">
        <f>A357</f>
        <v>6th Floor (Part Refuge Area)</v>
      </c>
      <c r="H358" s="94"/>
      <c r="I358" s="34"/>
      <c r="N358" s="34"/>
    </row>
    <row r="359" spans="1:14" s="85" customFormat="1" ht="15.75" customHeight="1" x14ac:dyDescent="0.35">
      <c r="A359" s="83">
        <v>2</v>
      </c>
      <c r="B359" s="83" t="s">
        <v>190</v>
      </c>
      <c r="C359" s="83" t="s">
        <v>192</v>
      </c>
      <c r="D359" s="83">
        <f>52.04*10.764</f>
        <v>560.15855999999997</v>
      </c>
      <c r="E359" s="83">
        <v>0</v>
      </c>
      <c r="F359" s="83">
        <f>D359*(($F$218)+1)+(IF(E359&lt;101,E359,IF(E359&lt;201,E359/2,IF(E359&lt;=301,E359/3,E359/4))))</f>
        <v>840.23784000000001</v>
      </c>
      <c r="G359" s="95"/>
      <c r="H359" s="96"/>
      <c r="I359" s="34"/>
      <c r="N359" s="34"/>
    </row>
    <row r="360" spans="1:14" s="85" customFormat="1" ht="15.75" customHeight="1" x14ac:dyDescent="0.35">
      <c r="A360" s="83">
        <f>A359+1</f>
        <v>3</v>
      </c>
      <c r="B360" s="104" t="s">
        <v>225</v>
      </c>
      <c r="C360" s="105" t="s">
        <v>192</v>
      </c>
      <c r="D360" s="105">
        <f>51.99*10.764</f>
        <v>559.62036000000001</v>
      </c>
      <c r="E360" s="105">
        <v>0</v>
      </c>
      <c r="F360" s="106">
        <f>D360*(($F$218)+1)+(IF(E360&lt;101,E360,IF(E360&lt;201,E360/2,IF(E360&lt;=301,E360/3,E360/4))))</f>
        <v>839.43054000000006</v>
      </c>
      <c r="G360" s="95"/>
      <c r="H360" s="96"/>
      <c r="I360" s="34"/>
      <c r="N360" s="34"/>
    </row>
    <row r="361" spans="1:14" s="85" customFormat="1" ht="15.75" customHeight="1" x14ac:dyDescent="0.35">
      <c r="A361" s="83">
        <f>A360+1</f>
        <v>4</v>
      </c>
      <c r="B361" s="83" t="s">
        <v>189</v>
      </c>
      <c r="C361" s="83" t="s">
        <v>191</v>
      </c>
      <c r="D361" s="83">
        <f>42.5*10.764</f>
        <v>457.46999999999997</v>
      </c>
      <c r="E361" s="83">
        <v>0</v>
      </c>
      <c r="F361" s="83">
        <f>D361*(($F$218)+1)+(IF(E361&lt;101,E361,IF(E361&lt;201,E361/2,IF(E361&lt;=301,E361/3,E361/4))))</f>
        <v>686.20499999999993</v>
      </c>
      <c r="G361" s="97"/>
      <c r="H361" s="98"/>
      <c r="I361" s="34"/>
      <c r="N361" s="34"/>
    </row>
    <row r="362" spans="1:14" s="85" customFormat="1" x14ac:dyDescent="0.35">
      <c r="A362" s="99" t="s">
        <v>226</v>
      </c>
      <c r="B362" s="99"/>
      <c r="C362" s="99"/>
      <c r="D362" s="99"/>
      <c r="E362" s="99"/>
      <c r="F362" s="99"/>
      <c r="G362" s="99"/>
      <c r="H362" s="99"/>
      <c r="I362" s="34"/>
      <c r="L362" s="92"/>
      <c r="M362" s="92"/>
    </row>
    <row r="363" spans="1:14" s="85" customFormat="1" ht="15.75" customHeight="1" x14ac:dyDescent="0.35">
      <c r="A363" s="83">
        <v>1</v>
      </c>
      <c r="B363" s="83" t="s">
        <v>189</v>
      </c>
      <c r="C363" s="83" t="s">
        <v>191</v>
      </c>
      <c r="D363" s="83">
        <f>41.71*10.764</f>
        <v>448.96643999999998</v>
      </c>
      <c r="E363" s="83">
        <v>0</v>
      </c>
      <c r="F363" s="83">
        <f>D363*(($F$218)+1)+(IF(E363&lt;101,E363,IF(E363&lt;201,E363/2,IF(E363&lt;=301,E363/3,E363/4))))</f>
        <v>673.44965999999999</v>
      </c>
      <c r="G363" s="93" t="str">
        <f>A362</f>
        <v>13th Floor (Part Refuge Area)</v>
      </c>
      <c r="H363" s="94"/>
      <c r="I363" s="34"/>
      <c r="N363" s="34"/>
    </row>
    <row r="364" spans="1:14" s="85" customFormat="1" ht="15.75" customHeight="1" x14ac:dyDescent="0.35">
      <c r="A364" s="83">
        <v>2</v>
      </c>
      <c r="B364" s="83" t="s">
        <v>189</v>
      </c>
      <c r="C364" s="83" t="s">
        <v>192</v>
      </c>
      <c r="D364" s="83">
        <f>52.04*10.764</f>
        <v>560.15855999999997</v>
      </c>
      <c r="E364" s="83">
        <v>0</v>
      </c>
      <c r="F364" s="83">
        <f>D364*(($F$218)+1)+(IF(E364&lt;101,E364,IF(E364&lt;201,E364/2,IF(E364&lt;=301,E364/3,E364/4))))</f>
        <v>840.23784000000001</v>
      </c>
      <c r="G364" s="95"/>
      <c r="H364" s="96"/>
      <c r="I364" s="34"/>
      <c r="N364" s="34"/>
    </row>
    <row r="365" spans="1:14" s="85" customFormat="1" ht="15.75" customHeight="1" x14ac:dyDescent="0.35">
      <c r="A365" s="83">
        <f>A364+1</f>
        <v>3</v>
      </c>
      <c r="B365" s="104" t="s">
        <v>225</v>
      </c>
      <c r="C365" s="105" t="s">
        <v>192</v>
      </c>
      <c r="D365" s="105">
        <f>51.99*10.764</f>
        <v>559.62036000000001</v>
      </c>
      <c r="E365" s="105">
        <v>0</v>
      </c>
      <c r="F365" s="106">
        <f>D365*(($F$218)+1)+(IF(E365&lt;101,E365,IF(E365&lt;201,E365/2,IF(E365&lt;=301,E365/3,E365/4))))</f>
        <v>839.43054000000006</v>
      </c>
      <c r="G365" s="95"/>
      <c r="H365" s="96"/>
      <c r="I365" s="34"/>
      <c r="N365" s="34"/>
    </row>
    <row r="366" spans="1:14" s="85" customFormat="1" ht="15.75" customHeight="1" x14ac:dyDescent="0.35">
      <c r="A366" s="83">
        <f>A365+1</f>
        <v>4</v>
      </c>
      <c r="B366" s="83" t="s">
        <v>189</v>
      </c>
      <c r="C366" s="83" t="s">
        <v>191</v>
      </c>
      <c r="D366" s="83">
        <f>42.5*10.764</f>
        <v>457.46999999999997</v>
      </c>
      <c r="E366" s="83">
        <v>0</v>
      </c>
      <c r="F366" s="83">
        <f>D366*(($F$218)+1)+(IF(E366&lt;101,E366,IF(E366&lt;201,E366/2,IF(E366&lt;=301,E366/3,E366/4))))</f>
        <v>686.20499999999993</v>
      </c>
      <c r="G366" s="97"/>
      <c r="H366" s="98"/>
      <c r="I366" s="34"/>
      <c r="N366" s="34"/>
    </row>
    <row r="367" spans="1:14" s="85" customFormat="1" x14ac:dyDescent="0.35">
      <c r="A367" s="99" t="s">
        <v>227</v>
      </c>
      <c r="B367" s="99"/>
      <c r="C367" s="99"/>
      <c r="D367" s="99"/>
      <c r="E367" s="99"/>
      <c r="F367" s="99"/>
      <c r="G367" s="99"/>
      <c r="H367" s="99"/>
      <c r="I367" s="34"/>
      <c r="L367" s="92"/>
      <c r="M367" s="92"/>
    </row>
    <row r="368" spans="1:14" s="85" customFormat="1" x14ac:dyDescent="0.35">
      <c r="A368" s="83">
        <v>1</v>
      </c>
      <c r="B368" s="83" t="s">
        <v>189</v>
      </c>
      <c r="C368" s="83" t="s">
        <v>191</v>
      </c>
      <c r="D368" s="83">
        <f>41.71*10.764</f>
        <v>448.96643999999998</v>
      </c>
      <c r="E368" s="83">
        <v>0</v>
      </c>
      <c r="F368" s="83">
        <f>D368*(($F$218)+1)+(IF(E368&lt;101,E368,IF(E368&lt;201,E368/2,IF(E368&lt;=301,E368/3,E368/4))))</f>
        <v>673.44965999999999</v>
      </c>
      <c r="G368" s="93" t="str">
        <f>A367</f>
        <v>14th Floor</v>
      </c>
      <c r="H368" s="94"/>
      <c r="I368" s="34"/>
      <c r="N368" s="34"/>
    </row>
    <row r="369" spans="1:14" s="85" customFormat="1" x14ac:dyDescent="0.35">
      <c r="A369" s="83">
        <v>2</v>
      </c>
      <c r="B369" s="83" t="s">
        <v>189</v>
      </c>
      <c r="C369" s="83" t="s">
        <v>192</v>
      </c>
      <c r="D369" s="83">
        <f>51.25*10.764</f>
        <v>551.65499999999997</v>
      </c>
      <c r="E369" s="83">
        <v>0</v>
      </c>
      <c r="F369" s="83">
        <f>D369*(($F$218)+1)+(IF(E369&lt;101,E369,IF(E369&lt;201,E369/2,IF(E369&lt;=301,E369/3,E369/4))))</f>
        <v>827.48249999999996</v>
      </c>
      <c r="G369" s="95"/>
      <c r="H369" s="96"/>
      <c r="I369" s="34"/>
      <c r="N369" s="34"/>
    </row>
    <row r="370" spans="1:14" s="85" customFormat="1" x14ac:dyDescent="0.35">
      <c r="A370" s="83">
        <f>A369+1</f>
        <v>3</v>
      </c>
      <c r="B370" s="83" t="s">
        <v>189</v>
      </c>
      <c r="C370" s="83" t="s">
        <v>192</v>
      </c>
      <c r="D370" s="83">
        <f>51.46*10.764</f>
        <v>553.91543999999999</v>
      </c>
      <c r="E370" s="83">
        <v>0</v>
      </c>
      <c r="F370" s="83">
        <f>D370*(($F$218)+1)+(IF(E370&lt;101,E370,IF(E370&lt;201,E370/2,IF(E370&lt;=301,E370/3,E370/4))))</f>
        <v>830.87315999999998</v>
      </c>
      <c r="G370" s="95"/>
      <c r="H370" s="96"/>
      <c r="I370" s="34"/>
      <c r="N370" s="34"/>
    </row>
    <row r="371" spans="1:14" s="85" customFormat="1" x14ac:dyDescent="0.35">
      <c r="A371" s="83">
        <f>A370+1</f>
        <v>4</v>
      </c>
      <c r="B371" s="83" t="s">
        <v>189</v>
      </c>
      <c r="C371" s="83" t="s">
        <v>191</v>
      </c>
      <c r="D371" s="83">
        <f>42.5*10.764</f>
        <v>457.46999999999997</v>
      </c>
      <c r="E371" s="83">
        <v>0</v>
      </c>
      <c r="F371" s="83">
        <f>D371*(($F$218)+1)+(IF(E371&lt;101,E371,IF(E371&lt;201,E371/2,IF(E371&lt;=301,E371/3,E371/4))))</f>
        <v>686.20499999999993</v>
      </c>
      <c r="G371" s="97"/>
      <c r="H371" s="98"/>
      <c r="I371" s="34"/>
      <c r="N371" s="34"/>
    </row>
    <row r="372" spans="1:14" s="85" customFormat="1" x14ac:dyDescent="0.35">
      <c r="A372" s="99" t="s">
        <v>228</v>
      </c>
      <c r="B372" s="99"/>
      <c r="C372" s="99"/>
      <c r="D372" s="99"/>
      <c r="E372" s="99"/>
      <c r="F372" s="99"/>
      <c r="G372" s="99"/>
      <c r="H372" s="99"/>
      <c r="I372" s="34"/>
      <c r="L372" s="92"/>
      <c r="M372" s="92"/>
    </row>
    <row r="373" spans="1:14" s="85" customFormat="1" x14ac:dyDescent="0.35">
      <c r="A373" s="83">
        <v>1</v>
      </c>
      <c r="B373" s="83" t="s">
        <v>189</v>
      </c>
      <c r="C373" s="83" t="s">
        <v>191</v>
      </c>
      <c r="D373" s="83">
        <f>41.71*10.764</f>
        <v>448.96643999999998</v>
      </c>
      <c r="E373" s="83">
        <v>0</v>
      </c>
      <c r="F373" s="83">
        <f>D373*(($F$218)+1)+(IF(E373&lt;101,E373,IF(E373&lt;201,E373/2,IF(E373&lt;=301,E373/3,E373/4))))</f>
        <v>673.44965999999999</v>
      </c>
      <c r="G373" s="93" t="str">
        <f>A372</f>
        <v>15th &amp; 16th Floor</v>
      </c>
      <c r="H373" s="94"/>
      <c r="I373" s="34"/>
      <c r="N373" s="34"/>
    </row>
    <row r="374" spans="1:14" s="85" customFormat="1" x14ac:dyDescent="0.35">
      <c r="A374" s="83">
        <v>2</v>
      </c>
      <c r="B374" s="83" t="s">
        <v>189</v>
      </c>
      <c r="C374" s="83" t="s">
        <v>192</v>
      </c>
      <c r="D374" s="83">
        <f>51.25*10.764</f>
        <v>551.65499999999997</v>
      </c>
      <c r="E374" s="83">
        <v>0</v>
      </c>
      <c r="F374" s="83">
        <f>D374*(($F$218)+1)+(IF(E374&lt;101,E374,IF(E374&lt;201,E374/2,IF(E374&lt;=301,E374/3,E374/4))))</f>
        <v>827.48249999999996</v>
      </c>
      <c r="G374" s="95"/>
      <c r="H374" s="96"/>
      <c r="I374" s="34"/>
      <c r="N374" s="34"/>
    </row>
    <row r="375" spans="1:14" s="85" customFormat="1" x14ac:dyDescent="0.35">
      <c r="A375" s="83">
        <f>A374+1</f>
        <v>3</v>
      </c>
      <c r="B375" s="83" t="s">
        <v>189</v>
      </c>
      <c r="C375" s="83" t="s">
        <v>192</v>
      </c>
      <c r="D375" s="83">
        <f>51.46*10.764</f>
        <v>553.91543999999999</v>
      </c>
      <c r="E375" s="83">
        <v>0</v>
      </c>
      <c r="F375" s="83">
        <f>D375*(($F$218)+1)+(IF(E375&lt;101,E375,IF(E375&lt;201,E375/2,IF(E375&lt;=301,E375/3,E375/4))))</f>
        <v>830.87315999999998</v>
      </c>
      <c r="G375" s="95"/>
      <c r="H375" s="96"/>
      <c r="I375" s="34"/>
      <c r="N375" s="34"/>
    </row>
    <row r="376" spans="1:14" s="85" customFormat="1" x14ac:dyDescent="0.35">
      <c r="A376" s="83">
        <f>A375+1</f>
        <v>4</v>
      </c>
      <c r="B376" s="83" t="s">
        <v>189</v>
      </c>
      <c r="C376" s="83" t="s">
        <v>191</v>
      </c>
      <c r="D376" s="83">
        <f>42.5*10.764</f>
        <v>457.46999999999997</v>
      </c>
      <c r="E376" s="83">
        <v>0</v>
      </c>
      <c r="F376" s="83">
        <f>D376*(($F$218)+1)+(IF(E376&lt;101,E376,IF(E376&lt;201,E376/2,IF(E376&lt;=301,E376/3,E376/4))))</f>
        <v>686.20499999999993</v>
      </c>
      <c r="G376" s="97"/>
      <c r="H376" s="98"/>
      <c r="I376" s="34"/>
      <c r="N376" s="34"/>
    </row>
    <row r="377" spans="1:14" s="85" customFormat="1" x14ac:dyDescent="0.35">
      <c r="A377" s="99" t="s">
        <v>230</v>
      </c>
      <c r="B377" s="99"/>
      <c r="C377" s="99"/>
      <c r="D377" s="99"/>
      <c r="E377" s="99"/>
      <c r="F377" s="99"/>
      <c r="G377" s="99"/>
      <c r="H377" s="99"/>
      <c r="I377" s="34"/>
      <c r="L377" s="92"/>
      <c r="M377" s="92"/>
    </row>
    <row r="378" spans="1:14" s="85" customFormat="1" x14ac:dyDescent="0.35">
      <c r="A378" s="83">
        <v>1</v>
      </c>
      <c r="B378" s="104" t="s">
        <v>202</v>
      </c>
      <c r="C378" s="105"/>
      <c r="D378" s="105"/>
      <c r="E378" s="105"/>
      <c r="F378" s="106"/>
      <c r="G378" s="93" t="str">
        <f>A377</f>
        <v>17th Floor (Part Terrace Area)</v>
      </c>
      <c r="H378" s="94"/>
      <c r="I378" s="34"/>
      <c r="N378" s="34"/>
    </row>
    <row r="379" spans="1:14" s="85" customFormat="1" x14ac:dyDescent="0.35">
      <c r="A379" s="83">
        <v>2</v>
      </c>
      <c r="B379" s="83" t="s">
        <v>189</v>
      </c>
      <c r="C379" s="83" t="s">
        <v>192</v>
      </c>
      <c r="D379" s="83">
        <f>51.25*10.764</f>
        <v>551.65499999999997</v>
      </c>
      <c r="E379" s="83">
        <v>0</v>
      </c>
      <c r="F379" s="83">
        <f>D379*(($F$218)+1)+(IF(E379&lt;101,E379,IF(E379&lt;201,E379/2,IF(E379&lt;=301,E379/3,E379/4))))</f>
        <v>827.48249999999996</v>
      </c>
      <c r="G379" s="95"/>
      <c r="H379" s="96"/>
      <c r="I379" s="34"/>
      <c r="N379" s="34"/>
    </row>
    <row r="380" spans="1:14" s="85" customFormat="1" x14ac:dyDescent="0.35">
      <c r="A380" s="83">
        <f>A379+1</f>
        <v>3</v>
      </c>
      <c r="B380" s="104" t="s">
        <v>202</v>
      </c>
      <c r="C380" s="105" t="s">
        <v>192</v>
      </c>
      <c r="D380" s="105">
        <f>51.46*10.764</f>
        <v>553.91543999999999</v>
      </c>
      <c r="E380" s="105">
        <v>0</v>
      </c>
      <c r="F380" s="106">
        <f>D380*(($F$218)+1)+(IF(E380&lt;101,E380,IF(E380&lt;201,E380/2,IF(E380&lt;=301,E380/3,E380/4))))</f>
        <v>830.87315999999998</v>
      </c>
      <c r="G380" s="95"/>
      <c r="H380" s="96"/>
      <c r="I380" s="34"/>
      <c r="N380" s="34"/>
    </row>
    <row r="381" spans="1:14" s="85" customFormat="1" x14ac:dyDescent="0.35">
      <c r="A381" s="83">
        <f>A380+1</f>
        <v>4</v>
      </c>
      <c r="B381" s="83" t="s">
        <v>189</v>
      </c>
      <c r="C381" s="83" t="s">
        <v>191</v>
      </c>
      <c r="D381" s="83">
        <f>42.5*10.764</f>
        <v>457.46999999999997</v>
      </c>
      <c r="E381" s="83">
        <v>0</v>
      </c>
      <c r="F381" s="83">
        <f>D381*(($F$218)+1)+(IF(E381&lt;101,E381,IF(E381&lt;201,E381/2,IF(E381&lt;=301,E381/3,E381/4))))</f>
        <v>686.20499999999993</v>
      </c>
      <c r="G381" s="97"/>
      <c r="H381" s="98"/>
      <c r="I381" s="34"/>
      <c r="N381" s="34"/>
    </row>
    <row r="382" spans="1:14" x14ac:dyDescent="0.35">
      <c r="A382" s="107" t="s">
        <v>187</v>
      </c>
      <c r="B382" s="107"/>
      <c r="C382" s="107"/>
      <c r="D382" s="107"/>
      <c r="E382" s="107"/>
      <c r="F382" s="107"/>
      <c r="G382" s="107"/>
      <c r="H382" s="107"/>
    </row>
    <row r="383" spans="1:14" s="85" customFormat="1" x14ac:dyDescent="0.35">
      <c r="A383" s="99" t="s">
        <v>188</v>
      </c>
      <c r="B383" s="99"/>
      <c r="C383" s="99"/>
      <c r="D383" s="99"/>
      <c r="E383" s="99"/>
      <c r="F383" s="99"/>
      <c r="G383" s="99"/>
      <c r="H383" s="99"/>
      <c r="I383" s="34"/>
      <c r="L383" s="92"/>
      <c r="M383" s="92"/>
    </row>
    <row r="384" spans="1:14" s="85" customFormat="1" ht="15.75" customHeight="1" x14ac:dyDescent="0.35">
      <c r="A384" s="83">
        <v>1</v>
      </c>
      <c r="B384" s="83" t="s">
        <v>189</v>
      </c>
      <c r="C384" s="83" t="s">
        <v>191</v>
      </c>
      <c r="D384" s="83">
        <f>41.45*10.764</f>
        <v>446.1678</v>
      </c>
      <c r="E384" s="83">
        <v>0</v>
      </c>
      <c r="F384" s="83">
        <f>D384*(($F$218)+1)+(IF(E384&lt;101,E384,IF(E384&lt;201,E384/2,IF(E384&lt;=301,E384/3,E384/4))))</f>
        <v>669.25170000000003</v>
      </c>
      <c r="G384" s="93" t="str">
        <f>A383</f>
        <v>2nd Floor for Residential</v>
      </c>
      <c r="H384" s="94"/>
      <c r="I384" s="34"/>
      <c r="N384" s="34"/>
    </row>
    <row r="385" spans="1:14" s="85" customFormat="1" ht="15.75" customHeight="1" x14ac:dyDescent="0.35">
      <c r="A385" s="83">
        <v>2</v>
      </c>
      <c r="B385" s="83" t="s">
        <v>190</v>
      </c>
      <c r="C385" s="83" t="s">
        <v>192</v>
      </c>
      <c r="D385" s="83">
        <f>51.86*10.764</f>
        <v>558.22104000000002</v>
      </c>
      <c r="E385" s="83">
        <v>0</v>
      </c>
      <c r="F385" s="83">
        <f>D385*(($F$218)+1)+(IF(E385&lt;101,E385,IF(E385&lt;201,E385/2,IF(E385&lt;=301,E385/3,E385/4))))</f>
        <v>837.33156000000008</v>
      </c>
      <c r="G385" s="95"/>
      <c r="H385" s="96"/>
      <c r="I385" s="34"/>
      <c r="N385" s="34"/>
    </row>
    <row r="386" spans="1:14" s="85" customFormat="1" ht="15.75" customHeight="1" x14ac:dyDescent="0.35">
      <c r="A386" s="83">
        <f>A385+1</f>
        <v>3</v>
      </c>
      <c r="B386" s="83" t="s">
        <v>190</v>
      </c>
      <c r="C386" s="83" t="s">
        <v>192</v>
      </c>
      <c r="D386" s="83">
        <f>52.04*10.764</f>
        <v>560.15855999999997</v>
      </c>
      <c r="E386" s="83">
        <v>0</v>
      </c>
      <c r="F386" s="83">
        <f>D386*(($F$218)+1)+(IF(E386&lt;101,E386,IF(E386&lt;201,E386/2,IF(E386&lt;=301,E386/3,E386/4))))</f>
        <v>840.23784000000001</v>
      </c>
      <c r="G386" s="95"/>
      <c r="H386" s="96"/>
      <c r="I386" s="34"/>
      <c r="N386" s="34"/>
    </row>
    <row r="387" spans="1:14" s="85" customFormat="1" ht="15.75" customHeight="1" x14ac:dyDescent="0.35">
      <c r="A387" s="83">
        <f>A386+1</f>
        <v>4</v>
      </c>
      <c r="B387" s="83" t="s">
        <v>189</v>
      </c>
      <c r="C387" s="83" t="s">
        <v>191</v>
      </c>
      <c r="D387" s="83">
        <f>41.79*10.764</f>
        <v>449.82755999999995</v>
      </c>
      <c r="E387" s="83">
        <v>0</v>
      </c>
      <c r="F387" s="83">
        <f>D387*(($F$218)+1)+(IF(E387&lt;101,E387,IF(E387&lt;201,E387/2,IF(E387&lt;=301,E387/3,E387/4))))</f>
        <v>674.74133999999992</v>
      </c>
      <c r="G387" s="97"/>
      <c r="H387" s="98"/>
      <c r="I387" s="34"/>
      <c r="N387" s="34"/>
    </row>
    <row r="388" spans="1:14" s="85" customFormat="1" x14ac:dyDescent="0.35">
      <c r="A388" s="99" t="s">
        <v>223</v>
      </c>
      <c r="B388" s="99"/>
      <c r="C388" s="99"/>
      <c r="D388" s="99"/>
      <c r="E388" s="99"/>
      <c r="F388" s="99"/>
      <c r="G388" s="99"/>
      <c r="H388" s="99"/>
      <c r="I388" s="34"/>
      <c r="L388" s="92"/>
      <c r="M388" s="92"/>
    </row>
    <row r="389" spans="1:14" s="85" customFormat="1" ht="15.75" customHeight="1" x14ac:dyDescent="0.35">
      <c r="A389" s="83">
        <v>1</v>
      </c>
      <c r="B389" s="83" t="s">
        <v>189</v>
      </c>
      <c r="C389" s="83" t="s">
        <v>191</v>
      </c>
      <c r="D389" s="83">
        <f>41.45*10.764</f>
        <v>446.1678</v>
      </c>
      <c r="E389" s="83">
        <v>0</v>
      </c>
      <c r="F389" s="83">
        <f>D389*(($F$218)+1)+(IF(E389&lt;101,E389,IF(E389&lt;201,E389/2,IF(E389&lt;=301,E389/3,E389/4))))</f>
        <v>669.25170000000003</v>
      </c>
      <c r="G389" s="93" t="str">
        <f>A388</f>
        <v>3rd to 5th, 7th to 11th Floor</v>
      </c>
      <c r="H389" s="94"/>
      <c r="I389" s="34"/>
      <c r="N389" s="34"/>
    </row>
    <row r="390" spans="1:14" s="85" customFormat="1" ht="15.75" customHeight="1" x14ac:dyDescent="0.35">
      <c r="A390" s="83">
        <v>2</v>
      </c>
      <c r="B390" s="83" t="s">
        <v>190</v>
      </c>
      <c r="C390" s="83" t="s">
        <v>192</v>
      </c>
      <c r="D390" s="83">
        <f>51.86*10.764</f>
        <v>558.22104000000002</v>
      </c>
      <c r="E390" s="83">
        <v>0</v>
      </c>
      <c r="F390" s="83">
        <f>D390*(($F$218)+1)+(IF(E390&lt;101,E390,IF(E390&lt;201,E390/2,IF(E390&lt;=301,E390/3,E390/4))))</f>
        <v>837.33156000000008</v>
      </c>
      <c r="G390" s="95"/>
      <c r="H390" s="96"/>
      <c r="I390" s="34"/>
      <c r="N390" s="34"/>
    </row>
    <row r="391" spans="1:14" s="85" customFormat="1" ht="15.75" customHeight="1" x14ac:dyDescent="0.35">
      <c r="A391" s="83">
        <f>A390+1</f>
        <v>3</v>
      </c>
      <c r="B391" s="83" t="s">
        <v>190</v>
      </c>
      <c r="C391" s="83" t="s">
        <v>192</v>
      </c>
      <c r="D391" s="83">
        <f>52.04*10.764</f>
        <v>560.15855999999997</v>
      </c>
      <c r="E391" s="83">
        <v>0</v>
      </c>
      <c r="F391" s="83">
        <f>D391*(($F$218)+1)+(IF(E391&lt;101,E391,IF(E391&lt;201,E391/2,IF(E391&lt;=301,E391/3,E391/4))))</f>
        <v>840.23784000000001</v>
      </c>
      <c r="G391" s="95"/>
      <c r="H391" s="96"/>
      <c r="I391" s="34"/>
      <c r="N391" s="34"/>
    </row>
    <row r="392" spans="1:14" s="85" customFormat="1" ht="15.75" customHeight="1" x14ac:dyDescent="0.35">
      <c r="A392" s="83">
        <f>A391+1</f>
        <v>4</v>
      </c>
      <c r="B392" s="83" t="s">
        <v>189</v>
      </c>
      <c r="C392" s="83" t="s">
        <v>191</v>
      </c>
      <c r="D392" s="83">
        <f>41.79*10.764</f>
        <v>449.82755999999995</v>
      </c>
      <c r="E392" s="83">
        <v>0</v>
      </c>
      <c r="F392" s="83">
        <f>D392*(($F$218)+1)+(IF(E392&lt;101,E392,IF(E392&lt;201,E392/2,IF(E392&lt;=301,E392/3,E392/4))))</f>
        <v>674.74133999999992</v>
      </c>
      <c r="G392" s="97"/>
      <c r="H392" s="98"/>
      <c r="I392" s="34"/>
      <c r="N392" s="34"/>
    </row>
    <row r="393" spans="1:14" s="85" customFormat="1" x14ac:dyDescent="0.35">
      <c r="A393" s="99" t="s">
        <v>222</v>
      </c>
      <c r="B393" s="99"/>
      <c r="C393" s="99"/>
      <c r="D393" s="99"/>
      <c r="E393" s="99"/>
      <c r="F393" s="99"/>
      <c r="G393" s="99"/>
      <c r="H393" s="99"/>
      <c r="I393" s="34"/>
      <c r="L393" s="92"/>
      <c r="M393" s="92"/>
    </row>
    <row r="394" spans="1:14" s="85" customFormat="1" ht="15.75" customHeight="1" x14ac:dyDescent="0.35">
      <c r="A394" s="83">
        <v>1</v>
      </c>
      <c r="B394" s="83" t="s">
        <v>189</v>
      </c>
      <c r="C394" s="83" t="s">
        <v>191</v>
      </c>
      <c r="D394" s="83">
        <f>41.45*10.764</f>
        <v>446.1678</v>
      </c>
      <c r="E394" s="83">
        <v>0</v>
      </c>
      <c r="F394" s="83">
        <f>D394*(($F$218)+1)+(IF(E394&lt;101,E394,IF(E394&lt;201,E394/2,IF(E394&lt;=301,E394/3,E394/4))))</f>
        <v>669.25170000000003</v>
      </c>
      <c r="G394" s="93" t="str">
        <f>A393</f>
        <v xml:space="preserve"> 12th Floor</v>
      </c>
      <c r="H394" s="94"/>
      <c r="I394" s="34"/>
      <c r="N394" s="34"/>
    </row>
    <row r="395" spans="1:14" s="85" customFormat="1" ht="15.75" customHeight="1" x14ac:dyDescent="0.35">
      <c r="A395" s="83">
        <v>2</v>
      </c>
      <c r="B395" s="83" t="s">
        <v>189</v>
      </c>
      <c r="C395" s="83" t="s">
        <v>192</v>
      </c>
      <c r="D395" s="83">
        <f>51.86*10.764</f>
        <v>558.22104000000002</v>
      </c>
      <c r="E395" s="83">
        <v>0</v>
      </c>
      <c r="F395" s="83">
        <f>D395*(($F$218)+1)+(IF(E395&lt;101,E395,IF(E395&lt;201,E395/2,IF(E395&lt;=301,E395/3,E395/4))))</f>
        <v>837.33156000000008</v>
      </c>
      <c r="G395" s="95"/>
      <c r="H395" s="96"/>
      <c r="I395" s="34"/>
      <c r="N395" s="34"/>
    </row>
    <row r="396" spans="1:14" s="85" customFormat="1" ht="15.75" customHeight="1" x14ac:dyDescent="0.35">
      <c r="A396" s="83">
        <f>A395+1</f>
        <v>3</v>
      </c>
      <c r="B396" s="83" t="s">
        <v>189</v>
      </c>
      <c r="C396" s="83" t="s">
        <v>192</v>
      </c>
      <c r="D396" s="83">
        <f>52.04*10.764</f>
        <v>560.15855999999997</v>
      </c>
      <c r="E396" s="83">
        <v>0</v>
      </c>
      <c r="F396" s="83">
        <f>D396*(($F$218)+1)+(IF(E396&lt;101,E396,IF(E396&lt;201,E396/2,IF(E396&lt;=301,E396/3,E396/4))))</f>
        <v>840.23784000000001</v>
      </c>
      <c r="G396" s="95"/>
      <c r="H396" s="96"/>
      <c r="I396" s="34"/>
      <c r="N396" s="34"/>
    </row>
    <row r="397" spans="1:14" s="85" customFormat="1" ht="15.75" customHeight="1" x14ac:dyDescent="0.35">
      <c r="A397" s="83">
        <f>A396+1</f>
        <v>4</v>
      </c>
      <c r="B397" s="83" t="s">
        <v>189</v>
      </c>
      <c r="C397" s="83" t="s">
        <v>191</v>
      </c>
      <c r="D397" s="83">
        <f>41.79*10.764</f>
        <v>449.82755999999995</v>
      </c>
      <c r="E397" s="83">
        <v>0</v>
      </c>
      <c r="F397" s="83">
        <f>D397*(($F$218)+1)+(IF(E397&lt;101,E397,IF(E397&lt;201,E397/2,IF(E397&lt;=301,E397/3,E397/4))))</f>
        <v>674.74133999999992</v>
      </c>
      <c r="G397" s="97"/>
      <c r="H397" s="98"/>
      <c r="I397" s="34"/>
      <c r="N397" s="34"/>
    </row>
    <row r="398" spans="1:14" s="85" customFormat="1" x14ac:dyDescent="0.35">
      <c r="A398" s="99" t="s">
        <v>224</v>
      </c>
      <c r="B398" s="99"/>
      <c r="C398" s="99"/>
      <c r="D398" s="99"/>
      <c r="E398" s="99"/>
      <c r="F398" s="99"/>
      <c r="G398" s="99"/>
      <c r="H398" s="99"/>
      <c r="I398" s="34"/>
      <c r="L398" s="92"/>
      <c r="M398" s="92"/>
    </row>
    <row r="399" spans="1:14" s="85" customFormat="1" ht="15.75" customHeight="1" x14ac:dyDescent="0.35">
      <c r="A399" s="83">
        <v>1</v>
      </c>
      <c r="B399" s="83" t="s">
        <v>189</v>
      </c>
      <c r="C399" s="83" t="s">
        <v>191</v>
      </c>
      <c r="D399" s="83">
        <f>41.45*10.764</f>
        <v>446.1678</v>
      </c>
      <c r="E399" s="83">
        <v>0</v>
      </c>
      <c r="F399" s="83">
        <f>D399*(($F$218)+1)+(IF(E399&lt;101,E399,IF(E399&lt;201,E399/2,IF(E399&lt;=301,E399/3,E399/4))))</f>
        <v>669.25170000000003</v>
      </c>
      <c r="G399" s="93" t="str">
        <f>A398</f>
        <v>6th Floor (Part Refuge Area)</v>
      </c>
      <c r="H399" s="94"/>
      <c r="I399" s="34"/>
      <c r="N399" s="34"/>
    </row>
    <row r="400" spans="1:14" s="85" customFormat="1" ht="15.75" customHeight="1" x14ac:dyDescent="0.35">
      <c r="A400" s="83">
        <v>2</v>
      </c>
      <c r="B400" s="104" t="s">
        <v>225</v>
      </c>
      <c r="C400" s="105"/>
      <c r="D400" s="105"/>
      <c r="E400" s="105"/>
      <c r="F400" s="106"/>
      <c r="G400" s="95"/>
      <c r="H400" s="96"/>
      <c r="I400" s="34"/>
      <c r="N400" s="34"/>
    </row>
    <row r="401" spans="1:14" s="85" customFormat="1" ht="15.75" customHeight="1" x14ac:dyDescent="0.35">
      <c r="A401" s="83">
        <f>A400+1</f>
        <v>3</v>
      </c>
      <c r="B401" s="83" t="s">
        <v>190</v>
      </c>
      <c r="C401" s="83" t="s">
        <v>192</v>
      </c>
      <c r="D401" s="83">
        <f>52.04*10.764</f>
        <v>560.15855999999997</v>
      </c>
      <c r="E401" s="83">
        <v>0</v>
      </c>
      <c r="F401" s="83">
        <f>D401*(($F$218)+1)+(IF(E401&lt;101,E401,IF(E401&lt;201,E401/2,IF(E401&lt;=301,E401/3,E401/4))))</f>
        <v>840.23784000000001</v>
      </c>
      <c r="G401" s="95"/>
      <c r="H401" s="96"/>
      <c r="I401" s="34"/>
      <c r="N401" s="34"/>
    </row>
    <row r="402" spans="1:14" s="85" customFormat="1" ht="15.75" customHeight="1" x14ac:dyDescent="0.35">
      <c r="A402" s="83">
        <f>A401+1</f>
        <v>4</v>
      </c>
      <c r="B402" s="83" t="s">
        <v>189</v>
      </c>
      <c r="C402" s="83" t="s">
        <v>191</v>
      </c>
      <c r="D402" s="83">
        <f>41.79*10.764</f>
        <v>449.82755999999995</v>
      </c>
      <c r="E402" s="83">
        <v>0</v>
      </c>
      <c r="F402" s="83">
        <f>D402*(($F$218)+1)+(IF(E402&lt;101,E402,IF(E402&lt;201,E402/2,IF(E402&lt;=301,E402/3,E402/4))))</f>
        <v>674.74133999999992</v>
      </c>
      <c r="G402" s="97"/>
      <c r="H402" s="98"/>
      <c r="I402" s="34"/>
      <c r="N402" s="34"/>
    </row>
    <row r="403" spans="1:14" s="85" customFormat="1" x14ac:dyDescent="0.35">
      <c r="A403" s="99" t="s">
        <v>226</v>
      </c>
      <c r="B403" s="99"/>
      <c r="C403" s="99"/>
      <c r="D403" s="99"/>
      <c r="E403" s="99"/>
      <c r="F403" s="99"/>
      <c r="G403" s="99"/>
      <c r="H403" s="99"/>
      <c r="I403" s="34"/>
      <c r="L403" s="92"/>
      <c r="M403" s="92"/>
    </row>
    <row r="404" spans="1:14" s="85" customFormat="1" ht="15.75" customHeight="1" x14ac:dyDescent="0.35">
      <c r="A404" s="83">
        <v>1</v>
      </c>
      <c r="B404" s="83" t="s">
        <v>189</v>
      </c>
      <c r="C404" s="83" t="s">
        <v>191</v>
      </c>
      <c r="D404" s="83">
        <f>41.45*10.764</f>
        <v>446.1678</v>
      </c>
      <c r="E404" s="83">
        <v>0</v>
      </c>
      <c r="F404" s="83">
        <f>D404*(($F$218)+1)+(IF(E404&lt;101,E404,IF(E404&lt;201,E404/2,IF(E404&lt;=301,E404/3,E404/4))))</f>
        <v>669.25170000000003</v>
      </c>
      <c r="G404" s="93" t="str">
        <f>A403</f>
        <v>13th Floor (Part Refuge Area)</v>
      </c>
      <c r="H404" s="94"/>
      <c r="I404" s="34"/>
      <c r="N404" s="34"/>
    </row>
    <row r="405" spans="1:14" s="85" customFormat="1" ht="15.75" customHeight="1" x14ac:dyDescent="0.35">
      <c r="A405" s="83">
        <v>2</v>
      </c>
      <c r="B405" s="104" t="s">
        <v>225</v>
      </c>
      <c r="C405" s="105"/>
      <c r="D405" s="105"/>
      <c r="E405" s="105"/>
      <c r="F405" s="106"/>
      <c r="G405" s="95"/>
      <c r="H405" s="96"/>
      <c r="I405" s="34"/>
      <c r="N405" s="34"/>
    </row>
    <row r="406" spans="1:14" s="85" customFormat="1" ht="15.75" customHeight="1" x14ac:dyDescent="0.35">
      <c r="A406" s="83">
        <f>A405+1</f>
        <v>3</v>
      </c>
      <c r="B406" s="83" t="s">
        <v>189</v>
      </c>
      <c r="C406" s="83" t="s">
        <v>192</v>
      </c>
      <c r="D406" s="83">
        <f>51.25*10.764</f>
        <v>551.65499999999997</v>
      </c>
      <c r="E406" s="83">
        <v>0</v>
      </c>
      <c r="F406" s="83">
        <f>D406*(($F$218)+1)+(IF(E406&lt;101,E406,IF(E406&lt;201,E406/2,IF(E406&lt;=301,E406/3,E406/4))))</f>
        <v>827.48249999999996</v>
      </c>
      <c r="G406" s="95"/>
      <c r="H406" s="96"/>
      <c r="I406" s="34"/>
      <c r="N406" s="34"/>
    </row>
    <row r="407" spans="1:14" s="85" customFormat="1" ht="15.75" customHeight="1" x14ac:dyDescent="0.35">
      <c r="A407" s="83">
        <f>A406+1</f>
        <v>4</v>
      </c>
      <c r="B407" s="83" t="s">
        <v>189</v>
      </c>
      <c r="C407" s="83" t="s">
        <v>191</v>
      </c>
      <c r="D407" s="83">
        <f>41.79*10.764</f>
        <v>449.82755999999995</v>
      </c>
      <c r="E407" s="83">
        <v>0</v>
      </c>
      <c r="F407" s="83">
        <f>D407*(($F$218)+1)+(IF(E407&lt;101,E407,IF(E407&lt;201,E407/2,IF(E407&lt;=301,E407/3,E407/4))))</f>
        <v>674.74133999999992</v>
      </c>
      <c r="G407" s="97"/>
      <c r="H407" s="98"/>
      <c r="I407" s="34"/>
      <c r="N407" s="34"/>
    </row>
    <row r="408" spans="1:14" s="85" customFormat="1" x14ac:dyDescent="0.35">
      <c r="A408" s="99" t="s">
        <v>227</v>
      </c>
      <c r="B408" s="99"/>
      <c r="C408" s="99"/>
      <c r="D408" s="99"/>
      <c r="E408" s="99"/>
      <c r="F408" s="99"/>
      <c r="G408" s="99"/>
      <c r="H408" s="99"/>
      <c r="I408" s="34"/>
      <c r="L408" s="92"/>
      <c r="M408" s="92"/>
    </row>
    <row r="409" spans="1:14" s="85" customFormat="1" x14ac:dyDescent="0.35">
      <c r="A409" s="83">
        <v>1</v>
      </c>
      <c r="B409" s="83" t="s">
        <v>189</v>
      </c>
      <c r="C409" s="83" t="s">
        <v>191</v>
      </c>
      <c r="D409" s="83">
        <f>41.45*10.764</f>
        <v>446.1678</v>
      </c>
      <c r="E409" s="83">
        <v>0</v>
      </c>
      <c r="F409" s="83">
        <f>D409*(($F$218)+1)+(IF(E409&lt;101,E409,IF(E409&lt;201,E409/2,IF(E409&lt;=301,E409/3,E409/4))))</f>
        <v>669.25170000000003</v>
      </c>
      <c r="G409" s="93" t="str">
        <f>A408</f>
        <v>14th Floor</v>
      </c>
      <c r="H409" s="94"/>
      <c r="I409" s="34"/>
      <c r="N409" s="34"/>
    </row>
    <row r="410" spans="1:14" s="85" customFormat="1" x14ac:dyDescent="0.35">
      <c r="A410" s="83">
        <v>2</v>
      </c>
      <c r="B410" s="83" t="s">
        <v>189</v>
      </c>
      <c r="C410" s="83" t="s">
        <v>192</v>
      </c>
      <c r="D410" s="83">
        <f>51.07*10.764</f>
        <v>549.71748000000002</v>
      </c>
      <c r="E410" s="83">
        <v>0</v>
      </c>
      <c r="F410" s="83">
        <f>D410*(($F$218)+1)+(IF(E410&lt;101,E410,IF(E410&lt;201,E410/2,IF(E410&lt;=301,E410/3,E410/4))))</f>
        <v>824.57622000000003</v>
      </c>
      <c r="G410" s="95"/>
      <c r="H410" s="96"/>
      <c r="I410" s="34"/>
      <c r="N410" s="34"/>
    </row>
    <row r="411" spans="1:14" s="85" customFormat="1" x14ac:dyDescent="0.35">
      <c r="A411" s="83">
        <f>A410+1</f>
        <v>3</v>
      </c>
      <c r="B411" s="83" t="s">
        <v>189</v>
      </c>
      <c r="C411" s="83" t="s">
        <v>192</v>
      </c>
      <c r="D411" s="83">
        <f>51.25*10.764</f>
        <v>551.65499999999997</v>
      </c>
      <c r="E411" s="83">
        <v>0</v>
      </c>
      <c r="F411" s="83">
        <f>D411*(($F$218)+1)+(IF(E411&lt;101,E411,IF(E411&lt;201,E411/2,IF(E411&lt;=301,E411/3,E411/4))))</f>
        <v>827.48249999999996</v>
      </c>
      <c r="G411" s="95"/>
      <c r="H411" s="96"/>
      <c r="I411" s="34"/>
      <c r="N411" s="34"/>
    </row>
    <row r="412" spans="1:14" s="85" customFormat="1" x14ac:dyDescent="0.35">
      <c r="A412" s="83">
        <f>A411+1</f>
        <v>4</v>
      </c>
      <c r="B412" s="83" t="s">
        <v>189</v>
      </c>
      <c r="C412" s="83" t="s">
        <v>191</v>
      </c>
      <c r="D412" s="83">
        <f>41.79*10.764</f>
        <v>449.82755999999995</v>
      </c>
      <c r="E412" s="83">
        <v>0</v>
      </c>
      <c r="F412" s="83">
        <f>D412*(($F$218)+1)+(IF(E412&lt;101,E412,IF(E412&lt;201,E412/2,IF(E412&lt;=301,E412/3,E412/4))))</f>
        <v>674.74133999999992</v>
      </c>
      <c r="G412" s="97"/>
      <c r="H412" s="98"/>
      <c r="I412" s="34"/>
      <c r="N412" s="34"/>
    </row>
    <row r="413" spans="1:14" s="85" customFormat="1" x14ac:dyDescent="0.35">
      <c r="A413" s="99" t="s">
        <v>228</v>
      </c>
      <c r="B413" s="99"/>
      <c r="C413" s="99"/>
      <c r="D413" s="99"/>
      <c r="E413" s="99"/>
      <c r="F413" s="99"/>
      <c r="G413" s="99"/>
      <c r="H413" s="99"/>
      <c r="I413" s="34"/>
      <c r="L413" s="92"/>
      <c r="M413" s="92"/>
    </row>
    <row r="414" spans="1:14" s="85" customFormat="1" x14ac:dyDescent="0.35">
      <c r="A414" s="83">
        <v>1</v>
      </c>
      <c r="B414" s="83" t="s">
        <v>189</v>
      </c>
      <c r="C414" s="83" t="s">
        <v>191</v>
      </c>
      <c r="D414" s="83">
        <f>41.45*10.764</f>
        <v>446.1678</v>
      </c>
      <c r="E414" s="83">
        <v>0</v>
      </c>
      <c r="F414" s="83">
        <f>D414*(($F$218)+1)+(IF(E414&lt;101,E414,IF(E414&lt;201,E414/2,IF(E414&lt;=301,E414/3,E414/4))))</f>
        <v>669.25170000000003</v>
      </c>
      <c r="G414" s="93" t="str">
        <f>A413</f>
        <v>15th &amp; 16th Floor</v>
      </c>
      <c r="H414" s="94"/>
      <c r="I414" s="34"/>
      <c r="N414" s="34"/>
    </row>
    <row r="415" spans="1:14" s="85" customFormat="1" x14ac:dyDescent="0.35">
      <c r="A415" s="83">
        <v>2</v>
      </c>
      <c r="B415" s="83" t="s">
        <v>189</v>
      </c>
      <c r="C415" s="83" t="s">
        <v>192</v>
      </c>
      <c r="D415" s="83">
        <f>51.07*10.764</f>
        <v>549.71748000000002</v>
      </c>
      <c r="E415" s="83">
        <v>0</v>
      </c>
      <c r="F415" s="83">
        <f>D415*(($F$218)+1)+(IF(E415&lt;101,E415,IF(E415&lt;201,E415/2,IF(E415&lt;=301,E415/3,E415/4))))</f>
        <v>824.57622000000003</v>
      </c>
      <c r="G415" s="95"/>
      <c r="H415" s="96"/>
      <c r="I415" s="34"/>
      <c r="N415" s="34"/>
    </row>
    <row r="416" spans="1:14" s="85" customFormat="1" x14ac:dyDescent="0.35">
      <c r="A416" s="83">
        <f>A415+1</f>
        <v>3</v>
      </c>
      <c r="B416" s="83" t="s">
        <v>189</v>
      </c>
      <c r="C416" s="83" t="s">
        <v>192</v>
      </c>
      <c r="D416" s="83">
        <f>51.25*10.764</f>
        <v>551.65499999999997</v>
      </c>
      <c r="E416" s="83">
        <v>0</v>
      </c>
      <c r="F416" s="83">
        <f>D416*(($F$218)+1)+(IF(E416&lt;101,E416,IF(E416&lt;201,E416/2,IF(E416&lt;=301,E416/3,E416/4))))</f>
        <v>827.48249999999996</v>
      </c>
      <c r="G416" s="95"/>
      <c r="H416" s="96"/>
      <c r="I416" s="34"/>
      <c r="N416" s="34"/>
    </row>
    <row r="417" spans="1:14" s="85" customFormat="1" x14ac:dyDescent="0.35">
      <c r="A417" s="83">
        <f>A416+1</f>
        <v>4</v>
      </c>
      <c r="B417" s="83" t="s">
        <v>189</v>
      </c>
      <c r="C417" s="83" t="s">
        <v>191</v>
      </c>
      <c r="D417" s="83">
        <f>41.79*10.764</f>
        <v>449.82755999999995</v>
      </c>
      <c r="E417" s="83">
        <v>0</v>
      </c>
      <c r="F417" s="83">
        <f>D417*(($F$218)+1)+(IF(E417&lt;101,E417,IF(E417&lt;201,E417/2,IF(E417&lt;=301,E417/3,E417/4))))</f>
        <v>674.74133999999992</v>
      </c>
      <c r="G417" s="97"/>
      <c r="H417" s="98"/>
      <c r="I417" s="34"/>
      <c r="N417" s="34"/>
    </row>
    <row r="418" spans="1:14" s="1" customFormat="1" x14ac:dyDescent="0.35">
      <c r="A418" s="165" t="s">
        <v>69</v>
      </c>
      <c r="B418" s="165"/>
      <c r="C418" s="165"/>
      <c r="D418" s="165"/>
      <c r="E418" s="165"/>
      <c r="F418" s="165"/>
      <c r="G418" s="165"/>
      <c r="H418" s="165"/>
    </row>
    <row r="419" spans="1:14" s="1" customFormat="1" x14ac:dyDescent="0.35">
      <c r="A419" s="64">
        <v>1</v>
      </c>
      <c r="B419" s="100" t="s">
        <v>263</v>
      </c>
      <c r="C419" s="90"/>
      <c r="D419" s="90"/>
      <c r="E419" s="90"/>
      <c r="F419" s="90"/>
      <c r="G419" s="90"/>
      <c r="H419" s="91"/>
    </row>
    <row r="420" spans="1:14" s="1" customFormat="1" x14ac:dyDescent="0.35">
      <c r="A420" s="44">
        <f t="shared" ref="A420:A426" si="1">A419+1</f>
        <v>2</v>
      </c>
      <c r="B420" s="100" t="str">
        <f>(IF(F217="Saleable area Loading :","We have considered Saleable area of Flats as per our Calculation.","We considered Saleable area of Flat as per Builder area Sheet."))</f>
        <v>We have considered Saleable area of Flats as per our Calculation.</v>
      </c>
      <c r="C420" s="90"/>
      <c r="D420" s="90"/>
      <c r="E420" s="90"/>
      <c r="F420" s="90"/>
      <c r="G420" s="90"/>
      <c r="H420" s="91"/>
    </row>
    <row r="421" spans="1:14" s="1" customFormat="1" x14ac:dyDescent="0.35">
      <c r="A421" s="55">
        <f t="shared" si="1"/>
        <v>3</v>
      </c>
      <c r="B421" s="100" t="str">
        <f>(IF(F141="Saleable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21" s="90"/>
      <c r="D421" s="90"/>
      <c r="E421" s="90"/>
      <c r="F421" s="90"/>
      <c r="G421" s="90"/>
      <c r="H421" s="91"/>
    </row>
    <row r="422" spans="1:14" s="1" customFormat="1" x14ac:dyDescent="0.35">
      <c r="A422" s="53">
        <f>A421+1</f>
        <v>4</v>
      </c>
      <c r="B422" s="101" t="s">
        <v>128</v>
      </c>
      <c r="C422" s="102"/>
      <c r="D422" s="102"/>
      <c r="E422" s="102"/>
      <c r="F422" s="102"/>
      <c r="G422" s="102"/>
      <c r="H422" s="103"/>
    </row>
    <row r="423" spans="1:14" s="1" customFormat="1" x14ac:dyDescent="0.35">
      <c r="A423" s="59">
        <f t="shared" si="1"/>
        <v>5</v>
      </c>
      <c r="B423" s="101" t="s">
        <v>157</v>
      </c>
      <c r="C423" s="102"/>
      <c r="D423" s="102"/>
      <c r="E423" s="102"/>
      <c r="F423" s="102"/>
      <c r="G423" s="102"/>
      <c r="H423" s="103"/>
    </row>
    <row r="424" spans="1:14" s="1" customFormat="1" x14ac:dyDescent="0.35">
      <c r="A424" s="59">
        <f t="shared" si="1"/>
        <v>6</v>
      </c>
      <c r="B424" s="101" t="s">
        <v>193</v>
      </c>
      <c r="C424" s="102"/>
      <c r="D424" s="102"/>
      <c r="E424" s="102"/>
      <c r="F424" s="102"/>
      <c r="G424" s="102"/>
      <c r="H424" s="103"/>
    </row>
    <row r="425" spans="1:14" s="1" customFormat="1" x14ac:dyDescent="0.35">
      <c r="A425" s="59">
        <f t="shared" si="1"/>
        <v>7</v>
      </c>
      <c r="B425" s="101" t="s">
        <v>129</v>
      </c>
      <c r="C425" s="102"/>
      <c r="D425" s="102"/>
      <c r="E425" s="102"/>
      <c r="F425" s="102"/>
      <c r="G425" s="102"/>
      <c r="H425" s="103"/>
    </row>
    <row r="426" spans="1:14" s="1" customFormat="1" x14ac:dyDescent="0.35">
      <c r="A426" s="64">
        <f t="shared" si="1"/>
        <v>8</v>
      </c>
      <c r="B426" s="100" t="s">
        <v>130</v>
      </c>
      <c r="C426" s="90"/>
      <c r="D426" s="90"/>
      <c r="E426" s="90"/>
      <c r="F426" s="90"/>
      <c r="G426" s="90"/>
      <c r="H426" s="91"/>
    </row>
    <row r="427" spans="1:14" s="1" customFormat="1" ht="15.75" hidden="1" customHeight="1" x14ac:dyDescent="0.35">
      <c r="A427" s="64" t="e">
        <f>#REF!+1</f>
        <v>#REF!</v>
      </c>
      <c r="B427" s="100" t="s">
        <v>194</v>
      </c>
      <c r="C427" s="90"/>
      <c r="D427" s="90"/>
      <c r="E427" s="90"/>
      <c r="F427" s="90"/>
      <c r="G427" s="90"/>
      <c r="H427" s="91"/>
    </row>
    <row r="428" spans="1:14" s="1" customFormat="1" x14ac:dyDescent="0.35">
      <c r="A428" s="64">
        <v>10</v>
      </c>
      <c r="B428" s="100" t="s">
        <v>252</v>
      </c>
      <c r="C428" s="90"/>
      <c r="D428" s="90"/>
      <c r="E428" s="90"/>
      <c r="F428" s="90"/>
      <c r="G428" s="90"/>
      <c r="H428" s="91"/>
    </row>
    <row r="429" spans="1:14" s="1" customFormat="1" x14ac:dyDescent="0.35">
      <c r="A429" s="64">
        <v>11</v>
      </c>
      <c r="B429" s="100" t="s">
        <v>260</v>
      </c>
      <c r="C429" s="90"/>
      <c r="D429" s="90"/>
      <c r="E429" s="90"/>
      <c r="F429" s="90"/>
      <c r="G429" s="90"/>
      <c r="H429" s="91"/>
    </row>
    <row r="430" spans="1:14" s="1" customFormat="1" ht="15.5" hidden="1" customHeight="1" x14ac:dyDescent="0.35">
      <c r="A430" s="64">
        <v>12</v>
      </c>
      <c r="B430" s="89" t="s">
        <v>261</v>
      </c>
      <c r="C430" s="90"/>
      <c r="D430" s="90"/>
      <c r="E430" s="90"/>
      <c r="F430" s="90"/>
      <c r="G430" s="90"/>
      <c r="H430" s="91"/>
    </row>
    <row r="431" spans="1:14" s="1" customFormat="1" x14ac:dyDescent="0.35">
      <c r="A431" s="64">
        <v>12</v>
      </c>
      <c r="B431" s="100" t="s">
        <v>266</v>
      </c>
      <c r="C431" s="90"/>
      <c r="D431" s="90"/>
      <c r="E431" s="90"/>
      <c r="F431" s="90"/>
      <c r="G431" s="90"/>
      <c r="H431" s="91"/>
    </row>
    <row r="432" spans="1:14" x14ac:dyDescent="0.35">
      <c r="A432" s="163" t="s">
        <v>62</v>
      </c>
      <c r="B432" s="163"/>
      <c r="C432" s="163"/>
      <c r="D432" s="163"/>
      <c r="E432" s="163"/>
      <c r="F432" s="163"/>
      <c r="G432" s="163"/>
      <c r="H432" s="163"/>
    </row>
    <row r="433" spans="1:10" x14ac:dyDescent="0.35">
      <c r="A433" s="159" t="s">
        <v>63</v>
      </c>
      <c r="B433" s="159"/>
      <c r="C433" s="159"/>
      <c r="D433" s="159"/>
      <c r="E433" s="159"/>
      <c r="F433" s="159"/>
      <c r="G433" s="159"/>
      <c r="H433" s="159"/>
    </row>
    <row r="434" spans="1:10" ht="15.75" customHeight="1" x14ac:dyDescent="0.35">
      <c r="A434" s="160" t="s">
        <v>64</v>
      </c>
      <c r="B434" s="160"/>
      <c r="C434" s="160"/>
      <c r="D434" s="160"/>
      <c r="E434" s="160"/>
      <c r="F434" s="160"/>
      <c r="G434" s="160"/>
      <c r="H434" s="160"/>
    </row>
    <row r="435" spans="1:10" x14ac:dyDescent="0.35">
      <c r="A435" s="159" t="s">
        <v>65</v>
      </c>
      <c r="B435" s="159"/>
      <c r="C435" s="159"/>
      <c r="D435" s="159"/>
      <c r="E435" s="159"/>
      <c r="F435" s="159"/>
      <c r="G435" s="159"/>
      <c r="H435" s="159"/>
    </row>
    <row r="436" spans="1:10" x14ac:dyDescent="0.35">
      <c r="A436" s="159" t="s">
        <v>66</v>
      </c>
      <c r="B436" s="159"/>
      <c r="C436" s="159"/>
      <c r="D436" s="159"/>
      <c r="E436" s="159"/>
      <c r="F436" s="159"/>
      <c r="G436" s="159"/>
      <c r="H436" s="159"/>
    </row>
    <row r="437" spans="1:10" x14ac:dyDescent="0.35">
      <c r="A437" s="159" t="s">
        <v>131</v>
      </c>
      <c r="B437" s="159"/>
      <c r="C437" s="159"/>
      <c r="D437" s="159"/>
      <c r="E437" s="159"/>
      <c r="F437" s="159"/>
      <c r="G437" s="159"/>
      <c r="H437" s="159"/>
    </row>
    <row r="438" spans="1:10" ht="35.25" customHeight="1" x14ac:dyDescent="0.35">
      <c r="A438" s="158" t="s">
        <v>132</v>
      </c>
      <c r="B438" s="158"/>
      <c r="C438" s="158"/>
      <c r="D438" s="158"/>
      <c r="E438" s="158"/>
      <c r="F438" s="158"/>
      <c r="G438" s="158"/>
      <c r="H438" s="158"/>
    </row>
    <row r="439" spans="1:10" x14ac:dyDescent="0.35">
      <c r="A439" s="157" t="s">
        <v>77</v>
      </c>
      <c r="B439" s="157"/>
      <c r="C439" s="157" t="s">
        <v>265</v>
      </c>
      <c r="D439" s="157"/>
      <c r="E439" s="157" t="s">
        <v>112</v>
      </c>
      <c r="F439" s="157"/>
      <c r="G439" s="157" t="s">
        <v>264</v>
      </c>
      <c r="H439" s="157"/>
    </row>
    <row r="440" spans="1:10" x14ac:dyDescent="0.35">
      <c r="A440" s="156" t="s">
        <v>79</v>
      </c>
      <c r="B440" s="156"/>
      <c r="C440" s="156"/>
      <c r="D440" s="156"/>
      <c r="E440" s="156"/>
      <c r="F440" s="156"/>
      <c r="G440" s="156"/>
      <c r="H440" s="156"/>
      <c r="J440" s="3" t="s">
        <v>259</v>
      </c>
    </row>
    <row r="441" spans="1:10" x14ac:dyDescent="0.35">
      <c r="A441" s="156"/>
      <c r="B441" s="156"/>
      <c r="C441" s="156"/>
      <c r="D441" s="156"/>
      <c r="E441" s="156"/>
      <c r="F441" s="156"/>
      <c r="G441" s="156"/>
      <c r="H441" s="156"/>
    </row>
    <row r="442" spans="1:10" x14ac:dyDescent="0.35">
      <c r="A442" s="156"/>
      <c r="B442" s="156"/>
      <c r="C442" s="156"/>
      <c r="D442" s="156"/>
      <c r="E442" s="156"/>
      <c r="F442" s="156"/>
      <c r="G442" s="156"/>
      <c r="H442" s="156"/>
    </row>
    <row r="443" spans="1:10" x14ac:dyDescent="0.35">
      <c r="A443" s="156"/>
      <c r="B443" s="156"/>
      <c r="C443" s="156"/>
      <c r="D443" s="156"/>
      <c r="E443" s="156"/>
      <c r="F443" s="156"/>
      <c r="G443" s="156"/>
      <c r="H443" s="156"/>
    </row>
    <row r="444" spans="1:10" x14ac:dyDescent="0.35">
      <c r="A444" s="8" t="s">
        <v>67</v>
      </c>
      <c r="B444" s="9"/>
      <c r="C444" s="9"/>
      <c r="D444" s="8" t="str">
        <f>E8</f>
        <v>Nirlon Employee CHSL Bldg No. 11, 12, 13</v>
      </c>
      <c r="F444" s="9"/>
      <c r="G444" s="9"/>
      <c r="H444" s="9"/>
    </row>
    <row r="445" spans="1:10" x14ac:dyDescent="0.35">
      <c r="A445" s="9"/>
      <c r="B445" s="9"/>
      <c r="C445" s="9"/>
      <c r="D445" s="9"/>
      <c r="E445" s="9"/>
      <c r="F445" s="9"/>
      <c r="G445" s="9"/>
      <c r="H445" s="9"/>
    </row>
    <row r="446" spans="1:10" x14ac:dyDescent="0.35">
      <c r="A446" s="9"/>
      <c r="B446" s="9"/>
      <c r="C446" s="9"/>
      <c r="D446" s="9"/>
      <c r="E446" s="9"/>
      <c r="F446" s="9"/>
      <c r="G446" s="9"/>
      <c r="H446" s="9"/>
    </row>
    <row r="447" spans="1:10" ht="15" customHeight="1" x14ac:dyDescent="0.35"/>
    <row r="487" spans="1:1" x14ac:dyDescent="0.35">
      <c r="A487" s="11" t="s">
        <v>68</v>
      </c>
    </row>
  </sheetData>
  <mergeCells count="563">
    <mergeCell ref="B431:H431"/>
    <mergeCell ref="L202:M202"/>
    <mergeCell ref="G188:H189"/>
    <mergeCell ref="G191:H192"/>
    <mergeCell ref="G209:H209"/>
    <mergeCell ref="A167:H167"/>
    <mergeCell ref="A171:H171"/>
    <mergeCell ref="A161:H161"/>
    <mergeCell ref="G162:H162"/>
    <mergeCell ref="L185:M185"/>
    <mergeCell ref="L194:M194"/>
    <mergeCell ref="L195:M195"/>
    <mergeCell ref="G194:H198"/>
    <mergeCell ref="L196:M196"/>
    <mergeCell ref="L203:M203"/>
    <mergeCell ref="L204:M204"/>
    <mergeCell ref="L205:M205"/>
    <mergeCell ref="G158:H160"/>
    <mergeCell ref="L188:M188"/>
    <mergeCell ref="L189:M189"/>
    <mergeCell ref="L191:M191"/>
    <mergeCell ref="L179:M179"/>
    <mergeCell ref="L180:M180"/>
    <mergeCell ref="L181:M181"/>
    <mergeCell ref="G179:H181"/>
    <mergeCell ref="L192:M192"/>
    <mergeCell ref="A163:H163"/>
    <mergeCell ref="L183:M183"/>
    <mergeCell ref="L177:M177"/>
    <mergeCell ref="L168:M168"/>
    <mergeCell ref="A147:H147"/>
    <mergeCell ref="G212:H212"/>
    <mergeCell ref="G208:H208"/>
    <mergeCell ref="C298:F298"/>
    <mergeCell ref="B380:F380"/>
    <mergeCell ref="B429:H429"/>
    <mergeCell ref="G206:H206"/>
    <mergeCell ref="G214:H214"/>
    <mergeCell ref="A193:H193"/>
    <mergeCell ref="A245:H245"/>
    <mergeCell ref="A230:H230"/>
    <mergeCell ref="A149:H149"/>
    <mergeCell ref="A150:H150"/>
    <mergeCell ref="A152:H152"/>
    <mergeCell ref="A153:H153"/>
    <mergeCell ref="A217:A218"/>
    <mergeCell ref="A235:H235"/>
    <mergeCell ref="G236:H239"/>
    <mergeCell ref="A301:H301"/>
    <mergeCell ref="A295:H295"/>
    <mergeCell ref="G296:H299"/>
    <mergeCell ref="G409:H412"/>
    <mergeCell ref="A413:H413"/>
    <mergeCell ref="G343:H346"/>
    <mergeCell ref="L245:M245"/>
    <mergeCell ref="L230:M230"/>
    <mergeCell ref="L235:M235"/>
    <mergeCell ref="B237:F237"/>
    <mergeCell ref="A240:H240"/>
    <mergeCell ref="L240:M240"/>
    <mergeCell ref="G241:H244"/>
    <mergeCell ref="B242:F242"/>
    <mergeCell ref="L197:M197"/>
    <mergeCell ref="L198:M198"/>
    <mergeCell ref="A219:H219"/>
    <mergeCell ref="A225:H225"/>
    <mergeCell ref="L225:M225"/>
    <mergeCell ref="L214:M214"/>
    <mergeCell ref="G215:H215"/>
    <mergeCell ref="L215:M215"/>
    <mergeCell ref="G211:H211"/>
    <mergeCell ref="L210:M210"/>
    <mergeCell ref="L206:M206"/>
    <mergeCell ref="L207:M207"/>
    <mergeCell ref="L208:M208"/>
    <mergeCell ref="L209:M209"/>
    <mergeCell ref="L220:M220"/>
    <mergeCell ref="L201:M201"/>
    <mergeCell ref="L211:M211"/>
    <mergeCell ref="L212:M212"/>
    <mergeCell ref="A213:H213"/>
    <mergeCell ref="L155:M155"/>
    <mergeCell ref="L158:M158"/>
    <mergeCell ref="L159:M159"/>
    <mergeCell ref="L160:M160"/>
    <mergeCell ref="L170:M170"/>
    <mergeCell ref="G168:H170"/>
    <mergeCell ref="G184:H184"/>
    <mergeCell ref="A186:H186"/>
    <mergeCell ref="A187:H187"/>
    <mergeCell ref="A190:H190"/>
    <mergeCell ref="G185:H185"/>
    <mergeCell ref="A175:H175"/>
    <mergeCell ref="A182:H182"/>
    <mergeCell ref="G183:H183"/>
    <mergeCell ref="G176:H177"/>
    <mergeCell ref="A157:H157"/>
    <mergeCell ref="L172:M172"/>
    <mergeCell ref="L184:M184"/>
    <mergeCell ref="L169:M169"/>
    <mergeCell ref="G172:H173"/>
    <mergeCell ref="A178:H178"/>
    <mergeCell ref="A84:B84"/>
    <mergeCell ref="C84:H84"/>
    <mergeCell ref="A85:B85"/>
    <mergeCell ref="E85:F85"/>
    <mergeCell ref="G85:H85"/>
    <mergeCell ref="A120:B120"/>
    <mergeCell ref="E120:F120"/>
    <mergeCell ref="G120:H120"/>
    <mergeCell ref="G123:H123"/>
    <mergeCell ref="E121:F121"/>
    <mergeCell ref="A110:H110"/>
    <mergeCell ref="A108:E108"/>
    <mergeCell ref="A105:E105"/>
    <mergeCell ref="F101:H101"/>
    <mergeCell ref="A97:E97"/>
    <mergeCell ref="F104:H104"/>
    <mergeCell ref="F100:H100"/>
    <mergeCell ref="A90:B90"/>
    <mergeCell ref="A91:B91"/>
    <mergeCell ref="A92:B92"/>
    <mergeCell ref="F97:H97"/>
    <mergeCell ref="A96:H96"/>
    <mergeCell ref="A104:E104"/>
    <mergeCell ref="F103:H103"/>
    <mergeCell ref="F106:H106"/>
    <mergeCell ref="F107:H107"/>
    <mergeCell ref="A86:B86"/>
    <mergeCell ref="E86:F95"/>
    <mergeCell ref="A93:B93"/>
    <mergeCell ref="A94:B94"/>
    <mergeCell ref="A95:B95"/>
    <mergeCell ref="A102:E102"/>
    <mergeCell ref="F102:H102"/>
    <mergeCell ref="A103:E103"/>
    <mergeCell ref="F99:H99"/>
    <mergeCell ref="A100:E100"/>
    <mergeCell ref="A101:E101"/>
    <mergeCell ref="A99:E99"/>
    <mergeCell ref="F105:H105"/>
    <mergeCell ref="G86:H95"/>
    <mergeCell ref="A87:B87"/>
    <mergeCell ref="A88:B88"/>
    <mergeCell ref="A89:B89"/>
    <mergeCell ref="F98:H98"/>
    <mergeCell ref="A98:E98"/>
    <mergeCell ref="G124:H124"/>
    <mergeCell ref="E125:F125"/>
    <mergeCell ref="G125:H125"/>
    <mergeCell ref="A138:C138"/>
    <mergeCell ref="C141:C142"/>
    <mergeCell ref="E138:F138"/>
    <mergeCell ref="G138:H138"/>
    <mergeCell ref="B141:B142"/>
    <mergeCell ref="A141:A142"/>
    <mergeCell ref="A140:H140"/>
    <mergeCell ref="E133:F133"/>
    <mergeCell ref="G133:H133"/>
    <mergeCell ref="D141:D142"/>
    <mergeCell ref="G135:H135"/>
    <mergeCell ref="A134:B135"/>
    <mergeCell ref="E137:F137"/>
    <mergeCell ref="E134:F134"/>
    <mergeCell ref="G134:H134"/>
    <mergeCell ref="G137:H137"/>
    <mergeCell ref="E135:F135"/>
    <mergeCell ref="E132:F132"/>
    <mergeCell ref="A117:C117"/>
    <mergeCell ref="A119:C119"/>
    <mergeCell ref="A125:C125"/>
    <mergeCell ref="E129:F129"/>
    <mergeCell ref="G121:H121"/>
    <mergeCell ref="A122:B122"/>
    <mergeCell ref="E122:F122"/>
    <mergeCell ref="G122:H122"/>
    <mergeCell ref="A136:B137"/>
    <mergeCell ref="E136:F136"/>
    <mergeCell ref="G136:H136"/>
    <mergeCell ref="E128:F128"/>
    <mergeCell ref="G128:H128"/>
    <mergeCell ref="E127:F127"/>
    <mergeCell ref="G129:H129"/>
    <mergeCell ref="A127:C127"/>
    <mergeCell ref="A128:B129"/>
    <mergeCell ref="E123:F123"/>
    <mergeCell ref="A123:B123"/>
    <mergeCell ref="E130:F130"/>
    <mergeCell ref="G130:H130"/>
    <mergeCell ref="G127:H127"/>
    <mergeCell ref="A124:B124"/>
    <mergeCell ref="E124:F124"/>
    <mergeCell ref="A37:H37"/>
    <mergeCell ref="C33:E33"/>
    <mergeCell ref="A36:B36"/>
    <mergeCell ref="C36:H36"/>
    <mergeCell ref="C35:H35"/>
    <mergeCell ref="E111:F111"/>
    <mergeCell ref="A107:E107"/>
    <mergeCell ref="A132:B133"/>
    <mergeCell ref="G115:H115"/>
    <mergeCell ref="A116:B116"/>
    <mergeCell ref="E116:F116"/>
    <mergeCell ref="G116:H116"/>
    <mergeCell ref="A106:E106"/>
    <mergeCell ref="A118:H118"/>
    <mergeCell ref="E119:F119"/>
    <mergeCell ref="G119:H119"/>
    <mergeCell ref="E117:F117"/>
    <mergeCell ref="G132:H132"/>
    <mergeCell ref="E131:F131"/>
    <mergeCell ref="G131:H131"/>
    <mergeCell ref="A130:B131"/>
    <mergeCell ref="G117:H117"/>
    <mergeCell ref="G112:H112"/>
    <mergeCell ref="A121:B121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40:D40"/>
    <mergeCell ref="E40:H40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41:H41"/>
    <mergeCell ref="E42:H42"/>
    <mergeCell ref="E43:H43"/>
    <mergeCell ref="A41:D41"/>
    <mergeCell ref="A42:D42"/>
    <mergeCell ref="A43:D43"/>
    <mergeCell ref="A44:H44"/>
    <mergeCell ref="A52:B53"/>
    <mergeCell ref="C52:E52"/>
    <mergeCell ref="C45:H45"/>
    <mergeCell ref="D56:H56"/>
    <mergeCell ref="C48:E48"/>
    <mergeCell ref="D59:H59"/>
    <mergeCell ref="D60:H60"/>
    <mergeCell ref="C47:E47"/>
    <mergeCell ref="D58:H58"/>
    <mergeCell ref="A58:C58"/>
    <mergeCell ref="G47:H47"/>
    <mergeCell ref="A48:B49"/>
    <mergeCell ref="A51:B51"/>
    <mergeCell ref="C51:E51"/>
    <mergeCell ref="G51:H51"/>
    <mergeCell ref="A59:C60"/>
    <mergeCell ref="G52:H52"/>
    <mergeCell ref="C53:H53"/>
    <mergeCell ref="C49:H49"/>
    <mergeCell ref="G50:H50"/>
    <mergeCell ref="A80:B80"/>
    <mergeCell ref="A81:B81"/>
    <mergeCell ref="D62:H62"/>
    <mergeCell ref="A78:B78"/>
    <mergeCell ref="A71:B71"/>
    <mergeCell ref="A74:B74"/>
    <mergeCell ref="A72:B72"/>
    <mergeCell ref="D67:H67"/>
    <mergeCell ref="A65:C65"/>
    <mergeCell ref="D65:H65"/>
    <mergeCell ref="A66:C66"/>
    <mergeCell ref="D66:H66"/>
    <mergeCell ref="A68:B68"/>
    <mergeCell ref="C68:H68"/>
    <mergeCell ref="A76:B76"/>
    <mergeCell ref="C70:H70"/>
    <mergeCell ref="A73:B73"/>
    <mergeCell ref="A79:B79"/>
    <mergeCell ref="A63:C63"/>
    <mergeCell ref="D63:H63"/>
    <mergeCell ref="A75:B75"/>
    <mergeCell ref="E71:F71"/>
    <mergeCell ref="A64:C64"/>
    <mergeCell ref="D64:H64"/>
    <mergeCell ref="A220:H220"/>
    <mergeCell ref="A112:B112"/>
    <mergeCell ref="A435:H435"/>
    <mergeCell ref="A126:H126"/>
    <mergeCell ref="A418:H418"/>
    <mergeCell ref="E113:F113"/>
    <mergeCell ref="G113:H113"/>
    <mergeCell ref="G210:H210"/>
    <mergeCell ref="A433:H433"/>
    <mergeCell ref="A259:H259"/>
    <mergeCell ref="A139:H139"/>
    <mergeCell ref="A199:H199"/>
    <mergeCell ref="A200:H200"/>
    <mergeCell ref="G201:H201"/>
    <mergeCell ref="G202:H202"/>
    <mergeCell ref="G203:H203"/>
    <mergeCell ref="G204:H204"/>
    <mergeCell ref="A300:H300"/>
    <mergeCell ref="G207:H207"/>
    <mergeCell ref="B427:H427"/>
    <mergeCell ref="G165:H166"/>
    <mergeCell ref="G231:H234"/>
    <mergeCell ref="A275:H275"/>
    <mergeCell ref="A408:H408"/>
    <mergeCell ref="A440:H443"/>
    <mergeCell ref="A439:B439"/>
    <mergeCell ref="E439:F439"/>
    <mergeCell ref="C439:D439"/>
    <mergeCell ref="G439:H439"/>
    <mergeCell ref="A438:H438"/>
    <mergeCell ref="A436:H436"/>
    <mergeCell ref="G205:H205"/>
    <mergeCell ref="G226:H229"/>
    <mergeCell ref="G312:H315"/>
    <mergeCell ref="A270:H270"/>
    <mergeCell ref="G302:H305"/>
    <mergeCell ref="A306:H306"/>
    <mergeCell ref="G221:H224"/>
    <mergeCell ref="B217:B218"/>
    <mergeCell ref="A216:H216"/>
    <mergeCell ref="A437:H437"/>
    <mergeCell ref="A434:H434"/>
    <mergeCell ref="D217:D218"/>
    <mergeCell ref="E217:E218"/>
    <mergeCell ref="G217:H218"/>
    <mergeCell ref="C217:C218"/>
    <mergeCell ref="B426:H426"/>
    <mergeCell ref="A432:H432"/>
    <mergeCell ref="G111:H111"/>
    <mergeCell ref="E112:F112"/>
    <mergeCell ref="A114:B114"/>
    <mergeCell ref="E114:F114"/>
    <mergeCell ref="G114:H114"/>
    <mergeCell ref="A115:B115"/>
    <mergeCell ref="E115:F115"/>
    <mergeCell ref="A111:C111"/>
    <mergeCell ref="F108:H108"/>
    <mergeCell ref="A109:E109"/>
    <mergeCell ref="F109:H109"/>
    <mergeCell ref="A113:B113"/>
    <mergeCell ref="A67:C67"/>
    <mergeCell ref="A61:C61"/>
    <mergeCell ref="A62:C62"/>
    <mergeCell ref="D61:H61"/>
    <mergeCell ref="E72:F81"/>
    <mergeCell ref="G72:H81"/>
    <mergeCell ref="A146:H146"/>
    <mergeCell ref="E39:H39"/>
    <mergeCell ref="A39:D39"/>
    <mergeCell ref="A82:B82"/>
    <mergeCell ref="C82:H82"/>
    <mergeCell ref="A77:B77"/>
    <mergeCell ref="A46:B46"/>
    <mergeCell ref="C46:E46"/>
    <mergeCell ref="A54:B54"/>
    <mergeCell ref="C54:E54"/>
    <mergeCell ref="A47:B47"/>
    <mergeCell ref="A55:H55"/>
    <mergeCell ref="A56:C56"/>
    <mergeCell ref="A57:C57"/>
    <mergeCell ref="D57:H57"/>
    <mergeCell ref="G54:H54"/>
    <mergeCell ref="A50:B50"/>
    <mergeCell ref="C50:E50"/>
    <mergeCell ref="G71:H71"/>
    <mergeCell ref="A70:B70"/>
    <mergeCell ref="G46:H46"/>
    <mergeCell ref="G48:H48"/>
    <mergeCell ref="A45:B45"/>
    <mergeCell ref="A265:H265"/>
    <mergeCell ref="L265:M265"/>
    <mergeCell ref="G266:H269"/>
    <mergeCell ref="A290:H290"/>
    <mergeCell ref="L154:M154"/>
    <mergeCell ref="G148:H148"/>
    <mergeCell ref="E141:E142"/>
    <mergeCell ref="G141:H142"/>
    <mergeCell ref="L173:M173"/>
    <mergeCell ref="A174:H174"/>
    <mergeCell ref="L176:M176"/>
    <mergeCell ref="L151:M151"/>
    <mergeCell ref="L148:M148"/>
    <mergeCell ref="L162:M162"/>
    <mergeCell ref="A164:H164"/>
    <mergeCell ref="L165:M165"/>
    <mergeCell ref="L156:M156"/>
    <mergeCell ref="G154:H156"/>
    <mergeCell ref="L166:M166"/>
    <mergeCell ref="G151:H151"/>
    <mergeCell ref="A143:H143"/>
    <mergeCell ref="A144:H144"/>
    <mergeCell ref="A145:H145"/>
    <mergeCell ref="L306:M306"/>
    <mergeCell ref="G307:H310"/>
    <mergeCell ref="A311:H311"/>
    <mergeCell ref="L311:M311"/>
    <mergeCell ref="A326:H326"/>
    <mergeCell ref="L326:M326"/>
    <mergeCell ref="L301:M301"/>
    <mergeCell ref="L270:M270"/>
    <mergeCell ref="G271:H274"/>
    <mergeCell ref="G246:H249"/>
    <mergeCell ref="A250:H250"/>
    <mergeCell ref="L250:M250"/>
    <mergeCell ref="G251:H254"/>
    <mergeCell ref="A255:H255"/>
    <mergeCell ref="L255:M255"/>
    <mergeCell ref="G256:H258"/>
    <mergeCell ref="A260:H260"/>
    <mergeCell ref="L260:M260"/>
    <mergeCell ref="G261:H264"/>
    <mergeCell ref="L290:M290"/>
    <mergeCell ref="G291:H294"/>
    <mergeCell ref="L275:M275"/>
    <mergeCell ref="G276:H279"/>
    <mergeCell ref="B278:F278"/>
    <mergeCell ref="B283:F283"/>
    <mergeCell ref="L295:M295"/>
    <mergeCell ref="G281:H284"/>
    <mergeCell ref="A280:H280"/>
    <mergeCell ref="L280:M280"/>
    <mergeCell ref="A285:H285"/>
    <mergeCell ref="L285:M285"/>
    <mergeCell ref="G286:H289"/>
    <mergeCell ref="L398:M398"/>
    <mergeCell ref="B323:F323"/>
    <mergeCell ref="A336:H336"/>
    <mergeCell ref="L336:M336"/>
    <mergeCell ref="A316:H316"/>
    <mergeCell ref="G317:H320"/>
    <mergeCell ref="B318:F318"/>
    <mergeCell ref="A321:H321"/>
    <mergeCell ref="G327:H330"/>
    <mergeCell ref="A331:H331"/>
    <mergeCell ref="L321:M321"/>
    <mergeCell ref="G322:H325"/>
    <mergeCell ref="L342:M342"/>
    <mergeCell ref="L331:M331"/>
    <mergeCell ref="G332:H335"/>
    <mergeCell ref="A341:H341"/>
    <mergeCell ref="L316:M316"/>
    <mergeCell ref="B360:F360"/>
    <mergeCell ref="A362:H362"/>
    <mergeCell ref="G353:H356"/>
    <mergeCell ref="A357:H357"/>
    <mergeCell ref="G358:H361"/>
    <mergeCell ref="A382:H382"/>
    <mergeCell ref="G389:H392"/>
    <mergeCell ref="G337:H340"/>
    <mergeCell ref="A342:H342"/>
    <mergeCell ref="L352:M352"/>
    <mergeCell ref="L357:M357"/>
    <mergeCell ref="L393:M393"/>
    <mergeCell ref="L362:M362"/>
    <mergeCell ref="L367:M367"/>
    <mergeCell ref="G368:H371"/>
    <mergeCell ref="A372:H372"/>
    <mergeCell ref="L372:M372"/>
    <mergeCell ref="A347:H347"/>
    <mergeCell ref="L347:M347"/>
    <mergeCell ref="G348:H351"/>
    <mergeCell ref="L383:M383"/>
    <mergeCell ref="G384:H387"/>
    <mergeCell ref="A388:H388"/>
    <mergeCell ref="L388:M388"/>
    <mergeCell ref="A393:H393"/>
    <mergeCell ref="A352:H352"/>
    <mergeCell ref="G378:H381"/>
    <mergeCell ref="A383:H383"/>
    <mergeCell ref="G363:H366"/>
    <mergeCell ref="B365:F365"/>
    <mergeCell ref="A367:H367"/>
    <mergeCell ref="B430:H430"/>
    <mergeCell ref="L413:M413"/>
    <mergeCell ref="G414:H417"/>
    <mergeCell ref="G373:H376"/>
    <mergeCell ref="A377:H377"/>
    <mergeCell ref="L377:M377"/>
    <mergeCell ref="B428:H428"/>
    <mergeCell ref="B425:H425"/>
    <mergeCell ref="B421:H421"/>
    <mergeCell ref="B419:H419"/>
    <mergeCell ref="B420:H420"/>
    <mergeCell ref="B422:H422"/>
    <mergeCell ref="B424:H424"/>
    <mergeCell ref="B423:H423"/>
    <mergeCell ref="L408:M408"/>
    <mergeCell ref="A403:H403"/>
    <mergeCell ref="B378:F378"/>
    <mergeCell ref="L403:M403"/>
    <mergeCell ref="G404:H407"/>
    <mergeCell ref="B405:F405"/>
    <mergeCell ref="G399:H402"/>
    <mergeCell ref="B400:F400"/>
    <mergeCell ref="G394:H397"/>
    <mergeCell ref="A398:H398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7" max="7" man="1"/>
    <brk id="443" max="16383" man="1"/>
    <brk id="48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>
      <c r="A1" s="17"/>
      <c r="B1" s="17"/>
      <c r="C1" s="17"/>
      <c r="D1" s="17"/>
      <c r="E1" s="17"/>
      <c r="F1" s="17"/>
      <c r="G1" s="17"/>
      <c r="H1" s="17"/>
    </row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218" t="s">
        <v>113</v>
      </c>
      <c r="C3" s="218"/>
      <c r="D3" s="218"/>
      <c r="E3" s="218"/>
      <c r="F3" s="218"/>
      <c r="G3" s="218"/>
      <c r="H3" s="218"/>
    </row>
    <row r="4" spans="1:9" x14ac:dyDescent="0.35">
      <c r="A4" s="19"/>
      <c r="B4" s="20" t="s">
        <v>114</v>
      </c>
      <c r="C4" s="20" t="s">
        <v>115</v>
      </c>
      <c r="D4" s="20" t="s">
        <v>70</v>
      </c>
      <c r="E4" s="20" t="s">
        <v>116</v>
      </c>
      <c r="F4" s="20" t="s">
        <v>122</v>
      </c>
      <c r="G4" s="20" t="s">
        <v>123</v>
      </c>
      <c r="H4" s="20" t="s">
        <v>117</v>
      </c>
    </row>
    <row r="5" spans="1:9" ht="15" customHeight="1" x14ac:dyDescent="0.35">
      <c r="A5" s="19"/>
      <c r="B5" s="22" t="s">
        <v>118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5">
      <c r="A6" s="19"/>
      <c r="B6" s="22" t="s">
        <v>118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118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118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118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119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119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120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A13" s="17"/>
      <c r="B13" s="27" t="s">
        <v>121</v>
      </c>
      <c r="C13" s="29"/>
      <c r="D13" s="29"/>
      <c r="E13" s="29"/>
      <c r="F13" s="30"/>
      <c r="G13" s="27"/>
      <c r="H13" s="27"/>
      <c r="I13" s="21"/>
    </row>
    <row r="14" spans="1:9" ht="15" customHeight="1" x14ac:dyDescent="0.35">
      <c r="B14" s="17"/>
      <c r="C14" s="17"/>
      <c r="D14" s="17"/>
      <c r="E14" s="17"/>
    </row>
    <row r="15" spans="1:9" ht="15" customHeight="1" x14ac:dyDescent="0.35">
      <c r="B15" s="17"/>
      <c r="C15" s="17"/>
      <c r="D15" s="17"/>
      <c r="E15" s="17"/>
    </row>
    <row r="16" spans="1:9" ht="15" customHeight="1" x14ac:dyDescent="0.35">
      <c r="B16" s="17"/>
      <c r="C16" s="17"/>
      <c r="D16" s="17"/>
      <c r="E16" s="17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2025-07-14T15:51:13Z</cp:lastPrinted>
  <dcterms:created xsi:type="dcterms:W3CDTF">2019-07-16T09:29:46Z</dcterms:created>
  <dcterms:modified xsi:type="dcterms:W3CDTF">2025-07-14T15:53:46Z</dcterms:modified>
</cp:coreProperties>
</file>