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4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2" i="1" l="1"/>
  <c r="J111" i="1"/>
  <c r="I112" i="1"/>
  <c r="I111" i="1"/>
  <c r="L175" i="1"/>
  <c r="E194" i="1"/>
  <c r="E193" i="1"/>
  <c r="D150" i="1" l="1"/>
  <c r="F150" i="1" s="1"/>
  <c r="D197" i="1" l="1"/>
  <c r="F197" i="1" s="1"/>
  <c r="E195" i="1"/>
  <c r="D195" i="1"/>
  <c r="D194" i="1"/>
  <c r="F194" i="1" s="1"/>
  <c r="D193" i="1"/>
  <c r="A194" i="1"/>
  <c r="A195" i="1" s="1"/>
  <c r="G193" i="1"/>
  <c r="D188" i="1"/>
  <c r="K188" i="1" s="1"/>
  <c r="D186" i="1"/>
  <c r="K186" i="1" s="1"/>
  <c r="D180" i="1"/>
  <c r="K180" i="1" s="1"/>
  <c r="D174" i="1"/>
  <c r="K174" i="1" s="1"/>
  <c r="D168" i="1"/>
  <c r="K168" i="1" s="1"/>
  <c r="D164" i="1"/>
  <c r="K164" i="1" s="1"/>
  <c r="D162" i="1"/>
  <c r="D166" i="1"/>
  <c r="K166" i="1" s="1"/>
  <c r="D172" i="1"/>
  <c r="K172" i="1" s="1"/>
  <c r="D178" i="1"/>
  <c r="K178" i="1" s="1"/>
  <c r="D184" i="1"/>
  <c r="K184" i="1" s="1"/>
  <c r="E188" i="1"/>
  <c r="D185" i="1"/>
  <c r="K185" i="1" s="1"/>
  <c r="D181" i="1"/>
  <c r="K181" i="1" s="1"/>
  <c r="D182" i="1"/>
  <c r="K182" i="1" s="1"/>
  <c r="D179" i="1"/>
  <c r="K179" i="1" s="1"/>
  <c r="E176" i="1"/>
  <c r="D176" i="1"/>
  <c r="K176" i="1" s="1"/>
  <c r="D173" i="1"/>
  <c r="K173" i="1" s="1"/>
  <c r="E175" i="1"/>
  <c r="D175" i="1"/>
  <c r="K175" i="1" s="1"/>
  <c r="E170" i="1"/>
  <c r="D170" i="1"/>
  <c r="K170" i="1" s="1"/>
  <c r="E169" i="1"/>
  <c r="D169" i="1"/>
  <c r="K169" i="1" s="1"/>
  <c r="K162" i="1" l="1"/>
  <c r="F195" i="1"/>
  <c r="F193" i="1"/>
  <c r="D167" i="1"/>
  <c r="K167" i="1" s="1"/>
  <c r="D163" i="1"/>
  <c r="K163" i="1" s="1"/>
  <c r="D144" i="1"/>
  <c r="F144" i="1" s="1"/>
  <c r="D143" i="1"/>
  <c r="D142" i="1"/>
  <c r="F142" i="1" s="1"/>
  <c r="D141" i="1"/>
  <c r="F141" i="1" s="1"/>
  <c r="D140" i="1"/>
  <c r="F140" i="1" s="1"/>
  <c r="D139" i="1"/>
  <c r="F139" i="1" s="1"/>
  <c r="D136" i="1"/>
  <c r="F136" i="1" s="1"/>
  <c r="D137" i="1"/>
  <c r="F137" i="1" s="1"/>
  <c r="D135" i="1"/>
  <c r="D134" i="1"/>
  <c r="D133" i="1"/>
  <c r="D132" i="1"/>
  <c r="D155" i="1"/>
  <c r="F155" i="1" s="1"/>
  <c r="D154" i="1"/>
  <c r="D199" i="1"/>
  <c r="F199" i="1" s="1"/>
  <c r="D198" i="1"/>
  <c r="F198" i="1" s="1"/>
  <c r="A198" i="1"/>
  <c r="A199" i="1" s="1"/>
  <c r="D153" i="1"/>
  <c r="F153" i="1" s="1"/>
  <c r="D152" i="1"/>
  <c r="F152" i="1" s="1"/>
  <c r="D151" i="1"/>
  <c r="F151" i="1" s="1"/>
  <c r="D149" i="1"/>
  <c r="F149" i="1" s="1"/>
  <c r="D148" i="1"/>
  <c r="G148" i="1"/>
  <c r="A149" i="1"/>
  <c r="A150" i="1" s="1"/>
  <c r="A151" i="1" s="1"/>
  <c r="A152" i="1" s="1"/>
  <c r="A153" i="1" s="1"/>
  <c r="I148" i="1"/>
  <c r="A167" i="1"/>
  <c r="A168" i="1" s="1"/>
  <c r="A169" i="1" s="1"/>
  <c r="A170" i="1" s="1"/>
  <c r="G172" i="1"/>
  <c r="A185" i="1"/>
  <c r="A186" i="1" s="1"/>
  <c r="G184" i="1"/>
  <c r="A140" i="1"/>
  <c r="A141" i="1" s="1"/>
  <c r="A142" i="1" s="1"/>
  <c r="A143" i="1" s="1"/>
  <c r="A144" i="1" s="1"/>
  <c r="G139" i="1"/>
  <c r="I132" i="1"/>
  <c r="E42" i="1"/>
  <c r="A172" i="1"/>
  <c r="F154" i="1" l="1"/>
  <c r="G117" i="1" s="1"/>
  <c r="E117" i="1"/>
  <c r="C112" i="1"/>
  <c r="E111" i="1"/>
  <c r="G122" i="1"/>
  <c r="C122" i="1"/>
  <c r="E121" i="1"/>
  <c r="F148" i="1"/>
  <c r="G112" i="1" s="1"/>
  <c r="E112" i="1"/>
  <c r="E122" i="1"/>
  <c r="C116" i="1"/>
  <c r="C117" i="1"/>
  <c r="C121" i="1"/>
  <c r="E116" i="1"/>
  <c r="F143" i="1"/>
  <c r="G116" i="1" s="1"/>
  <c r="C111" i="1"/>
  <c r="Z12" i="1"/>
  <c r="I14" i="1"/>
  <c r="A173" i="1"/>
  <c r="A179" i="1"/>
  <c r="E113" i="1" l="1"/>
  <c r="E118" i="1"/>
  <c r="C123" i="1"/>
  <c r="E123" i="1"/>
  <c r="G118" i="1"/>
  <c r="C113" i="1"/>
  <c r="C118" i="1"/>
  <c r="F132" i="1"/>
  <c r="A174" i="1"/>
  <c r="A180" i="1"/>
  <c r="E124" i="1" l="1"/>
  <c r="C124" i="1"/>
  <c r="E43" i="1"/>
  <c r="E44" i="1" s="1"/>
  <c r="A175" i="1"/>
  <c r="C15" i="1" l="1"/>
  <c r="A176" i="1"/>
  <c r="E30" i="1" l="1"/>
  <c r="A163" i="1" l="1"/>
  <c r="A164" i="1" s="1"/>
  <c r="G162" i="1"/>
  <c r="F108" i="1" l="1"/>
  <c r="F133" i="1" l="1"/>
  <c r="F134" i="1"/>
  <c r="F135" i="1"/>
  <c r="G111" i="1" l="1"/>
  <c r="G113" i="1" s="1"/>
  <c r="B202" i="1"/>
  <c r="G121" i="1" l="1"/>
  <c r="G123" i="1" s="1"/>
  <c r="G124" i="1" s="1"/>
  <c r="B20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2" i="1"/>
  <c r="G197" i="1"/>
  <c r="G178" i="1"/>
  <c r="G166" i="1"/>
  <c r="A133" i="1"/>
  <c r="A134" i="1" s="1"/>
  <c r="A135" i="1" s="1"/>
  <c r="A136" i="1" s="1"/>
  <c r="A137" i="1" s="1"/>
  <c r="G132" i="1"/>
  <c r="C81" i="1"/>
  <c r="B82" i="1" s="1"/>
  <c r="C67" i="1"/>
  <c r="B68" i="1" s="1"/>
  <c r="D55" i="1"/>
  <c r="G50" i="1"/>
  <c r="G51" i="1" s="1"/>
  <c r="C50" i="1"/>
  <c r="E27" i="1"/>
  <c r="E25" i="1"/>
  <c r="E7" i="1"/>
  <c r="E3" i="1"/>
  <c r="D61" i="1" l="1"/>
  <c r="H68" i="1"/>
  <c r="H82" i="1"/>
  <c r="J86" i="1" l="1"/>
  <c r="C85" i="1" s="1"/>
  <c r="D85" i="1" s="1"/>
  <c r="J84" i="1"/>
  <c r="J87" i="1"/>
  <c r="J88" i="1" s="1"/>
  <c r="J93" i="1" s="1"/>
  <c r="J81" i="1"/>
  <c r="J83" i="1" s="1"/>
  <c r="D89" i="1"/>
  <c r="D91" i="1"/>
  <c r="D94" i="1"/>
  <c r="D88" i="1"/>
  <c r="D92" i="1"/>
  <c r="D93" i="1"/>
  <c r="D90" i="1"/>
  <c r="J85" i="1"/>
  <c r="D80" i="1"/>
  <c r="D78" i="1"/>
  <c r="D77" i="1"/>
  <c r="D74" i="1"/>
  <c r="D76" i="1"/>
  <c r="J73" i="1"/>
  <c r="J74" i="1" s="1"/>
  <c r="J79" i="1" s="1"/>
  <c r="D79" i="1"/>
  <c r="J67" i="1"/>
  <c r="J69" i="1" s="1"/>
  <c r="D75" i="1"/>
  <c r="J71" i="1"/>
  <c r="J72" i="1"/>
  <c r="C71" i="1" s="1"/>
  <c r="D71" i="1" s="1"/>
  <c r="J70" i="1"/>
  <c r="J89" i="1"/>
  <c r="J90" i="1" s="1"/>
  <c r="J91" i="1" s="1"/>
  <c r="J92" i="1" s="1"/>
  <c r="J75" i="1"/>
  <c r="J76" i="1" s="1"/>
  <c r="J77" i="1" s="1"/>
  <c r="J78" i="1" s="1"/>
  <c r="D87" i="1"/>
  <c r="D73" i="1"/>
  <c r="J80" i="1" l="1"/>
  <c r="C72" i="1" s="1"/>
  <c r="J94" i="1"/>
  <c r="G71" i="1" l="1"/>
  <c r="D65" i="1" s="1"/>
  <c r="D66" i="1" s="1"/>
  <c r="E71" i="1"/>
  <c r="C86" i="1"/>
  <c r="E85" i="1" s="1"/>
  <c r="J68" i="1"/>
  <c r="D72" i="1"/>
  <c r="I68" i="1" s="1"/>
  <c r="I69" i="1" s="1"/>
  <c r="F66" i="1" l="1"/>
  <c r="D86" i="1"/>
  <c r="I82" i="1" s="1"/>
  <c r="I83" i="1" s="1"/>
  <c r="J82" i="1"/>
  <c r="G85" i="1"/>
  <c r="I67" i="1"/>
  <c r="C69" i="1" s="1"/>
  <c r="I81" i="1" l="1"/>
  <c r="C83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<sst xmlns="http://schemas.openxmlformats.org/spreadsheetml/2006/main" count="496" uniqueCount="304">
  <si>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</si>
  <si>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</si>
  <si>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</si>
  <si>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</si>
  <si>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</si>
  <si>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</si>
  <si>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</si>
  <si>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</si>
  <si>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</si>
  <si>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</si>
  <si>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</si>
  <si>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</si>
  <si>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</si>
  <si>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</si>
  <si>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</si>
  <si>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</si>
  <si>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</si>
  <si>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</si>
  <si>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</si>
  <si>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</si>
  <si>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</si>
  <si>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</si>
  <si>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</si>
  <si>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</si>
  <si>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</si>
  <si>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</si>
  <si>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</si>
  <si>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</si>
  <si>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</si>
  <si>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</si>
  <si>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</si>
  <si>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</si>
  <si>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</si>
  <si>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</si>
  <si>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</si>
  <si>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</si>
  <si>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</si>
  <si>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</si>
  <si>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</si>
  <si>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</si>
  <si>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</si>
  <si>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</si>
  <si>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</si>
  <si>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</si>
  <si>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</si>
  <si>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</si>
  <si>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</si>
  <si>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</si>
  <si>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</si>
  <si>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</si>
  <si>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</si>
  <si>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</si>
  <si>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</si>
  <si>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</si>
  <si>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</si>
  <si>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</si>
  <si>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</si>
  <si>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</si>
  <si>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</si>
  <si>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</si>
  <si>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</si>
  <si>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</si>
  <si>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</si>
  <si>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</si>
  <si>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</si>
  <si>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</si>
  <si>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</si>
  <si>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</si>
  <si>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</si>
  <si>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</si>
  <si>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</si>
  <si>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</si>
  <si>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</si>
  <si>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</si>
  <si>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</si>
  <si>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</si>
  <si>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</si>
  <si>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</si>
  <si>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</si>
  <si>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</si>
  <si>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</si>
  <si>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</si>
  <si>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</si>
  <si>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</si>
  <si>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</si>
  <si>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</si>
  <si>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</si>
  <si>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</si>
  <si>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</si>
  <si>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</si>
  <si>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</si>
  <si>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</si>
  <si>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</si>
  <si>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</si>
  <si>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</si>
  <si>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</si>
  <si>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</si>
  <si>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</si>
  <si>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</si>
  <si>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</si>
  <si>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</si>
  <si>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</si>
  <si>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</si>
  <si>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</si>
  <si>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</si>
  <si>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</si>
  <si>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</si>
  <si>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</si>
  <si>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</si>
  <si>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</si>
  <si>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</si>
  <si>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</si>
  <si>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</si>
  <si>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</si>
  <si>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</si>
  <si>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</si>
  <si>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</si>
  <si>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</si>
  <si>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</si>
  <si>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</si>
  <si>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</si>
  <si>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</si>
  <si>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</si>
  <si>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</si>
  <si>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</si>
  <si>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</si>
  <si>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</si>
  <si>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</si>
  <si>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</si>
  <si>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</si>
  <si>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</si>
  <si>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</si>
  <si>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</si>
  <si>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</si>
  <si>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</si>
  <si>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</si>
  <si>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</si>
  <si>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</si>
  <si>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</si>
  <si>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</si>
  <si>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</si>
  <si>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</si>
  <si>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</si>
  <si>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</si>
  <si>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</si>
  <si>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</si>
  <si>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</si>
  <si>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</si>
  <si>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</si>
  <si>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</si>
  <si>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</si>
  <si>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</si>
  <si>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</si>
  <si>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</si>
  <si>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</si>
  <si>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</si>
  <si>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</si>
  <si>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</si>
  <si>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</si>
  <si>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</si>
  <si>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</si>
  <si>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</si>
  <si>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</si>
  <si>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</si>
  <si>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</si>
  <si>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</si>
  <si>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</si>
  <si>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</si>
  <si>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</si>
  <si>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</si>
  <si>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</si>
  <si>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</si>
  <si>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</si>
  <si>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</si>
  <si>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</si>
  <si>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</si>
  <si>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</si>
  <si>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</si>
  <si>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</si>
  <si>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</si>
  <si>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</si>
  <si>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</si>
  <si>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</si>
  <si>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</si>
  <si>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</si>
  <si>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</si>
  <si>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</si>
  <si>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</si>
  <si>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</si>
  <si>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</si>
  <si>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</si>
  <si>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</si>
  <si>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</si>
  <si>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</si>
  <si>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</si>
  <si>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</si>
  <si>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</si>
  <si>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</si>
  <si>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</si>
  <si>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</si>
  <si>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</si>
  <si>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</si>
  <si>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</si>
  <si>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</si>
  <si>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</si>
  <si>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</si>
  <si>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</si>
  <si>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</si>
  <si>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</si>
  <si>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</si>
  <si>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</si>
  <si>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</si>
  <si>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</si>
  <si>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</si>
  <si>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</si>
  <si>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</si>
  <si>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</si>
  <si>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</si>
  <si>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</si>
  <si>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</si>
  <si>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</si>
  <si>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</si>
  <si>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</si>
  <si>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</si>
  <si>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</si>
  <si>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</si>
  <si>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</si>
  <si>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</si>
  <si>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</si>
  <si>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</si>
  <si>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Commencement-CC No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</si>
  <si>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</si>
  <si>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</si>
  <si>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Axis Badlapur</t>
  </si>
  <si>
    <t>Shree Sha Developers</t>
  </si>
  <si>
    <t>Nirman Signature</t>
  </si>
  <si>
    <t>P51700050640</t>
  </si>
  <si>
    <t>Survey No</t>
  </si>
  <si>
    <t>180, Hissa No. 3/2</t>
  </si>
  <si>
    <t>Badlapurgaon</t>
  </si>
  <si>
    <t>19.159705,73.263909</t>
  </si>
  <si>
    <t>https://maps.app.goo.gl/Y9RaUQqywenehCRF8</t>
  </si>
  <si>
    <t>3.20KM from Badlapur Railway Station</t>
  </si>
  <si>
    <t>Chintamani Chowk</t>
  </si>
  <si>
    <t>Internal Road</t>
  </si>
  <si>
    <t>Sai Aangan</t>
  </si>
  <si>
    <t>18.00 M. Wide Road</t>
  </si>
  <si>
    <t>Survey No. 180</t>
  </si>
  <si>
    <t>Survey No. 172</t>
  </si>
  <si>
    <t>Survey No. 181</t>
  </si>
  <si>
    <t>Sai Angan</t>
  </si>
  <si>
    <t>Sanveg Residency</t>
  </si>
  <si>
    <t xml:space="preserve">Kulgaon Badlapur Nagarparishad
</t>
  </si>
  <si>
    <t>KBNP/NRV/BD/6038-71</t>
  </si>
  <si>
    <t>K.B.N.P./NRV/B.P./6038/2022-2023 Unique No. 71</t>
  </si>
  <si>
    <t>As per RERA - 31/03/2026</t>
  </si>
  <si>
    <t>Wing R1</t>
  </si>
  <si>
    <t>Ground Floor For Commercial, Fitness centre/Creche/Society Office, Drivers Room, &amp; Parking</t>
  </si>
  <si>
    <t>Shop</t>
  </si>
  <si>
    <t>1st Floor For Commercial &amp; Residential</t>
  </si>
  <si>
    <t>Office</t>
  </si>
  <si>
    <t>1BHK</t>
  </si>
  <si>
    <t>1RK</t>
  </si>
  <si>
    <t>3rd, 5th, 7th &amp; 9th Floor</t>
  </si>
  <si>
    <t>301 ,.., 901</t>
  </si>
  <si>
    <t>304 ,.., 904</t>
  </si>
  <si>
    <t>305 ,.., 905</t>
  </si>
  <si>
    <t>4th, 6th &amp; 10th Floor For Residential</t>
  </si>
  <si>
    <t>2nd Floor For Residential</t>
  </si>
  <si>
    <t>8th Floor (Part Refuge Area)</t>
  </si>
  <si>
    <t>Refuge Area</t>
  </si>
  <si>
    <t>-</t>
  </si>
  <si>
    <t>Wing R1 = Nirman Signature 
Wing R2 = Rain Basera</t>
  </si>
  <si>
    <t>Wing R1(Nirman Signature) = Gr/Stilt + 1st to 10th Floor
Wing R2 (Rain Basera) = Gr + 1st to 4th Floor</t>
  </si>
  <si>
    <t>Ground Floor For Commercial</t>
  </si>
  <si>
    <t>1st &amp; 2nd Floor For Hall</t>
  </si>
  <si>
    <t>We considered Gross carpet area = Net carpet + Open Balcony + C.P. Area.</t>
  </si>
  <si>
    <t>Sudhir Bhosale</t>
  </si>
  <si>
    <t>Wing R2</t>
  </si>
  <si>
    <t>Commercial Area Details (Shop) :</t>
  </si>
  <si>
    <t>Commercial Area Details (Office) :</t>
  </si>
  <si>
    <t>Vitrified tiles flooring, Fitness Centre, Granite Kitchen Platform, Decorative Entrance &amp; Landscape Garden, etc.</t>
  </si>
  <si>
    <t>as per Rera</t>
  </si>
  <si>
    <t>3rd Floor For Residential</t>
  </si>
  <si>
    <t>4th Floor</t>
  </si>
  <si>
    <t>Builder Saleable area</t>
  </si>
  <si>
    <t>Flats - 53, Shops - 12, Offices - 08</t>
  </si>
  <si>
    <t>Approved Plans, CC, Builder Saleable Area &amp; Cost Sheet.</t>
  </si>
  <si>
    <t>basic + plan</t>
  </si>
  <si>
    <t>02 Buildings</t>
  </si>
  <si>
    <t>Mr. Aman - 8080605404</t>
  </si>
  <si>
    <t>Badlapur (West)</t>
  </si>
  <si>
    <t>Wing R1(Nirman Signature) = G + 1st to 10th Floor
Wing R2 (Rain Basera) = G + 1st to 4th Floor</t>
  </si>
  <si>
    <t>Wing R2 (Rain Basera) = G + 1st to 4th Floor</t>
  </si>
  <si>
    <t xml:space="preserve">Wing R1 </t>
  </si>
  <si>
    <t xml:space="preserve">Wing R2 </t>
  </si>
  <si>
    <t>Rain Basera</t>
  </si>
  <si>
    <t>Wing R1 (Nirman Signature) = G + 1st to 10th Floor</t>
  </si>
  <si>
    <t>Housing</t>
  </si>
  <si>
    <t>Sheet</t>
  </si>
  <si>
    <t xml:space="preserve">https://www.proptiger.com/mumbai/badlapur-west/shree-sha-developers-nirman-signature-3282670 </t>
  </si>
  <si>
    <t xml:space="preserve">https://housing.com/in/buy/projects/page/297866-nirman-signature-by-shree-sha-developers-in-badlapur-west </t>
  </si>
  <si>
    <t>Wing R1 &amp; R2 = Construction work is in process at the time of Visit.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</si>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</sst>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5" fillId="0" borderId="0" xfId="1" applyNumberFormat="1" applyFont="1" applyAlignment="1">
      <alignment horizontal="left" vertical="center"/>
    </xf>
    <xf numFmtId="1" fontId="15" fillId="0" borderId="0" xfId="1" applyNumberFormat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9" fontId="13" fillId="0" borderId="15" xfId="8" applyFont="1" applyFill="1" applyBorder="1" applyAlignment="1" applyProtection="1">
      <alignment horizontal="center" vertical="top" wrapText="1"/>
      <protection locked="0"/>
    </xf>
    <xf numFmtId="1" fontId="7" fillId="0" borderId="0" xfId="0" applyNumberFormat="1" applyFont="1" applyAlignment="1">
      <alignment horizontal="center" vertical="center"/>
    </xf>
    <xf numFmtId="0" fontId="26" fillId="0" borderId="0" xfId="10" applyAlignment="1">
      <alignment horizontal="center" vertical="center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24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600811</xdr:colOff>
      <xdr:row>287</xdr:row>
      <xdr:rowOff>124751</xdr:rowOff>
    </xdr:from>
    <xdr:to>
      <xdr:col>6</xdr:col>
      <xdr:colOff>279892</xdr:colOff>
      <xdr:row>304</xdr:row>
      <xdr:rowOff>192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1426" y="58593597"/>
          <a:ext cx="4133851" cy="32385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219812</xdr:colOff>
      <xdr:row>265</xdr:row>
      <xdr:rowOff>29308</xdr:rowOff>
    </xdr:from>
    <xdr:to>
      <xdr:col>6</xdr:col>
      <xdr:colOff>660892</xdr:colOff>
      <xdr:row>286</xdr:row>
      <xdr:rowOff>161193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019912" y="55661658"/>
          <a:ext cx="4803530" cy="4265735"/>
          <a:chOff x="981075" y="285750"/>
          <a:chExt cx="4895850" cy="4286250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81075" y="285750"/>
            <a:ext cx="4895850" cy="42862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1814513" y="1428750"/>
            <a:ext cx="1528761" cy="2200275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3388518" y="2243138"/>
            <a:ext cx="1576388" cy="1385887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3" name="TextBox 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074000" y="3629025"/>
            <a:ext cx="909223" cy="3231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500" b="1">
                <a:solidFill>
                  <a:srgbClr val="FF0000"/>
                </a:solidFill>
              </a:rPr>
              <a:t>WING R1</a:t>
            </a:r>
            <a:endParaRPr lang="en-IN" sz="1500" b="1">
              <a:solidFill>
                <a:srgbClr val="FF0000"/>
              </a:solidFill>
            </a:endParaRPr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3700876" y="3629367"/>
            <a:ext cx="909223" cy="323165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500" b="1">
                <a:solidFill>
                  <a:srgbClr val="FF0000"/>
                </a:solidFill>
              </a:rPr>
              <a:t>WING R2</a:t>
            </a:r>
            <a:endParaRPr lang="en-IN" sz="1500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0</xdr:col>
      <xdr:colOff>371796</xdr:colOff>
      <xdr:row>307</xdr:row>
      <xdr:rowOff>14654</xdr:rowOff>
    </xdr:from>
    <xdr:to>
      <xdr:col>7</xdr:col>
      <xdr:colOff>395796</xdr:colOff>
      <xdr:row>324</xdr:row>
      <xdr:rowOff>9963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1796" y="62835692"/>
          <a:ext cx="6120000" cy="335836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300407</xdr:colOff>
      <xdr:row>324</xdr:row>
      <xdr:rowOff>176833</xdr:rowOff>
    </xdr:from>
    <xdr:to>
      <xdr:col>7</xdr:col>
      <xdr:colOff>467184</xdr:colOff>
      <xdr:row>345</xdr:row>
      <xdr:rowOff>180401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300407" y="67423333"/>
          <a:ext cx="6129427" cy="4137418"/>
          <a:chOff x="295675" y="3812875"/>
          <a:chExt cx="6262777" cy="4157934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95675" y="3812875"/>
            <a:ext cx="6262777" cy="415793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CxnSpPr/>
        </xdr:nvCxnSpPr>
        <xdr:spPr>
          <a:xfrm>
            <a:off x="2755900" y="5130800"/>
            <a:ext cx="6350" cy="1581150"/>
          </a:xfrm>
          <a:prstGeom prst="line">
            <a:avLst/>
          </a:prstGeom>
          <a:ln w="571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/>
        </xdr:nvCxnSpPr>
        <xdr:spPr>
          <a:xfrm flipV="1">
            <a:off x="2755900" y="5891842"/>
            <a:ext cx="1746250" cy="820108"/>
          </a:xfrm>
          <a:prstGeom prst="line">
            <a:avLst/>
          </a:prstGeom>
          <a:ln w="571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CxnSpPr/>
        </xdr:nvCxnSpPr>
        <xdr:spPr>
          <a:xfrm flipH="1" flipV="1">
            <a:off x="4349750" y="5537200"/>
            <a:ext cx="158750" cy="354642"/>
          </a:xfrm>
          <a:prstGeom prst="line">
            <a:avLst/>
          </a:prstGeom>
          <a:ln w="571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Straight Connector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CxnSpPr/>
        </xdr:nvCxnSpPr>
        <xdr:spPr>
          <a:xfrm flipH="1" flipV="1">
            <a:off x="2755900" y="5130800"/>
            <a:ext cx="1581150" cy="419100"/>
          </a:xfrm>
          <a:prstGeom prst="line">
            <a:avLst/>
          </a:prstGeom>
          <a:ln w="571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8</xdr:col>
      <xdr:colOff>43297</xdr:colOff>
      <xdr:row>9</xdr:row>
      <xdr:rowOff>190500</xdr:rowOff>
    </xdr:from>
    <xdr:to>
      <xdr:col>14</xdr:col>
      <xdr:colOff>547440</xdr:colOff>
      <xdr:row>12</xdr:row>
      <xdr:rowOff>317674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16388" y="2372591"/>
          <a:ext cx="5457143" cy="923810"/>
        </a:xfrm>
        <a:prstGeom prst="rect">
          <a:avLst/>
        </a:prstGeom>
      </xdr:spPr>
    </xdr:pic>
    <xdr:clientData/>
  </xdr:twoCellAnchor>
  <xdr:twoCellAnchor>
    <xdr:from>
      <xdr:col>8</xdr:col>
      <xdr:colOff>447578</xdr:colOff>
      <xdr:row>222</xdr:row>
      <xdr:rowOff>16289</xdr:rowOff>
    </xdr:from>
    <xdr:to>
      <xdr:col>8</xdr:col>
      <xdr:colOff>873028</xdr:colOff>
      <xdr:row>223</xdr:row>
      <xdr:rowOff>176971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7020656" y="47107889"/>
          <a:ext cx="425450" cy="35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0">
              <a:ln>
                <a:noFill/>
              </a:ln>
              <a:solidFill>
                <a:srgbClr val="C00000"/>
              </a:solidFill>
            </a:rPr>
            <a:t>R1</a:t>
          </a:r>
        </a:p>
      </xdr:txBody>
    </xdr:sp>
    <xdr:clientData/>
  </xdr:twoCellAnchor>
  <xdr:twoCellAnchor>
    <xdr:from>
      <xdr:col>15</xdr:col>
      <xdr:colOff>56979</xdr:colOff>
      <xdr:row>221</xdr:row>
      <xdr:rowOff>157922</xdr:rowOff>
    </xdr:from>
    <xdr:to>
      <xdr:col>15</xdr:col>
      <xdr:colOff>540407</xdr:colOff>
      <xdr:row>223</xdr:row>
      <xdr:rowOff>151571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2394753" y="47050739"/>
          <a:ext cx="483428" cy="3912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0">
              <a:ln>
                <a:noFill/>
              </a:ln>
              <a:solidFill>
                <a:srgbClr val="C00000"/>
              </a:solidFill>
            </a:rPr>
            <a:t>R2</a:t>
          </a:r>
        </a:p>
      </xdr:txBody>
    </xdr:sp>
    <xdr:clientData/>
  </xdr:twoCellAnchor>
  <xdr:twoCellAnchor>
    <xdr:from>
      <xdr:col>15</xdr:col>
      <xdr:colOff>78133</xdr:colOff>
      <xdr:row>223</xdr:row>
      <xdr:rowOff>98839</xdr:rowOff>
    </xdr:from>
    <xdr:to>
      <xdr:col>15</xdr:col>
      <xdr:colOff>263594</xdr:colOff>
      <xdr:row>224</xdr:row>
      <xdr:rowOff>176696</xdr:rowOff>
    </xdr:to>
    <xdr:cxnSp macro="">
      <xdr:nvCxnSpPr>
        <xdr:cNvPr id="63" name="Straight Arrow Connector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 flipH="1">
          <a:off x="12415907" y="47389222"/>
          <a:ext cx="185461" cy="276639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121155</xdr:colOff>
      <xdr:row>233</xdr:row>
      <xdr:rowOff>64604</xdr:rowOff>
    </xdr:from>
    <xdr:to>
      <xdr:col>15</xdr:col>
      <xdr:colOff>613280</xdr:colOff>
      <xdr:row>235</xdr:row>
      <xdr:rowOff>58254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2097807" y="49561474"/>
          <a:ext cx="492125" cy="3912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0">
              <a:ln>
                <a:noFill/>
              </a:ln>
              <a:solidFill>
                <a:srgbClr val="C00000"/>
              </a:solidFill>
            </a:rPr>
            <a:t>R2</a:t>
          </a:r>
        </a:p>
      </xdr:txBody>
    </xdr:sp>
    <xdr:clientData/>
  </xdr:twoCellAnchor>
  <xdr:twoCellAnchor>
    <xdr:from>
      <xdr:col>8</xdr:col>
      <xdr:colOff>368991</xdr:colOff>
      <xdr:row>221</xdr:row>
      <xdr:rowOff>84482</xdr:rowOff>
    </xdr:from>
    <xdr:to>
      <xdr:col>15</xdr:col>
      <xdr:colOff>765439</xdr:colOff>
      <xdr:row>251</xdr:row>
      <xdr:rowOff>66076</xdr:rowOff>
    </xdr:to>
    <xdr:grpSp>
      <xdr:nvGrpSpPr>
        <xdr:cNvPr id="2" name="Group 1"/>
        <xdr:cNvGrpSpPr/>
      </xdr:nvGrpSpPr>
      <xdr:grpSpPr>
        <a:xfrm>
          <a:off x="7068241" y="47061782"/>
          <a:ext cx="6263848" cy="5880744"/>
          <a:chOff x="207066" y="47785682"/>
          <a:chExt cx="5997148" cy="5972819"/>
        </a:xfrm>
      </xdr:grpSpPr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7066" y="47785682"/>
            <a:ext cx="1884062" cy="253366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14355" y="47785682"/>
            <a:ext cx="1889859" cy="253366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6692" y="50509829"/>
            <a:ext cx="1344812" cy="181118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82033" y="50509829"/>
            <a:ext cx="1351024" cy="181118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93586" y="50509829"/>
            <a:ext cx="1350610" cy="181118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13351" y="50509829"/>
            <a:ext cx="1350609" cy="181118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21298" y="52491047"/>
            <a:ext cx="1677252" cy="126745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03405" y="52491047"/>
            <a:ext cx="1682635" cy="126745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1" name="TextBox 81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/>
        </xdr:nvSpPr>
        <xdr:spPr>
          <a:xfrm>
            <a:off x="362406" y="47810529"/>
            <a:ext cx="431528" cy="37057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R1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2" name="TextBox 82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 txBox="1"/>
        </xdr:nvSpPr>
        <xdr:spPr>
          <a:xfrm>
            <a:off x="1565095" y="48321318"/>
            <a:ext cx="428215" cy="37181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R2</a:t>
            </a:r>
            <a:endParaRPr lang="en-IN" b="1">
              <a:solidFill>
                <a:srgbClr val="FF0000"/>
              </a:solidFill>
            </a:endParaRPr>
          </a:p>
        </xdr:txBody>
      </xdr:sp>
      <xdr:grpSp>
        <xdr:nvGrpSpPr>
          <xdr:cNvPr id="43" name="Group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GrpSpPr/>
        </xdr:nvGrpSpPr>
        <xdr:grpSpPr>
          <a:xfrm>
            <a:off x="2251964" y="47785682"/>
            <a:ext cx="1977575" cy="2533666"/>
            <a:chOff x="2261613" y="931110"/>
            <a:chExt cx="1972191" cy="2520000"/>
          </a:xfrm>
        </xdr:grpSpPr>
        <xdr:pic>
          <xdr:nvPicPr>
            <xdr:cNvPr id="52" name="Picture 51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61613" y="931110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53" name="TextBox 83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SpPr txBox="1"/>
          </xdr:nvSpPr>
          <xdr:spPr>
            <a:xfrm>
              <a:off x="2270409" y="1115776"/>
              <a:ext cx="43152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R1</a:t>
              </a:r>
              <a:endParaRPr lang="en-IN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54" name="TextBox 84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 txBox="1"/>
          </xdr:nvSpPr>
          <xdr:spPr>
            <a:xfrm>
              <a:off x="3802276" y="1485108"/>
              <a:ext cx="43152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R2</a:t>
              </a:r>
              <a:endParaRPr lang="en-IN" b="1">
                <a:solidFill>
                  <a:srgbClr val="FF0000"/>
                </a:solidFill>
              </a:endParaRPr>
            </a:p>
          </xdr:txBody>
        </xdr:sp>
      </xdr:grpSp>
      <xdr:sp macro="" textlink="">
        <xdr:nvSpPr>
          <xdr:cNvPr id="44" name="TextBox 85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/>
        </xdr:nvSpPr>
        <xdr:spPr>
          <a:xfrm>
            <a:off x="4958766" y="47898657"/>
            <a:ext cx="431528" cy="37057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R2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279400</xdr:colOff>
      <xdr:row>222</xdr:row>
      <xdr:rowOff>101600</xdr:rowOff>
    </xdr:from>
    <xdr:to>
      <xdr:col>7</xdr:col>
      <xdr:colOff>428629</xdr:colOff>
      <xdr:row>254</xdr:row>
      <xdr:rowOff>79374</xdr:rowOff>
    </xdr:to>
    <xdr:grpSp>
      <xdr:nvGrpSpPr>
        <xdr:cNvPr id="6" name="Group 5"/>
        <xdr:cNvGrpSpPr/>
      </xdr:nvGrpSpPr>
      <xdr:grpSpPr>
        <a:xfrm>
          <a:off x="279400" y="47275750"/>
          <a:ext cx="6111879" cy="6270624"/>
          <a:chOff x="279400" y="47275750"/>
          <a:chExt cx="6111879" cy="6270624"/>
        </a:xfrm>
      </xdr:grpSpPr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9400" y="4727575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12994" y="4727575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12994" y="51386374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33166" y="51386374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2</xdr:col>
      <xdr:colOff>101600</xdr:colOff>
      <xdr:row>223</xdr:row>
      <xdr:rowOff>139700</xdr:rowOff>
    </xdr:from>
    <xdr:to>
      <xdr:col>2</xdr:col>
      <xdr:colOff>552319</xdr:colOff>
      <xdr:row>225</xdr:row>
      <xdr:rowOff>117211</xdr:rowOff>
    </xdr:to>
    <xdr:sp macro="" textlink="">
      <xdr:nvSpPr>
        <xdr:cNvPr id="65" name="TextBox 8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739900" y="47510700"/>
          <a:ext cx="450719" cy="36486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R1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0</xdr:colOff>
      <xdr:row>225</xdr:row>
      <xdr:rowOff>6350</xdr:rowOff>
    </xdr:from>
    <xdr:to>
      <xdr:col>6</xdr:col>
      <xdr:colOff>450719</xdr:colOff>
      <xdr:row>226</xdr:row>
      <xdr:rowOff>174361</xdr:rowOff>
    </xdr:to>
    <xdr:sp macro="" textlink="">
      <xdr:nvSpPr>
        <xdr:cNvPr id="66" name="TextBox 8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5162550" y="47764700"/>
          <a:ext cx="450719" cy="36486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R2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housing.com/in/buy/projects/page/297866-nirman-signature-by-shree-sha-developers-in-badlapur-west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proptiger.com/mumbai/badlapur-west/shree-sha-developers-nirman-signature-3282670" TargetMode="External"/><Relationship Id="rId1" Type="http://schemas.openxmlformats.org/officeDocument/2006/relationships/hyperlink" Target="https://maps.app.goo.gl/Y9RaUQqywenehCRF8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306"/>
  <sheetViews>
    <sheetView tabSelected="1" view="pageBreakPreview" zoomScaleNormal="100" zoomScaleSheetLayoutView="100" workbookViewId="0">
      <selection activeCell="E9" sqref="E9:H9"/>
    </sheetView>
  </sheetViews>
  <sheetFormatPr defaultColWidth="9.2695312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26953125" style="40" customWidth="1"/>
    <col min="5" max="6" width="11.7265625" style="40" customWidth="1"/>
    <col min="7" max="7" width="11.453125" style="40" customWidth="1"/>
    <col min="8" max="8" width="10.5429687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7265625" style="21" customWidth="1"/>
    <col min="14" max="14" width="12.54296875" style="21" customWidth="1"/>
    <col min="15" max="15" width="9.7265625" style="21" customWidth="1"/>
    <col min="16" max="16" width="11.7265625" style="21" customWidth="1"/>
    <col min="17" max="247" width="9.26953125" style="21"/>
    <col min="248" max="248" width="8.7265625" style="21" customWidth="1"/>
    <col min="249" max="249" width="9.7265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7265625" style="21" customWidth="1"/>
    <col min="256" max="256" width="11.26953125" style="21" customWidth="1"/>
    <col min="257" max="257" width="2.7265625" style="21" customWidth="1"/>
    <col min="258" max="258" width="3.54296875" style="21" customWidth="1"/>
    <col min="259" max="503" width="9.26953125" style="21"/>
    <col min="504" max="504" width="8.7265625" style="21" customWidth="1"/>
    <col min="505" max="505" width="9.7265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7265625" style="21" customWidth="1"/>
    <col min="512" max="512" width="11.26953125" style="21" customWidth="1"/>
    <col min="513" max="513" width="2.7265625" style="21" customWidth="1"/>
    <col min="514" max="514" width="3.54296875" style="21" customWidth="1"/>
    <col min="515" max="759" width="9.26953125" style="21"/>
    <col min="760" max="760" width="8.7265625" style="21" customWidth="1"/>
    <col min="761" max="761" width="9.7265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7265625" style="21" customWidth="1"/>
    <col min="768" max="768" width="11.26953125" style="21" customWidth="1"/>
    <col min="769" max="769" width="2.7265625" style="21" customWidth="1"/>
    <col min="770" max="770" width="3.54296875" style="21" customWidth="1"/>
    <col min="771" max="1015" width="9.26953125" style="21"/>
    <col min="1016" max="1016" width="8.7265625" style="21" customWidth="1"/>
    <col min="1017" max="1017" width="9.7265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7265625" style="21" customWidth="1"/>
    <col min="1024" max="1024" width="11.26953125" style="21" customWidth="1"/>
    <col min="1025" max="1025" width="2.7265625" style="21" customWidth="1"/>
    <col min="1026" max="1026" width="3.54296875" style="21" customWidth="1"/>
    <col min="1027" max="1271" width="9.26953125" style="21"/>
    <col min="1272" max="1272" width="8.7265625" style="21" customWidth="1"/>
    <col min="1273" max="1273" width="9.7265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7265625" style="21" customWidth="1"/>
    <col min="1280" max="1280" width="11.26953125" style="21" customWidth="1"/>
    <col min="1281" max="1281" width="2.7265625" style="21" customWidth="1"/>
    <col min="1282" max="1282" width="3.54296875" style="21" customWidth="1"/>
    <col min="1283" max="1527" width="9.26953125" style="21"/>
    <col min="1528" max="1528" width="8.7265625" style="21" customWidth="1"/>
    <col min="1529" max="1529" width="9.7265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7265625" style="21" customWidth="1"/>
    <col min="1536" max="1536" width="11.26953125" style="21" customWidth="1"/>
    <col min="1537" max="1537" width="2.7265625" style="21" customWidth="1"/>
    <col min="1538" max="1538" width="3.54296875" style="21" customWidth="1"/>
    <col min="1539" max="1783" width="9.26953125" style="21"/>
    <col min="1784" max="1784" width="8.7265625" style="21" customWidth="1"/>
    <col min="1785" max="1785" width="9.7265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7265625" style="21" customWidth="1"/>
    <col min="1792" max="1792" width="11.26953125" style="21" customWidth="1"/>
    <col min="1793" max="1793" width="2.7265625" style="21" customWidth="1"/>
    <col min="1794" max="1794" width="3.54296875" style="21" customWidth="1"/>
    <col min="1795" max="2039" width="9.26953125" style="21"/>
    <col min="2040" max="2040" width="8.7265625" style="21" customWidth="1"/>
    <col min="2041" max="2041" width="9.7265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7265625" style="21" customWidth="1"/>
    <col min="2048" max="2048" width="11.26953125" style="21" customWidth="1"/>
    <col min="2049" max="2049" width="2.7265625" style="21" customWidth="1"/>
    <col min="2050" max="2050" width="3.54296875" style="21" customWidth="1"/>
    <col min="2051" max="2295" width="9.26953125" style="21"/>
    <col min="2296" max="2296" width="8.7265625" style="21" customWidth="1"/>
    <col min="2297" max="2297" width="9.7265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7265625" style="21" customWidth="1"/>
    <col min="2304" max="2304" width="11.26953125" style="21" customWidth="1"/>
    <col min="2305" max="2305" width="2.7265625" style="21" customWidth="1"/>
    <col min="2306" max="2306" width="3.54296875" style="21" customWidth="1"/>
    <col min="2307" max="2551" width="9.26953125" style="21"/>
    <col min="2552" max="2552" width="8.7265625" style="21" customWidth="1"/>
    <col min="2553" max="2553" width="9.7265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7265625" style="21" customWidth="1"/>
    <col min="2560" max="2560" width="11.26953125" style="21" customWidth="1"/>
    <col min="2561" max="2561" width="2.7265625" style="21" customWidth="1"/>
    <col min="2562" max="2562" width="3.54296875" style="21" customWidth="1"/>
    <col min="2563" max="2807" width="9.26953125" style="21"/>
    <col min="2808" max="2808" width="8.7265625" style="21" customWidth="1"/>
    <col min="2809" max="2809" width="9.7265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7265625" style="21" customWidth="1"/>
    <col min="2816" max="2816" width="11.26953125" style="21" customWidth="1"/>
    <col min="2817" max="2817" width="2.7265625" style="21" customWidth="1"/>
    <col min="2818" max="2818" width="3.54296875" style="21" customWidth="1"/>
    <col min="2819" max="3063" width="9.26953125" style="21"/>
    <col min="3064" max="3064" width="8.7265625" style="21" customWidth="1"/>
    <col min="3065" max="3065" width="9.7265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7265625" style="21" customWidth="1"/>
    <col min="3072" max="3072" width="11.26953125" style="21" customWidth="1"/>
    <col min="3073" max="3073" width="2.7265625" style="21" customWidth="1"/>
    <col min="3074" max="3074" width="3.54296875" style="21" customWidth="1"/>
    <col min="3075" max="3319" width="9.26953125" style="21"/>
    <col min="3320" max="3320" width="8.7265625" style="21" customWidth="1"/>
    <col min="3321" max="3321" width="9.7265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7265625" style="21" customWidth="1"/>
    <col min="3328" max="3328" width="11.26953125" style="21" customWidth="1"/>
    <col min="3329" max="3329" width="2.7265625" style="21" customWidth="1"/>
    <col min="3330" max="3330" width="3.54296875" style="21" customWidth="1"/>
    <col min="3331" max="3575" width="9.26953125" style="21"/>
    <col min="3576" max="3576" width="8.7265625" style="21" customWidth="1"/>
    <col min="3577" max="3577" width="9.7265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7265625" style="21" customWidth="1"/>
    <col min="3584" max="3584" width="11.26953125" style="21" customWidth="1"/>
    <col min="3585" max="3585" width="2.7265625" style="21" customWidth="1"/>
    <col min="3586" max="3586" width="3.54296875" style="21" customWidth="1"/>
    <col min="3587" max="3831" width="9.26953125" style="21"/>
    <col min="3832" max="3832" width="8.7265625" style="21" customWidth="1"/>
    <col min="3833" max="3833" width="9.7265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7265625" style="21" customWidth="1"/>
    <col min="3840" max="3840" width="11.26953125" style="21" customWidth="1"/>
    <col min="3841" max="3841" width="2.7265625" style="21" customWidth="1"/>
    <col min="3842" max="3842" width="3.54296875" style="21" customWidth="1"/>
    <col min="3843" max="4087" width="9.26953125" style="21"/>
    <col min="4088" max="4088" width="8.7265625" style="21" customWidth="1"/>
    <col min="4089" max="4089" width="9.7265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7265625" style="21" customWidth="1"/>
    <col min="4096" max="4096" width="11.26953125" style="21" customWidth="1"/>
    <col min="4097" max="4097" width="2.7265625" style="21" customWidth="1"/>
    <col min="4098" max="4098" width="3.54296875" style="21" customWidth="1"/>
    <col min="4099" max="4343" width="9.26953125" style="21"/>
    <col min="4344" max="4344" width="8.7265625" style="21" customWidth="1"/>
    <col min="4345" max="4345" width="9.7265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7265625" style="21" customWidth="1"/>
    <col min="4352" max="4352" width="11.26953125" style="21" customWidth="1"/>
    <col min="4353" max="4353" width="2.7265625" style="21" customWidth="1"/>
    <col min="4354" max="4354" width="3.54296875" style="21" customWidth="1"/>
    <col min="4355" max="4599" width="9.26953125" style="21"/>
    <col min="4600" max="4600" width="8.7265625" style="21" customWidth="1"/>
    <col min="4601" max="4601" width="9.7265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7265625" style="21" customWidth="1"/>
    <col min="4608" max="4608" width="11.26953125" style="21" customWidth="1"/>
    <col min="4609" max="4609" width="2.7265625" style="21" customWidth="1"/>
    <col min="4610" max="4610" width="3.54296875" style="21" customWidth="1"/>
    <col min="4611" max="4855" width="9.26953125" style="21"/>
    <col min="4856" max="4856" width="8.7265625" style="21" customWidth="1"/>
    <col min="4857" max="4857" width="9.7265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7265625" style="21" customWidth="1"/>
    <col min="4864" max="4864" width="11.26953125" style="21" customWidth="1"/>
    <col min="4865" max="4865" width="2.7265625" style="21" customWidth="1"/>
    <col min="4866" max="4866" width="3.54296875" style="21" customWidth="1"/>
    <col min="4867" max="5111" width="9.26953125" style="21"/>
    <col min="5112" max="5112" width="8.7265625" style="21" customWidth="1"/>
    <col min="5113" max="5113" width="9.7265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7265625" style="21" customWidth="1"/>
    <col min="5120" max="5120" width="11.26953125" style="21" customWidth="1"/>
    <col min="5121" max="5121" width="2.7265625" style="21" customWidth="1"/>
    <col min="5122" max="5122" width="3.54296875" style="21" customWidth="1"/>
    <col min="5123" max="5367" width="9.26953125" style="21"/>
    <col min="5368" max="5368" width="8.7265625" style="21" customWidth="1"/>
    <col min="5369" max="5369" width="9.7265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7265625" style="21" customWidth="1"/>
    <col min="5376" max="5376" width="11.26953125" style="21" customWidth="1"/>
    <col min="5377" max="5377" width="2.7265625" style="21" customWidth="1"/>
    <col min="5378" max="5378" width="3.54296875" style="21" customWidth="1"/>
    <col min="5379" max="5623" width="9.26953125" style="21"/>
    <col min="5624" max="5624" width="8.7265625" style="21" customWidth="1"/>
    <col min="5625" max="5625" width="9.7265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7265625" style="21" customWidth="1"/>
    <col min="5632" max="5632" width="11.26953125" style="21" customWidth="1"/>
    <col min="5633" max="5633" width="2.7265625" style="21" customWidth="1"/>
    <col min="5634" max="5634" width="3.54296875" style="21" customWidth="1"/>
    <col min="5635" max="5879" width="9.26953125" style="21"/>
    <col min="5880" max="5880" width="8.7265625" style="21" customWidth="1"/>
    <col min="5881" max="5881" width="9.7265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7265625" style="21" customWidth="1"/>
    <col min="5888" max="5888" width="11.26953125" style="21" customWidth="1"/>
    <col min="5889" max="5889" width="2.7265625" style="21" customWidth="1"/>
    <col min="5890" max="5890" width="3.54296875" style="21" customWidth="1"/>
    <col min="5891" max="6135" width="9.26953125" style="21"/>
    <col min="6136" max="6136" width="8.7265625" style="21" customWidth="1"/>
    <col min="6137" max="6137" width="9.7265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7265625" style="21" customWidth="1"/>
    <col min="6144" max="6144" width="11.26953125" style="21" customWidth="1"/>
    <col min="6145" max="6145" width="2.7265625" style="21" customWidth="1"/>
    <col min="6146" max="6146" width="3.54296875" style="21" customWidth="1"/>
    <col min="6147" max="6391" width="9.26953125" style="21"/>
    <col min="6392" max="6392" width="8.7265625" style="21" customWidth="1"/>
    <col min="6393" max="6393" width="9.7265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7265625" style="21" customWidth="1"/>
    <col min="6400" max="6400" width="11.26953125" style="21" customWidth="1"/>
    <col min="6401" max="6401" width="2.7265625" style="21" customWidth="1"/>
    <col min="6402" max="6402" width="3.54296875" style="21" customWidth="1"/>
    <col min="6403" max="6647" width="9.26953125" style="21"/>
    <col min="6648" max="6648" width="8.7265625" style="21" customWidth="1"/>
    <col min="6649" max="6649" width="9.7265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7265625" style="21" customWidth="1"/>
    <col min="6656" max="6656" width="11.26953125" style="21" customWidth="1"/>
    <col min="6657" max="6657" width="2.7265625" style="21" customWidth="1"/>
    <col min="6658" max="6658" width="3.54296875" style="21" customWidth="1"/>
    <col min="6659" max="6903" width="9.26953125" style="21"/>
    <col min="6904" max="6904" width="8.7265625" style="21" customWidth="1"/>
    <col min="6905" max="6905" width="9.7265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7265625" style="21" customWidth="1"/>
    <col min="6912" max="6912" width="11.26953125" style="21" customWidth="1"/>
    <col min="6913" max="6913" width="2.7265625" style="21" customWidth="1"/>
    <col min="6914" max="6914" width="3.54296875" style="21" customWidth="1"/>
    <col min="6915" max="7159" width="9.26953125" style="21"/>
    <col min="7160" max="7160" width="8.7265625" style="21" customWidth="1"/>
    <col min="7161" max="7161" width="9.7265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7265625" style="21" customWidth="1"/>
    <col min="7168" max="7168" width="11.26953125" style="21" customWidth="1"/>
    <col min="7169" max="7169" width="2.7265625" style="21" customWidth="1"/>
    <col min="7170" max="7170" width="3.54296875" style="21" customWidth="1"/>
    <col min="7171" max="7415" width="9.26953125" style="21"/>
    <col min="7416" max="7416" width="8.7265625" style="21" customWidth="1"/>
    <col min="7417" max="7417" width="9.7265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7265625" style="21" customWidth="1"/>
    <col min="7424" max="7424" width="11.26953125" style="21" customWidth="1"/>
    <col min="7425" max="7425" width="2.7265625" style="21" customWidth="1"/>
    <col min="7426" max="7426" width="3.54296875" style="21" customWidth="1"/>
    <col min="7427" max="7671" width="9.26953125" style="21"/>
    <col min="7672" max="7672" width="8.7265625" style="21" customWidth="1"/>
    <col min="7673" max="7673" width="9.7265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7265625" style="21" customWidth="1"/>
    <col min="7680" max="7680" width="11.26953125" style="21" customWidth="1"/>
    <col min="7681" max="7681" width="2.7265625" style="21" customWidth="1"/>
    <col min="7682" max="7682" width="3.54296875" style="21" customWidth="1"/>
    <col min="7683" max="7927" width="9.26953125" style="21"/>
    <col min="7928" max="7928" width="8.7265625" style="21" customWidth="1"/>
    <col min="7929" max="7929" width="9.7265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7265625" style="21" customWidth="1"/>
    <col min="7936" max="7936" width="11.26953125" style="21" customWidth="1"/>
    <col min="7937" max="7937" width="2.7265625" style="21" customWidth="1"/>
    <col min="7938" max="7938" width="3.54296875" style="21" customWidth="1"/>
    <col min="7939" max="8183" width="9.26953125" style="21"/>
    <col min="8184" max="8184" width="8.7265625" style="21" customWidth="1"/>
    <col min="8185" max="8185" width="9.7265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7265625" style="21" customWidth="1"/>
    <col min="8192" max="8192" width="11.26953125" style="21" customWidth="1"/>
    <col min="8193" max="8193" width="2.7265625" style="21" customWidth="1"/>
    <col min="8194" max="8194" width="3.54296875" style="21" customWidth="1"/>
    <col min="8195" max="8439" width="9.26953125" style="21"/>
    <col min="8440" max="8440" width="8.7265625" style="21" customWidth="1"/>
    <col min="8441" max="8441" width="9.7265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7265625" style="21" customWidth="1"/>
    <col min="8448" max="8448" width="11.26953125" style="21" customWidth="1"/>
    <col min="8449" max="8449" width="2.7265625" style="21" customWidth="1"/>
    <col min="8450" max="8450" width="3.54296875" style="21" customWidth="1"/>
    <col min="8451" max="8695" width="9.26953125" style="21"/>
    <col min="8696" max="8696" width="8.7265625" style="21" customWidth="1"/>
    <col min="8697" max="8697" width="9.7265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7265625" style="21" customWidth="1"/>
    <col min="8704" max="8704" width="11.26953125" style="21" customWidth="1"/>
    <col min="8705" max="8705" width="2.7265625" style="21" customWidth="1"/>
    <col min="8706" max="8706" width="3.54296875" style="21" customWidth="1"/>
    <col min="8707" max="8951" width="9.26953125" style="21"/>
    <col min="8952" max="8952" width="8.7265625" style="21" customWidth="1"/>
    <col min="8953" max="8953" width="9.7265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7265625" style="21" customWidth="1"/>
    <col min="8960" max="8960" width="11.26953125" style="21" customWidth="1"/>
    <col min="8961" max="8961" width="2.7265625" style="21" customWidth="1"/>
    <col min="8962" max="8962" width="3.54296875" style="21" customWidth="1"/>
    <col min="8963" max="9207" width="9.26953125" style="21"/>
    <col min="9208" max="9208" width="8.7265625" style="21" customWidth="1"/>
    <col min="9209" max="9209" width="9.7265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7265625" style="21" customWidth="1"/>
    <col min="9216" max="9216" width="11.26953125" style="21" customWidth="1"/>
    <col min="9217" max="9217" width="2.7265625" style="21" customWidth="1"/>
    <col min="9218" max="9218" width="3.54296875" style="21" customWidth="1"/>
    <col min="9219" max="9463" width="9.26953125" style="21"/>
    <col min="9464" max="9464" width="8.7265625" style="21" customWidth="1"/>
    <col min="9465" max="9465" width="9.7265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7265625" style="21" customWidth="1"/>
    <col min="9472" max="9472" width="11.26953125" style="21" customWidth="1"/>
    <col min="9473" max="9473" width="2.7265625" style="21" customWidth="1"/>
    <col min="9474" max="9474" width="3.54296875" style="21" customWidth="1"/>
    <col min="9475" max="9719" width="9.26953125" style="21"/>
    <col min="9720" max="9720" width="8.7265625" style="21" customWidth="1"/>
    <col min="9721" max="9721" width="9.7265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7265625" style="21" customWidth="1"/>
    <col min="9728" max="9728" width="11.26953125" style="21" customWidth="1"/>
    <col min="9729" max="9729" width="2.7265625" style="21" customWidth="1"/>
    <col min="9730" max="9730" width="3.54296875" style="21" customWidth="1"/>
    <col min="9731" max="9975" width="9.26953125" style="21"/>
    <col min="9976" max="9976" width="8.7265625" style="21" customWidth="1"/>
    <col min="9977" max="9977" width="9.7265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7265625" style="21" customWidth="1"/>
    <col min="9984" max="9984" width="11.26953125" style="21" customWidth="1"/>
    <col min="9985" max="9985" width="2.7265625" style="21" customWidth="1"/>
    <col min="9986" max="9986" width="3.54296875" style="21" customWidth="1"/>
    <col min="9987" max="10231" width="9.26953125" style="21"/>
    <col min="10232" max="10232" width="8.7265625" style="21" customWidth="1"/>
    <col min="10233" max="10233" width="9.7265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7265625" style="21" customWidth="1"/>
    <col min="10240" max="10240" width="11.26953125" style="21" customWidth="1"/>
    <col min="10241" max="10241" width="2.7265625" style="21" customWidth="1"/>
    <col min="10242" max="10242" width="3.54296875" style="21" customWidth="1"/>
    <col min="10243" max="10487" width="9.26953125" style="21"/>
    <col min="10488" max="10488" width="8.7265625" style="21" customWidth="1"/>
    <col min="10489" max="10489" width="9.7265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7265625" style="21" customWidth="1"/>
    <col min="10496" max="10496" width="11.26953125" style="21" customWidth="1"/>
    <col min="10497" max="10497" width="2.7265625" style="21" customWidth="1"/>
    <col min="10498" max="10498" width="3.54296875" style="21" customWidth="1"/>
    <col min="10499" max="10743" width="9.26953125" style="21"/>
    <col min="10744" max="10744" width="8.7265625" style="21" customWidth="1"/>
    <col min="10745" max="10745" width="9.7265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7265625" style="21" customWidth="1"/>
    <col min="10752" max="10752" width="11.26953125" style="21" customWidth="1"/>
    <col min="10753" max="10753" width="2.7265625" style="21" customWidth="1"/>
    <col min="10754" max="10754" width="3.54296875" style="21" customWidth="1"/>
    <col min="10755" max="10999" width="9.26953125" style="21"/>
    <col min="11000" max="11000" width="8.7265625" style="21" customWidth="1"/>
    <col min="11001" max="11001" width="9.7265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7265625" style="21" customWidth="1"/>
    <col min="11008" max="11008" width="11.26953125" style="21" customWidth="1"/>
    <col min="11009" max="11009" width="2.7265625" style="21" customWidth="1"/>
    <col min="11010" max="11010" width="3.54296875" style="21" customWidth="1"/>
    <col min="11011" max="11255" width="9.26953125" style="21"/>
    <col min="11256" max="11256" width="8.7265625" style="21" customWidth="1"/>
    <col min="11257" max="11257" width="9.7265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7265625" style="21" customWidth="1"/>
    <col min="11264" max="11264" width="11.26953125" style="21" customWidth="1"/>
    <col min="11265" max="11265" width="2.7265625" style="21" customWidth="1"/>
    <col min="11266" max="11266" width="3.54296875" style="21" customWidth="1"/>
    <col min="11267" max="11511" width="9.26953125" style="21"/>
    <col min="11512" max="11512" width="8.7265625" style="21" customWidth="1"/>
    <col min="11513" max="11513" width="9.7265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7265625" style="21" customWidth="1"/>
    <col min="11520" max="11520" width="11.26953125" style="21" customWidth="1"/>
    <col min="11521" max="11521" width="2.7265625" style="21" customWidth="1"/>
    <col min="11522" max="11522" width="3.54296875" style="21" customWidth="1"/>
    <col min="11523" max="11767" width="9.26953125" style="21"/>
    <col min="11768" max="11768" width="8.7265625" style="21" customWidth="1"/>
    <col min="11769" max="11769" width="9.7265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7265625" style="21" customWidth="1"/>
    <col min="11776" max="11776" width="11.26953125" style="21" customWidth="1"/>
    <col min="11777" max="11777" width="2.7265625" style="21" customWidth="1"/>
    <col min="11778" max="11778" width="3.54296875" style="21" customWidth="1"/>
    <col min="11779" max="12023" width="9.26953125" style="21"/>
    <col min="12024" max="12024" width="8.7265625" style="21" customWidth="1"/>
    <col min="12025" max="12025" width="9.7265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7265625" style="21" customWidth="1"/>
    <col min="12032" max="12032" width="11.26953125" style="21" customWidth="1"/>
    <col min="12033" max="12033" width="2.7265625" style="21" customWidth="1"/>
    <col min="12034" max="12034" width="3.54296875" style="21" customWidth="1"/>
    <col min="12035" max="12279" width="9.26953125" style="21"/>
    <col min="12280" max="12280" width="8.7265625" style="21" customWidth="1"/>
    <col min="12281" max="12281" width="9.7265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7265625" style="21" customWidth="1"/>
    <col min="12288" max="12288" width="11.26953125" style="21" customWidth="1"/>
    <col min="12289" max="12289" width="2.7265625" style="21" customWidth="1"/>
    <col min="12290" max="12290" width="3.54296875" style="21" customWidth="1"/>
    <col min="12291" max="12535" width="9.26953125" style="21"/>
    <col min="12536" max="12536" width="8.7265625" style="21" customWidth="1"/>
    <col min="12537" max="12537" width="9.7265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7265625" style="21" customWidth="1"/>
    <col min="12544" max="12544" width="11.26953125" style="21" customWidth="1"/>
    <col min="12545" max="12545" width="2.7265625" style="21" customWidth="1"/>
    <col min="12546" max="12546" width="3.54296875" style="21" customWidth="1"/>
    <col min="12547" max="12791" width="9.26953125" style="21"/>
    <col min="12792" max="12792" width="8.7265625" style="21" customWidth="1"/>
    <col min="12793" max="12793" width="9.7265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7265625" style="21" customWidth="1"/>
    <col min="12800" max="12800" width="11.26953125" style="21" customWidth="1"/>
    <col min="12801" max="12801" width="2.7265625" style="21" customWidth="1"/>
    <col min="12802" max="12802" width="3.54296875" style="21" customWidth="1"/>
    <col min="12803" max="13047" width="9.26953125" style="21"/>
    <col min="13048" max="13048" width="8.7265625" style="21" customWidth="1"/>
    <col min="13049" max="13049" width="9.7265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7265625" style="21" customWidth="1"/>
    <col min="13056" max="13056" width="11.26953125" style="21" customWidth="1"/>
    <col min="13057" max="13057" width="2.7265625" style="21" customWidth="1"/>
    <col min="13058" max="13058" width="3.54296875" style="21" customWidth="1"/>
    <col min="13059" max="13303" width="9.26953125" style="21"/>
    <col min="13304" max="13304" width="8.7265625" style="21" customWidth="1"/>
    <col min="13305" max="13305" width="9.7265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7265625" style="21" customWidth="1"/>
    <col min="13312" max="13312" width="11.26953125" style="21" customWidth="1"/>
    <col min="13313" max="13313" width="2.7265625" style="21" customWidth="1"/>
    <col min="13314" max="13314" width="3.54296875" style="21" customWidth="1"/>
    <col min="13315" max="13559" width="9.26953125" style="21"/>
    <col min="13560" max="13560" width="8.7265625" style="21" customWidth="1"/>
    <col min="13561" max="13561" width="9.7265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7265625" style="21" customWidth="1"/>
    <col min="13568" max="13568" width="11.26953125" style="21" customWidth="1"/>
    <col min="13569" max="13569" width="2.7265625" style="21" customWidth="1"/>
    <col min="13570" max="13570" width="3.54296875" style="21" customWidth="1"/>
    <col min="13571" max="13815" width="9.26953125" style="21"/>
    <col min="13816" max="13816" width="8.7265625" style="21" customWidth="1"/>
    <col min="13817" max="13817" width="9.7265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7265625" style="21" customWidth="1"/>
    <col min="13824" max="13824" width="11.26953125" style="21" customWidth="1"/>
    <col min="13825" max="13825" width="2.7265625" style="21" customWidth="1"/>
    <col min="13826" max="13826" width="3.54296875" style="21" customWidth="1"/>
    <col min="13827" max="14071" width="9.26953125" style="21"/>
    <col min="14072" max="14072" width="8.7265625" style="21" customWidth="1"/>
    <col min="14073" max="14073" width="9.7265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7265625" style="21" customWidth="1"/>
    <col min="14080" max="14080" width="11.26953125" style="21" customWidth="1"/>
    <col min="14081" max="14081" width="2.7265625" style="21" customWidth="1"/>
    <col min="14082" max="14082" width="3.54296875" style="21" customWidth="1"/>
    <col min="14083" max="14327" width="9.26953125" style="21"/>
    <col min="14328" max="14328" width="8.7265625" style="21" customWidth="1"/>
    <col min="14329" max="14329" width="9.7265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7265625" style="21" customWidth="1"/>
    <col min="14336" max="14336" width="11.26953125" style="21" customWidth="1"/>
    <col min="14337" max="14337" width="2.7265625" style="21" customWidth="1"/>
    <col min="14338" max="14338" width="3.54296875" style="21" customWidth="1"/>
    <col min="14339" max="14583" width="9.26953125" style="21"/>
    <col min="14584" max="14584" width="8.7265625" style="21" customWidth="1"/>
    <col min="14585" max="14585" width="9.7265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7265625" style="21" customWidth="1"/>
    <col min="14592" max="14592" width="11.26953125" style="21" customWidth="1"/>
    <col min="14593" max="14593" width="2.7265625" style="21" customWidth="1"/>
    <col min="14594" max="14594" width="3.54296875" style="21" customWidth="1"/>
    <col min="14595" max="14839" width="9.26953125" style="21"/>
    <col min="14840" max="14840" width="8.7265625" style="21" customWidth="1"/>
    <col min="14841" max="14841" width="9.7265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7265625" style="21" customWidth="1"/>
    <col min="14848" max="14848" width="11.26953125" style="21" customWidth="1"/>
    <col min="14849" max="14849" width="2.7265625" style="21" customWidth="1"/>
    <col min="14850" max="14850" width="3.54296875" style="21" customWidth="1"/>
    <col min="14851" max="15095" width="9.26953125" style="21"/>
    <col min="15096" max="15096" width="8.7265625" style="21" customWidth="1"/>
    <col min="15097" max="15097" width="9.7265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7265625" style="21" customWidth="1"/>
    <col min="15104" max="15104" width="11.26953125" style="21" customWidth="1"/>
    <col min="15105" max="15105" width="2.7265625" style="21" customWidth="1"/>
    <col min="15106" max="15106" width="3.54296875" style="21" customWidth="1"/>
    <col min="15107" max="15351" width="9.26953125" style="21"/>
    <col min="15352" max="15352" width="8.7265625" style="21" customWidth="1"/>
    <col min="15353" max="15353" width="9.7265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7265625" style="21" customWidth="1"/>
    <col min="15360" max="15360" width="11.26953125" style="21" customWidth="1"/>
    <col min="15361" max="15361" width="2.7265625" style="21" customWidth="1"/>
    <col min="15362" max="15362" width="3.54296875" style="21" customWidth="1"/>
    <col min="15363" max="15607" width="9.26953125" style="21"/>
    <col min="15608" max="15608" width="8.7265625" style="21" customWidth="1"/>
    <col min="15609" max="15609" width="9.7265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7265625" style="21" customWidth="1"/>
    <col min="15616" max="15616" width="11.26953125" style="21" customWidth="1"/>
    <col min="15617" max="15617" width="2.7265625" style="21" customWidth="1"/>
    <col min="15618" max="15618" width="3.54296875" style="21" customWidth="1"/>
    <col min="15619" max="15863" width="9.26953125" style="21"/>
    <col min="15864" max="15864" width="8.7265625" style="21" customWidth="1"/>
    <col min="15865" max="15865" width="9.7265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7265625" style="21" customWidth="1"/>
    <col min="15872" max="15872" width="11.26953125" style="21" customWidth="1"/>
    <col min="15873" max="15873" width="2.7265625" style="21" customWidth="1"/>
    <col min="15874" max="15874" width="3.54296875" style="21" customWidth="1"/>
    <col min="15875" max="16119" width="9.26953125" style="21"/>
    <col min="16120" max="16120" width="8.7265625" style="21" customWidth="1"/>
    <col min="16121" max="16121" width="9.7265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7265625" style="21" customWidth="1"/>
    <col min="16128" max="16128" width="11.26953125" style="21" customWidth="1"/>
    <col min="16129" max="16129" width="2.7265625" style="21" customWidth="1"/>
    <col min="16130" max="16130" width="3.54296875" style="21" customWidth="1"/>
    <col min="16131" max="16384" width="9.26953125" style="21"/>
  </cols>
  <sheetData>
    <row r="1" spans="1:26" ht="46.5" customHeight="1" x14ac:dyDescent="0.35">
      <c r="A1" s="182" t="s">
        <v>164</v>
      </c>
      <c r="B1" s="182"/>
      <c r="C1" s="182"/>
      <c r="D1" s="182"/>
      <c r="E1" s="182"/>
      <c r="F1" s="182"/>
      <c r="G1" s="182"/>
      <c r="H1" s="182"/>
    </row>
    <row r="2" spans="1:26" ht="16.5" customHeight="1" x14ac:dyDescent="0.35">
      <c r="A2" s="92" t="s">
        <v>0</v>
      </c>
      <c r="B2" s="92"/>
      <c r="C2" s="92"/>
      <c r="D2" s="92"/>
      <c r="E2" s="92"/>
      <c r="F2" s="92"/>
      <c r="G2" s="92"/>
      <c r="H2" s="92"/>
    </row>
    <row r="3" spans="1:26" x14ac:dyDescent="0.35">
      <c r="A3" s="123" t="s">
        <v>1</v>
      </c>
      <c r="B3" s="123"/>
      <c r="C3" s="123"/>
      <c r="D3" s="123"/>
      <c r="E3" s="123" t="str">
        <f ca="1">TEXT(TODAY(),"DD/MM/YYYY")</f>
        <v>14/07/2025</v>
      </c>
      <c r="F3" s="123"/>
      <c r="G3" s="123"/>
      <c r="H3" s="123"/>
    </row>
    <row r="4" spans="1:26" ht="15" customHeight="1" x14ac:dyDescent="0.35">
      <c r="A4" s="123" t="s">
        <v>2</v>
      </c>
      <c r="B4" s="123"/>
      <c r="C4" s="123"/>
      <c r="D4" s="123"/>
      <c r="E4" s="123" t="s">
        <v>233</v>
      </c>
      <c r="F4" s="123"/>
      <c r="G4" s="123"/>
      <c r="H4" s="123"/>
    </row>
    <row r="5" spans="1:26" x14ac:dyDescent="0.35">
      <c r="A5" s="123" t="s">
        <v>3</v>
      </c>
      <c r="B5" s="123"/>
      <c r="C5" s="123"/>
      <c r="D5" s="123"/>
      <c r="E5" s="183">
        <v>45847</v>
      </c>
      <c r="F5" s="184"/>
      <c r="G5" s="184"/>
      <c r="H5" s="184"/>
    </row>
    <row r="6" spans="1:26" ht="16.5" customHeight="1" x14ac:dyDescent="0.35">
      <c r="A6" s="123" t="s">
        <v>4</v>
      </c>
      <c r="B6" s="123"/>
      <c r="C6" s="123"/>
      <c r="D6" s="123"/>
      <c r="E6" s="123" t="s">
        <v>234</v>
      </c>
      <c r="F6" s="123"/>
      <c r="G6" s="123"/>
      <c r="H6" s="123"/>
    </row>
    <row r="7" spans="1:26" ht="15" customHeight="1" x14ac:dyDescent="0.35">
      <c r="A7" s="123" t="s">
        <v>5</v>
      </c>
      <c r="B7" s="123"/>
      <c r="C7" s="123"/>
      <c r="D7" s="123"/>
      <c r="E7" s="123" t="str">
        <f>E6</f>
        <v>Shree Sha Developers</v>
      </c>
      <c r="F7" s="123"/>
      <c r="G7" s="123"/>
      <c r="H7" s="123"/>
    </row>
    <row r="8" spans="1:26" x14ac:dyDescent="0.35">
      <c r="A8" s="123" t="s">
        <v>6</v>
      </c>
      <c r="B8" s="123"/>
      <c r="C8" s="123"/>
      <c r="D8" s="123"/>
      <c r="E8" s="116" t="s">
        <v>235</v>
      </c>
      <c r="F8" s="116"/>
      <c r="G8" s="116"/>
      <c r="H8" s="116"/>
    </row>
    <row r="9" spans="1:26" x14ac:dyDescent="0.35">
      <c r="A9" s="123" t="s">
        <v>167</v>
      </c>
      <c r="B9" s="123"/>
      <c r="C9" s="123"/>
      <c r="D9" s="123"/>
      <c r="E9" s="123" t="s">
        <v>290</v>
      </c>
      <c r="F9" s="123"/>
      <c r="G9" s="123"/>
      <c r="H9" s="123"/>
    </row>
    <row r="10" spans="1:26" x14ac:dyDescent="0.35">
      <c r="A10" s="123" t="s">
        <v>168</v>
      </c>
      <c r="B10" s="123"/>
      <c r="C10" s="123"/>
      <c r="D10" s="123"/>
      <c r="E10" s="167" t="s">
        <v>29</v>
      </c>
      <c r="F10" s="168"/>
      <c r="G10" s="168"/>
      <c r="H10" s="169"/>
    </row>
    <row r="11" spans="1:26" ht="31.5" customHeight="1" x14ac:dyDescent="0.35">
      <c r="A11" s="123" t="s">
        <v>7</v>
      </c>
      <c r="B11" s="123"/>
      <c r="C11" s="123"/>
      <c r="D11" s="123"/>
      <c r="E11" s="122" t="s">
        <v>272</v>
      </c>
      <c r="F11" s="123"/>
      <c r="G11" s="123"/>
      <c r="H11" s="123"/>
      <c r="I11" s="22" t="s">
        <v>282</v>
      </c>
    </row>
    <row r="12" spans="1:26" x14ac:dyDescent="0.35">
      <c r="A12" s="123" t="s">
        <v>170</v>
      </c>
      <c r="B12" s="123"/>
      <c r="C12" s="123"/>
      <c r="D12" s="123"/>
      <c r="E12" s="123" t="s">
        <v>29</v>
      </c>
      <c r="F12" s="123"/>
      <c r="G12" s="123"/>
      <c r="H12" s="123"/>
      <c r="S12" s="59" t="s">
        <v>177</v>
      </c>
      <c r="T12" s="59" t="s">
        <v>187</v>
      </c>
      <c r="U12" s="59" t="s">
        <v>171</v>
      </c>
      <c r="V12" s="59" t="s">
        <v>192</v>
      </c>
      <c r="W12" s="59" t="s">
        <v>210</v>
      </c>
      <c r="X12"/>
      <c r="Y12" t="s">
        <v>192</v>
      </c>
      <c r="Z12" t="e">
        <f ca="1">OFFSET($S$12,1,MATCH($G19,$S$12:$W$12,0)-1,15,1)</f>
        <v>#VALUE!</v>
      </c>
    </row>
    <row r="13" spans="1:26" ht="32.25" customHeight="1" x14ac:dyDescent="0.35">
      <c r="A13" s="104" t="s">
        <v>8</v>
      </c>
      <c r="B13" s="104"/>
      <c r="C13" s="104"/>
      <c r="D13" s="104"/>
      <c r="E13" s="122" t="s">
        <v>287</v>
      </c>
      <c r="F13" s="122"/>
      <c r="G13" s="122"/>
      <c r="H13" s="122"/>
      <c r="S13" s="59" t="s">
        <v>178</v>
      </c>
      <c r="T13" s="59" t="s">
        <v>185</v>
      </c>
      <c r="U13" s="59" t="s">
        <v>207</v>
      </c>
      <c r="V13" s="59" t="s">
        <v>193</v>
      </c>
      <c r="W13" s="59" t="s">
        <v>211</v>
      </c>
      <c r="X13"/>
      <c r="Y13"/>
      <c r="Z13"/>
    </row>
    <row r="14" spans="1:26" x14ac:dyDescent="0.35">
      <c r="A14" s="104" t="s">
        <v>9</v>
      </c>
      <c r="B14" s="104"/>
      <c r="C14" s="104"/>
      <c r="D14" s="104"/>
      <c r="E14" s="122" t="s">
        <v>236</v>
      </c>
      <c r="F14" s="123"/>
      <c r="G14" s="123"/>
      <c r="H14" s="123"/>
      <c r="I14" s="101" t="e">
        <f ca="1">OFFSET($D$4,1,MATCH($J12,$D$4:$H$4,0)-1,15,1)</f>
        <v>#N/A</v>
      </c>
      <c r="J14" s="102"/>
      <c r="K14" s="102"/>
      <c r="L14" s="102"/>
      <c r="M14" s="102"/>
      <c r="N14" s="102"/>
      <c r="O14" s="102"/>
      <c r="P14" s="102"/>
      <c r="S14" s="59" t="s">
        <v>179</v>
      </c>
      <c r="T14" s="59" t="s">
        <v>186</v>
      </c>
      <c r="U14" s="59" t="s">
        <v>208</v>
      </c>
      <c r="V14" s="59" t="s">
        <v>194</v>
      </c>
      <c r="W14" s="59" t="s">
        <v>224</v>
      </c>
      <c r="X14"/>
      <c r="Y14"/>
      <c r="Z14"/>
    </row>
    <row r="15" spans="1:26" ht="35.5" customHeight="1" x14ac:dyDescent="0.35">
      <c r="A15" s="108" t="s">
        <v>10</v>
      </c>
      <c r="B15" s="108"/>
      <c r="C15" s="108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Nirman Signature, Survey No.180, Hissa No. 3/2, near Sai Aangan, Internal Road, Chintamani Chowk, Badlapurgaon, Badlapur (West), Ambernath, Thane  - 421503.</v>
      </c>
      <c r="D15" s="108"/>
      <c r="E15" s="108"/>
      <c r="F15" s="108"/>
      <c r="G15" s="108"/>
      <c r="H15" s="108"/>
      <c r="S15" s="59" t="s">
        <v>180</v>
      </c>
      <c r="T15" s="59" t="s">
        <v>188</v>
      </c>
      <c r="U15" s="59" t="s">
        <v>209</v>
      </c>
      <c r="V15" s="59" t="s">
        <v>195</v>
      </c>
      <c r="W15" s="59" t="s">
        <v>212</v>
      </c>
      <c r="X15"/>
      <c r="Y15"/>
      <c r="Z15"/>
    </row>
    <row r="16" spans="1:26" x14ac:dyDescent="0.35">
      <c r="A16" s="122" t="s">
        <v>237</v>
      </c>
      <c r="B16" s="122"/>
      <c r="C16" s="122" t="s">
        <v>238</v>
      </c>
      <c r="D16" s="122"/>
      <c r="E16" s="122"/>
      <c r="F16" s="122"/>
      <c r="G16" s="122"/>
      <c r="H16" s="122"/>
      <c r="S16" s="59" t="s">
        <v>181</v>
      </c>
      <c r="T16" s="59" t="s">
        <v>189</v>
      </c>
      <c r="U16" s="59"/>
      <c r="V16" s="59" t="s">
        <v>196</v>
      </c>
      <c r="W16" s="59" t="s">
        <v>213</v>
      </c>
      <c r="X16"/>
      <c r="Y16"/>
      <c r="Z16"/>
    </row>
    <row r="17" spans="1:26" ht="15.75" customHeight="1" x14ac:dyDescent="0.35">
      <c r="A17" s="122" t="s">
        <v>162</v>
      </c>
      <c r="B17" s="122"/>
      <c r="C17" s="122" t="s">
        <v>243</v>
      </c>
      <c r="D17" s="122"/>
      <c r="E17" s="122"/>
      <c r="F17" s="122"/>
      <c r="G17" s="122"/>
      <c r="H17" s="122"/>
      <c r="S17" s="59" t="s">
        <v>182</v>
      </c>
      <c r="T17" s="59" t="s">
        <v>187</v>
      </c>
      <c r="U17" s="59"/>
      <c r="V17" s="59" t="s">
        <v>197</v>
      </c>
      <c r="W17" s="59" t="s">
        <v>214</v>
      </c>
      <c r="X17"/>
      <c r="Y17"/>
      <c r="Z17"/>
    </row>
    <row r="18" spans="1:26" ht="15.75" customHeight="1" x14ac:dyDescent="0.35">
      <c r="A18" s="108" t="s">
        <v>11</v>
      </c>
      <c r="B18" s="108"/>
      <c r="C18" s="123" t="s">
        <v>244</v>
      </c>
      <c r="D18" s="123"/>
      <c r="E18" s="122" t="s">
        <v>73</v>
      </c>
      <c r="F18" s="122"/>
      <c r="G18" s="122" t="s">
        <v>239</v>
      </c>
      <c r="H18" s="122"/>
      <c r="S18" s="59" t="s">
        <v>183</v>
      </c>
      <c r="T18" s="59" t="s">
        <v>190</v>
      </c>
      <c r="U18" s="59"/>
      <c r="V18" s="59" t="s">
        <v>198</v>
      </c>
      <c r="W18" s="59" t="s">
        <v>215</v>
      </c>
      <c r="X18"/>
      <c r="Y18"/>
      <c r="Z18"/>
    </row>
    <row r="19" spans="1:26" x14ac:dyDescent="0.35">
      <c r="A19" s="104" t="s">
        <v>13</v>
      </c>
      <c r="B19" s="104"/>
      <c r="C19" s="122" t="s">
        <v>291</v>
      </c>
      <c r="D19" s="122"/>
      <c r="E19" s="122" t="s">
        <v>12</v>
      </c>
      <c r="F19" s="122"/>
      <c r="G19" s="185" t="s">
        <v>177</v>
      </c>
      <c r="H19" s="185"/>
      <c r="S19" s="59" t="s">
        <v>184</v>
      </c>
      <c r="T19" s="59" t="s">
        <v>191</v>
      </c>
      <c r="U19" s="59"/>
      <c r="V19" s="59" t="s">
        <v>199</v>
      </c>
      <c r="W19" s="59" t="s">
        <v>216</v>
      </c>
      <c r="X19"/>
      <c r="Y19"/>
      <c r="Z19"/>
    </row>
    <row r="20" spans="1:26" x14ac:dyDescent="0.35">
      <c r="A20" s="104" t="s">
        <v>74</v>
      </c>
      <c r="B20" s="104"/>
      <c r="C20" s="122" t="s">
        <v>183</v>
      </c>
      <c r="D20" s="122"/>
      <c r="E20" s="122" t="s">
        <v>14</v>
      </c>
      <c r="F20" s="122"/>
      <c r="G20" s="122">
        <v>421503</v>
      </c>
      <c r="H20" s="122"/>
      <c r="S20" s="59"/>
      <c r="T20" s="59"/>
      <c r="U20" s="59"/>
      <c r="V20" s="59" t="s">
        <v>200</v>
      </c>
      <c r="W20" s="59" t="s">
        <v>217</v>
      </c>
      <c r="X20"/>
      <c r="Y20"/>
      <c r="Z20"/>
    </row>
    <row r="21" spans="1:26" ht="32.25" customHeight="1" x14ac:dyDescent="0.35">
      <c r="A21" s="104" t="s">
        <v>121</v>
      </c>
      <c r="B21" s="104"/>
      <c r="C21" s="122" t="s">
        <v>245</v>
      </c>
      <c r="D21" s="122"/>
      <c r="E21" s="122" t="s">
        <v>15</v>
      </c>
      <c r="F21" s="122"/>
      <c r="G21" s="122" t="s">
        <v>242</v>
      </c>
      <c r="H21" s="122"/>
      <c r="S21" s="59"/>
      <c r="T21" s="59"/>
      <c r="U21" s="59"/>
      <c r="V21" s="59" t="s">
        <v>201</v>
      </c>
      <c r="W21" s="59" t="s">
        <v>218</v>
      </c>
      <c r="X21"/>
      <c r="Y21"/>
      <c r="Z21"/>
    </row>
    <row r="22" spans="1:26" ht="15" customHeight="1" x14ac:dyDescent="0.35">
      <c r="A22" s="108" t="s">
        <v>75</v>
      </c>
      <c r="B22" s="108"/>
      <c r="C22" s="108"/>
      <c r="D22" s="108"/>
      <c r="E22" s="123" t="s">
        <v>16</v>
      </c>
      <c r="F22" s="123"/>
      <c r="G22" s="123"/>
      <c r="H22" s="123"/>
      <c r="S22" s="59"/>
      <c r="T22" s="59"/>
      <c r="U22" s="59"/>
      <c r="V22" s="59" t="s">
        <v>202</v>
      </c>
      <c r="W22" s="59" t="s">
        <v>219</v>
      </c>
      <c r="X22"/>
      <c r="Y22"/>
      <c r="Z22"/>
    </row>
    <row r="23" spans="1:26" ht="18.75" customHeight="1" x14ac:dyDescent="0.35">
      <c r="A23" s="108"/>
      <c r="B23" s="108"/>
      <c r="C23" s="108"/>
      <c r="D23" s="108"/>
      <c r="E23" s="123"/>
      <c r="F23" s="123"/>
      <c r="G23" s="123"/>
      <c r="H23" s="123"/>
      <c r="S23" s="59"/>
      <c r="T23" s="59"/>
      <c r="U23" s="59"/>
      <c r="V23" s="59" t="s">
        <v>203</v>
      </c>
      <c r="W23" s="59" t="s">
        <v>220</v>
      </c>
      <c r="X23"/>
      <c r="Y23"/>
      <c r="Z23"/>
    </row>
    <row r="24" spans="1:26" ht="15" customHeight="1" x14ac:dyDescent="0.35">
      <c r="A24" s="108" t="s">
        <v>17</v>
      </c>
      <c r="B24" s="108"/>
      <c r="C24" s="108"/>
      <c r="D24" s="108"/>
      <c r="E24" s="122" t="s">
        <v>18</v>
      </c>
      <c r="F24" s="122"/>
      <c r="G24" s="122"/>
      <c r="H24" s="122"/>
      <c r="S24" s="59"/>
      <c r="T24" s="59"/>
      <c r="U24" s="59"/>
      <c r="V24" s="59" t="s">
        <v>204</v>
      </c>
      <c r="W24" s="59" t="s">
        <v>221</v>
      </c>
      <c r="X24"/>
      <c r="Y24"/>
      <c r="Z24"/>
    </row>
    <row r="25" spans="1:26" ht="15" customHeight="1" x14ac:dyDescent="0.35">
      <c r="A25" s="104" t="s">
        <v>19</v>
      </c>
      <c r="B25" s="104"/>
      <c r="C25" s="104"/>
      <c r="D25" s="104"/>
      <c r="E25" s="122" t="str">
        <f>IF(AND(G19="Mumbai"),"Upper Class","Middle Class")</f>
        <v>Middle Class</v>
      </c>
      <c r="F25" s="122"/>
      <c r="G25" s="122"/>
      <c r="H25" s="122"/>
      <c r="S25" s="59"/>
      <c r="T25" s="59"/>
      <c r="U25" s="59"/>
      <c r="V25" s="59" t="s">
        <v>205</v>
      </c>
      <c r="W25" s="59" t="s">
        <v>222</v>
      </c>
      <c r="X25"/>
      <c r="Y25"/>
      <c r="Z25"/>
    </row>
    <row r="26" spans="1:26" x14ac:dyDescent="0.35">
      <c r="A26" s="104" t="s">
        <v>20</v>
      </c>
      <c r="B26" s="104"/>
      <c r="C26" s="104"/>
      <c r="D26" s="104"/>
      <c r="E26" s="122" t="s">
        <v>21</v>
      </c>
      <c r="F26" s="122"/>
      <c r="G26" s="122"/>
      <c r="H26" s="122"/>
      <c r="S26" s="59"/>
      <c r="T26" s="59"/>
      <c r="U26" s="59"/>
      <c r="V26" s="59" t="s">
        <v>206</v>
      </c>
      <c r="W26" s="59" t="s">
        <v>223</v>
      </c>
      <c r="X26"/>
      <c r="Y26"/>
      <c r="Z26"/>
    </row>
    <row r="27" spans="1:26" ht="15.75" customHeight="1" x14ac:dyDescent="0.35">
      <c r="A27" s="104" t="s">
        <v>22</v>
      </c>
      <c r="B27" s="104"/>
      <c r="C27" s="104"/>
      <c r="D27" s="104"/>
      <c r="E27" s="122" t="str">
        <f>IF(AND(G19="Mumbai"),"Developed","Developing")</f>
        <v>Developing</v>
      </c>
      <c r="F27" s="122"/>
      <c r="G27" s="122"/>
      <c r="H27" s="122"/>
    </row>
    <row r="28" spans="1:26" x14ac:dyDescent="0.35">
      <c r="A28" s="104" t="s">
        <v>23</v>
      </c>
      <c r="B28" s="104"/>
      <c r="C28" s="104"/>
      <c r="D28" s="104"/>
      <c r="E28" s="122" t="s">
        <v>24</v>
      </c>
      <c r="F28" s="122"/>
      <c r="G28" s="122"/>
      <c r="H28" s="122"/>
    </row>
    <row r="29" spans="1:26" ht="15.75" customHeight="1" x14ac:dyDescent="0.35">
      <c r="A29" s="104" t="s">
        <v>80</v>
      </c>
      <c r="B29" s="104"/>
      <c r="C29" s="104"/>
      <c r="D29" s="104"/>
      <c r="E29" s="122" t="s">
        <v>81</v>
      </c>
      <c r="F29" s="122"/>
      <c r="G29" s="122"/>
      <c r="H29" s="122"/>
    </row>
    <row r="30" spans="1:26" ht="15" customHeight="1" x14ac:dyDescent="0.35">
      <c r="A30" s="104" t="s">
        <v>32</v>
      </c>
      <c r="B30" s="104"/>
      <c r="C30" s="104"/>
      <c r="D30" s="104"/>
      <c r="E30" s="122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22"/>
      <c r="G30" s="122"/>
      <c r="H30" s="122"/>
    </row>
    <row r="31" spans="1:26" ht="15.75" customHeight="1" x14ac:dyDescent="0.35">
      <c r="A31" s="104" t="s">
        <v>92</v>
      </c>
      <c r="B31" s="104"/>
      <c r="C31" s="104"/>
      <c r="D31" s="104"/>
      <c r="E31" s="122" t="s">
        <v>33</v>
      </c>
      <c r="F31" s="122"/>
      <c r="G31" s="122"/>
      <c r="H31" s="122"/>
    </row>
    <row r="32" spans="1:26" s="22" customFormat="1" x14ac:dyDescent="0.35">
      <c r="A32" s="190" t="s">
        <v>93</v>
      </c>
      <c r="B32" s="190"/>
      <c r="C32" s="187" t="s">
        <v>172</v>
      </c>
      <c r="D32" s="188"/>
      <c r="E32" s="189"/>
      <c r="F32" s="187" t="s">
        <v>30</v>
      </c>
      <c r="G32" s="188"/>
      <c r="H32" s="189"/>
    </row>
    <row r="33" spans="1:8" s="22" customFormat="1" x14ac:dyDescent="0.35">
      <c r="A33" s="186" t="s">
        <v>25</v>
      </c>
      <c r="B33" s="186" t="s">
        <v>29</v>
      </c>
      <c r="C33" s="110" t="s">
        <v>248</v>
      </c>
      <c r="D33" s="111"/>
      <c r="E33" s="112"/>
      <c r="F33" s="110" t="s">
        <v>251</v>
      </c>
      <c r="G33" s="111"/>
      <c r="H33" s="112"/>
    </row>
    <row r="34" spans="1:8" x14ac:dyDescent="0.35">
      <c r="A34" s="186" t="s">
        <v>26</v>
      </c>
      <c r="B34" s="186" t="s">
        <v>29</v>
      </c>
      <c r="C34" s="110" t="s">
        <v>249</v>
      </c>
      <c r="D34" s="111"/>
      <c r="E34" s="112"/>
      <c r="F34" s="110" t="s">
        <v>250</v>
      </c>
      <c r="G34" s="111"/>
      <c r="H34" s="112"/>
    </row>
    <row r="35" spans="1:8" s="22" customFormat="1" x14ac:dyDescent="0.35">
      <c r="A35" s="186" t="s">
        <v>28</v>
      </c>
      <c r="B35" s="186" t="s">
        <v>29</v>
      </c>
      <c r="C35" s="110" t="s">
        <v>247</v>
      </c>
      <c r="D35" s="111"/>
      <c r="E35" s="112"/>
      <c r="F35" s="110" t="s">
        <v>251</v>
      </c>
      <c r="G35" s="111"/>
      <c r="H35" s="112"/>
    </row>
    <row r="36" spans="1:8" x14ac:dyDescent="0.35">
      <c r="A36" s="186" t="s">
        <v>27</v>
      </c>
      <c r="B36" s="186" t="s">
        <v>29</v>
      </c>
      <c r="C36" s="110" t="s">
        <v>246</v>
      </c>
      <c r="D36" s="111"/>
      <c r="E36" s="112"/>
      <c r="F36" s="110" t="s">
        <v>244</v>
      </c>
      <c r="G36" s="111"/>
      <c r="H36" s="112"/>
    </row>
    <row r="37" spans="1:8" x14ac:dyDescent="0.35">
      <c r="A37" s="104" t="s">
        <v>31</v>
      </c>
      <c r="B37" s="104"/>
      <c r="C37" s="104"/>
      <c r="D37" s="104"/>
      <c r="E37" s="104"/>
      <c r="F37" s="104"/>
      <c r="G37" s="104"/>
      <c r="H37" s="104"/>
    </row>
    <row r="38" spans="1:8" ht="15.75" customHeight="1" x14ac:dyDescent="0.35">
      <c r="A38" s="104" t="s">
        <v>165</v>
      </c>
      <c r="B38" s="104"/>
      <c r="C38" s="104" t="s">
        <v>240</v>
      </c>
      <c r="D38" s="104"/>
      <c r="E38" s="104"/>
      <c r="F38" s="104"/>
      <c r="G38" s="104"/>
      <c r="H38" s="104"/>
    </row>
    <row r="39" spans="1:8" x14ac:dyDescent="0.35">
      <c r="A39" s="104" t="s">
        <v>161</v>
      </c>
      <c r="B39" s="104"/>
      <c r="C39" s="198" t="s">
        <v>241</v>
      </c>
      <c r="D39" s="122"/>
      <c r="E39" s="122"/>
      <c r="F39" s="122"/>
      <c r="G39" s="122"/>
      <c r="H39" s="122"/>
    </row>
    <row r="40" spans="1:8" x14ac:dyDescent="0.35">
      <c r="A40" s="132" t="s">
        <v>34</v>
      </c>
      <c r="B40" s="132"/>
      <c r="C40" s="132"/>
      <c r="D40" s="132"/>
      <c r="E40" s="132"/>
      <c r="F40" s="132"/>
      <c r="G40" s="132"/>
      <c r="H40" s="132"/>
    </row>
    <row r="41" spans="1:8" x14ac:dyDescent="0.35">
      <c r="A41" s="104" t="s">
        <v>35</v>
      </c>
      <c r="B41" s="104"/>
      <c r="C41" s="104"/>
      <c r="D41" s="104"/>
      <c r="E41" s="191">
        <v>1140</v>
      </c>
      <c r="F41" s="191"/>
      <c r="G41" s="191"/>
      <c r="H41" s="191"/>
    </row>
    <row r="42" spans="1:8" x14ac:dyDescent="0.35">
      <c r="A42" s="104" t="s">
        <v>36</v>
      </c>
      <c r="B42" s="104"/>
      <c r="C42" s="104"/>
      <c r="D42" s="104"/>
      <c r="E42" s="194">
        <f>1254/E41</f>
        <v>1.1000000000000001</v>
      </c>
      <c r="F42" s="194"/>
      <c r="G42" s="194"/>
      <c r="H42" s="194"/>
    </row>
    <row r="43" spans="1:8" x14ac:dyDescent="0.35">
      <c r="A43" s="104" t="s">
        <v>37</v>
      </c>
      <c r="B43" s="104"/>
      <c r="C43" s="104"/>
      <c r="D43" s="104"/>
      <c r="E43" s="194">
        <f>E45/E41-E42</f>
        <v>1.8721929824561405</v>
      </c>
      <c r="F43" s="194"/>
      <c r="G43" s="194"/>
      <c r="H43" s="194"/>
    </row>
    <row r="44" spans="1:8" x14ac:dyDescent="0.35">
      <c r="A44" s="104" t="s">
        <v>38</v>
      </c>
      <c r="B44" s="104"/>
      <c r="C44" s="104"/>
      <c r="D44" s="104"/>
      <c r="E44" s="194">
        <f>E42+E43</f>
        <v>2.9721929824561406</v>
      </c>
      <c r="F44" s="194"/>
      <c r="G44" s="194"/>
      <c r="H44" s="194"/>
    </row>
    <row r="45" spans="1:8" x14ac:dyDescent="0.35">
      <c r="A45" s="104" t="s">
        <v>91</v>
      </c>
      <c r="B45" s="104"/>
      <c r="C45" s="104"/>
      <c r="D45" s="104"/>
      <c r="E45" s="195">
        <v>3388.3</v>
      </c>
      <c r="F45" s="195"/>
      <c r="G45" s="195"/>
      <c r="H45" s="195"/>
    </row>
    <row r="46" spans="1:8" x14ac:dyDescent="0.35">
      <c r="A46" s="123" t="s">
        <v>39</v>
      </c>
      <c r="B46" s="123"/>
      <c r="C46" s="123"/>
      <c r="D46" s="123"/>
      <c r="E46" s="123" t="s">
        <v>289</v>
      </c>
      <c r="F46" s="123"/>
      <c r="G46" s="123"/>
      <c r="H46" s="123"/>
    </row>
    <row r="47" spans="1:8" x14ac:dyDescent="0.35">
      <c r="A47" s="132" t="s">
        <v>40</v>
      </c>
      <c r="B47" s="132"/>
      <c r="C47" s="132"/>
      <c r="D47" s="132"/>
      <c r="E47" s="132"/>
      <c r="F47" s="132"/>
      <c r="G47" s="132"/>
      <c r="H47" s="132"/>
    </row>
    <row r="48" spans="1:8" ht="33.75" customHeight="1" x14ac:dyDescent="0.35">
      <c r="A48" s="124" t="s">
        <v>150</v>
      </c>
      <c r="B48" s="125"/>
      <c r="C48" s="199" t="s">
        <v>252</v>
      </c>
      <c r="D48" s="200"/>
      <c r="E48" s="200"/>
      <c r="F48" s="200"/>
      <c r="G48" s="200"/>
      <c r="H48" s="201"/>
    </row>
    <row r="49" spans="1:14" ht="15.75" customHeight="1" x14ac:dyDescent="0.35">
      <c r="A49" s="124" t="s">
        <v>41</v>
      </c>
      <c r="B49" s="125"/>
      <c r="C49" s="124" t="s">
        <v>253</v>
      </c>
      <c r="D49" s="126"/>
      <c r="E49" s="125"/>
      <c r="F49" s="18" t="s">
        <v>42</v>
      </c>
      <c r="G49" s="127">
        <v>44742</v>
      </c>
      <c r="H49" s="125"/>
    </row>
    <row r="50" spans="1:14" x14ac:dyDescent="0.35">
      <c r="A50" s="124" t="s">
        <v>43</v>
      </c>
      <c r="B50" s="125"/>
      <c r="C50" s="124" t="str">
        <f>C49</f>
        <v>KBNP/NRV/BD/6038-71</v>
      </c>
      <c r="D50" s="126"/>
      <c r="E50" s="125"/>
      <c r="F50" s="18" t="s">
        <v>42</v>
      </c>
      <c r="G50" s="127">
        <f>G49</f>
        <v>44742</v>
      </c>
      <c r="H50" s="128"/>
    </row>
    <row r="51" spans="1:14" s="23" customFormat="1" ht="34.5" customHeight="1" x14ac:dyDescent="0.35">
      <c r="A51" s="108" t="s">
        <v>230</v>
      </c>
      <c r="B51" s="108"/>
      <c r="C51" s="124" t="s">
        <v>254</v>
      </c>
      <c r="D51" s="126"/>
      <c r="E51" s="125"/>
      <c r="F51" s="18" t="s">
        <v>42</v>
      </c>
      <c r="G51" s="127">
        <f>G50</f>
        <v>44742</v>
      </c>
      <c r="H51" s="128"/>
    </row>
    <row r="52" spans="1:14" s="23" customFormat="1" ht="34.5" customHeight="1" x14ac:dyDescent="0.35">
      <c r="A52" s="108" t="s">
        <v>231</v>
      </c>
      <c r="B52" s="108"/>
      <c r="C52" s="124" t="s">
        <v>273</v>
      </c>
      <c r="D52" s="126"/>
      <c r="E52" s="126"/>
      <c r="F52" s="126"/>
      <c r="G52" s="126"/>
      <c r="H52" s="125"/>
    </row>
    <row r="53" spans="1:14" x14ac:dyDescent="0.35">
      <c r="A53" s="105" t="s">
        <v>44</v>
      </c>
      <c r="B53" s="106"/>
      <c r="C53" s="105" t="s">
        <v>105</v>
      </c>
      <c r="D53" s="107"/>
      <c r="E53" s="106"/>
      <c r="F53" s="46" t="s">
        <v>42</v>
      </c>
      <c r="G53" s="180" t="s">
        <v>29</v>
      </c>
      <c r="H53" s="181"/>
    </row>
    <row r="54" spans="1:14" x14ac:dyDescent="0.35">
      <c r="A54" s="129" t="s">
        <v>46</v>
      </c>
      <c r="B54" s="129"/>
      <c r="C54" s="129"/>
      <c r="D54" s="129"/>
      <c r="E54" s="129"/>
      <c r="F54" s="129"/>
      <c r="G54" s="129"/>
      <c r="H54" s="129"/>
    </row>
    <row r="55" spans="1:14" x14ac:dyDescent="0.35">
      <c r="A55" s="108" t="s">
        <v>90</v>
      </c>
      <c r="B55" s="108"/>
      <c r="C55" s="108"/>
      <c r="D55" s="104">
        <f>E45</f>
        <v>3388.3</v>
      </c>
      <c r="E55" s="104"/>
      <c r="F55" s="104"/>
      <c r="G55" s="104"/>
      <c r="H55" s="104"/>
    </row>
    <row r="56" spans="1:14" x14ac:dyDescent="0.35">
      <c r="A56" s="122" t="s">
        <v>47</v>
      </c>
      <c r="B56" s="123"/>
      <c r="C56" s="123"/>
      <c r="D56" s="123" t="s">
        <v>286</v>
      </c>
      <c r="E56" s="123"/>
      <c r="F56" s="123"/>
      <c r="G56" s="123"/>
      <c r="H56" s="123"/>
      <c r="I56" s="24"/>
    </row>
    <row r="57" spans="1:14" ht="30.75" customHeight="1" x14ac:dyDescent="0.35">
      <c r="A57" s="134" t="s">
        <v>48</v>
      </c>
      <c r="B57" s="135"/>
      <c r="C57" s="136"/>
      <c r="D57" s="130" t="s">
        <v>292</v>
      </c>
      <c r="E57" s="133"/>
      <c r="F57" s="133"/>
      <c r="G57" s="133"/>
      <c r="H57" s="133"/>
    </row>
    <row r="58" spans="1:14" ht="15.75" customHeight="1" x14ac:dyDescent="0.35">
      <c r="A58" s="134" t="s">
        <v>88</v>
      </c>
      <c r="B58" s="135"/>
      <c r="C58" s="135"/>
      <c r="D58" s="123" t="s">
        <v>297</v>
      </c>
      <c r="E58" s="123"/>
      <c r="F58" s="123"/>
      <c r="G58" s="123"/>
      <c r="H58" s="123"/>
    </row>
    <row r="59" spans="1:14" ht="15.75" customHeight="1" x14ac:dyDescent="0.35">
      <c r="A59" s="178"/>
      <c r="B59" s="179"/>
      <c r="C59" s="179"/>
      <c r="D59" s="123" t="s">
        <v>293</v>
      </c>
      <c r="E59" s="123"/>
      <c r="F59" s="123"/>
      <c r="G59" s="123"/>
      <c r="H59" s="123"/>
    </row>
    <row r="60" spans="1:14" ht="15.75" customHeight="1" x14ac:dyDescent="0.35">
      <c r="A60" s="104" t="s">
        <v>45</v>
      </c>
      <c r="B60" s="104"/>
      <c r="C60" s="104"/>
      <c r="D60" s="192" t="s">
        <v>255</v>
      </c>
      <c r="E60" s="192"/>
      <c r="F60" s="192"/>
      <c r="G60" s="192"/>
      <c r="H60" s="192"/>
      <c r="J60" s="25"/>
      <c r="K60" s="24"/>
      <c r="N60" s="24"/>
    </row>
    <row r="61" spans="1:14" ht="15.75" customHeight="1" x14ac:dyDescent="0.35">
      <c r="A61" s="104" t="s">
        <v>86</v>
      </c>
      <c r="B61" s="104"/>
      <c r="C61" s="104"/>
      <c r="D61" s="193" t="str">
        <f>(IF(G53="NA","60 Years After Completion",IF(G53&lt;&gt;"NA",""&amp;60-ROUNDDOWN((E3-G53)/360,0)&amp;" Years"," ")))</f>
        <v>60 Years After Completion</v>
      </c>
      <c r="E61" s="193"/>
      <c r="F61" s="193"/>
      <c r="G61" s="193"/>
      <c r="H61" s="193"/>
      <c r="N61" s="24"/>
    </row>
    <row r="62" spans="1:14" ht="15.75" customHeight="1" x14ac:dyDescent="0.35">
      <c r="A62" s="104" t="s">
        <v>87</v>
      </c>
      <c r="B62" s="104"/>
      <c r="C62" s="104"/>
      <c r="D62" s="108" t="s">
        <v>24</v>
      </c>
      <c r="E62" s="108"/>
      <c r="F62" s="108"/>
      <c r="G62" s="108"/>
      <c r="H62" s="108"/>
      <c r="J62" s="26"/>
      <c r="K62" s="26"/>
    </row>
    <row r="63" spans="1:14" ht="36" customHeight="1" x14ac:dyDescent="0.35">
      <c r="A63" s="123" t="s">
        <v>232</v>
      </c>
      <c r="B63" s="123"/>
      <c r="C63" s="123"/>
      <c r="D63" s="122" t="s">
        <v>281</v>
      </c>
      <c r="E63" s="122"/>
      <c r="F63" s="122"/>
      <c r="G63" s="122"/>
      <c r="H63" s="122"/>
      <c r="I63" s="21" t="s">
        <v>288</v>
      </c>
    </row>
    <row r="64" spans="1:14" x14ac:dyDescent="0.35">
      <c r="A64" s="108" t="s">
        <v>147</v>
      </c>
      <c r="B64" s="108"/>
      <c r="C64" s="108"/>
      <c r="D64" s="108" t="s">
        <v>29</v>
      </c>
      <c r="E64" s="108"/>
      <c r="F64" s="108"/>
      <c r="G64" s="108"/>
      <c r="H64" s="108"/>
      <c r="I64" s="27"/>
      <c r="J64" s="27"/>
      <c r="K64" s="27"/>
      <c r="L64" s="27"/>
      <c r="M64" s="27"/>
      <c r="N64" s="27"/>
    </row>
    <row r="65" spans="1:10" ht="15.75" customHeight="1" x14ac:dyDescent="0.35">
      <c r="A65" s="109" t="s">
        <v>85</v>
      </c>
      <c r="B65" s="109"/>
      <c r="C65" s="109"/>
      <c r="D65" s="130" t="str">
        <f ca="1">(IF(G71&gt;95%,"Nothing",IF(G71&gt;0%,"Cement, Aggregate, Steel, etc",IF(G71=0%,"Work not yet Started"))))</f>
        <v>Cement, Aggregate, Steel, etc</v>
      </c>
      <c r="E65" s="130"/>
      <c r="F65" s="130"/>
      <c r="G65" s="130"/>
      <c r="H65" s="130"/>
      <c r="J65" s="26"/>
    </row>
    <row r="66" spans="1:10" ht="33.75" customHeight="1" thickBot="1" x14ac:dyDescent="0.4">
      <c r="A66" s="172" t="s">
        <v>118</v>
      </c>
      <c r="B66" s="172"/>
      <c r="C66" s="172"/>
      <c r="D66" s="130" t="str">
        <f ca="1">(IF(D65="Nothing","Yes",IF(D65="Cement, Aggregate, Steel, etc","Under Construction",IF(D65="Work not yet Started","Work not yet Started"))))</f>
        <v>Under Construction</v>
      </c>
      <c r="E66" s="130"/>
      <c r="F66" s="130" t="str">
        <f ca="1">(IF(D65="Nothing","Yes",IF(D65="Cement, Aggregate, Steel, etc","Under Construction",IF(D65="Work not yet Started","Work not yet Started"))))</f>
        <v>Under Construction</v>
      </c>
      <c r="G66" s="130"/>
      <c r="H66" s="130"/>
    </row>
    <row r="67" spans="1:10" ht="15.75" customHeight="1" x14ac:dyDescent="0.35">
      <c r="A67" s="117" t="s">
        <v>139</v>
      </c>
      <c r="B67" s="118"/>
      <c r="C67" s="119" t="str">
        <f>D58</f>
        <v>Wing R1 (Nirman Signature) = G + 1st to 10th Floor</v>
      </c>
      <c r="D67" s="120"/>
      <c r="E67" s="120"/>
      <c r="F67" s="120"/>
      <c r="G67" s="120"/>
      <c r="H67" s="121"/>
      <c r="I67" s="50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 Completed, Flooring upto 8 Floor, Painting upto 7 Floor, Finishing upto 2 Floor Completed</v>
      </c>
      <c r="J67" s="51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Flooring upto 8 Floor, Painting upto 7 Floor, Finishing upto 2 Floor</v>
      </c>
    </row>
    <row r="68" spans="1:10" x14ac:dyDescent="0.35">
      <c r="A68" s="16" t="s">
        <v>141</v>
      </c>
      <c r="B68" s="54">
        <f>IF(AND(ISNUMBER(SEARCH("1B",C67))),1,IF(AND(ISNUMBER(SEARCH("2B",C67))),2,IF(AND(ISNUMBER(SEARCH("3B",C67))),3,IF(AND(ISNUMBER(SEARCH("4B",C67))),4,IF(ISNUMBER(SEARCH("5B",C67)),5,0)))))</f>
        <v>0</v>
      </c>
      <c r="C68" s="48" t="s">
        <v>72</v>
      </c>
      <c r="D68" s="48">
        <v>1</v>
      </c>
      <c r="E68" s="48" t="s">
        <v>71</v>
      </c>
      <c r="F68" s="55">
        <v>0</v>
      </c>
      <c r="G68" s="49" t="s">
        <v>79</v>
      </c>
      <c r="H68" s="17">
        <f ca="1">--TRIM(RIGHT(SUBSTITUTE(LEFT(C67,_xlfn.AGGREGATE(16,6,FIND({0,1,2,3,4,5,6,7,8,9},C67,ROW(INDIRECT("1:"&amp;LEN(C67)))),1))," ",REPT(" ",LEN(C67))),LEN(C67)))</f>
        <v>10</v>
      </c>
      <c r="I68" s="52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</v>
      </c>
      <c r="J68" s="53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48" customHeight="1" x14ac:dyDescent="0.35">
      <c r="A69" s="115" t="s">
        <v>89</v>
      </c>
      <c r="B69" s="116"/>
      <c r="C69" s="170" t="str">
        <f ca="1">I67</f>
        <v>Excavation, Plinth, RCC Slab, Brickwork, Internal Plaster, External Plaster Completed, Flooring upto 8 Floor, Painting upto 7 Floor, Finishing upto 2 Floor Completed</v>
      </c>
      <c r="D69" s="170"/>
      <c r="E69" s="170"/>
      <c r="F69" s="170"/>
      <c r="G69" s="170"/>
      <c r="H69" s="171"/>
      <c r="I69" s="52" t="str">
        <f ca="1">IF(I68&lt;&gt;""," Completed","")</f>
        <v xml:space="preserve"> Completed</v>
      </c>
      <c r="J69" s="53" t="str">
        <f ca="1">IF(J67&lt;&gt;"","Completed","")</f>
        <v>Completed</v>
      </c>
    </row>
    <row r="70" spans="1:10" ht="15.75" customHeight="1" x14ac:dyDescent="0.35">
      <c r="A70" s="113" t="s">
        <v>49</v>
      </c>
      <c r="B70" s="114"/>
      <c r="C70" s="44" t="s">
        <v>138</v>
      </c>
      <c r="D70" s="44" t="s">
        <v>82</v>
      </c>
      <c r="E70" s="114" t="s">
        <v>84</v>
      </c>
      <c r="F70" s="114"/>
      <c r="G70" s="114" t="s">
        <v>83</v>
      </c>
      <c r="H70" s="131"/>
      <c r="I70" s="14" t="s">
        <v>140</v>
      </c>
      <c r="J70" s="28">
        <f ca="1">H68*25%</f>
        <v>2.5</v>
      </c>
    </row>
    <row r="71" spans="1:10" x14ac:dyDescent="0.35">
      <c r="A71" s="113" t="s">
        <v>127</v>
      </c>
      <c r="B71" s="114"/>
      <c r="C71" s="44">
        <f ca="1">J72</f>
        <v>10</v>
      </c>
      <c r="D71" s="19">
        <f ca="1">((100/H68)*C71)/100</f>
        <v>1</v>
      </c>
      <c r="E71" s="159">
        <f ca="1">(((C72/H68*10)+(40/(D68+F68+H68)*C73)+(7.5/(H68)*C74)+(7.5/(H68)*C75)+(10/H68*C76)+(10/H68*C77)+(5/H68*C78)+(5/H68*C79)+(5/H68*C80))/100)</f>
        <v>0.875</v>
      </c>
      <c r="F71" s="160"/>
      <c r="G71" s="159">
        <f ca="1">((((C71/H68)*20)+((C72/H68)*25)+(30/(H68+F68+D68)*C73)+(5/H68*C74)+(5/H68*C75)+(5/H68*C76)+(5/H68*C77)+(0/H68*C78)+(0/H68*C79)+(5/H68*C80))/100)</f>
        <v>0.94</v>
      </c>
      <c r="H71" s="173"/>
      <c r="I71" s="14" t="s">
        <v>100</v>
      </c>
      <c r="J71" s="29">
        <f ca="1">H68*50%</f>
        <v>5</v>
      </c>
    </row>
    <row r="72" spans="1:10" x14ac:dyDescent="0.35">
      <c r="A72" s="113" t="s">
        <v>50</v>
      </c>
      <c r="B72" s="114"/>
      <c r="C72" s="44">
        <f ca="1">J80</f>
        <v>10</v>
      </c>
      <c r="D72" s="19">
        <f ca="1">((100/H68)*C72)/100</f>
        <v>1</v>
      </c>
      <c r="E72" s="161"/>
      <c r="F72" s="162"/>
      <c r="G72" s="161"/>
      <c r="H72" s="174"/>
      <c r="I72" s="14" t="s">
        <v>101</v>
      </c>
      <c r="J72" s="29">
        <f ca="1">H68</f>
        <v>10</v>
      </c>
    </row>
    <row r="73" spans="1:10" ht="15.75" customHeight="1" x14ac:dyDescent="0.35">
      <c r="A73" s="113" t="s">
        <v>128</v>
      </c>
      <c r="B73" s="114"/>
      <c r="C73" s="44">
        <v>11</v>
      </c>
      <c r="D73" s="19">
        <f ca="1">((100/(D68+F68+H68))*C73)/100</f>
        <v>1.0000000000000002</v>
      </c>
      <c r="E73" s="161"/>
      <c r="F73" s="162"/>
      <c r="G73" s="161"/>
      <c r="H73" s="174"/>
      <c r="I73" s="14" t="s">
        <v>102</v>
      </c>
      <c r="J73" s="30">
        <f ca="1">(IF(B68&gt;1,(H68/(B68+2)),H68/4))</f>
        <v>2.5</v>
      </c>
    </row>
    <row r="74" spans="1:10" ht="15.75" customHeight="1" x14ac:dyDescent="0.35">
      <c r="A74" s="113" t="s">
        <v>135</v>
      </c>
      <c r="B74" s="114" t="s">
        <v>129</v>
      </c>
      <c r="C74" s="44">
        <v>10</v>
      </c>
      <c r="D74" s="19">
        <f ca="1">((100/H68)*C74)/100</f>
        <v>1</v>
      </c>
      <c r="E74" s="161"/>
      <c r="F74" s="162"/>
      <c r="G74" s="161"/>
      <c r="H74" s="174"/>
      <c r="I74" s="14" t="s">
        <v>103</v>
      </c>
      <c r="J74" s="30">
        <f ca="1">(IF(B68&gt;1,(H68/(B68+2)+J73),H68/4+J73))</f>
        <v>5</v>
      </c>
    </row>
    <row r="75" spans="1:10" ht="15.75" customHeight="1" x14ac:dyDescent="0.35">
      <c r="A75" s="113" t="s">
        <v>136</v>
      </c>
      <c r="B75" s="114" t="s">
        <v>129</v>
      </c>
      <c r="C75" s="44">
        <v>10</v>
      </c>
      <c r="D75" s="19">
        <f ca="1">((100/H68)*C75)/100</f>
        <v>1</v>
      </c>
      <c r="E75" s="161"/>
      <c r="F75" s="162"/>
      <c r="G75" s="161"/>
      <c r="H75" s="174"/>
      <c r="I75" s="14" t="s">
        <v>145</v>
      </c>
      <c r="J75" s="30">
        <f>(IF(B68&gt;1,(H68/(B68+2)+J74),0))</f>
        <v>0</v>
      </c>
    </row>
    <row r="76" spans="1:10" ht="15" customHeight="1" x14ac:dyDescent="0.35">
      <c r="A76" s="113" t="s">
        <v>134</v>
      </c>
      <c r="B76" s="114" t="s">
        <v>131</v>
      </c>
      <c r="C76" s="44">
        <v>10</v>
      </c>
      <c r="D76" s="19">
        <f ca="1">((100/(H68))*C76)/100</f>
        <v>1</v>
      </c>
      <c r="E76" s="161"/>
      <c r="F76" s="162"/>
      <c r="G76" s="161"/>
      <c r="H76" s="174"/>
      <c r="I76" s="14" t="s">
        <v>142</v>
      </c>
      <c r="J76" s="30">
        <f>(IF(B68&gt;2,(H68/(B68+2)+J75),0))</f>
        <v>0</v>
      </c>
    </row>
    <row r="77" spans="1:10" ht="15.75" customHeight="1" x14ac:dyDescent="0.35">
      <c r="A77" s="113" t="s">
        <v>130</v>
      </c>
      <c r="B77" s="114" t="s">
        <v>130</v>
      </c>
      <c r="C77" s="44">
        <v>8</v>
      </c>
      <c r="D77" s="19">
        <f ca="1">((100/H68)*C77)/100</f>
        <v>0.8</v>
      </c>
      <c r="E77" s="161"/>
      <c r="F77" s="162"/>
      <c r="G77" s="161"/>
      <c r="H77" s="174"/>
      <c r="I77" s="14" t="s">
        <v>143</v>
      </c>
      <c r="J77" s="31">
        <f>(IF(B68&gt;3,(H68/(B68+2)+J76),0))</f>
        <v>0</v>
      </c>
    </row>
    <row r="78" spans="1:10" ht="15.75" customHeight="1" x14ac:dyDescent="0.35">
      <c r="A78" s="113" t="s">
        <v>137</v>
      </c>
      <c r="B78" s="114"/>
      <c r="C78" s="44">
        <v>7</v>
      </c>
      <c r="D78" s="19">
        <f ca="1">((100/H68)*C78)/100</f>
        <v>0.7</v>
      </c>
      <c r="E78" s="161"/>
      <c r="F78" s="162"/>
      <c r="G78" s="161"/>
      <c r="H78" s="174"/>
      <c r="I78" s="14" t="s">
        <v>144</v>
      </c>
      <c r="J78" s="30">
        <f>(IF(B68&gt;4,(H68/(B68+2)+J77),0))</f>
        <v>0</v>
      </c>
    </row>
    <row r="79" spans="1:10" ht="15.75" customHeight="1" x14ac:dyDescent="0.35">
      <c r="A79" s="113" t="s">
        <v>132</v>
      </c>
      <c r="B79" s="114" t="s">
        <v>132</v>
      </c>
      <c r="C79" s="44">
        <v>2</v>
      </c>
      <c r="D79" s="19">
        <f ca="1">((100/(H68))*C79)/100</f>
        <v>0.2</v>
      </c>
      <c r="E79" s="161"/>
      <c r="F79" s="162"/>
      <c r="G79" s="161"/>
      <c r="H79" s="174"/>
      <c r="I79" s="14" t="s">
        <v>146</v>
      </c>
      <c r="J79" s="30">
        <f ca="1">(IF(B68=1,(H68/(B68+3)+J74),IF(B68=0,(H68/4+J74),IF(B68&gt;1,0))))</f>
        <v>7.5</v>
      </c>
    </row>
    <row r="80" spans="1:10" ht="16" thickBot="1" x14ac:dyDescent="0.4">
      <c r="A80" s="176" t="s">
        <v>133</v>
      </c>
      <c r="B80" s="177"/>
      <c r="C80" s="45">
        <v>0</v>
      </c>
      <c r="D80" s="20">
        <f ca="1">((100/(H68))*C80)/100</f>
        <v>0</v>
      </c>
      <c r="E80" s="163"/>
      <c r="F80" s="164"/>
      <c r="G80" s="163"/>
      <c r="H80" s="175"/>
      <c r="I80" s="15" t="s">
        <v>104</v>
      </c>
      <c r="J80" s="32">
        <f ca="1">(IF(B68&gt;1.5,(H68/(B68+2)+J74+MAX(0,J75-J74)+MAX(0,J76-J75)+MAX(0,J77-J76)+MAX(0,J78-J77)+MAX(0,J79-J78)),IF(B68=1,(H68/(B68+3)+J79),IF(B68=0,H68/4+J79))))</f>
        <v>10</v>
      </c>
    </row>
    <row r="81" spans="1:10" ht="15.75" customHeight="1" x14ac:dyDescent="0.35">
      <c r="A81" s="117" t="s">
        <v>139</v>
      </c>
      <c r="B81" s="118"/>
      <c r="C81" s="119" t="str">
        <f>D59</f>
        <v>Wing R2 (Rain Basera) = G + 1st to 4th Floor</v>
      </c>
      <c r="D81" s="120"/>
      <c r="E81" s="120"/>
      <c r="F81" s="120"/>
      <c r="G81" s="120"/>
      <c r="H81" s="121"/>
      <c r="I81" s="50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Plaster, External Plaster Completed, Flooring upto 2 Floor, Painting upto 3 Floor Completed</v>
      </c>
      <c r="J81" s="51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Flooring upto 2 Floor, Painting upto 3 Floor</v>
      </c>
    </row>
    <row r="82" spans="1:10" x14ac:dyDescent="0.35">
      <c r="A82" s="16" t="s">
        <v>141</v>
      </c>
      <c r="B82" s="55">
        <f>IF(AND(ISNUMBER(SEARCH("1B",C81))),1,IF(AND(ISNUMBER(SEARCH("2B",C81))),2,IF(AND(ISNUMBER(SEARCH("3B",C81))),3,IF(AND(ISNUMBER(SEARCH("4B",C81))),4,IF(ISNUMBER(SEARCH("5B",C81)),5,0)))))</f>
        <v>0</v>
      </c>
      <c r="C82" s="48" t="s">
        <v>72</v>
      </c>
      <c r="D82" s="48">
        <v>1</v>
      </c>
      <c r="E82" s="48" t="s">
        <v>71</v>
      </c>
      <c r="F82" s="55">
        <v>0</v>
      </c>
      <c r="G82" s="49" t="s">
        <v>79</v>
      </c>
      <c r="H82" s="17">
        <f ca="1">--TRIM(RIGHT(SUBSTITUTE(LEFT(C81,_xlfn.AGGREGATE(16,6,FIND({0,1,2,3,4,5,6,7,8,9},C81,ROW(INDIRECT("1:"&amp;LEN(C81)))),1))," ",REPT(" ",LEN(C81))),LEN(C81)))</f>
        <v>4</v>
      </c>
      <c r="I82" s="52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</v>
      </c>
      <c r="J82" s="53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2.5" customHeight="1" x14ac:dyDescent="0.35">
      <c r="A83" s="115" t="s">
        <v>89</v>
      </c>
      <c r="B83" s="116"/>
      <c r="C83" s="170" t="str">
        <f ca="1">(IF($G$53="NA",I81,"All work Completed. OC Received."))</f>
        <v>Excavation, Plinth, RCC Slab, Brickwork, Internal Plaster, External Plaster Completed, Flooring upto 2 Floor, Painting upto 3 Floor Completed</v>
      </c>
      <c r="D83" s="170"/>
      <c r="E83" s="170"/>
      <c r="F83" s="170"/>
      <c r="G83" s="170"/>
      <c r="H83" s="171"/>
      <c r="I83" s="52" t="str">
        <f ca="1">IF(I82&lt;&gt;""," Completed","")</f>
        <v xml:space="preserve"> Completed</v>
      </c>
      <c r="J83" s="53" t="str">
        <f ca="1">IF(J81&lt;&gt;"","Completed","")</f>
        <v>Completed</v>
      </c>
    </row>
    <row r="84" spans="1:10" ht="15.75" customHeight="1" x14ac:dyDescent="0.35">
      <c r="A84" s="113" t="s">
        <v>49</v>
      </c>
      <c r="B84" s="114"/>
      <c r="C84" s="44" t="s">
        <v>138</v>
      </c>
      <c r="D84" s="44" t="s">
        <v>82</v>
      </c>
      <c r="E84" s="114" t="s">
        <v>84</v>
      </c>
      <c r="F84" s="114"/>
      <c r="G84" s="114" t="s">
        <v>83</v>
      </c>
      <c r="H84" s="131"/>
      <c r="I84" s="14" t="s">
        <v>140</v>
      </c>
      <c r="J84" s="28">
        <f ca="1">H82*25%</f>
        <v>1</v>
      </c>
    </row>
    <row r="85" spans="1:10" x14ac:dyDescent="0.35">
      <c r="A85" s="113" t="s">
        <v>127</v>
      </c>
      <c r="B85" s="114"/>
      <c r="C85" s="44">
        <f ca="1">J86</f>
        <v>4</v>
      </c>
      <c r="D85" s="19">
        <f ca="1">((100/H82)*C85)/100</f>
        <v>1</v>
      </c>
      <c r="E85" s="159">
        <f ca="1">(((C86/H82*10)+(40/(D82+F82+H82)*C87)+(7.5/(H82)*C88)+(7.5/(H82)*C89)+(10/H82*C90)+(10/H82*C91)+(5/H82*C92)+(5/H82*C93)+(5/H82*C94))/100)</f>
        <v>0.83750000000000002</v>
      </c>
      <c r="F85" s="160"/>
      <c r="G85" s="159">
        <f ca="1">((((C85/H82)*20)+((C86/H82)*25)+(30/(H82+F82+D82)*C87)+(5/H82*C88)+(5/H82*C89)+(5/H82*C90)+(5/H82*C91)+(0/H82*C92)+(0/H82*C93)+(5/H82*C94))/100)</f>
        <v>0.92500000000000004</v>
      </c>
      <c r="H85" s="173"/>
      <c r="I85" s="14" t="s">
        <v>100</v>
      </c>
      <c r="J85" s="29">
        <f ca="1">H82*50%</f>
        <v>2</v>
      </c>
    </row>
    <row r="86" spans="1:10" x14ac:dyDescent="0.35">
      <c r="A86" s="113" t="s">
        <v>50</v>
      </c>
      <c r="B86" s="114"/>
      <c r="C86" s="56">
        <f ca="1">J94</f>
        <v>4</v>
      </c>
      <c r="D86" s="19">
        <f ca="1">((100/H82)*C86)/100</f>
        <v>1</v>
      </c>
      <c r="E86" s="161"/>
      <c r="F86" s="162"/>
      <c r="G86" s="161"/>
      <c r="H86" s="174"/>
      <c r="I86" s="14" t="s">
        <v>101</v>
      </c>
      <c r="J86" s="29">
        <f ca="1">H82</f>
        <v>4</v>
      </c>
    </row>
    <row r="87" spans="1:10" ht="15.75" customHeight="1" x14ac:dyDescent="0.35">
      <c r="A87" s="113" t="s">
        <v>128</v>
      </c>
      <c r="B87" s="114"/>
      <c r="C87" s="44">
        <v>5</v>
      </c>
      <c r="D87" s="19">
        <f ca="1">((100/(D82+F82+H82))*C87)/100</f>
        <v>1</v>
      </c>
      <c r="E87" s="161"/>
      <c r="F87" s="162"/>
      <c r="G87" s="161"/>
      <c r="H87" s="174"/>
      <c r="I87" s="14" t="s">
        <v>102</v>
      </c>
      <c r="J87" s="30">
        <f ca="1">(IF(B82&gt;1,(H82/(B82+2)),H82/4))</f>
        <v>1</v>
      </c>
    </row>
    <row r="88" spans="1:10" ht="15.75" customHeight="1" x14ac:dyDescent="0.35">
      <c r="A88" s="113" t="s">
        <v>135</v>
      </c>
      <c r="B88" s="114" t="s">
        <v>129</v>
      </c>
      <c r="C88" s="44">
        <v>4</v>
      </c>
      <c r="D88" s="19">
        <f ca="1">((100/H82)*C88)/100</f>
        <v>1</v>
      </c>
      <c r="E88" s="161"/>
      <c r="F88" s="162"/>
      <c r="G88" s="161"/>
      <c r="H88" s="174"/>
      <c r="I88" s="14" t="s">
        <v>103</v>
      </c>
      <c r="J88" s="30">
        <f ca="1">(IF(B82&gt;1,(H82/(B82+2)+J87),H82/4+J87))</f>
        <v>2</v>
      </c>
    </row>
    <row r="89" spans="1:10" ht="15.75" customHeight="1" x14ac:dyDescent="0.35">
      <c r="A89" s="113" t="s">
        <v>136</v>
      </c>
      <c r="B89" s="114" t="s">
        <v>129</v>
      </c>
      <c r="C89" s="44">
        <v>4</v>
      </c>
      <c r="D89" s="19">
        <f ca="1">((100/H82)*C89)/100</f>
        <v>1</v>
      </c>
      <c r="E89" s="161"/>
      <c r="F89" s="162"/>
      <c r="G89" s="161"/>
      <c r="H89" s="174"/>
      <c r="I89" s="14" t="s">
        <v>145</v>
      </c>
      <c r="J89" s="30">
        <f>(IF(B82&gt;1,(H82/(B82+2)+J88),0))</f>
        <v>0</v>
      </c>
    </row>
    <row r="90" spans="1:10" ht="15" customHeight="1" x14ac:dyDescent="0.35">
      <c r="A90" s="113" t="s">
        <v>134</v>
      </c>
      <c r="B90" s="114" t="s">
        <v>131</v>
      </c>
      <c r="C90" s="44">
        <v>4</v>
      </c>
      <c r="D90" s="19">
        <f ca="1">((100/(H82))*C90)/100</f>
        <v>1</v>
      </c>
      <c r="E90" s="161"/>
      <c r="F90" s="162"/>
      <c r="G90" s="161"/>
      <c r="H90" s="174"/>
      <c r="I90" s="14" t="s">
        <v>142</v>
      </c>
      <c r="J90" s="30">
        <f>(IF(B82&gt;2,(H82/(B82+2)+J89),0))</f>
        <v>0</v>
      </c>
    </row>
    <row r="91" spans="1:10" ht="15.75" customHeight="1" x14ac:dyDescent="0.35">
      <c r="A91" s="113" t="s">
        <v>130</v>
      </c>
      <c r="B91" s="114" t="s">
        <v>130</v>
      </c>
      <c r="C91" s="44">
        <v>2</v>
      </c>
      <c r="D91" s="19">
        <f ca="1">((100/H82)*C91)/100</f>
        <v>0.5</v>
      </c>
      <c r="E91" s="161"/>
      <c r="F91" s="162"/>
      <c r="G91" s="161"/>
      <c r="H91" s="174"/>
      <c r="I91" s="14" t="s">
        <v>143</v>
      </c>
      <c r="J91" s="31">
        <f>(IF(B82&gt;3,(H82/(B82+2)+J90),0))</f>
        <v>0</v>
      </c>
    </row>
    <row r="92" spans="1:10" ht="15.75" customHeight="1" x14ac:dyDescent="0.35">
      <c r="A92" s="113" t="s">
        <v>137</v>
      </c>
      <c r="B92" s="114"/>
      <c r="C92" s="44">
        <v>3</v>
      </c>
      <c r="D92" s="19">
        <f ca="1">((100/H82)*C92)/100</f>
        <v>0.75</v>
      </c>
      <c r="E92" s="161"/>
      <c r="F92" s="162"/>
      <c r="G92" s="161"/>
      <c r="H92" s="174"/>
      <c r="I92" s="14" t="s">
        <v>144</v>
      </c>
      <c r="J92" s="30">
        <f>(IF(B82&gt;4,(H82/(B82+2)+J91),0))</f>
        <v>0</v>
      </c>
    </row>
    <row r="93" spans="1:10" ht="15.75" customHeight="1" x14ac:dyDescent="0.35">
      <c r="A93" s="113" t="s">
        <v>132</v>
      </c>
      <c r="B93" s="114" t="s">
        <v>132</v>
      </c>
      <c r="C93" s="44">
        <v>0</v>
      </c>
      <c r="D93" s="19">
        <f ca="1">((100/(H82))*C93)/100</f>
        <v>0</v>
      </c>
      <c r="E93" s="161"/>
      <c r="F93" s="162"/>
      <c r="G93" s="161"/>
      <c r="H93" s="174"/>
      <c r="I93" s="14" t="s">
        <v>146</v>
      </c>
      <c r="J93" s="30">
        <f ca="1">(IF(B82=1,(H82/(B82+3)+J88),IF(B82=0,(H82/4+J88),IF(B82&gt;1,0))))</f>
        <v>3</v>
      </c>
    </row>
    <row r="94" spans="1:10" ht="16" thickBot="1" x14ac:dyDescent="0.4">
      <c r="A94" s="176" t="s">
        <v>133</v>
      </c>
      <c r="B94" s="177"/>
      <c r="C94" s="45">
        <v>0</v>
      </c>
      <c r="D94" s="20">
        <f ca="1">((100/(H82))*C94)/100</f>
        <v>0</v>
      </c>
      <c r="E94" s="163"/>
      <c r="F94" s="164"/>
      <c r="G94" s="163"/>
      <c r="H94" s="175"/>
      <c r="I94" s="15" t="s">
        <v>104</v>
      </c>
      <c r="J94" s="32">
        <f ca="1">(IF(B82&gt;1.5,(H82/(B82+2)+J88+MAX(0,J89-J88)+MAX(0,J90-J89)+MAX(0,J91-J90)+MAX(0,J92-J91)+MAX(0,J93-J92)),IF(B82=1,(H82/(B82+3)+J93),IF(B82=0,H82/4+J93))))</f>
        <v>4</v>
      </c>
    </row>
    <row r="95" spans="1:10" x14ac:dyDescent="0.35">
      <c r="A95" s="196" t="s">
        <v>155</v>
      </c>
      <c r="B95" s="196"/>
      <c r="C95" s="196"/>
      <c r="D95" s="196"/>
      <c r="E95" s="196"/>
      <c r="F95" s="157" t="s">
        <v>159</v>
      </c>
      <c r="G95" s="157"/>
      <c r="H95" s="157"/>
    </row>
    <row r="96" spans="1:10" x14ac:dyDescent="0.35">
      <c r="A96" s="104" t="s">
        <v>157</v>
      </c>
      <c r="B96" s="104"/>
      <c r="C96" s="104"/>
      <c r="D96" s="104"/>
      <c r="E96" s="104"/>
      <c r="F96" s="103">
        <v>4000</v>
      </c>
      <c r="G96" s="103"/>
      <c r="H96" s="103"/>
    </row>
    <row r="97" spans="1:10" x14ac:dyDescent="0.35">
      <c r="A97" s="104" t="s">
        <v>156</v>
      </c>
      <c r="B97" s="104"/>
      <c r="C97" s="104"/>
      <c r="D97" s="104"/>
      <c r="E97" s="104"/>
      <c r="F97" s="103">
        <v>10000</v>
      </c>
      <c r="G97" s="103"/>
      <c r="H97" s="103"/>
    </row>
    <row r="98" spans="1:10" x14ac:dyDescent="0.35">
      <c r="A98" s="104" t="s">
        <v>158</v>
      </c>
      <c r="B98" s="104"/>
      <c r="C98" s="104"/>
      <c r="D98" s="104"/>
      <c r="E98" s="104"/>
      <c r="F98" s="103">
        <v>8000</v>
      </c>
      <c r="G98" s="103"/>
      <c r="H98" s="103"/>
    </row>
    <row r="99" spans="1:10" s="33" customFormat="1" hidden="1" x14ac:dyDescent="0.3">
      <c r="A99" s="104" t="s">
        <v>174</v>
      </c>
      <c r="B99" s="104"/>
      <c r="C99" s="104"/>
      <c r="D99" s="104"/>
      <c r="E99" s="104"/>
      <c r="F99" s="103"/>
      <c r="G99" s="103"/>
      <c r="H99" s="103"/>
    </row>
    <row r="100" spans="1:10" s="33" customFormat="1" x14ac:dyDescent="0.3">
      <c r="A100" s="104" t="s">
        <v>94</v>
      </c>
      <c r="B100" s="104"/>
      <c r="C100" s="104"/>
      <c r="D100" s="104"/>
      <c r="E100" s="104"/>
      <c r="F100" s="103">
        <v>220000</v>
      </c>
      <c r="G100" s="103"/>
      <c r="H100" s="103"/>
    </row>
    <row r="101" spans="1:10" s="33" customFormat="1" x14ac:dyDescent="0.3">
      <c r="A101" s="104" t="s">
        <v>95</v>
      </c>
      <c r="B101" s="104"/>
      <c r="C101" s="104"/>
      <c r="D101" s="104"/>
      <c r="E101" s="104"/>
      <c r="F101" s="103">
        <v>25000</v>
      </c>
      <c r="G101" s="103"/>
      <c r="H101" s="103"/>
    </row>
    <row r="102" spans="1:10" s="33" customFormat="1" hidden="1" x14ac:dyDescent="0.3">
      <c r="A102" s="104" t="s">
        <v>160</v>
      </c>
      <c r="B102" s="104"/>
      <c r="C102" s="104"/>
      <c r="D102" s="104"/>
      <c r="E102" s="104"/>
      <c r="F102" s="103"/>
      <c r="G102" s="103"/>
      <c r="H102" s="103"/>
    </row>
    <row r="103" spans="1:10" s="33" customFormat="1" hidden="1" x14ac:dyDescent="0.3">
      <c r="A103" s="104" t="s">
        <v>96</v>
      </c>
      <c r="B103" s="104"/>
      <c r="C103" s="104"/>
      <c r="D103" s="104"/>
      <c r="E103" s="104"/>
      <c r="F103" s="103"/>
      <c r="G103" s="103"/>
      <c r="H103" s="103"/>
    </row>
    <row r="104" spans="1:10" s="33" customFormat="1" hidden="1" x14ac:dyDescent="0.3">
      <c r="A104" s="104" t="s">
        <v>97</v>
      </c>
      <c r="B104" s="104"/>
      <c r="C104" s="104"/>
      <c r="D104" s="104"/>
      <c r="E104" s="104"/>
      <c r="F104" s="103"/>
      <c r="G104" s="103"/>
      <c r="H104" s="103"/>
    </row>
    <row r="105" spans="1:10" s="33" customFormat="1" hidden="1" x14ac:dyDescent="0.3">
      <c r="A105" s="104" t="s">
        <v>98</v>
      </c>
      <c r="B105" s="104"/>
      <c r="C105" s="104"/>
      <c r="D105" s="104"/>
      <c r="E105" s="104"/>
      <c r="F105" s="103"/>
      <c r="G105" s="103"/>
      <c r="H105" s="103"/>
    </row>
    <row r="106" spans="1:10" s="33" customFormat="1" hidden="1" x14ac:dyDescent="0.3">
      <c r="A106" s="104" t="s">
        <v>99</v>
      </c>
      <c r="B106" s="104"/>
      <c r="C106" s="104"/>
      <c r="D106" s="104"/>
      <c r="E106" s="104"/>
      <c r="F106" s="103"/>
      <c r="G106" s="103"/>
      <c r="H106" s="103"/>
    </row>
    <row r="107" spans="1:10" x14ac:dyDescent="0.35">
      <c r="A107" s="104" t="s">
        <v>51</v>
      </c>
      <c r="B107" s="104"/>
      <c r="C107" s="104"/>
      <c r="D107" s="104"/>
      <c r="E107" s="104"/>
      <c r="F107" s="103">
        <v>250000</v>
      </c>
      <c r="G107" s="103"/>
      <c r="H107" s="103"/>
    </row>
    <row r="108" spans="1:10" s="34" customFormat="1" x14ac:dyDescent="0.35">
      <c r="A108" s="132" t="s">
        <v>52</v>
      </c>
      <c r="B108" s="132"/>
      <c r="C108" s="132"/>
      <c r="D108" s="132"/>
      <c r="E108" s="132"/>
      <c r="F108" s="103">
        <f>F96*0.8</f>
        <v>3200</v>
      </c>
      <c r="G108" s="103"/>
      <c r="H108" s="103"/>
    </row>
    <row r="109" spans="1:10" s="35" customFormat="1" ht="15.75" customHeight="1" x14ac:dyDescent="0.35">
      <c r="A109" s="100" t="s">
        <v>279</v>
      </c>
      <c r="B109" s="100"/>
      <c r="C109" s="100"/>
      <c r="D109" s="100"/>
      <c r="E109" s="100"/>
      <c r="F109" s="100"/>
      <c r="G109" s="100"/>
      <c r="H109" s="100"/>
    </row>
    <row r="110" spans="1:10" s="35" customFormat="1" ht="15.75" customHeight="1" x14ac:dyDescent="0.35">
      <c r="A110" s="93" t="s">
        <v>53</v>
      </c>
      <c r="B110" s="93"/>
      <c r="C110" s="86" t="s">
        <v>77</v>
      </c>
      <c r="D110" s="86"/>
      <c r="E110" s="94" t="s">
        <v>54</v>
      </c>
      <c r="F110" s="94"/>
      <c r="G110" s="93" t="s">
        <v>55</v>
      </c>
      <c r="H110" s="93"/>
      <c r="I110" s="36" t="s">
        <v>298</v>
      </c>
      <c r="J110" s="35" t="s">
        <v>299</v>
      </c>
    </row>
    <row r="111" spans="1:10" s="35" customFormat="1" x14ac:dyDescent="0.35">
      <c r="A111" s="95" t="s">
        <v>256</v>
      </c>
      <c r="B111" s="95"/>
      <c r="C111" s="96">
        <f>COUNT(D132:D137)</f>
        <v>6</v>
      </c>
      <c r="D111" s="97"/>
      <c r="E111" s="98">
        <f>SUM(D132:D137)</f>
        <v>895.1342400000002</v>
      </c>
      <c r="F111" s="99"/>
      <c r="G111" s="98">
        <f>SUM(F132:F137)</f>
        <v>1387.4580720000001</v>
      </c>
      <c r="H111" s="99"/>
      <c r="I111" s="36">
        <f>1499000/F163</f>
        <v>3747.5</v>
      </c>
      <c r="J111" s="71">
        <f>1700000/F163</f>
        <v>4250</v>
      </c>
    </row>
    <row r="112" spans="1:10" s="35" customFormat="1" x14ac:dyDescent="0.35">
      <c r="A112" s="95" t="s">
        <v>278</v>
      </c>
      <c r="B112" s="95"/>
      <c r="C112" s="96">
        <f>COUNT(D148:D153)</f>
        <v>6</v>
      </c>
      <c r="D112" s="97"/>
      <c r="E112" s="98">
        <f>SUM(D148:D153)</f>
        <v>889.10640000000001</v>
      </c>
      <c r="F112" s="99"/>
      <c r="G112" s="98">
        <f>SUM(F148:F153)</f>
        <v>1378.11492</v>
      </c>
      <c r="H112" s="99"/>
      <c r="I112" s="36">
        <f>2450000/F162</f>
        <v>4336.283185840708</v>
      </c>
      <c r="J112" s="71">
        <f>2700000/F162</f>
        <v>4778.7610619469024</v>
      </c>
    </row>
    <row r="113" spans="1:9" s="35" customFormat="1" x14ac:dyDescent="0.35">
      <c r="A113" s="100" t="s">
        <v>149</v>
      </c>
      <c r="B113" s="100"/>
      <c r="C113" s="91">
        <f>C111+C112</f>
        <v>12</v>
      </c>
      <c r="D113" s="86"/>
      <c r="E113" s="91">
        <f>E111+E112</f>
        <v>1784.2406400000002</v>
      </c>
      <c r="F113" s="86"/>
      <c r="G113" s="91">
        <f>G111+G112</f>
        <v>2765.5729920000003</v>
      </c>
      <c r="H113" s="86"/>
    </row>
    <row r="114" spans="1:9" s="35" customFormat="1" ht="15.75" customHeight="1" x14ac:dyDescent="0.35">
      <c r="A114" s="100" t="s">
        <v>280</v>
      </c>
      <c r="B114" s="100"/>
      <c r="C114" s="100"/>
      <c r="D114" s="100"/>
      <c r="E114" s="100"/>
      <c r="F114" s="100"/>
      <c r="G114" s="100"/>
      <c r="H114" s="100"/>
    </row>
    <row r="115" spans="1:9" s="35" customFormat="1" ht="15.75" customHeight="1" x14ac:dyDescent="0.35">
      <c r="A115" s="93" t="s">
        <v>53</v>
      </c>
      <c r="B115" s="93"/>
      <c r="C115" s="86" t="s">
        <v>77</v>
      </c>
      <c r="D115" s="86"/>
      <c r="E115" s="94" t="s">
        <v>54</v>
      </c>
      <c r="F115" s="94"/>
      <c r="G115" s="93" t="s">
        <v>55</v>
      </c>
      <c r="H115" s="93"/>
      <c r="I115" s="72" t="s">
        <v>300</v>
      </c>
    </row>
    <row r="116" spans="1:9" s="35" customFormat="1" x14ac:dyDescent="0.35">
      <c r="A116" s="95" t="s">
        <v>256</v>
      </c>
      <c r="B116" s="95"/>
      <c r="C116" s="96">
        <f>COUNT(D139:D144)</f>
        <v>6</v>
      </c>
      <c r="D116" s="97"/>
      <c r="E116" s="98">
        <f>SUM(D139:D144)</f>
        <v>798.90407999999991</v>
      </c>
      <c r="F116" s="99"/>
      <c r="G116" s="98">
        <f>SUM(F139:F144)</f>
        <v>1238.301324</v>
      </c>
      <c r="H116" s="99"/>
      <c r="I116" s="72" t="s">
        <v>301</v>
      </c>
    </row>
    <row r="117" spans="1:9" s="35" customFormat="1" x14ac:dyDescent="0.35">
      <c r="A117" s="95" t="s">
        <v>278</v>
      </c>
      <c r="B117" s="95"/>
      <c r="C117" s="96">
        <f>COUNT(D154:D155)</f>
        <v>2</v>
      </c>
      <c r="D117" s="97"/>
      <c r="E117" s="98">
        <f>SUM(D154:D155)</f>
        <v>226.12473</v>
      </c>
      <c r="F117" s="99"/>
      <c r="G117" s="98">
        <f>SUM(F154:F155)</f>
        <v>350.49333149999995</v>
      </c>
      <c r="H117" s="99"/>
    </row>
    <row r="118" spans="1:9" s="35" customFormat="1" x14ac:dyDescent="0.35">
      <c r="A118" s="100" t="s">
        <v>149</v>
      </c>
      <c r="B118" s="100"/>
      <c r="C118" s="91">
        <f>C116+C117</f>
        <v>8</v>
      </c>
      <c r="D118" s="86"/>
      <c r="E118" s="91">
        <f>E116+E117</f>
        <v>1025.0288099999998</v>
      </c>
      <c r="F118" s="86"/>
      <c r="G118" s="91">
        <f>G116+G117</f>
        <v>1588.7946554999999</v>
      </c>
      <c r="H118" s="86"/>
    </row>
    <row r="119" spans="1:9" s="35" customFormat="1" x14ac:dyDescent="0.35">
      <c r="A119" s="100" t="s">
        <v>70</v>
      </c>
      <c r="B119" s="100"/>
      <c r="C119" s="100"/>
      <c r="D119" s="100"/>
      <c r="E119" s="100"/>
      <c r="F119" s="100"/>
      <c r="G119" s="100"/>
      <c r="H119" s="100"/>
    </row>
    <row r="120" spans="1:9" s="35" customFormat="1" ht="15.75" customHeight="1" x14ac:dyDescent="0.35">
      <c r="A120" s="93" t="s">
        <v>53</v>
      </c>
      <c r="B120" s="93"/>
      <c r="C120" s="86" t="s">
        <v>77</v>
      </c>
      <c r="D120" s="86"/>
      <c r="E120" s="94" t="s">
        <v>54</v>
      </c>
      <c r="F120" s="94"/>
      <c r="G120" s="93" t="s">
        <v>55</v>
      </c>
      <c r="H120" s="93"/>
    </row>
    <row r="121" spans="1:9" s="35" customFormat="1" x14ac:dyDescent="0.35">
      <c r="A121" s="95" t="s">
        <v>256</v>
      </c>
      <c r="B121" s="95"/>
      <c r="C121" s="97">
        <f>COUNT(D162:D164)+COUNT(D166:D170)+COUNT(D172:D176)*3+COUNT(D178:D182)*4+COUNT(D184:D186,D188)</f>
        <v>47</v>
      </c>
      <c r="D121" s="97"/>
      <c r="E121" s="98">
        <f>SUM(D162:D164)+SUM(D166:D170)+SUM(D172:D176)*3+SUM(D178:D182)*4+SUM(D184:D186,D188)</f>
        <v>16859.599380000003</v>
      </c>
      <c r="F121" s="98"/>
      <c r="G121" s="98">
        <f>SUM(F162:F164)+SUM(F166:F170)+SUM(F172:F176)*3+SUM(F178:F182)*4+SUM(F184:F186,F188)</f>
        <v>26410</v>
      </c>
      <c r="H121" s="98"/>
    </row>
    <row r="122" spans="1:9" s="35" customFormat="1" x14ac:dyDescent="0.35">
      <c r="A122" s="95" t="s">
        <v>278</v>
      </c>
      <c r="B122" s="95"/>
      <c r="C122" s="96">
        <f>COUNT(D193:D195)+COUNT(D197:D199)</f>
        <v>6</v>
      </c>
      <c r="D122" s="97"/>
      <c r="E122" s="98">
        <f>SUM(D193:D195)+SUM(D197:D199)</f>
        <v>2395.5282000000002</v>
      </c>
      <c r="F122" s="99"/>
      <c r="G122" s="98">
        <f>SUM(F193:F195)+SUM(F197:F199)</f>
        <v>3757.620906000001</v>
      </c>
      <c r="H122" s="99"/>
    </row>
    <row r="123" spans="1:9" s="35" customFormat="1" ht="16" thickBot="1" x14ac:dyDescent="0.4">
      <c r="A123" s="197" t="s">
        <v>149</v>
      </c>
      <c r="B123" s="197"/>
      <c r="C123" s="146">
        <f>C121+C122</f>
        <v>53</v>
      </c>
      <c r="D123" s="147"/>
      <c r="E123" s="146">
        <f>E121+E122</f>
        <v>19255.127580000004</v>
      </c>
      <c r="F123" s="147"/>
      <c r="G123" s="146">
        <f>G121+G122</f>
        <v>30167.620906</v>
      </c>
      <c r="H123" s="147"/>
    </row>
    <row r="124" spans="1:9" s="35" customFormat="1" ht="16" thickBot="1" x14ac:dyDescent="0.4">
      <c r="A124" s="87" t="s">
        <v>166</v>
      </c>
      <c r="B124" s="88"/>
      <c r="C124" s="89">
        <f>C113+C118+C123</f>
        <v>73</v>
      </c>
      <c r="D124" s="89"/>
      <c r="E124" s="89">
        <f>E113+E118+E123</f>
        <v>22064.397030000004</v>
      </c>
      <c r="F124" s="89"/>
      <c r="G124" s="89">
        <f>G113+G118+G123</f>
        <v>34521.988553499999</v>
      </c>
      <c r="H124" s="89"/>
    </row>
    <row r="125" spans="1:9" s="34" customFormat="1" x14ac:dyDescent="0.35">
      <c r="A125" s="157" t="s">
        <v>56</v>
      </c>
      <c r="B125" s="157"/>
      <c r="C125" s="157"/>
      <c r="D125" s="157"/>
      <c r="E125" s="157"/>
      <c r="F125" s="157"/>
      <c r="G125" s="157"/>
      <c r="H125" s="157"/>
    </row>
    <row r="126" spans="1:9" x14ac:dyDescent="0.35">
      <c r="A126" s="92" t="s">
        <v>173</v>
      </c>
      <c r="B126" s="92"/>
      <c r="C126" s="92"/>
      <c r="D126" s="92"/>
      <c r="E126" s="92"/>
      <c r="F126" s="92"/>
      <c r="G126" s="92"/>
      <c r="H126" s="92"/>
    </row>
    <row r="127" spans="1:9" ht="47.25" customHeight="1" x14ac:dyDescent="0.35">
      <c r="A127" s="138" t="s">
        <v>119</v>
      </c>
      <c r="B127" s="138" t="s">
        <v>175</v>
      </c>
      <c r="C127" s="138" t="s">
        <v>57</v>
      </c>
      <c r="D127" s="138" t="s">
        <v>58</v>
      </c>
      <c r="E127" s="140" t="s">
        <v>154</v>
      </c>
      <c r="F127" s="43" t="s">
        <v>148</v>
      </c>
      <c r="G127" s="142" t="s">
        <v>60</v>
      </c>
      <c r="H127" s="143"/>
    </row>
    <row r="128" spans="1:9" s="37" customFormat="1" x14ac:dyDescent="0.35">
      <c r="A128" s="139"/>
      <c r="B128" s="139"/>
      <c r="C128" s="139"/>
      <c r="D128" s="139"/>
      <c r="E128" s="141"/>
      <c r="F128" s="70">
        <v>0.55000000000000004</v>
      </c>
      <c r="G128" s="144"/>
      <c r="H128" s="145"/>
    </row>
    <row r="129" spans="1:14" s="61" customFormat="1" x14ac:dyDescent="0.35">
      <c r="A129" s="73" t="s">
        <v>294</v>
      </c>
      <c r="B129" s="74"/>
      <c r="C129" s="74"/>
      <c r="D129" s="74"/>
      <c r="E129" s="74"/>
      <c r="F129" s="74"/>
      <c r="G129" s="74"/>
      <c r="H129" s="75"/>
      <c r="J129" s="36"/>
    </row>
    <row r="130" spans="1:14" s="69" customFormat="1" x14ac:dyDescent="0.35">
      <c r="A130" s="73" t="s">
        <v>235</v>
      </c>
      <c r="B130" s="74"/>
      <c r="C130" s="74"/>
      <c r="D130" s="74"/>
      <c r="E130" s="74"/>
      <c r="F130" s="74"/>
      <c r="G130" s="74"/>
      <c r="H130" s="75"/>
      <c r="J130" s="36"/>
    </row>
    <row r="131" spans="1:14" s="37" customFormat="1" ht="38.25" customHeight="1" x14ac:dyDescent="0.35">
      <c r="A131" s="73" t="s">
        <v>257</v>
      </c>
      <c r="B131" s="74"/>
      <c r="C131" s="74"/>
      <c r="D131" s="74"/>
      <c r="E131" s="74"/>
      <c r="F131" s="74"/>
      <c r="G131" s="74"/>
      <c r="H131" s="75"/>
      <c r="J131" s="36"/>
    </row>
    <row r="132" spans="1:14" s="37" customFormat="1" ht="15.75" customHeight="1" x14ac:dyDescent="0.35">
      <c r="A132" s="77">
        <v>1</v>
      </c>
      <c r="B132" s="78"/>
      <c r="C132" s="42" t="s">
        <v>258</v>
      </c>
      <c r="D132" s="42">
        <f>(2.75*5.4)*10.764</f>
        <v>159.84540000000001</v>
      </c>
      <c r="E132" s="42">
        <v>0</v>
      </c>
      <c r="F132" s="42">
        <f>(D132+E132)*(($F$128)+1)</f>
        <v>247.76037000000002</v>
      </c>
      <c r="G132" s="79" t="str">
        <f>A131</f>
        <v>Ground Floor For Commercial, Fitness centre/Creche/Society Office, Drivers Room, &amp; Parking</v>
      </c>
      <c r="H132" s="80"/>
      <c r="I132" s="63">
        <f>2.75*5.4</f>
        <v>14.850000000000001</v>
      </c>
      <c r="L132" s="76"/>
      <c r="M132" s="76"/>
      <c r="N132" s="36"/>
    </row>
    <row r="133" spans="1:14" s="37" customFormat="1" ht="15.75" customHeight="1" x14ac:dyDescent="0.35">
      <c r="A133" s="77">
        <f t="shared" ref="A133:A137" si="0">A132+1</f>
        <v>2</v>
      </c>
      <c r="B133" s="78"/>
      <c r="C133" s="60" t="s">
        <v>258</v>
      </c>
      <c r="D133" s="42">
        <f>(2.2*5.4)*10.764</f>
        <v>127.87632000000002</v>
      </c>
      <c r="E133" s="42">
        <v>0</v>
      </c>
      <c r="F133" s="42">
        <f t="shared" ref="F133:F135" si="1">(D133+E133)*(($F$128)+1)</f>
        <v>198.20829600000005</v>
      </c>
      <c r="G133" s="81"/>
      <c r="H133" s="82"/>
      <c r="I133" s="36"/>
      <c r="L133" s="76"/>
      <c r="M133" s="76"/>
      <c r="N133" s="36"/>
    </row>
    <row r="134" spans="1:14" s="37" customFormat="1" ht="15.75" customHeight="1" x14ac:dyDescent="0.35">
      <c r="A134" s="77">
        <f t="shared" si="0"/>
        <v>3</v>
      </c>
      <c r="B134" s="78"/>
      <c r="C134" s="60" t="s">
        <v>258</v>
      </c>
      <c r="D134" s="60">
        <f t="shared" ref="D134:D135" si="2">(2.75*5.4)*10.764</f>
        <v>159.84540000000001</v>
      </c>
      <c r="E134" s="42">
        <v>0</v>
      </c>
      <c r="F134" s="42">
        <f t="shared" si="1"/>
        <v>247.76037000000002</v>
      </c>
      <c r="G134" s="81"/>
      <c r="H134" s="82"/>
      <c r="I134" s="36"/>
      <c r="L134" s="76"/>
      <c r="M134" s="76"/>
      <c r="N134" s="36"/>
    </row>
    <row r="135" spans="1:14" s="37" customFormat="1" ht="15.75" customHeight="1" x14ac:dyDescent="0.35">
      <c r="A135" s="77">
        <f t="shared" si="0"/>
        <v>4</v>
      </c>
      <c r="B135" s="78"/>
      <c r="C135" s="60" t="s">
        <v>258</v>
      </c>
      <c r="D135" s="60">
        <f t="shared" si="2"/>
        <v>159.84540000000001</v>
      </c>
      <c r="E135" s="42">
        <v>0</v>
      </c>
      <c r="F135" s="42">
        <f t="shared" si="1"/>
        <v>247.76037000000002</v>
      </c>
      <c r="G135" s="81"/>
      <c r="H135" s="82"/>
      <c r="I135" s="36"/>
      <c r="L135" s="76"/>
      <c r="M135" s="76"/>
      <c r="N135" s="36"/>
    </row>
    <row r="136" spans="1:14" s="61" customFormat="1" ht="15.75" customHeight="1" x14ac:dyDescent="0.35">
      <c r="A136" s="77">
        <f t="shared" si="0"/>
        <v>5</v>
      </c>
      <c r="B136" s="78"/>
      <c r="C136" s="60" t="s">
        <v>258</v>
      </c>
      <c r="D136" s="60">
        <f>(2.2*5.4)*10.764</f>
        <v>127.87632000000002</v>
      </c>
      <c r="E136" s="60">
        <v>0</v>
      </c>
      <c r="F136" s="60">
        <f t="shared" ref="F136:F137" si="3">(D136+E136)*(($F$128)+1)</f>
        <v>198.20829600000005</v>
      </c>
      <c r="G136" s="81"/>
      <c r="H136" s="82"/>
      <c r="I136" s="36" t="s">
        <v>235</v>
      </c>
      <c r="L136" s="76"/>
      <c r="M136" s="76"/>
      <c r="N136" s="36"/>
    </row>
    <row r="137" spans="1:14" s="61" customFormat="1" ht="15.75" customHeight="1" x14ac:dyDescent="0.35">
      <c r="A137" s="77">
        <f t="shared" si="0"/>
        <v>6</v>
      </c>
      <c r="B137" s="78"/>
      <c r="C137" s="60" t="s">
        <v>258</v>
      </c>
      <c r="D137" s="60">
        <f>(2.75*5.4)*10.764</f>
        <v>159.84540000000001</v>
      </c>
      <c r="E137" s="60">
        <v>0</v>
      </c>
      <c r="F137" s="60">
        <f t="shared" si="3"/>
        <v>247.76037000000002</v>
      </c>
      <c r="G137" s="83"/>
      <c r="H137" s="84"/>
      <c r="I137" s="36"/>
      <c r="L137" s="76"/>
      <c r="M137" s="76"/>
      <c r="N137" s="36"/>
    </row>
    <row r="138" spans="1:14" s="61" customFormat="1" x14ac:dyDescent="0.35">
      <c r="A138" s="73" t="s">
        <v>259</v>
      </c>
      <c r="B138" s="74"/>
      <c r="C138" s="74"/>
      <c r="D138" s="74"/>
      <c r="E138" s="74"/>
      <c r="F138" s="74"/>
      <c r="G138" s="74"/>
      <c r="H138" s="75"/>
      <c r="J138" s="36"/>
    </row>
    <row r="139" spans="1:14" s="61" customFormat="1" ht="15.75" customHeight="1" x14ac:dyDescent="0.35">
      <c r="A139" s="77">
        <v>1</v>
      </c>
      <c r="B139" s="78"/>
      <c r="C139" s="60" t="s">
        <v>260</v>
      </c>
      <c r="D139" s="64">
        <f>(2.75*6.4)*10.764</f>
        <v>189.44640000000001</v>
      </c>
      <c r="E139" s="60">
        <v>0</v>
      </c>
      <c r="F139" s="60">
        <f>(D139+E139)*(($F$128)+1)</f>
        <v>293.64192000000003</v>
      </c>
      <c r="G139" s="79" t="str">
        <f>A138</f>
        <v>1st Floor For Commercial &amp; Residential</v>
      </c>
      <c r="H139" s="80"/>
      <c r="I139" s="63"/>
      <c r="L139" s="76"/>
      <c r="M139" s="76"/>
      <c r="N139" s="36"/>
    </row>
    <row r="140" spans="1:14" s="61" customFormat="1" ht="15.75" customHeight="1" x14ac:dyDescent="0.35">
      <c r="A140" s="77">
        <f t="shared" ref="A140:A144" si="4">A139+1</f>
        <v>2</v>
      </c>
      <c r="B140" s="78"/>
      <c r="C140" s="60" t="s">
        <v>260</v>
      </c>
      <c r="D140" s="64">
        <f>(2.2*3.8)*10.764</f>
        <v>89.987039999999993</v>
      </c>
      <c r="E140" s="60">
        <v>0</v>
      </c>
      <c r="F140" s="60">
        <f t="shared" ref="F140:F144" si="5">(D140+E140)*(($F$128)+1)</f>
        <v>139.47991199999998</v>
      </c>
      <c r="G140" s="81"/>
      <c r="H140" s="82"/>
      <c r="I140" s="36"/>
      <c r="L140" s="76"/>
      <c r="M140" s="76"/>
      <c r="N140" s="36"/>
    </row>
    <row r="141" spans="1:14" s="61" customFormat="1" ht="15.75" customHeight="1" x14ac:dyDescent="0.35">
      <c r="A141" s="77">
        <f t="shared" si="4"/>
        <v>3</v>
      </c>
      <c r="B141" s="78"/>
      <c r="C141" s="60" t="s">
        <v>260</v>
      </c>
      <c r="D141" s="64">
        <f>(2.75*3.8)*10.764</f>
        <v>112.48379999999999</v>
      </c>
      <c r="E141" s="60">
        <v>0</v>
      </c>
      <c r="F141" s="60">
        <f t="shared" si="5"/>
        <v>174.34988999999999</v>
      </c>
      <c r="G141" s="81"/>
      <c r="H141" s="82"/>
      <c r="I141" s="36"/>
      <c r="L141" s="76"/>
      <c r="M141" s="76"/>
      <c r="N141" s="36"/>
    </row>
    <row r="142" spans="1:14" s="61" customFormat="1" ht="15.75" customHeight="1" x14ac:dyDescent="0.35">
      <c r="A142" s="77">
        <f t="shared" si="4"/>
        <v>4</v>
      </c>
      <c r="B142" s="78"/>
      <c r="C142" s="60" t="s">
        <v>260</v>
      </c>
      <c r="D142" s="64">
        <f>(2.75*3.8)*10.764</f>
        <v>112.48379999999999</v>
      </c>
      <c r="E142" s="60">
        <v>0</v>
      </c>
      <c r="F142" s="60">
        <f t="shared" si="5"/>
        <v>174.34988999999999</v>
      </c>
      <c r="G142" s="81"/>
      <c r="H142" s="82"/>
      <c r="I142" s="36"/>
      <c r="L142" s="76"/>
      <c r="M142" s="76"/>
      <c r="N142" s="36"/>
    </row>
    <row r="143" spans="1:14" s="61" customFormat="1" ht="15.75" customHeight="1" x14ac:dyDescent="0.35">
      <c r="A143" s="77">
        <f t="shared" si="4"/>
        <v>5</v>
      </c>
      <c r="B143" s="78"/>
      <c r="C143" s="60" t="s">
        <v>260</v>
      </c>
      <c r="D143" s="64">
        <f>(2.2*3.8)*10.764</f>
        <v>89.987039999999993</v>
      </c>
      <c r="E143" s="60">
        <v>0</v>
      </c>
      <c r="F143" s="60">
        <f t="shared" si="5"/>
        <v>139.47991199999998</v>
      </c>
      <c r="G143" s="81"/>
      <c r="H143" s="82"/>
      <c r="I143" s="36"/>
      <c r="L143" s="76"/>
      <c r="M143" s="76"/>
      <c r="N143" s="36"/>
    </row>
    <row r="144" spans="1:14" s="61" customFormat="1" ht="15.75" customHeight="1" x14ac:dyDescent="0.35">
      <c r="A144" s="77">
        <f t="shared" si="4"/>
        <v>6</v>
      </c>
      <c r="B144" s="78"/>
      <c r="C144" s="60" t="s">
        <v>260</v>
      </c>
      <c r="D144" s="64">
        <f>(2.75*6.4+1*1.4)*10.764</f>
        <v>204.51599999999999</v>
      </c>
      <c r="E144" s="60">
        <v>0</v>
      </c>
      <c r="F144" s="60">
        <f t="shared" si="5"/>
        <v>316.99979999999999</v>
      </c>
      <c r="G144" s="83"/>
      <c r="H144" s="84"/>
      <c r="I144" s="36"/>
      <c r="L144" s="76"/>
      <c r="M144" s="76"/>
      <c r="N144" s="36"/>
    </row>
    <row r="145" spans="1:14" s="61" customFormat="1" x14ac:dyDescent="0.35">
      <c r="A145" s="73" t="s">
        <v>295</v>
      </c>
      <c r="B145" s="74"/>
      <c r="C145" s="74"/>
      <c r="D145" s="74"/>
      <c r="E145" s="74"/>
      <c r="F145" s="74"/>
      <c r="G145" s="74"/>
      <c r="H145" s="75"/>
      <c r="J145" s="36"/>
    </row>
    <row r="146" spans="1:14" s="69" customFormat="1" x14ac:dyDescent="0.35">
      <c r="A146" s="73" t="s">
        <v>296</v>
      </c>
      <c r="B146" s="74"/>
      <c r="C146" s="74"/>
      <c r="D146" s="74"/>
      <c r="E146" s="74"/>
      <c r="F146" s="74"/>
      <c r="G146" s="74"/>
      <c r="H146" s="75"/>
      <c r="J146" s="36"/>
    </row>
    <row r="147" spans="1:14" s="61" customFormat="1" x14ac:dyDescent="0.35">
      <c r="A147" s="73" t="s">
        <v>274</v>
      </c>
      <c r="B147" s="74"/>
      <c r="C147" s="74"/>
      <c r="D147" s="74"/>
      <c r="E147" s="74"/>
      <c r="F147" s="74"/>
      <c r="G147" s="74"/>
      <c r="H147" s="75"/>
      <c r="J147" s="36"/>
    </row>
    <row r="148" spans="1:14" s="61" customFormat="1" ht="15.75" customHeight="1" x14ac:dyDescent="0.35">
      <c r="A148" s="77">
        <v>1</v>
      </c>
      <c r="B148" s="78"/>
      <c r="C148" s="60" t="s">
        <v>258</v>
      </c>
      <c r="D148" s="60">
        <f>(2.75*5.4)*10.764</f>
        <v>159.84540000000001</v>
      </c>
      <c r="E148" s="60">
        <v>0</v>
      </c>
      <c r="F148" s="60">
        <f>(D148+E148)*(($F$128)+1)</f>
        <v>247.76037000000002</v>
      </c>
      <c r="G148" s="79" t="str">
        <f>A147</f>
        <v>Ground Floor For Commercial</v>
      </c>
      <c r="H148" s="80"/>
      <c r="I148" s="63">
        <f>2.75*5.4</f>
        <v>14.850000000000001</v>
      </c>
      <c r="L148" s="76"/>
      <c r="M148" s="76"/>
      <c r="N148" s="36"/>
    </row>
    <row r="149" spans="1:14" s="61" customFormat="1" ht="15.75" customHeight="1" x14ac:dyDescent="0.35">
      <c r="A149" s="77">
        <f t="shared" ref="A149:A153" si="6">A148+1</f>
        <v>2</v>
      </c>
      <c r="B149" s="78"/>
      <c r="C149" s="60" t="s">
        <v>258</v>
      </c>
      <c r="D149" s="60">
        <f>(2.2*5.4)*10.764</f>
        <v>127.87632000000002</v>
      </c>
      <c r="E149" s="60">
        <v>0</v>
      </c>
      <c r="F149" s="60">
        <f t="shared" ref="F149:F153" si="7">(D149+E149)*(($F$128)+1)</f>
        <v>198.20829600000005</v>
      </c>
      <c r="G149" s="81"/>
      <c r="H149" s="82"/>
      <c r="I149" s="36"/>
      <c r="L149" s="76"/>
      <c r="M149" s="76"/>
      <c r="N149" s="36"/>
    </row>
    <row r="150" spans="1:14" s="61" customFormat="1" ht="15.75" customHeight="1" x14ac:dyDescent="0.35">
      <c r="A150" s="77">
        <f t="shared" si="6"/>
        <v>3</v>
      </c>
      <c r="B150" s="78"/>
      <c r="C150" s="60" t="s">
        <v>258</v>
      </c>
      <c r="D150" s="60">
        <f>(3.6*5.4)*10.764</f>
        <v>209.25216</v>
      </c>
      <c r="E150" s="60">
        <v>0</v>
      </c>
      <c r="F150" s="60">
        <f>(D150+E150)*(($F$128)+1)</f>
        <v>324.34084799999999</v>
      </c>
      <c r="G150" s="81"/>
      <c r="H150" s="82"/>
      <c r="I150" s="36"/>
      <c r="L150" s="76"/>
      <c r="M150" s="76"/>
      <c r="N150" s="36"/>
    </row>
    <row r="151" spans="1:14" s="61" customFormat="1" ht="15.75" customHeight="1" x14ac:dyDescent="0.35">
      <c r="A151" s="77">
        <f t="shared" si="6"/>
        <v>4</v>
      </c>
      <c r="B151" s="78"/>
      <c r="C151" s="60" t="s">
        <v>258</v>
      </c>
      <c r="D151" s="60">
        <f>(2.75*5.4)*10.764</f>
        <v>159.84540000000001</v>
      </c>
      <c r="E151" s="60">
        <v>0</v>
      </c>
      <c r="F151" s="60">
        <f t="shared" si="7"/>
        <v>247.76037000000002</v>
      </c>
      <c r="G151" s="81"/>
      <c r="H151" s="82"/>
      <c r="I151" s="36"/>
      <c r="L151" s="76"/>
      <c r="M151" s="76"/>
      <c r="N151" s="36"/>
    </row>
    <row r="152" spans="1:14" s="61" customFormat="1" ht="15.75" customHeight="1" x14ac:dyDescent="0.35">
      <c r="A152" s="77">
        <f t="shared" si="6"/>
        <v>5</v>
      </c>
      <c r="B152" s="78"/>
      <c r="C152" s="60" t="s">
        <v>258</v>
      </c>
      <c r="D152" s="60">
        <f>(2.2*4.65+1.2*0.75)*10.764</f>
        <v>119.80332000000001</v>
      </c>
      <c r="E152" s="60">
        <v>0</v>
      </c>
      <c r="F152" s="60">
        <f t="shared" si="7"/>
        <v>185.69514600000002</v>
      </c>
      <c r="G152" s="81"/>
      <c r="H152" s="82"/>
      <c r="I152" s="36"/>
      <c r="L152" s="76"/>
      <c r="M152" s="76"/>
      <c r="N152" s="36"/>
    </row>
    <row r="153" spans="1:14" s="61" customFormat="1" ht="15.75" customHeight="1" x14ac:dyDescent="0.35">
      <c r="A153" s="77">
        <f t="shared" si="6"/>
        <v>6</v>
      </c>
      <c r="B153" s="78"/>
      <c r="C153" s="60" t="s">
        <v>258</v>
      </c>
      <c r="D153" s="60">
        <f>(2.75*3.8)*10.764</f>
        <v>112.48379999999999</v>
      </c>
      <c r="E153" s="60">
        <v>0</v>
      </c>
      <c r="F153" s="60">
        <f t="shared" si="7"/>
        <v>174.34988999999999</v>
      </c>
      <c r="G153" s="81"/>
      <c r="H153" s="82"/>
      <c r="I153" s="36"/>
      <c r="L153" s="76"/>
      <c r="M153" s="76"/>
      <c r="N153" s="36"/>
    </row>
    <row r="154" spans="1:14" s="61" customFormat="1" ht="15.75" customHeight="1" x14ac:dyDescent="0.35">
      <c r="A154" s="77">
        <v>1</v>
      </c>
      <c r="B154" s="78"/>
      <c r="C154" s="60" t="s">
        <v>260</v>
      </c>
      <c r="D154" s="60">
        <f>(3*3.1+1.4*1.2+1.5*1.2)*10.764</f>
        <v>137.56392</v>
      </c>
      <c r="E154" s="60">
        <v>0</v>
      </c>
      <c r="F154" s="60">
        <f t="shared" ref="F154:F155" si="8">(D154+E154)*(($F$128)+1)</f>
        <v>213.224076</v>
      </c>
      <c r="G154" s="81"/>
      <c r="H154" s="82"/>
      <c r="I154" s="36"/>
      <c r="L154" s="76"/>
      <c r="M154" s="76"/>
      <c r="N154" s="36"/>
    </row>
    <row r="155" spans="1:14" s="61" customFormat="1" ht="15.75" customHeight="1" x14ac:dyDescent="0.35">
      <c r="A155" s="77">
        <v>2</v>
      </c>
      <c r="B155" s="78"/>
      <c r="C155" s="60" t="s">
        <v>260</v>
      </c>
      <c r="D155" s="60">
        <f>(2.75*2.37+0.9*0.7+1.2*0.9)*10.764</f>
        <v>88.560809999999989</v>
      </c>
      <c r="E155" s="60">
        <v>0</v>
      </c>
      <c r="F155" s="60">
        <f t="shared" si="8"/>
        <v>137.26925549999999</v>
      </c>
      <c r="G155" s="83"/>
      <c r="H155" s="84"/>
      <c r="I155" s="36"/>
      <c r="L155" s="76"/>
      <c r="M155" s="76"/>
      <c r="N155" s="36"/>
    </row>
    <row r="156" spans="1:14" s="37" customFormat="1" x14ac:dyDescent="0.35">
      <c r="A156" s="77"/>
      <c r="B156" s="85"/>
      <c r="C156" s="85"/>
      <c r="D156" s="85"/>
      <c r="E156" s="85"/>
      <c r="F156" s="85"/>
      <c r="G156" s="85"/>
      <c r="H156" s="78"/>
      <c r="I156" s="36"/>
      <c r="N156" s="36"/>
    </row>
    <row r="157" spans="1:14" ht="47.25" customHeight="1" x14ac:dyDescent="0.35">
      <c r="A157" s="142" t="s">
        <v>120</v>
      </c>
      <c r="B157" s="138" t="s">
        <v>176</v>
      </c>
      <c r="C157" s="138" t="s">
        <v>57</v>
      </c>
      <c r="D157" s="138" t="s">
        <v>58</v>
      </c>
      <c r="E157" s="140" t="s">
        <v>59</v>
      </c>
      <c r="F157" s="57" t="s">
        <v>285</v>
      </c>
      <c r="G157" s="142" t="s">
        <v>60</v>
      </c>
      <c r="H157" s="143"/>
      <c r="I157" s="65"/>
    </row>
    <row r="158" spans="1:14" s="37" customFormat="1" ht="15.75" hidden="1" customHeight="1" x14ac:dyDescent="0.35">
      <c r="A158" s="144"/>
      <c r="B158" s="139"/>
      <c r="C158" s="139"/>
      <c r="D158" s="139"/>
      <c r="E158" s="141"/>
      <c r="F158" s="13">
        <v>0.5</v>
      </c>
      <c r="G158" s="144"/>
      <c r="H158" s="145"/>
      <c r="I158" s="66"/>
    </row>
    <row r="159" spans="1:14" s="69" customFormat="1" x14ac:dyDescent="0.35">
      <c r="A159" s="73" t="s">
        <v>294</v>
      </c>
      <c r="B159" s="74"/>
      <c r="C159" s="74"/>
      <c r="D159" s="74"/>
      <c r="E159" s="74"/>
      <c r="F159" s="74"/>
      <c r="G159" s="74"/>
      <c r="H159" s="75"/>
      <c r="J159" s="36"/>
    </row>
    <row r="160" spans="1:14" s="69" customFormat="1" x14ac:dyDescent="0.35">
      <c r="A160" s="73" t="s">
        <v>235</v>
      </c>
      <c r="B160" s="74"/>
      <c r="C160" s="74"/>
      <c r="D160" s="74"/>
      <c r="E160" s="74"/>
      <c r="F160" s="74"/>
      <c r="G160" s="74"/>
      <c r="H160" s="75"/>
      <c r="J160" s="36"/>
    </row>
    <row r="161" spans="1:14" s="37" customFormat="1" x14ac:dyDescent="0.35">
      <c r="A161" s="148" t="s">
        <v>259</v>
      </c>
      <c r="B161" s="149"/>
      <c r="C161" s="149"/>
      <c r="D161" s="149"/>
      <c r="E161" s="149"/>
      <c r="F161" s="149"/>
      <c r="G161" s="149"/>
      <c r="H161" s="150"/>
      <c r="J161" s="36"/>
    </row>
    <row r="162" spans="1:14" s="37" customFormat="1" ht="15.75" customHeight="1" x14ac:dyDescent="0.35">
      <c r="A162" s="77">
        <v>101</v>
      </c>
      <c r="B162" s="78"/>
      <c r="C162" s="42" t="s">
        <v>261</v>
      </c>
      <c r="D162" s="60">
        <f>(3.95*2.75+2.1*2.1+3.2*2.85+1.65*1.2+0.9*1.2+0.3*1.2+0.9*2.1+0.8*1.2+0.75*(2.75+2.1))*10.764</f>
        <v>369.20520000000005</v>
      </c>
      <c r="E162" s="42">
        <v>0</v>
      </c>
      <c r="F162" s="67">
        <v>565</v>
      </c>
      <c r="G162" s="79" t="str">
        <f>A161</f>
        <v>1st Floor For Commercial &amp; Residential</v>
      </c>
      <c r="H162" s="80"/>
      <c r="I162" s="63"/>
      <c r="J162" s="67">
        <v>565</v>
      </c>
      <c r="K162" s="63">
        <f>J162/D162</f>
        <v>1.5303143075991343</v>
      </c>
      <c r="L162" s="76"/>
      <c r="M162" s="76"/>
    </row>
    <row r="163" spans="1:14" s="37" customFormat="1" ht="15.75" customHeight="1" x14ac:dyDescent="0.35">
      <c r="A163" s="77">
        <f t="shared" ref="A163:A164" si="9">A162+1</f>
        <v>102</v>
      </c>
      <c r="B163" s="78"/>
      <c r="C163" s="42" t="s">
        <v>262</v>
      </c>
      <c r="D163" s="64">
        <f>(4.15*2.75+2.1*2.4+1.2*1.5+0.9*1.2+0.9*1.2+0.75*(2.75+2.1))*10.764</f>
        <v>258.87419999999997</v>
      </c>
      <c r="E163" s="42">
        <v>0</v>
      </c>
      <c r="F163" s="67">
        <v>400</v>
      </c>
      <c r="G163" s="81"/>
      <c r="H163" s="82"/>
      <c r="J163" s="67">
        <v>400</v>
      </c>
      <c r="K163" s="63">
        <f t="shared" ref="K163:K186" si="10">J163/D163</f>
        <v>1.5451520468242879</v>
      </c>
      <c r="L163" s="76"/>
      <c r="M163" s="76"/>
    </row>
    <row r="164" spans="1:14" s="37" customFormat="1" ht="15.75" customHeight="1" x14ac:dyDescent="0.35">
      <c r="A164" s="77">
        <f t="shared" si="9"/>
        <v>103</v>
      </c>
      <c r="B164" s="78"/>
      <c r="C164" s="42" t="s">
        <v>261</v>
      </c>
      <c r="D164" s="64">
        <f>(3.05*4.45+2.2*2.1+2.75*3.35+1.2*1.5+0.9*1.2+0.3*0.9+0.9*2.2+0.75*(2.2+2.2+2.75))*10.764</f>
        <v>407.92869000000007</v>
      </c>
      <c r="E164" s="42">
        <v>0</v>
      </c>
      <c r="F164" s="67">
        <v>620</v>
      </c>
      <c r="G164" s="83"/>
      <c r="H164" s="84"/>
      <c r="J164" s="67">
        <v>620</v>
      </c>
      <c r="K164" s="63">
        <f t="shared" si="10"/>
        <v>1.5198734857310474</v>
      </c>
      <c r="L164" s="76"/>
      <c r="M164" s="76"/>
    </row>
    <row r="165" spans="1:14" s="37" customFormat="1" x14ac:dyDescent="0.35">
      <c r="A165" s="90" t="s">
        <v>268</v>
      </c>
      <c r="B165" s="90"/>
      <c r="C165" s="90"/>
      <c r="D165" s="90"/>
      <c r="E165" s="90"/>
      <c r="F165" s="90"/>
      <c r="G165" s="90"/>
      <c r="H165" s="90"/>
      <c r="I165" s="36"/>
      <c r="L165" s="76"/>
      <c r="M165" s="76"/>
    </row>
    <row r="166" spans="1:14" s="37" customFormat="1" ht="15.75" customHeight="1" x14ac:dyDescent="0.35">
      <c r="A166" s="77">
        <v>201</v>
      </c>
      <c r="B166" s="78"/>
      <c r="C166" s="42" t="s">
        <v>261</v>
      </c>
      <c r="D166" s="60">
        <f>(3.95*2.75+2.1*2.1+3.2*2.85+1.65*1.2+0.9*1.2+0.3*1.2+0.9*2.1+0.8*1.2+0.75*(2.75+2.1))*10.764</f>
        <v>369.20520000000005</v>
      </c>
      <c r="E166" s="42">
        <v>0</v>
      </c>
      <c r="F166" s="67">
        <v>565</v>
      </c>
      <c r="G166" s="79" t="str">
        <f>A165</f>
        <v>2nd Floor For Residential</v>
      </c>
      <c r="H166" s="80"/>
      <c r="I166" s="61"/>
      <c r="J166" s="67">
        <v>565</v>
      </c>
      <c r="K166" s="62">
        <f t="shared" si="10"/>
        <v>1.5303143075991343</v>
      </c>
      <c r="N166" s="36"/>
    </row>
    <row r="167" spans="1:14" s="37" customFormat="1" ht="15.75" customHeight="1" x14ac:dyDescent="0.35">
      <c r="A167" s="77">
        <f>A166+1</f>
        <v>202</v>
      </c>
      <c r="B167" s="78"/>
      <c r="C167" s="42" t="s">
        <v>262</v>
      </c>
      <c r="D167" s="60">
        <f>(4.15*2.75+2.1*2.4+1.2*1.5+0.9*1.2+0.9*1.2+0.75*(2.75+2.1))*10.764</f>
        <v>258.87419999999997</v>
      </c>
      <c r="E167" s="42">
        <v>0</v>
      </c>
      <c r="F167" s="67">
        <v>400</v>
      </c>
      <c r="G167" s="81"/>
      <c r="H167" s="82"/>
      <c r="I167" s="61"/>
      <c r="J167" s="67">
        <v>400</v>
      </c>
      <c r="K167" s="62">
        <f t="shared" si="10"/>
        <v>1.5451520468242879</v>
      </c>
      <c r="N167" s="36"/>
    </row>
    <row r="168" spans="1:14" s="37" customFormat="1" ht="15.75" customHeight="1" x14ac:dyDescent="0.35">
      <c r="A168" s="77">
        <f t="shared" ref="A168:A170" si="11">A167+1</f>
        <v>203</v>
      </c>
      <c r="B168" s="78"/>
      <c r="C168" s="42" t="s">
        <v>261</v>
      </c>
      <c r="D168" s="64">
        <f>(3.05*4.45+2.2*2.1+2.75*3.35+1.2*1.5+0.9*1.2+0.3*0.9+0.9*2.2+0.75*(2.2+2.2+2.75))*10.764</f>
        <v>407.92869000000007</v>
      </c>
      <c r="E168" s="42">
        <v>0</v>
      </c>
      <c r="F168" s="67">
        <v>620</v>
      </c>
      <c r="G168" s="81"/>
      <c r="H168" s="82"/>
      <c r="I168" s="61"/>
      <c r="J168" s="67">
        <v>620</v>
      </c>
      <c r="K168" s="62">
        <f t="shared" si="10"/>
        <v>1.5198734857310474</v>
      </c>
      <c r="N168" s="36"/>
    </row>
    <row r="169" spans="1:14" s="37" customFormat="1" ht="15.75" customHeight="1" x14ac:dyDescent="0.35">
      <c r="A169" s="77">
        <f t="shared" si="11"/>
        <v>204</v>
      </c>
      <c r="B169" s="78"/>
      <c r="C169" s="42" t="s">
        <v>261</v>
      </c>
      <c r="D169" s="60">
        <f>(2.75*4.2+2.2*2.35+2.75*3.35+1.2*1.5+0.9*1.2+0.9*2.2+0.4*1.2)*10.764</f>
        <v>336.61719000000005</v>
      </c>
      <c r="E169" s="42">
        <f>(2.75*2.2+0.75*(2.2+2.75))*10.764</f>
        <v>105.08355</v>
      </c>
      <c r="F169" s="68">
        <v>670</v>
      </c>
      <c r="G169" s="81"/>
      <c r="H169" s="82"/>
      <c r="I169" s="36"/>
      <c r="J169" s="68">
        <v>670</v>
      </c>
      <c r="K169" s="62">
        <f t="shared" si="10"/>
        <v>1.990391518626841</v>
      </c>
      <c r="N169" s="36"/>
    </row>
    <row r="170" spans="1:14" s="37" customFormat="1" ht="15.75" customHeight="1" x14ac:dyDescent="0.35">
      <c r="A170" s="77">
        <f t="shared" si="11"/>
        <v>205</v>
      </c>
      <c r="B170" s="78"/>
      <c r="C170" s="42" t="s">
        <v>261</v>
      </c>
      <c r="D170" s="60">
        <f>(2.75*4.2+2.2*2.35+2.75*3.35+1.2*1.5+0.9*1.2+0.9*2.2+0.4*1.2)*10.764</f>
        <v>336.61719000000005</v>
      </c>
      <c r="E170" s="60">
        <f>(2.75*2.2+0.75*(2.2+2.75))*10.764</f>
        <v>105.08355</v>
      </c>
      <c r="F170" s="68">
        <v>670</v>
      </c>
      <c r="G170" s="83"/>
      <c r="H170" s="84"/>
      <c r="I170" s="36"/>
      <c r="J170" s="68">
        <v>670</v>
      </c>
      <c r="K170" s="62">
        <f t="shared" si="10"/>
        <v>1.990391518626841</v>
      </c>
      <c r="N170" s="36"/>
    </row>
    <row r="171" spans="1:14" s="61" customFormat="1" x14ac:dyDescent="0.35">
      <c r="A171" s="90" t="s">
        <v>267</v>
      </c>
      <c r="B171" s="90"/>
      <c r="C171" s="90"/>
      <c r="D171" s="90"/>
      <c r="E171" s="90"/>
      <c r="F171" s="90"/>
      <c r="G171" s="90"/>
      <c r="H171" s="90"/>
      <c r="I171" s="36"/>
      <c r="L171" s="76"/>
      <c r="M171" s="76"/>
    </row>
    <row r="172" spans="1:14" s="61" customFormat="1" ht="15.75" customHeight="1" x14ac:dyDescent="0.35">
      <c r="A172" s="77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10^ROW(INDIRECT("1:"&amp;LEN((LEFT(A171,SUM(LEN(A171)-LEN(SUBSTITUTE(A171,{"0","1","2"},""))))))))/10))*100+1&amp;""&amp;" ,..,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",LEN(A171))),LEN(A171)))))))/10))*100+1</f>
        <v>401 ,.., 1001</v>
      </c>
      <c r="B172" s="78"/>
      <c r="C172" s="60" t="s">
        <v>261</v>
      </c>
      <c r="D172" s="60">
        <f>(3.95*2.75+2.1*2.1+3.2*2.85+1.65*1.2+0.9*1.2+0.3*1.2+0.9*2.1+0.8*1.2+0.75*(2.75+2.1))*10.764</f>
        <v>369.20520000000005</v>
      </c>
      <c r="E172" s="60">
        <v>0</v>
      </c>
      <c r="F172" s="67">
        <v>565</v>
      </c>
      <c r="G172" s="79" t="str">
        <f>A171</f>
        <v>4th, 6th &amp; 10th Floor For Residential</v>
      </c>
      <c r="H172" s="80"/>
      <c r="I172" s="36"/>
      <c r="J172" s="67">
        <v>565</v>
      </c>
      <c r="K172" s="62">
        <f t="shared" si="10"/>
        <v>1.5303143075991343</v>
      </c>
      <c r="N172" s="36"/>
    </row>
    <row r="173" spans="1:14" s="61" customFormat="1" ht="15.75" customHeight="1" x14ac:dyDescent="0.35">
      <c r="A173" s="77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10^ROW(INDIRECT("1:"&amp;LEN((LEFT(A172,SUM(LEN(A172)-LEN(SUBSTITUTE(A172,{"0","1","2"},""))))))))/10))*1+1&amp;""&amp;" ,..,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",LEN(A172))),LEN(A172)))))))/10))*1+1</f>
        <v>402 ,.., 1002</v>
      </c>
      <c r="B173" s="78"/>
      <c r="C173" s="60" t="s">
        <v>262</v>
      </c>
      <c r="D173" s="60">
        <f>(4.15*2.75+2.1*2.4+1.2*1.5+0.9*1.2+0.9*1.2+0.75*(2.75+2.1))*10.764</f>
        <v>258.87419999999997</v>
      </c>
      <c r="E173" s="60">
        <v>0</v>
      </c>
      <c r="F173" s="67">
        <v>400</v>
      </c>
      <c r="G173" s="81"/>
      <c r="H173" s="82"/>
      <c r="I173" s="36"/>
      <c r="J173" s="67">
        <v>400</v>
      </c>
      <c r="K173" s="62">
        <f t="shared" si="10"/>
        <v>1.5451520468242879</v>
      </c>
      <c r="N173" s="36"/>
    </row>
    <row r="174" spans="1:14" s="61" customFormat="1" ht="15.75" customHeight="1" x14ac:dyDescent="0.35">
      <c r="A174" s="77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10^ROW(INDIRECT("1:"&amp;LEN((LEFT(A173,SUM(LEN(A173)-LEN(SUBSTITUTE(A173,{"0","1","2"},""))))))))/10))*1+1&amp;""&amp;" ,..,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",LEN(A173))),LEN(A173)))))))/10))*1+1</f>
        <v>403 ,.., 1003</v>
      </c>
      <c r="B174" s="78"/>
      <c r="C174" s="60" t="s">
        <v>261</v>
      </c>
      <c r="D174" s="64">
        <f>(3.05*4.45+2.2*2.1+2.75*3.35+1.2*1.5+0.9*1.2+0.3*0.9+0.9*2.2+0.75*(2.2+2.2+2.75))*10.764</f>
        <v>407.92869000000007</v>
      </c>
      <c r="E174" s="60">
        <v>0</v>
      </c>
      <c r="F174" s="67">
        <v>620</v>
      </c>
      <c r="G174" s="81"/>
      <c r="H174" s="82"/>
      <c r="I174" s="36"/>
      <c r="J174" s="67">
        <v>620</v>
      </c>
      <c r="K174" s="62">
        <f t="shared" si="10"/>
        <v>1.5198734857310474</v>
      </c>
      <c r="N174" s="36"/>
    </row>
    <row r="175" spans="1:14" s="61" customFormat="1" ht="15.75" customHeight="1" x14ac:dyDescent="0.35">
      <c r="A175" s="77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,..,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404 ,.., 1004</v>
      </c>
      <c r="B175" s="78"/>
      <c r="C175" s="60" t="s">
        <v>261</v>
      </c>
      <c r="D175" s="60">
        <f>(2.75*4.2+2.2*2.35+2.75*3.35+1.2*1.5+0.9*1.2+0.9*2.2+0.4*1.2+0.75*(2.2+2.75))*10.764</f>
        <v>376.57854000000003</v>
      </c>
      <c r="E175" s="60">
        <f>(2.75*2.2)*10.764</f>
        <v>65.122200000000007</v>
      </c>
      <c r="F175" s="68">
        <v>620</v>
      </c>
      <c r="G175" s="81"/>
      <c r="H175" s="82"/>
      <c r="I175" s="36"/>
      <c r="J175" s="68">
        <v>620</v>
      </c>
      <c r="K175" s="62">
        <f>J175/D175</f>
        <v>1.6464028991136881</v>
      </c>
      <c r="L175" s="61">
        <f>2790000/F175</f>
        <v>4500</v>
      </c>
      <c r="N175" s="36"/>
    </row>
    <row r="176" spans="1:14" s="61" customFormat="1" ht="15.75" customHeight="1" x14ac:dyDescent="0.35">
      <c r="A176" s="77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10^ROW(INDIRECT("1:"&amp;LEN((LEFT(A175,SUM(LEN(A175)-LEN(SUBSTITUTE(A175,{"0","1","2"},""))))))))/10))*1+1&amp;""&amp;" ,..,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",LEN(A175))),LEN(A175)))))))/10))*1+1</f>
        <v>405 ,.., 1005</v>
      </c>
      <c r="B176" s="78"/>
      <c r="C176" s="60" t="s">
        <v>261</v>
      </c>
      <c r="D176" s="60">
        <f>(2.75*4.2+2.2*2.35+2.75*3.35+1.2*1.5+0.9*1.2+0.9*2.2+0.4*1.2+0.75*(2.2+2.75))*10.764</f>
        <v>376.57854000000003</v>
      </c>
      <c r="E176" s="60">
        <f>(2.75*2.2)*10.764</f>
        <v>65.122200000000007</v>
      </c>
      <c r="F176" s="67">
        <v>620</v>
      </c>
      <c r="G176" s="83"/>
      <c r="H176" s="84"/>
      <c r="I176" s="36"/>
      <c r="J176" s="67">
        <v>620</v>
      </c>
      <c r="K176" s="62">
        <f t="shared" si="10"/>
        <v>1.6464028991136881</v>
      </c>
      <c r="N176" s="36"/>
    </row>
    <row r="177" spans="1:11" s="37" customFormat="1" ht="15.75" customHeight="1" x14ac:dyDescent="0.35">
      <c r="A177" s="73" t="s">
        <v>263</v>
      </c>
      <c r="B177" s="74"/>
      <c r="C177" s="74"/>
      <c r="D177" s="74"/>
      <c r="E177" s="74"/>
      <c r="F177" s="74"/>
      <c r="G177" s="74"/>
      <c r="H177" s="75"/>
      <c r="I177" s="36"/>
    </row>
    <row r="178" spans="1:11" s="37" customFormat="1" ht="15.75" customHeight="1" x14ac:dyDescent="0.35">
      <c r="A178" s="77" t="s">
        <v>264</v>
      </c>
      <c r="B178" s="78"/>
      <c r="C178" s="60" t="s">
        <v>261</v>
      </c>
      <c r="D178" s="60">
        <f>(3.95*2.75+2.1*2.1+3.2*2.85+1.65*1.2+0.9*1.2+0.3*1.2+0.9*2.1+0.8*1.2+0.75*(2.75+2.1))*10.764</f>
        <v>369.20520000000005</v>
      </c>
      <c r="E178" s="42">
        <v>0</v>
      </c>
      <c r="F178" s="67">
        <v>565</v>
      </c>
      <c r="G178" s="79" t="str">
        <f>A177</f>
        <v>3rd, 5th, 7th &amp; 9th Floor</v>
      </c>
      <c r="H178" s="80"/>
      <c r="I178" s="36"/>
      <c r="J178" s="67">
        <v>565</v>
      </c>
      <c r="K178" s="62">
        <f t="shared" si="10"/>
        <v>1.5303143075991343</v>
      </c>
    </row>
    <row r="179" spans="1:11" s="37" customFormat="1" ht="15.75" customHeight="1" x14ac:dyDescent="0.35">
      <c r="A179" s="77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,..,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302 ,.., 902</v>
      </c>
      <c r="B179" s="78"/>
      <c r="C179" s="60" t="s">
        <v>262</v>
      </c>
      <c r="D179" s="60">
        <f>(4.15*2.75+2.1*2.4+1.2*1.5+0.9*1.2+0.9*1.2+0.75*(2.75+2.1))*10.764</f>
        <v>258.87419999999997</v>
      </c>
      <c r="E179" s="42">
        <v>0</v>
      </c>
      <c r="F179" s="67">
        <v>400</v>
      </c>
      <c r="G179" s="81"/>
      <c r="H179" s="82"/>
      <c r="I179" s="36"/>
      <c r="J179" s="67">
        <v>400</v>
      </c>
      <c r="K179" s="62">
        <f t="shared" si="10"/>
        <v>1.5451520468242879</v>
      </c>
    </row>
    <row r="180" spans="1:11" s="37" customFormat="1" ht="15.75" customHeight="1" x14ac:dyDescent="0.35">
      <c r="A180" s="77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,..,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303 ,.., 903</v>
      </c>
      <c r="B180" s="78"/>
      <c r="C180" s="60" t="s">
        <v>261</v>
      </c>
      <c r="D180" s="64">
        <f>(3.05*4.45+2.2*2.1+2.75*3.35+1.2*1.5+0.9*1.2+0.3*0.9+0.9*2.2+0.75*(2.2+2.2+2.75))*10.764</f>
        <v>407.92869000000007</v>
      </c>
      <c r="E180" s="42">
        <v>0</v>
      </c>
      <c r="F180" s="67">
        <v>620</v>
      </c>
      <c r="G180" s="81"/>
      <c r="H180" s="82"/>
      <c r="I180" s="36"/>
      <c r="J180" s="67">
        <v>620</v>
      </c>
      <c r="K180" s="62">
        <f t="shared" si="10"/>
        <v>1.5198734857310474</v>
      </c>
    </row>
    <row r="181" spans="1:11" s="37" customFormat="1" ht="15.75" customHeight="1" x14ac:dyDescent="0.35">
      <c r="A181" s="77" t="s">
        <v>265</v>
      </c>
      <c r="B181" s="78"/>
      <c r="C181" s="60" t="s">
        <v>261</v>
      </c>
      <c r="D181" s="60">
        <f>(2.75*4.2+2.2*2.35+2.75*3.35+1.2*1.5+0.9*1.2+0.9*2.2+0.4*1.2+0.75*(2.75+2.2+2.75))*10.764</f>
        <v>398.77929000000006</v>
      </c>
      <c r="E181" s="42">
        <v>0</v>
      </c>
      <c r="F181" s="67">
        <v>610</v>
      </c>
      <c r="G181" s="81"/>
      <c r="H181" s="82"/>
      <c r="I181" s="36"/>
      <c r="J181" s="67">
        <v>610</v>
      </c>
      <c r="K181" s="62">
        <f t="shared" si="10"/>
        <v>1.5296682031807618</v>
      </c>
    </row>
    <row r="182" spans="1:11" s="37" customFormat="1" ht="15.75" customHeight="1" x14ac:dyDescent="0.35">
      <c r="A182" s="77" t="s">
        <v>266</v>
      </c>
      <c r="B182" s="78"/>
      <c r="C182" s="60" t="s">
        <v>261</v>
      </c>
      <c r="D182" s="60">
        <f>(2.75*4.2+2.2*2.35+2.75*3.35+1.2*1.5+0.9*1.2+0.9*2.2+0.4*1.2+0.75*(2.75+2.2+2.75))*10.764</f>
        <v>398.77929000000006</v>
      </c>
      <c r="E182" s="42">
        <v>0</v>
      </c>
      <c r="F182" s="67">
        <v>610</v>
      </c>
      <c r="G182" s="83"/>
      <c r="H182" s="84"/>
      <c r="I182" s="36"/>
      <c r="J182" s="67">
        <v>610</v>
      </c>
      <c r="K182" s="62">
        <f t="shared" si="10"/>
        <v>1.5296682031807618</v>
      </c>
    </row>
    <row r="183" spans="1:11" s="61" customFormat="1" ht="15.75" customHeight="1" x14ac:dyDescent="0.35">
      <c r="A183" s="73" t="s">
        <v>269</v>
      </c>
      <c r="B183" s="74"/>
      <c r="C183" s="74"/>
      <c r="D183" s="74"/>
      <c r="E183" s="74"/>
      <c r="F183" s="74"/>
      <c r="G183" s="74"/>
      <c r="H183" s="75"/>
      <c r="I183" s="36"/>
    </row>
    <row r="184" spans="1:11" s="61" customFormat="1" ht="15.75" customHeight="1" x14ac:dyDescent="0.35">
      <c r="A184" s="77">
        <v>801</v>
      </c>
      <c r="B184" s="78"/>
      <c r="C184" s="60" t="s">
        <v>261</v>
      </c>
      <c r="D184" s="60">
        <f>(3.95*2.75+2.1*2.1+3.2*2.85+1.65*1.2+0.9*1.2+0.3*1.2+0.9*2.1+0.8*1.2+0.75*(2.75+2.1))*10.764</f>
        <v>369.20520000000005</v>
      </c>
      <c r="E184" s="60">
        <v>0</v>
      </c>
      <c r="F184" s="67">
        <v>565</v>
      </c>
      <c r="G184" s="79" t="str">
        <f>A183</f>
        <v>8th Floor (Part Refuge Area)</v>
      </c>
      <c r="H184" s="80"/>
      <c r="I184" s="36"/>
      <c r="J184" s="67">
        <v>565</v>
      </c>
      <c r="K184" s="62">
        <f t="shared" si="10"/>
        <v>1.5303143075991343</v>
      </c>
    </row>
    <row r="185" spans="1:11" s="61" customFormat="1" ht="15.75" customHeight="1" x14ac:dyDescent="0.35">
      <c r="A185" s="77">
        <f>A184+1</f>
        <v>802</v>
      </c>
      <c r="B185" s="78"/>
      <c r="C185" s="60" t="s">
        <v>262</v>
      </c>
      <c r="D185" s="60">
        <f>(4.15*2.75+2.1*2.4+1.2*1.5+0.9*1.2+0.9*1.2+0.75*(2.75+2.1))*10.764</f>
        <v>258.87419999999997</v>
      </c>
      <c r="E185" s="60">
        <v>0</v>
      </c>
      <c r="F185" s="67">
        <v>400</v>
      </c>
      <c r="G185" s="81"/>
      <c r="H185" s="82"/>
      <c r="I185" s="36"/>
      <c r="J185" s="67">
        <v>400</v>
      </c>
      <c r="K185" s="62">
        <f t="shared" si="10"/>
        <v>1.5451520468242879</v>
      </c>
    </row>
    <row r="186" spans="1:11" s="61" customFormat="1" ht="15.75" customHeight="1" x14ac:dyDescent="0.35">
      <c r="A186" s="77">
        <f t="shared" ref="A186" si="12">A185+1</f>
        <v>803</v>
      </c>
      <c r="B186" s="78"/>
      <c r="C186" s="60" t="s">
        <v>261</v>
      </c>
      <c r="D186" s="64">
        <f>(3.05*4.45+2.2*2.1+2.75*3.35+1.2*1.5+0.9*1.2+0.3*0.9+0.9*2.2+0.75*(2.2+2.2+2.75))*10.764</f>
        <v>407.92869000000007</v>
      </c>
      <c r="E186" s="60">
        <v>0</v>
      </c>
      <c r="F186" s="67">
        <v>620</v>
      </c>
      <c r="G186" s="81"/>
      <c r="H186" s="82"/>
      <c r="I186" s="36"/>
      <c r="J186" s="67">
        <v>620</v>
      </c>
      <c r="K186" s="62">
        <f t="shared" si="10"/>
        <v>1.5198734857310474</v>
      </c>
    </row>
    <row r="187" spans="1:11" s="61" customFormat="1" ht="15.75" customHeight="1" x14ac:dyDescent="0.35">
      <c r="A187" s="77" t="s">
        <v>271</v>
      </c>
      <c r="B187" s="78"/>
      <c r="C187" s="77" t="s">
        <v>270</v>
      </c>
      <c r="D187" s="85"/>
      <c r="E187" s="85"/>
      <c r="F187" s="78"/>
      <c r="G187" s="81"/>
      <c r="H187" s="82"/>
      <c r="I187" s="36"/>
    </row>
    <row r="188" spans="1:11" s="61" customFormat="1" ht="15.75" customHeight="1" x14ac:dyDescent="0.35">
      <c r="A188" s="77">
        <v>804</v>
      </c>
      <c r="B188" s="78"/>
      <c r="C188" s="60" t="s">
        <v>261</v>
      </c>
      <c r="D188" s="60">
        <f>(2.75*4.2+2.2*2.35+2.75*3.35+1.2*1.5+0.9*1.2+0.9*2.2+0.4*1.2+0.75*(2.2+2.75))*10.764</f>
        <v>376.57854000000003</v>
      </c>
      <c r="E188" s="60">
        <f>(2.75*2.2)*10.764</f>
        <v>65.122200000000007</v>
      </c>
      <c r="F188" s="67">
        <v>620</v>
      </c>
      <c r="G188" s="83"/>
      <c r="H188" s="84"/>
      <c r="I188" s="36"/>
      <c r="J188" s="67">
        <v>620</v>
      </c>
      <c r="K188" s="62">
        <f>J188/D188</f>
        <v>1.6464028991136881</v>
      </c>
    </row>
    <row r="189" spans="1:11" s="69" customFormat="1" x14ac:dyDescent="0.35">
      <c r="A189" s="73" t="s">
        <v>295</v>
      </c>
      <c r="B189" s="74"/>
      <c r="C189" s="74"/>
      <c r="D189" s="74"/>
      <c r="E189" s="74"/>
      <c r="F189" s="74"/>
      <c r="G189" s="74"/>
      <c r="H189" s="75"/>
      <c r="J189" s="36"/>
    </row>
    <row r="190" spans="1:11" s="69" customFormat="1" x14ac:dyDescent="0.35">
      <c r="A190" s="73" t="s">
        <v>296</v>
      </c>
      <c r="B190" s="74"/>
      <c r="C190" s="74"/>
      <c r="D190" s="74"/>
      <c r="E190" s="74"/>
      <c r="F190" s="74"/>
      <c r="G190" s="74"/>
      <c r="H190" s="75"/>
      <c r="J190" s="36"/>
    </row>
    <row r="191" spans="1:11" s="61" customFormat="1" x14ac:dyDescent="0.35">
      <c r="A191" s="73" t="s">
        <v>275</v>
      </c>
      <c r="B191" s="74"/>
      <c r="C191" s="74"/>
      <c r="D191" s="74"/>
      <c r="E191" s="74"/>
      <c r="F191" s="74"/>
      <c r="G191" s="74"/>
      <c r="H191" s="75"/>
      <c r="J191" s="36"/>
    </row>
    <row r="192" spans="1:11" s="62" customFormat="1" x14ac:dyDescent="0.35">
      <c r="A192" s="73" t="s">
        <v>283</v>
      </c>
      <c r="B192" s="74"/>
      <c r="C192" s="74"/>
      <c r="D192" s="74"/>
      <c r="E192" s="74"/>
      <c r="F192" s="74"/>
      <c r="G192" s="74"/>
      <c r="H192" s="75"/>
      <c r="I192" s="36"/>
    </row>
    <row r="193" spans="1:9" s="62" customFormat="1" x14ac:dyDescent="0.35">
      <c r="A193" s="77">
        <v>301</v>
      </c>
      <c r="B193" s="78"/>
      <c r="C193" s="60" t="s">
        <v>261</v>
      </c>
      <c r="D193" s="60">
        <f>(2.75*4.11+2.2*2.35+2.75*3.35+1.2*1.5+0.9*1.2+2.2*0.9+1.2*0.4+1*(2.75+2.2))*10.764</f>
        <v>387.2349000000001</v>
      </c>
      <c r="E193" s="60">
        <f>(1.3*2.75+0.7*2.75+1.5*2.75+0.7*0.9)*10.764</f>
        <v>110.38482</v>
      </c>
      <c r="F193" s="64">
        <f>1.53*D193</f>
        <v>592.46939700000019</v>
      </c>
      <c r="G193" s="79" t="str">
        <f>A192</f>
        <v>3rd Floor For Residential</v>
      </c>
      <c r="H193" s="80"/>
      <c r="I193" s="36"/>
    </row>
    <row r="194" spans="1:9" s="62" customFormat="1" x14ac:dyDescent="0.35">
      <c r="A194" s="77">
        <f>A193+1</f>
        <v>302</v>
      </c>
      <c r="B194" s="78"/>
      <c r="C194" s="60" t="s">
        <v>261</v>
      </c>
      <c r="D194" s="60">
        <f>(3.6*3.35+2.2*2.35+2.75*3.35+1.2*1.5+0.9*1.2+2.2*0.9+1.2*0.4+1*(3.6+2.2))*10.764</f>
        <v>404.53803000000011</v>
      </c>
      <c r="E194" s="60">
        <f>(1.45*2.85+1.5*2.85+1*0.7+2.05*3.55)*10.764</f>
        <v>176.36813999999995</v>
      </c>
      <c r="F194" s="64">
        <f t="shared" ref="F194" si="13">1.53*D194</f>
        <v>618.94318590000012</v>
      </c>
      <c r="G194" s="81"/>
      <c r="H194" s="82"/>
      <c r="I194" s="36"/>
    </row>
    <row r="195" spans="1:9" s="62" customFormat="1" x14ac:dyDescent="0.35">
      <c r="A195" s="77">
        <f>A194+1</f>
        <v>303</v>
      </c>
      <c r="B195" s="78"/>
      <c r="C195" s="60" t="s">
        <v>261</v>
      </c>
      <c r="D195" s="60">
        <f>(2.75*4.25+2.35*2.2+2.75*3.35+1.2*0.9+1.5*1.2+1.2*1.1+0.9*1.4+1*2.75)*10.764</f>
        <v>368.98991999999998</v>
      </c>
      <c r="E195" s="60">
        <f>(1.9*4.9+2.4*2.3+(1/2*1*4.7))*10.764</f>
        <v>184.92551999999998</v>
      </c>
      <c r="F195" s="64">
        <f>1.53*D195+E195/2</f>
        <v>657.01733760000002</v>
      </c>
      <c r="G195" s="83"/>
      <c r="H195" s="84"/>
      <c r="I195" s="36"/>
    </row>
    <row r="196" spans="1:9" s="37" customFormat="1" x14ac:dyDescent="0.35">
      <c r="A196" s="73" t="s">
        <v>284</v>
      </c>
      <c r="B196" s="74"/>
      <c r="C196" s="74"/>
      <c r="D196" s="74"/>
      <c r="E196" s="74"/>
      <c r="F196" s="74"/>
      <c r="G196" s="74"/>
      <c r="H196" s="75"/>
      <c r="I196" s="36"/>
    </row>
    <row r="197" spans="1:9" s="37" customFormat="1" x14ac:dyDescent="0.35">
      <c r="A197" s="77">
        <v>401</v>
      </c>
      <c r="B197" s="78"/>
      <c r="C197" s="42" t="s">
        <v>261</v>
      </c>
      <c r="D197" s="42">
        <f>(2.75*4.11+2.2*2.35+2.75*3.35+1.2*1.5+0.9*1.2+2.2*0.9+1.2*0.4+1*(2.75+2.2)+0.75*2.75)*10.764</f>
        <v>409.43565000000007</v>
      </c>
      <c r="E197" s="42">
        <v>0</v>
      </c>
      <c r="F197" s="42">
        <f>1.53*D197</f>
        <v>626.43654450000008</v>
      </c>
      <c r="G197" s="79" t="str">
        <f>A196</f>
        <v>4th Floor</v>
      </c>
      <c r="H197" s="80"/>
      <c r="I197" s="36"/>
    </row>
    <row r="198" spans="1:9" s="37" customFormat="1" x14ac:dyDescent="0.35">
      <c r="A198" s="77">
        <f>A197+1</f>
        <v>402</v>
      </c>
      <c r="B198" s="78"/>
      <c r="C198" s="42" t="s">
        <v>261</v>
      </c>
      <c r="D198" s="42">
        <f>(3.6*3.35+2.2*2.35+2.75*3.35+1.2*1.5+0.9*1.2+2.2*0.9+1.2*0.4+1*(3.6+2.2)+0.75*2.75)*10.764</f>
        <v>426.73878000000008</v>
      </c>
      <c r="E198" s="42">
        <v>0</v>
      </c>
      <c r="F198" s="60">
        <f t="shared" ref="F198:F199" si="14">1.53*D198</f>
        <v>652.91033340000013</v>
      </c>
      <c r="G198" s="81"/>
      <c r="H198" s="82"/>
      <c r="I198" s="36"/>
    </row>
    <row r="199" spans="1:9" s="37" customFormat="1" x14ac:dyDescent="0.35">
      <c r="A199" s="77">
        <f>A198+1</f>
        <v>403</v>
      </c>
      <c r="B199" s="78"/>
      <c r="C199" s="42" t="s">
        <v>261</v>
      </c>
      <c r="D199" s="42">
        <f>(2.75*4.25+2.35*2.2+2.75*3.35+1.2*0.9+1.5*1.2+1.2*1.1+0.9*1.4+1*(2.75+2.75))*10.764</f>
        <v>398.59091999999998</v>
      </c>
      <c r="E199" s="42">
        <v>0</v>
      </c>
      <c r="F199" s="60">
        <f t="shared" si="14"/>
        <v>609.84410760000003</v>
      </c>
      <c r="G199" s="83"/>
      <c r="H199" s="84"/>
      <c r="I199" s="36"/>
    </row>
    <row r="200" spans="1:9" s="35" customFormat="1" x14ac:dyDescent="0.35">
      <c r="A200" s="158" t="s">
        <v>68</v>
      </c>
      <c r="B200" s="158"/>
      <c r="C200" s="158"/>
      <c r="D200" s="158"/>
      <c r="E200" s="158"/>
      <c r="F200" s="158"/>
      <c r="G200" s="158"/>
      <c r="H200" s="158"/>
    </row>
    <row r="201" spans="1:9" s="35" customFormat="1" x14ac:dyDescent="0.35">
      <c r="A201" s="47" t="s">
        <v>152</v>
      </c>
      <c r="B201" s="154" t="s">
        <v>302</v>
      </c>
      <c r="C201" s="155"/>
      <c r="D201" s="155"/>
      <c r="E201" s="155"/>
      <c r="F201" s="155"/>
      <c r="G201" s="155"/>
      <c r="H201" s="156"/>
    </row>
    <row r="202" spans="1:9" s="35" customFormat="1" x14ac:dyDescent="0.35">
      <c r="A202" s="47" t="s">
        <v>152</v>
      </c>
      <c r="B202" s="154" t="str">
        <f>(IF(F157="Saleable area Loading :","We have considered Saleable area of Flats as per our Calculation.","We considered Saleable area of Flat as per Builder area Sheet."))</f>
        <v>We considered Saleable area of Flat as per Builder area Sheet.</v>
      </c>
      <c r="C202" s="155"/>
      <c r="D202" s="155"/>
      <c r="E202" s="155"/>
      <c r="F202" s="155"/>
      <c r="G202" s="155"/>
      <c r="H202" s="156"/>
    </row>
    <row r="203" spans="1:9" s="35" customFormat="1" x14ac:dyDescent="0.35">
      <c r="A203" s="47" t="s">
        <v>152</v>
      </c>
      <c r="B203" s="154" t="str">
        <f>(IF(F127="Saleable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03" s="155"/>
      <c r="D203" s="155"/>
      <c r="E203" s="155"/>
      <c r="F203" s="155"/>
      <c r="G203" s="155"/>
      <c r="H203" s="156"/>
    </row>
    <row r="204" spans="1:9" s="35" customFormat="1" x14ac:dyDescent="0.35">
      <c r="A204" s="47" t="s">
        <v>152</v>
      </c>
      <c r="B204" s="151" t="s">
        <v>122</v>
      </c>
      <c r="C204" s="152"/>
      <c r="D204" s="152"/>
      <c r="E204" s="152"/>
      <c r="F204" s="152"/>
      <c r="G204" s="152"/>
      <c r="H204" s="153"/>
    </row>
    <row r="205" spans="1:9" s="35" customFormat="1" x14ac:dyDescent="0.35">
      <c r="A205" s="47" t="s">
        <v>152</v>
      </c>
      <c r="B205" s="151" t="s">
        <v>276</v>
      </c>
      <c r="C205" s="152"/>
      <c r="D205" s="152"/>
      <c r="E205" s="152"/>
      <c r="F205" s="152"/>
      <c r="G205" s="152"/>
      <c r="H205" s="153"/>
    </row>
    <row r="206" spans="1:9" s="35" customFormat="1" x14ac:dyDescent="0.35">
      <c r="A206" s="47" t="s">
        <v>152</v>
      </c>
      <c r="B206" s="151" t="s">
        <v>151</v>
      </c>
      <c r="C206" s="152"/>
      <c r="D206" s="152"/>
      <c r="E206" s="152"/>
      <c r="F206" s="152"/>
      <c r="G206" s="152"/>
      <c r="H206" s="153"/>
    </row>
    <row r="207" spans="1:9" s="35" customFormat="1" x14ac:dyDescent="0.35">
      <c r="A207" s="47" t="s">
        <v>152</v>
      </c>
      <c r="B207" s="151" t="s">
        <v>123</v>
      </c>
      <c r="C207" s="152"/>
      <c r="D207" s="152"/>
      <c r="E207" s="152"/>
      <c r="F207" s="152"/>
      <c r="G207" s="152"/>
      <c r="H207" s="153"/>
    </row>
    <row r="208" spans="1:9" s="35" customFormat="1" ht="31.9" customHeight="1" x14ac:dyDescent="0.35">
      <c r="A208" s="47" t="s">
        <v>152</v>
      </c>
      <c r="B208" s="151" t="s">
        <v>153</v>
      </c>
      <c r="C208" s="152"/>
      <c r="D208" s="152"/>
      <c r="E208" s="152"/>
      <c r="F208" s="152"/>
      <c r="G208" s="152"/>
      <c r="H208" s="153"/>
    </row>
    <row r="209" spans="1:8" s="35" customFormat="1" x14ac:dyDescent="0.35">
      <c r="A209" s="47" t="s">
        <v>152</v>
      </c>
      <c r="B209" s="151" t="s">
        <v>124</v>
      </c>
      <c r="C209" s="152"/>
      <c r="D209" s="152"/>
      <c r="E209" s="152"/>
      <c r="F209" s="152"/>
      <c r="G209" s="152"/>
      <c r="H209" s="153"/>
    </row>
    <row r="210" spans="1:8" x14ac:dyDescent="0.35">
      <c r="A210" s="129" t="s">
        <v>61</v>
      </c>
      <c r="B210" s="129"/>
      <c r="C210" s="129"/>
      <c r="D210" s="129"/>
      <c r="E210" s="129"/>
      <c r="F210" s="129"/>
      <c r="G210" s="129"/>
      <c r="H210" s="129"/>
    </row>
    <row r="211" spans="1:8" x14ac:dyDescent="0.35">
      <c r="A211" s="104" t="s">
        <v>62</v>
      </c>
      <c r="B211" s="104"/>
      <c r="C211" s="104"/>
      <c r="D211" s="104"/>
      <c r="E211" s="104"/>
      <c r="F211" s="104"/>
      <c r="G211" s="104"/>
      <c r="H211" s="104"/>
    </row>
    <row r="212" spans="1:8" ht="15.75" customHeight="1" x14ac:dyDescent="0.35">
      <c r="A212" s="137" t="s">
        <v>63</v>
      </c>
      <c r="B212" s="137"/>
      <c r="C212" s="137"/>
      <c r="D212" s="137"/>
      <c r="E212" s="137"/>
      <c r="F212" s="137"/>
      <c r="G212" s="137"/>
      <c r="H212" s="137"/>
    </row>
    <row r="213" spans="1:8" x14ac:dyDescent="0.35">
      <c r="A213" s="104" t="s">
        <v>64</v>
      </c>
      <c r="B213" s="104"/>
      <c r="C213" s="104"/>
      <c r="D213" s="104"/>
      <c r="E213" s="104"/>
      <c r="F213" s="104"/>
      <c r="G213" s="104"/>
      <c r="H213" s="104"/>
    </row>
    <row r="214" spans="1:8" x14ac:dyDescent="0.35">
      <c r="A214" s="104" t="s">
        <v>65</v>
      </c>
      <c r="B214" s="104"/>
      <c r="C214" s="104"/>
      <c r="D214" s="104"/>
      <c r="E214" s="104"/>
      <c r="F214" s="104"/>
      <c r="G214" s="104"/>
      <c r="H214" s="104"/>
    </row>
    <row r="215" spans="1:8" x14ac:dyDescent="0.35">
      <c r="A215" s="104" t="s">
        <v>125</v>
      </c>
      <c r="B215" s="104"/>
      <c r="C215" s="104"/>
      <c r="D215" s="104"/>
      <c r="E215" s="104"/>
      <c r="F215" s="104"/>
      <c r="G215" s="104"/>
      <c r="H215" s="104"/>
    </row>
    <row r="216" spans="1:8" ht="34.15" customHeight="1" x14ac:dyDescent="0.35">
      <c r="A216" s="108" t="s">
        <v>126</v>
      </c>
      <c r="B216" s="108"/>
      <c r="C216" s="108"/>
      <c r="D216" s="108"/>
      <c r="E216" s="108"/>
      <c r="F216" s="108"/>
      <c r="G216" s="108"/>
      <c r="H216" s="108"/>
    </row>
    <row r="217" spans="1:8" x14ac:dyDescent="0.35">
      <c r="A217" s="166" t="s">
        <v>76</v>
      </c>
      <c r="B217" s="166"/>
      <c r="C217" s="166" t="s">
        <v>277</v>
      </c>
      <c r="D217" s="166"/>
      <c r="E217" s="166" t="s">
        <v>106</v>
      </c>
      <c r="F217" s="166"/>
      <c r="G217" s="166" t="s">
        <v>303</v>
      </c>
      <c r="H217" s="166"/>
    </row>
    <row r="218" spans="1:8" x14ac:dyDescent="0.35">
      <c r="A218" s="165" t="s">
        <v>78</v>
      </c>
      <c r="B218" s="165"/>
      <c r="C218" s="165"/>
      <c r="D218" s="165"/>
      <c r="E218" s="165"/>
      <c r="F218" s="165"/>
      <c r="G218" s="165"/>
      <c r="H218" s="165"/>
    </row>
    <row r="219" spans="1:8" x14ac:dyDescent="0.35">
      <c r="A219" s="165"/>
      <c r="B219" s="165"/>
      <c r="C219" s="165"/>
      <c r="D219" s="165"/>
      <c r="E219" s="165"/>
      <c r="F219" s="165"/>
      <c r="G219" s="165"/>
      <c r="H219" s="165"/>
    </row>
    <row r="220" spans="1:8" x14ac:dyDescent="0.35">
      <c r="A220" s="165"/>
      <c r="B220" s="165"/>
      <c r="C220" s="165"/>
      <c r="D220" s="165"/>
      <c r="E220" s="165"/>
      <c r="F220" s="165"/>
      <c r="G220" s="165"/>
      <c r="H220" s="165"/>
    </row>
    <row r="221" spans="1:8" x14ac:dyDescent="0.35">
      <c r="A221" s="165"/>
      <c r="B221" s="165"/>
      <c r="C221" s="165"/>
      <c r="D221" s="165"/>
      <c r="E221" s="165"/>
      <c r="F221" s="165"/>
      <c r="G221" s="165"/>
      <c r="H221" s="165"/>
    </row>
    <row r="222" spans="1:8" x14ac:dyDescent="0.35">
      <c r="A222" s="38" t="s">
        <v>66</v>
      </c>
      <c r="B222" s="39"/>
      <c r="C222" s="39"/>
      <c r="D222" s="38" t="str">
        <f>E8</f>
        <v>Nirman Signature</v>
      </c>
      <c r="F222" s="39"/>
      <c r="G222" s="39"/>
      <c r="H222" s="39"/>
    </row>
    <row r="223" spans="1:8" x14ac:dyDescent="0.35">
      <c r="A223" s="39"/>
      <c r="B223" s="39"/>
      <c r="C223" s="39"/>
      <c r="D223" s="39"/>
      <c r="E223" s="39"/>
      <c r="F223" s="39"/>
      <c r="G223" s="39"/>
      <c r="H223" s="39"/>
    </row>
    <row r="224" spans="1:8" x14ac:dyDescent="0.35">
      <c r="A224" s="39"/>
      <c r="B224" s="39"/>
      <c r="C224" s="39"/>
      <c r="D224" s="39"/>
      <c r="E224" s="39"/>
      <c r="F224" s="39"/>
      <c r="G224" s="39"/>
      <c r="H224" s="39"/>
    </row>
    <row r="225" ht="15" customHeight="1" x14ac:dyDescent="0.35"/>
    <row r="264" spans="1:1" x14ac:dyDescent="0.35">
      <c r="A264" s="41" t="s">
        <v>163</v>
      </c>
    </row>
    <row r="306" spans="1:1" x14ac:dyDescent="0.35">
      <c r="A306" s="41" t="s">
        <v>67</v>
      </c>
    </row>
  </sheetData>
  <mergeCells count="403">
    <mergeCell ref="A95:E95"/>
    <mergeCell ref="F99:H99"/>
    <mergeCell ref="A100:E100"/>
    <mergeCell ref="A94:B94"/>
    <mergeCell ref="A123:B123"/>
    <mergeCell ref="E123:F123"/>
    <mergeCell ref="A39:B39"/>
    <mergeCell ref="C39:H39"/>
    <mergeCell ref="B208:H208"/>
    <mergeCell ref="A48:B48"/>
    <mergeCell ref="C48:H48"/>
    <mergeCell ref="B206:H206"/>
    <mergeCell ref="G85:H94"/>
    <mergeCell ref="A86:B86"/>
    <mergeCell ref="A87:B87"/>
    <mergeCell ref="A88:B88"/>
    <mergeCell ref="F97:H97"/>
    <mergeCell ref="A97:E97"/>
    <mergeCell ref="D127:D128"/>
    <mergeCell ref="A99:E99"/>
    <mergeCell ref="A192:H192"/>
    <mergeCell ref="A193:B193"/>
    <mergeCell ref="G193:H195"/>
    <mergeCell ref="A194:B194"/>
    <mergeCell ref="A98:E98"/>
    <mergeCell ref="A195:B195"/>
    <mergeCell ref="B127:B128"/>
    <mergeCell ref="A127:A128"/>
    <mergeCell ref="C157:C158"/>
    <mergeCell ref="C127:C128"/>
    <mergeCell ref="B157:B158"/>
    <mergeCell ref="L163:M163"/>
    <mergeCell ref="A164:B164"/>
    <mergeCell ref="L164:M164"/>
    <mergeCell ref="A106:E106"/>
    <mergeCell ref="G123:H123"/>
    <mergeCell ref="C112:D112"/>
    <mergeCell ref="E112:F112"/>
    <mergeCell ref="G112:H112"/>
    <mergeCell ref="A178:B178"/>
    <mergeCell ref="A138:H138"/>
    <mergeCell ref="A132:B132"/>
    <mergeCell ref="L142:M142"/>
    <mergeCell ref="L143:M143"/>
    <mergeCell ref="L144:M144"/>
    <mergeCell ref="L136:M136"/>
    <mergeCell ref="L137:M137"/>
    <mergeCell ref="A113:B113"/>
    <mergeCell ref="A83:B83"/>
    <mergeCell ref="C83:H83"/>
    <mergeCell ref="A44:D44"/>
    <mergeCell ref="L162:M162"/>
    <mergeCell ref="A163:B163"/>
    <mergeCell ref="A38:B38"/>
    <mergeCell ref="C38:H38"/>
    <mergeCell ref="A45:D45"/>
    <mergeCell ref="L135:M135"/>
    <mergeCell ref="L134:M134"/>
    <mergeCell ref="L133:M133"/>
    <mergeCell ref="L132:M132"/>
    <mergeCell ref="A78:B78"/>
    <mergeCell ref="C121:D121"/>
    <mergeCell ref="E121:F121"/>
    <mergeCell ref="G121:H121"/>
    <mergeCell ref="F102:H102"/>
    <mergeCell ref="A96:E96"/>
    <mergeCell ref="A131:H131"/>
    <mergeCell ref="E127:E128"/>
    <mergeCell ref="G127:H128"/>
    <mergeCell ref="A85:B85"/>
    <mergeCell ref="A118:B118"/>
    <mergeCell ref="C118:D118"/>
    <mergeCell ref="A37:H37"/>
    <mergeCell ref="A36:B36"/>
    <mergeCell ref="C36:E36"/>
    <mergeCell ref="A41:D41"/>
    <mergeCell ref="E41:H41"/>
    <mergeCell ref="A40:H40"/>
    <mergeCell ref="A60:C60"/>
    <mergeCell ref="A61:C61"/>
    <mergeCell ref="D60:H60"/>
    <mergeCell ref="D61:H61"/>
    <mergeCell ref="A43:D43"/>
    <mergeCell ref="E43:H43"/>
    <mergeCell ref="E44:H44"/>
    <mergeCell ref="E45:H45"/>
    <mergeCell ref="F36:H36"/>
    <mergeCell ref="C50:E50"/>
    <mergeCell ref="E46:H46"/>
    <mergeCell ref="E42:H42"/>
    <mergeCell ref="A42:D42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12:D12"/>
    <mergeCell ref="E12:H12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1:D11"/>
    <mergeCell ref="E11:H11"/>
    <mergeCell ref="A16:B16"/>
    <mergeCell ref="A13:D13"/>
    <mergeCell ref="G53:H53"/>
    <mergeCell ref="A64:C6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E71:F80"/>
    <mergeCell ref="G71:H80"/>
    <mergeCell ref="A79:B79"/>
    <mergeCell ref="A80:B80"/>
    <mergeCell ref="A51:B51"/>
    <mergeCell ref="A52:B52"/>
    <mergeCell ref="C51:E51"/>
    <mergeCell ref="A58:C59"/>
    <mergeCell ref="D58:H58"/>
    <mergeCell ref="D59:H59"/>
    <mergeCell ref="A218:H221"/>
    <mergeCell ref="A217:B217"/>
    <mergeCell ref="E217:F217"/>
    <mergeCell ref="C217:D217"/>
    <mergeCell ref="G217:H217"/>
    <mergeCell ref="A109:H109"/>
    <mergeCell ref="A107:E107"/>
    <mergeCell ref="F107:H107"/>
    <mergeCell ref="A108:E108"/>
    <mergeCell ref="F108:H108"/>
    <mergeCell ref="A165:H165"/>
    <mergeCell ref="A121:B121"/>
    <mergeCell ref="A180:B180"/>
    <mergeCell ref="A111:B111"/>
    <mergeCell ref="A213:H213"/>
    <mergeCell ref="A119:H119"/>
    <mergeCell ref="A216:H216"/>
    <mergeCell ref="A214:H214"/>
    <mergeCell ref="A210:H210"/>
    <mergeCell ref="G120:H120"/>
    <mergeCell ref="A182:B182"/>
    <mergeCell ref="A197:B197"/>
    <mergeCell ref="E118:F118"/>
    <mergeCell ref="G118:H118"/>
    <mergeCell ref="F95:H95"/>
    <mergeCell ref="F100:H100"/>
    <mergeCell ref="A162:B162"/>
    <mergeCell ref="A135:B135"/>
    <mergeCell ref="A134:B134"/>
    <mergeCell ref="E84:F84"/>
    <mergeCell ref="G84:H84"/>
    <mergeCell ref="A101:E101"/>
    <mergeCell ref="F101:H101"/>
    <mergeCell ref="A102:E102"/>
    <mergeCell ref="A104:E104"/>
    <mergeCell ref="F98:H98"/>
    <mergeCell ref="A103:E103"/>
    <mergeCell ref="E85:F94"/>
    <mergeCell ref="A92:B92"/>
    <mergeCell ref="A139:B139"/>
    <mergeCell ref="A156:H156"/>
    <mergeCell ref="A84:B84"/>
    <mergeCell ref="A122:B122"/>
    <mergeCell ref="C122:D122"/>
    <mergeCell ref="E122:F122"/>
    <mergeCell ref="G122:H122"/>
    <mergeCell ref="C111:D111"/>
    <mergeCell ref="E111:F111"/>
    <mergeCell ref="A211:H211"/>
    <mergeCell ref="E120:F120"/>
    <mergeCell ref="B209:H209"/>
    <mergeCell ref="B207:H207"/>
    <mergeCell ref="B203:H203"/>
    <mergeCell ref="A125:H125"/>
    <mergeCell ref="B201:H201"/>
    <mergeCell ref="B202:H202"/>
    <mergeCell ref="A157:A158"/>
    <mergeCell ref="B205:H205"/>
    <mergeCell ref="A200:H200"/>
    <mergeCell ref="A196:H196"/>
    <mergeCell ref="A177:H177"/>
    <mergeCell ref="A198:B198"/>
    <mergeCell ref="A199:B199"/>
    <mergeCell ref="A169:B169"/>
    <mergeCell ref="B204:H204"/>
    <mergeCell ref="A167:B167"/>
    <mergeCell ref="A168:B168"/>
    <mergeCell ref="A143:B143"/>
    <mergeCell ref="A144:B144"/>
    <mergeCell ref="A129:H129"/>
    <mergeCell ref="A136:B136"/>
    <mergeCell ref="A137:B137"/>
    <mergeCell ref="A93:B93"/>
    <mergeCell ref="A46:D46"/>
    <mergeCell ref="A47:H47"/>
    <mergeCell ref="D57:H57"/>
    <mergeCell ref="A57:C57"/>
    <mergeCell ref="G50:H50"/>
    <mergeCell ref="A77:B77"/>
    <mergeCell ref="A215:H215"/>
    <mergeCell ref="A212:H212"/>
    <mergeCell ref="A166:B166"/>
    <mergeCell ref="A120:B120"/>
    <mergeCell ref="D157:D158"/>
    <mergeCell ref="E157:E158"/>
    <mergeCell ref="G157:H158"/>
    <mergeCell ref="A89:B89"/>
    <mergeCell ref="A90:B90"/>
    <mergeCell ref="A91:B91"/>
    <mergeCell ref="F96:H96"/>
    <mergeCell ref="G111:H111"/>
    <mergeCell ref="F103:H103"/>
    <mergeCell ref="C110:D110"/>
    <mergeCell ref="C123:D123"/>
    <mergeCell ref="A161:H161"/>
    <mergeCell ref="A181:B181"/>
    <mergeCell ref="A81:B81"/>
    <mergeCell ref="C81:H81"/>
    <mergeCell ref="A76:B76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D65:H65"/>
    <mergeCell ref="A71:B71"/>
    <mergeCell ref="G70:H70"/>
    <mergeCell ref="C52:H52"/>
    <mergeCell ref="I14:P14"/>
    <mergeCell ref="F106:H106"/>
    <mergeCell ref="F104:H104"/>
    <mergeCell ref="A105:E105"/>
    <mergeCell ref="A53:B53"/>
    <mergeCell ref="C53:E53"/>
    <mergeCell ref="D55:H55"/>
    <mergeCell ref="F105:H105"/>
    <mergeCell ref="D64:H64"/>
    <mergeCell ref="A65:C65"/>
    <mergeCell ref="F34:H34"/>
    <mergeCell ref="A70:B70"/>
    <mergeCell ref="A73:B73"/>
    <mergeCell ref="A69:B69"/>
    <mergeCell ref="A67:B67"/>
    <mergeCell ref="C67:H67"/>
    <mergeCell ref="A75:B75"/>
    <mergeCell ref="F33:H33"/>
    <mergeCell ref="E14:H14"/>
    <mergeCell ref="A15:B15"/>
    <mergeCell ref="C15:H15"/>
    <mergeCell ref="C16:H16"/>
    <mergeCell ref="A17:B17"/>
    <mergeCell ref="C17:H17"/>
    <mergeCell ref="C113:D113"/>
    <mergeCell ref="E113:F113"/>
    <mergeCell ref="G113:H113"/>
    <mergeCell ref="A126:H126"/>
    <mergeCell ref="G110:H110"/>
    <mergeCell ref="A133:B133"/>
    <mergeCell ref="E110:F110"/>
    <mergeCell ref="A110:B110"/>
    <mergeCell ref="A112:B112"/>
    <mergeCell ref="A117:B117"/>
    <mergeCell ref="C117:D117"/>
    <mergeCell ref="E117:F117"/>
    <mergeCell ref="G117:H117"/>
    <mergeCell ref="A114:H114"/>
    <mergeCell ref="A115:B115"/>
    <mergeCell ref="C115:D115"/>
    <mergeCell ref="E115:F115"/>
    <mergeCell ref="G115:H115"/>
    <mergeCell ref="A116:B116"/>
    <mergeCell ref="C116:D116"/>
    <mergeCell ref="E116:F116"/>
    <mergeCell ref="G116:H116"/>
    <mergeCell ref="A191:H191"/>
    <mergeCell ref="G197:H199"/>
    <mergeCell ref="A154:B154"/>
    <mergeCell ref="G162:H164"/>
    <mergeCell ref="A145:H145"/>
    <mergeCell ref="A148:B148"/>
    <mergeCell ref="L148:M148"/>
    <mergeCell ref="A149:B149"/>
    <mergeCell ref="L149:M149"/>
    <mergeCell ref="A150:B150"/>
    <mergeCell ref="L150:M150"/>
    <mergeCell ref="A151:B151"/>
    <mergeCell ref="L151:M151"/>
    <mergeCell ref="A152:B152"/>
    <mergeCell ref="L152:M152"/>
    <mergeCell ref="A153:B153"/>
    <mergeCell ref="L153:M153"/>
    <mergeCell ref="A147:H147"/>
    <mergeCell ref="A188:B188"/>
    <mergeCell ref="A171:H171"/>
    <mergeCell ref="L171:M171"/>
    <mergeCell ref="A172:B172"/>
    <mergeCell ref="G172:H176"/>
    <mergeCell ref="A173:B173"/>
    <mergeCell ref="G139:H144"/>
    <mergeCell ref="L139:M139"/>
    <mergeCell ref="A140:B140"/>
    <mergeCell ref="L140:M140"/>
    <mergeCell ref="A141:B141"/>
    <mergeCell ref="L141:M141"/>
    <mergeCell ref="A142:B142"/>
    <mergeCell ref="C120:D120"/>
    <mergeCell ref="A124:B124"/>
    <mergeCell ref="C124:D124"/>
    <mergeCell ref="E124:F124"/>
    <mergeCell ref="G124:H124"/>
    <mergeCell ref="A130:H130"/>
    <mergeCell ref="G132:H137"/>
    <mergeCell ref="A146:H146"/>
    <mergeCell ref="A159:H159"/>
    <mergeCell ref="A160:H160"/>
    <mergeCell ref="A189:H189"/>
    <mergeCell ref="A190:H190"/>
    <mergeCell ref="L154:M154"/>
    <mergeCell ref="A155:B155"/>
    <mergeCell ref="L155:M155"/>
    <mergeCell ref="G148:H155"/>
    <mergeCell ref="A174:B174"/>
    <mergeCell ref="A175:B175"/>
    <mergeCell ref="A176:B176"/>
    <mergeCell ref="C187:F187"/>
    <mergeCell ref="G184:H188"/>
    <mergeCell ref="G178:H182"/>
    <mergeCell ref="G166:H170"/>
    <mergeCell ref="A183:H183"/>
    <mergeCell ref="A184:B184"/>
    <mergeCell ref="A185:B185"/>
    <mergeCell ref="A186:B186"/>
    <mergeCell ref="A187:B187"/>
    <mergeCell ref="A179:B179"/>
    <mergeCell ref="A170:B170"/>
    <mergeCell ref="L165:M165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27:E128">
      <formula1>"Attached Loft area,Attached Terrace area,Attached Mezzanine area"</formula1>
    </dataValidation>
    <dataValidation type="list" allowBlank="1" showInputMessage="1" showErrorMessage="1" sqref="F128 F158">
      <formula1>"45%,50%,55%,60%"</formula1>
    </dataValidation>
    <dataValidation type="list" allowBlank="1" showInputMessage="1" showErrorMessage="1" sqref="G217:H217">
      <formula1>"Gaurav Panchal,Kunal Kadam,Shruti Tathare,Pranita Mhatre,Shruti Fule,Pooja Kawale,Mansee Mohite,Hitakshi Mhatre, Sachin Sawant"</formula1>
    </dataValidation>
    <dataValidation type="list" allowBlank="1" showInputMessage="1" showErrorMessage="1" sqref="F95:H95">
      <formula1>"On Saleable Area,On Builtup Area,On Carpet Area,On Plot Area"</formula1>
    </dataValidation>
    <dataValidation type="list" allowBlank="1" showInputMessage="1" showErrorMessage="1" sqref="F107:H107">
      <formula1>"100000,150000,200000,250000,300000,350000,400000,500000,600000,700000,800000,900000,1000000,1200000,1400000,1500000"</formula1>
    </dataValidation>
    <dataValidation type="list" allowBlank="1" showInputMessage="1" showErrorMessage="1" sqref="F127 F157">
      <formula1>"Saleable area Loading :,Builder Saleable area"</formula1>
    </dataValidation>
    <dataValidation type="list" allowBlank="1" showInputMessage="1" showErrorMessage="1" sqref="B127:B128">
      <formula1>"Shop No. (Sale Plan),Sale / Rehab,Sale / Mhada"</formula1>
    </dataValidation>
    <dataValidation type="list" allowBlank="1" showInputMessage="1" showErrorMessage="1" sqref="B157:B158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  <hyperlink ref="I115" r:id="rId2"/>
    <hyperlink ref="I116" r:id="rId3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4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16383" man="1"/>
    <brk id="221" max="16383" man="1"/>
    <brk id="263" max="16383" man="1"/>
    <brk id="305" max="16383" man="1"/>
  </rowBreaks>
  <drawing r:id="rId5"/>
  <legacy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2695312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02" t="s">
        <v>107</v>
      </c>
      <c r="C3" s="202"/>
      <c r="D3" s="202"/>
      <c r="E3" s="202"/>
      <c r="F3" s="202"/>
      <c r="G3" s="202"/>
      <c r="H3" s="202"/>
    </row>
    <row r="4" spans="1:9" x14ac:dyDescent="0.35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zoomScale="130" zoomScaleNormal="130" workbookViewId="0">
      <selection activeCell="C31" sqref="C31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58"/>
      <c r="C4" s="58" t="s">
        <v>12</v>
      </c>
      <c r="D4" s="59" t="s">
        <v>177</v>
      </c>
      <c r="E4" s="59" t="s">
        <v>187</v>
      </c>
      <c r="F4" s="59" t="s">
        <v>171</v>
      </c>
      <c r="G4" s="59" t="s">
        <v>192</v>
      </c>
      <c r="H4" s="59" t="s">
        <v>210</v>
      </c>
      <c r="J4" t="s">
        <v>192</v>
      </c>
      <c r="K4" t="s">
        <v>208</v>
      </c>
    </row>
    <row r="5" spans="2:11" x14ac:dyDescent="0.35">
      <c r="B5" s="58"/>
      <c r="C5" s="58"/>
      <c r="D5" s="59" t="s">
        <v>178</v>
      </c>
      <c r="E5" s="59" t="s">
        <v>185</v>
      </c>
      <c r="F5" s="59" t="s">
        <v>207</v>
      </c>
      <c r="G5" s="59" t="s">
        <v>193</v>
      </c>
      <c r="H5" s="59" t="s">
        <v>211</v>
      </c>
    </row>
    <row r="6" spans="2:11" x14ac:dyDescent="0.35">
      <c r="B6" s="58"/>
      <c r="C6" s="58"/>
      <c r="D6" s="59" t="s">
        <v>179</v>
      </c>
      <c r="E6" s="59" t="s">
        <v>186</v>
      </c>
      <c r="F6" s="59" t="s">
        <v>208</v>
      </c>
      <c r="G6" s="59" t="s">
        <v>194</v>
      </c>
      <c r="H6" s="59" t="s">
        <v>224</v>
      </c>
    </row>
    <row r="7" spans="2:11" x14ac:dyDescent="0.35">
      <c r="B7" s="58"/>
      <c r="C7" s="58"/>
      <c r="D7" s="59" t="s">
        <v>180</v>
      </c>
      <c r="E7" s="59" t="s">
        <v>188</v>
      </c>
      <c r="F7" s="59" t="s">
        <v>209</v>
      </c>
      <c r="G7" s="59" t="s">
        <v>195</v>
      </c>
      <c r="H7" s="59" t="s">
        <v>212</v>
      </c>
    </row>
    <row r="8" spans="2:11" x14ac:dyDescent="0.35">
      <c r="B8" s="58"/>
      <c r="C8" s="58"/>
      <c r="D8" s="59" t="s">
        <v>181</v>
      </c>
      <c r="E8" s="59" t="s">
        <v>189</v>
      </c>
      <c r="F8" s="59"/>
      <c r="G8" s="59" t="s">
        <v>196</v>
      </c>
      <c r="H8" s="59" t="s">
        <v>213</v>
      </c>
    </row>
    <row r="9" spans="2:11" x14ac:dyDescent="0.35">
      <c r="B9" s="58"/>
      <c r="C9" s="58"/>
      <c r="D9" s="59" t="s">
        <v>182</v>
      </c>
      <c r="E9" s="59" t="s">
        <v>187</v>
      </c>
      <c r="F9" s="59"/>
      <c r="G9" s="59" t="s">
        <v>197</v>
      </c>
      <c r="H9" s="59" t="s">
        <v>214</v>
      </c>
    </row>
    <row r="10" spans="2:11" x14ac:dyDescent="0.35">
      <c r="B10" s="58"/>
      <c r="C10" s="58"/>
      <c r="D10" s="59" t="s">
        <v>183</v>
      </c>
      <c r="E10" s="59" t="s">
        <v>190</v>
      </c>
      <c r="F10" s="59"/>
      <c r="G10" s="59" t="s">
        <v>198</v>
      </c>
      <c r="H10" s="59" t="s">
        <v>215</v>
      </c>
    </row>
    <row r="11" spans="2:11" x14ac:dyDescent="0.35">
      <c r="B11" s="58"/>
      <c r="C11" s="58"/>
      <c r="D11" s="59" t="s">
        <v>184</v>
      </c>
      <c r="E11" s="59" t="s">
        <v>191</v>
      </c>
      <c r="F11" s="59"/>
      <c r="G11" s="59" t="s">
        <v>199</v>
      </c>
      <c r="H11" s="59" t="s">
        <v>216</v>
      </c>
    </row>
    <row r="12" spans="2:11" x14ac:dyDescent="0.35">
      <c r="B12" s="58"/>
      <c r="C12" s="58"/>
      <c r="D12" s="59"/>
      <c r="E12" s="59"/>
      <c r="F12" s="59"/>
      <c r="G12" s="59" t="s">
        <v>200</v>
      </c>
      <c r="H12" s="59" t="s">
        <v>217</v>
      </c>
    </row>
    <row r="13" spans="2:11" x14ac:dyDescent="0.35">
      <c r="B13" s="58"/>
      <c r="C13" s="58"/>
      <c r="D13" s="59"/>
      <c r="E13" s="59"/>
      <c r="F13" s="59"/>
      <c r="G13" s="59" t="s">
        <v>201</v>
      </c>
      <c r="H13" s="59" t="s">
        <v>218</v>
      </c>
    </row>
    <row r="14" spans="2:11" x14ac:dyDescent="0.35">
      <c r="B14" s="58"/>
      <c r="C14" s="58"/>
      <c r="D14" s="59"/>
      <c r="E14" s="59"/>
      <c r="F14" s="59"/>
      <c r="G14" s="59" t="s">
        <v>202</v>
      </c>
      <c r="H14" s="59" t="s">
        <v>219</v>
      </c>
    </row>
    <row r="15" spans="2:11" x14ac:dyDescent="0.35">
      <c r="B15" s="58"/>
      <c r="C15" s="58"/>
      <c r="D15" s="59"/>
      <c r="E15" s="59"/>
      <c r="F15" s="59"/>
      <c r="G15" s="59" t="s">
        <v>203</v>
      </c>
      <c r="H15" s="59" t="s">
        <v>220</v>
      </c>
    </row>
    <row r="16" spans="2:11" x14ac:dyDescent="0.35">
      <c r="B16" s="58"/>
      <c r="C16" s="58"/>
      <c r="D16" s="59"/>
      <c r="E16" s="59"/>
      <c r="F16" s="59"/>
      <c r="G16" s="59" t="s">
        <v>204</v>
      </c>
      <c r="H16" s="59" t="s">
        <v>221</v>
      </c>
    </row>
    <row r="17" spans="2:8" x14ac:dyDescent="0.35">
      <c r="B17" s="58"/>
      <c r="C17" s="58"/>
      <c r="D17" s="59"/>
      <c r="E17" s="59"/>
      <c r="F17" s="59"/>
      <c r="G17" s="59" t="s">
        <v>205</v>
      </c>
      <c r="H17" s="59" t="s">
        <v>222</v>
      </c>
    </row>
    <row r="18" spans="2:8" x14ac:dyDescent="0.35">
      <c r="B18" s="58"/>
      <c r="C18" s="58"/>
      <c r="D18" s="59"/>
      <c r="E18" s="59"/>
      <c r="F18" s="59"/>
      <c r="G18" s="59" t="s">
        <v>206</v>
      </c>
      <c r="H18" s="59" t="s">
        <v>223</v>
      </c>
    </row>
    <row r="24" spans="2:8" x14ac:dyDescent="0.35">
      <c r="C24" t="s">
        <v>169</v>
      </c>
    </row>
    <row r="25" spans="2:8" x14ac:dyDescent="0.35">
      <c r="C25" t="s">
        <v>225</v>
      </c>
    </row>
    <row r="26" spans="2:8" x14ac:dyDescent="0.35">
      <c r="C26" t="s">
        <v>226</v>
      </c>
    </row>
    <row r="27" spans="2:8" x14ac:dyDescent="0.35">
      <c r="C27" t="s">
        <v>227</v>
      </c>
    </row>
    <row r="28" spans="2:8" x14ac:dyDescent="0.35">
      <c r="C28" t="s">
        <v>228</v>
      </c>
    </row>
    <row r="29" spans="2:8" x14ac:dyDescent="0.35">
      <c r="C29" t="s">
        <v>229</v>
      </c>
    </row>
    <row r="30" spans="2:8" x14ac:dyDescent="0.35">
      <c r="C30" t="s">
        <v>169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2025-04-11T09:45:30Z</cp:lastPrinted>
  <dcterms:created xsi:type="dcterms:W3CDTF">2019-07-16T09:29:46Z</dcterms:created>
  <dcterms:modified xsi:type="dcterms:W3CDTF">2025-07-14T15:59:50Z</dcterms:modified>
</cp:coreProperties>
</file>