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1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D213" i="1" l="1"/>
  <c r="D212" i="1"/>
  <c r="E167" i="1"/>
  <c r="E166" i="1"/>
  <c r="D141" i="1"/>
  <c r="D140" i="1"/>
  <c r="D134" i="1"/>
  <c r="D133" i="1"/>
  <c r="D132" i="1"/>
  <c r="D131" i="1"/>
  <c r="D130" i="1"/>
  <c r="D129" i="1"/>
  <c r="D127" i="1"/>
  <c r="F127" i="1" s="1"/>
  <c r="D126" i="1"/>
  <c r="F126" i="1" s="1"/>
  <c r="D125" i="1"/>
  <c r="F125" i="1" s="1"/>
  <c r="D124" i="1"/>
  <c r="F124" i="1" s="1"/>
  <c r="D123" i="1"/>
  <c r="F123" i="1" s="1"/>
  <c r="D144" i="1"/>
  <c r="J136" i="1"/>
  <c r="J133" i="1"/>
  <c r="G123" i="1"/>
  <c r="J124" i="1"/>
  <c r="A124" i="1"/>
  <c r="A125" i="1" s="1"/>
  <c r="A126" i="1" s="1"/>
  <c r="A127" i="1" s="1"/>
  <c r="C111" i="1" l="1"/>
  <c r="D205" i="1"/>
  <c r="F205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G198" i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A189" i="1"/>
  <c r="A190" i="1" s="1"/>
  <c r="A191" i="1" s="1"/>
  <c r="A192" i="1" s="1"/>
  <c r="G188" i="1"/>
  <c r="D185" i="1"/>
  <c r="F185" i="1" s="1"/>
  <c r="D184" i="1"/>
  <c r="F184" i="1" s="1"/>
  <c r="D186" i="1"/>
  <c r="F186" i="1" s="1"/>
  <c r="D183" i="1"/>
  <c r="F183" i="1" s="1"/>
  <c r="D182" i="1"/>
  <c r="F182" i="1" s="1"/>
  <c r="D181" i="1"/>
  <c r="F181" i="1" s="1"/>
  <c r="D180" i="1"/>
  <c r="F180" i="1" s="1"/>
  <c r="D179" i="1"/>
  <c r="F179" i="1" s="1"/>
  <c r="G179" i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A171" i="1"/>
  <c r="A172" i="1" s="1"/>
  <c r="A173" i="1" s="1"/>
  <c r="A174" i="1" s="1"/>
  <c r="A175" i="1" s="1"/>
  <c r="A176" i="1" s="1"/>
  <c r="A177" i="1" s="1"/>
  <c r="G170" i="1"/>
  <c r="D170" i="1"/>
  <c r="F170" i="1" s="1"/>
  <c r="D167" i="1"/>
  <c r="D166" i="1"/>
  <c r="D168" i="1"/>
  <c r="F168" i="1" s="1"/>
  <c r="D165" i="1"/>
  <c r="F165" i="1" s="1"/>
  <c r="D164" i="1"/>
  <c r="F164" i="1" s="1"/>
  <c r="D163" i="1"/>
  <c r="F163" i="1" s="1"/>
  <c r="D162" i="1"/>
  <c r="F162" i="1" s="1"/>
  <c r="A162" i="1"/>
  <c r="A163" i="1" s="1"/>
  <c r="A164" i="1" s="1"/>
  <c r="A165" i="1" s="1"/>
  <c r="A166" i="1" s="1"/>
  <c r="A167" i="1" s="1"/>
  <c r="A168" i="1" s="1"/>
  <c r="G161" i="1"/>
  <c r="D161" i="1"/>
  <c r="F161" i="1" s="1"/>
  <c r="D159" i="1"/>
  <c r="F159" i="1" s="1"/>
  <c r="D158" i="1"/>
  <c r="F158" i="1" s="1"/>
  <c r="D157" i="1"/>
  <c r="F157" i="1" s="1"/>
  <c r="D156" i="1"/>
  <c r="F156" i="1" s="1"/>
  <c r="D155" i="1"/>
  <c r="F155" i="1" s="1"/>
  <c r="A155" i="1"/>
  <c r="A156" i="1" s="1"/>
  <c r="A157" i="1" s="1"/>
  <c r="A158" i="1" s="1"/>
  <c r="A159" i="1" s="1"/>
  <c r="G154" i="1"/>
  <c r="D154" i="1"/>
  <c r="F154" i="1" s="1"/>
  <c r="D152" i="1"/>
  <c r="F152" i="1" s="1"/>
  <c r="D151" i="1"/>
  <c r="F151" i="1" s="1"/>
  <c r="D150" i="1"/>
  <c r="F150" i="1" s="1"/>
  <c r="D149" i="1"/>
  <c r="F149" i="1" s="1"/>
  <c r="I148" i="1" s="1"/>
  <c r="D148" i="1"/>
  <c r="F148" i="1" s="1"/>
  <c r="D147" i="1"/>
  <c r="F147" i="1" s="1"/>
  <c r="I147" i="1" s="1"/>
  <c r="G147" i="1"/>
  <c r="A148" i="1"/>
  <c r="A149" i="1" s="1"/>
  <c r="A150" i="1" s="1"/>
  <c r="A151" i="1" s="1"/>
  <c r="A152" i="1" s="1"/>
  <c r="F212" i="1"/>
  <c r="F213" i="1"/>
  <c r="D209" i="1"/>
  <c r="F209" i="1" s="1"/>
  <c r="D208" i="1"/>
  <c r="F208" i="1" s="1"/>
  <c r="D211" i="1"/>
  <c r="F211" i="1" s="1"/>
  <c r="D210" i="1"/>
  <c r="F210" i="1" s="1"/>
  <c r="A208" i="1"/>
  <c r="A209" i="1" s="1"/>
  <c r="A210" i="1" s="1"/>
  <c r="A211" i="1" s="1"/>
  <c r="A212" i="1" s="1"/>
  <c r="A213" i="1" s="1"/>
  <c r="G207" i="1"/>
  <c r="D207" i="1"/>
  <c r="F207" i="1" s="1"/>
  <c r="D142" i="1"/>
  <c r="D145" i="1"/>
  <c r="F145" i="1" s="1"/>
  <c r="F144" i="1"/>
  <c r="D143" i="1"/>
  <c r="F134" i="1"/>
  <c r="F133" i="1"/>
  <c r="E111" i="1"/>
  <c r="J130" i="1"/>
  <c r="E114" i="1" l="1"/>
  <c r="F198" i="1"/>
  <c r="G115" i="1" s="1"/>
  <c r="E115" i="1"/>
  <c r="C114" i="1"/>
  <c r="C115" i="1"/>
  <c r="F167" i="1"/>
  <c r="F166" i="1"/>
  <c r="C14" i="1"/>
  <c r="E116" i="1" l="1"/>
  <c r="C116" i="1"/>
  <c r="E29" i="1"/>
  <c r="F141" i="1" l="1"/>
  <c r="I141" i="1" s="1"/>
  <c r="F142" i="1"/>
  <c r="F143" i="1"/>
  <c r="F140" i="1"/>
  <c r="A141" i="1"/>
  <c r="A142" i="1" s="1"/>
  <c r="A143" i="1" s="1"/>
  <c r="A144" i="1" s="1"/>
  <c r="A145" i="1" s="1"/>
  <c r="G140" i="1"/>
  <c r="G114" i="1" l="1"/>
  <c r="G116" i="1" s="1"/>
  <c r="F108" i="1"/>
  <c r="F130" i="1" l="1"/>
  <c r="F131" i="1"/>
  <c r="F132" i="1"/>
  <c r="F129" i="1"/>
  <c r="G111" i="1" l="1"/>
  <c r="B216" i="1"/>
  <c r="B21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37" i="1"/>
  <c r="A130" i="1"/>
  <c r="A131" i="1" s="1"/>
  <c r="A132" i="1" s="1"/>
  <c r="A133" i="1" s="1"/>
  <c r="A134" i="1" s="1"/>
  <c r="G129" i="1"/>
  <c r="J92" i="1"/>
  <c r="J91" i="1"/>
  <c r="J90" i="1"/>
  <c r="J89" i="1"/>
  <c r="C81" i="1"/>
  <c r="J78" i="1"/>
  <c r="J77" i="1"/>
  <c r="J76" i="1"/>
  <c r="J75" i="1"/>
  <c r="C67" i="1"/>
  <c r="D55" i="1"/>
  <c r="G49" i="1"/>
  <c r="G50" i="1" s="1"/>
  <c r="C49" i="1"/>
  <c r="E42" i="1"/>
  <c r="E43" i="1" s="1"/>
  <c r="E26" i="1"/>
  <c r="E24" i="1"/>
  <c r="E7" i="1"/>
  <c r="H82" i="1"/>
  <c r="H68" i="1"/>
  <c r="D61" i="1" l="1"/>
  <c r="D92" i="1"/>
  <c r="D93" i="1"/>
  <c r="D94" i="1"/>
  <c r="D88" i="1"/>
  <c r="D89" i="1"/>
  <c r="D90" i="1"/>
  <c r="D91" i="1"/>
  <c r="J81" i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87" i="1"/>
  <c r="J85" i="1"/>
  <c r="J86" i="1"/>
  <c r="C85" i="1" s="1"/>
  <c r="J84" i="1"/>
  <c r="J88" i="1" l="1"/>
  <c r="D85" i="1"/>
  <c r="J74" i="1"/>
  <c r="J79" i="1" s="1"/>
  <c r="J80" i="1" s="1"/>
  <c r="D87" i="1"/>
  <c r="J83" i="1"/>
  <c r="D73" i="1"/>
  <c r="J69" i="1"/>
  <c r="C72" i="1" l="1"/>
  <c r="G71" i="1" s="1"/>
  <c r="D65" i="1" s="1"/>
  <c r="F66" i="1" s="1"/>
  <c r="J93" i="1"/>
  <c r="D71" i="1"/>
  <c r="D72" i="1" l="1"/>
  <c r="I68" i="1" s="1"/>
  <c r="I69" i="1" s="1"/>
  <c r="J68" i="1"/>
  <c r="E71" i="1"/>
  <c r="D66" i="1"/>
  <c r="J94" i="1"/>
  <c r="C86" i="1" s="1"/>
  <c r="G85" i="1" s="1"/>
  <c r="I67" i="1" l="1"/>
  <c r="C69" i="1" s="1"/>
  <c r="E85" i="1"/>
  <c r="D86" i="1"/>
  <c r="I82" i="1" s="1"/>
  <c r="I83" i="1" s="1"/>
  <c r="J82" i="1"/>
  <c r="I81" i="1" l="1"/>
  <c r="C83" i="1" s="1"/>
</calcChain>
</file>

<file path=xl/sharedStrings.xml><?xml version="1.0" encoding="utf-8"?>
<sst xmlns="http://schemas.openxmlformats.org/spreadsheetml/2006/main" count="319" uniqueCount="225">
  <si>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</si>
  <si>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</si>
  <si>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</si>
  <si>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</si>
  <si>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</si>
  <si>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</si>
  <si>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</si>
  <si>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</si>
  <si>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</si>
  <si>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</si>
  <si>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</si>
  <si>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</si>
  <si>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</si>
  <si>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</si>
  <si>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</si>
  <si>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</si>
  <si>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</si>
  <si>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</si>
  <si>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</si>
  <si>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</si>
  <si>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</si>
  <si>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</si>
  <si>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</si>
  <si>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</si>
  <si>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</si>
  <si>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</si>
  <si>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</si>
  <si>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</si>
  <si>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</si>
  <si>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</si>
  <si>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</si>
  <si>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</si>
  <si>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</si>
  <si>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</si>
  <si>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</si>
  <si>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</si>
  <si>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</si>
  <si>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</si>
  <si>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</si>
  <si>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</si>
  <si>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</si>
  <si>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</si>
  <si>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</si>
  <si>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</si>
  <si>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</si>
  <si>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</si>
  <si>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</si>
  <si>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</si>
  <si>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</si>
  <si>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</si>
  <si>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</si>
  <si>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</si>
  <si>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</si>
  <si>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</si>
  <si>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</si>
  <si>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</si>
  <si>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</si>
  <si>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</si>
  <si>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</si>
  <si>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</si>
  <si>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</si>
  <si>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</si>
  <si>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</si>
  <si>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</si>
  <si>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</si>
  <si>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</si>
  <si>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</si>
  <si>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</si>
  <si>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</si>
  <si>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</si>
  <si>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</si>
  <si>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</si>
  <si>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</si>
  <si>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</si>
  <si>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</si>
  <si>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</si>
  <si>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</si>
  <si>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</si>
  <si>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</si>
  <si>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</si>
  <si>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</si>
  <si>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</si>
  <si>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</si>
  <si>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</si>
  <si>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</si>
  <si>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</si>
  <si>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</si>
  <si>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</si>
  <si>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</si>
  <si>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</si>
  <si>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</si>
  <si>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</si>
  <si>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</si>
  <si>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</si>
  <si>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</si>
  <si>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</si>
  <si>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</si>
  <si>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</si>
  <si>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</si>
  <si>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</si>
  <si>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</si>
  <si>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</si>
  <si>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</si>
  <si>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</si>
  <si>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</si>
  <si>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</si>
  <si>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</si>
  <si>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</si>
  <si>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</si>
  <si>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</si>
  <si>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</si>
  <si>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</si>
  <si>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</si>
  <si>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</si>
  <si>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</si>
  <si>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</si>
  <si>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</si>
  <si>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</si>
  <si>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</si>
  <si>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</si>
  <si>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</si>
  <si>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</si>
  <si>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</si>
  <si>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</si>
  <si>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</si>
  <si>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</si>
  <si>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</si>
  <si>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</si>
  <si>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</si>
  <si>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</si>
  <si>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</si>
  <si>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</si>
  <si>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</si>
  <si>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</si>
  <si>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</si>
  <si>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</si>
  <si>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</si>
  <si>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</si>
  <si>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</si>
  <si>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</si>
  <si>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</si>
  <si>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</si>
  <si>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</si>
  <si>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</si>
  <si>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</si>
  <si>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</si>
  <si>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</si>
  <si>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</si>
  <si>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</si>
  <si>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</si>
  <si>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</si>
  <si>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</si>
  <si>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</si>
  <si>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</si>
  <si>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</si>
  <si>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</si>
  <si>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</si>
  <si>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</si>
  <si>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</si>
  <si>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</si>
  <si>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</si>
  <si>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</si>
  <si>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</si>
  <si>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</si>
  <si>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</si>
  <si>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</si>
  <si>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</si>
  <si>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</si>
  <si>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</si>
  <si>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</si>
  <si>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</si>
  <si>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</si>
  <si>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Goregaon</t>
  </si>
  <si>
    <t>La Mer Regency</t>
  </si>
  <si>
    <t>P52000034668</t>
  </si>
  <si>
    <t>Plot No</t>
  </si>
  <si>
    <t>Panvel</t>
  </si>
  <si>
    <t>Raigad</t>
  </si>
  <si>
    <t>Old Panvel</t>
  </si>
  <si>
    <t>2.2KM from Panvel Railway Station</t>
  </si>
  <si>
    <t>https://goo.gl/maps/nss1QzVZL4PT7sHj6</t>
  </si>
  <si>
    <t>Kalpataru Riverside Market Yard Road</t>
  </si>
  <si>
    <t>La Riveria lakhani</t>
  </si>
  <si>
    <t>Vasant Aalap Co-op Housing Society</t>
  </si>
  <si>
    <t>Open Plot</t>
  </si>
  <si>
    <t>Internal Road</t>
  </si>
  <si>
    <t>02 Building</t>
  </si>
  <si>
    <t>Panvel Municipal Corporation</t>
  </si>
  <si>
    <t>PMP/NRV/16293/JK-866/2022</t>
  </si>
  <si>
    <t>PMP/TP/Panvel/493/21-22/16293/866/2022</t>
  </si>
  <si>
    <t>As per RERA - 31/03/2027</t>
  </si>
  <si>
    <t>Ground Floor For Parking</t>
  </si>
  <si>
    <t>1st Floor for Residential</t>
  </si>
  <si>
    <t>1st Floor For Commercial</t>
  </si>
  <si>
    <t>A Wing</t>
  </si>
  <si>
    <t>Office</t>
  </si>
  <si>
    <t>1.6*</t>
  </si>
  <si>
    <t>B Wing</t>
  </si>
  <si>
    <t>6th, 7th, 9th Floor</t>
  </si>
  <si>
    <t>8th Floor (Part Refuge Area)</t>
  </si>
  <si>
    <t>5th Floor</t>
  </si>
  <si>
    <t>4th Floor</t>
  </si>
  <si>
    <t>We considered Gross carpet area = Net carpet + Balcony</t>
  </si>
  <si>
    <t>Approved Plans, CC, Cost Sheet</t>
  </si>
  <si>
    <t>M/s. La Mer Developers Pvt. Ltd</t>
  </si>
  <si>
    <t>A &amp; B Wing
B Wing</t>
  </si>
  <si>
    <t>Panvel West</t>
  </si>
  <si>
    <t>A &amp; B Wing = G + 1st to 9th Floor
B Wing = G + 1st to 9th Floor</t>
  </si>
  <si>
    <t>Ground Floor For Commercial &amp; Parking</t>
  </si>
  <si>
    <t>Shop</t>
  </si>
  <si>
    <t>3rd Floor  for Residential &amp; Amenities</t>
  </si>
  <si>
    <t xml:space="preserve">Flats -136, Offices -6, Shop -5 </t>
  </si>
  <si>
    <t>1st to 7th &amp; 9th Floor For Residential</t>
  </si>
  <si>
    <t>Construction work is in process at the time of Visit.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</si>
  <si>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</si>
  <si>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Site Meet Person Contact Details ( Name &amp; Contact No.)</t>
  </si>
  <si>
    <t>Vitrified tiles flooring, Kitchen Platform, Decorative Entrance, etc.</t>
  </si>
  <si>
    <t>Ravindra vishwakarma</t>
  </si>
  <si>
    <t>Mr. Prashant Tambe 9167914158</t>
  </si>
  <si>
    <t>A Wing = G + 1st to 13th Floor</t>
  </si>
  <si>
    <t>B Wing = G + 1st to 13th Floor</t>
  </si>
  <si>
    <t>Latitude,Longitude</t>
  </si>
  <si>
    <t>18.9791402,73.1111325</t>
  </si>
  <si>
    <t>As the construction work goes beyond the Approved plan &amp;  CC permission. Please provide revised approved CC &amp; Floor plans.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</si>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</sst>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"/>
    <numFmt numFmtId="170" formatCode="0.0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69" fontId="7" fillId="0" borderId="0" xfId="1" applyNumberFormat="1" applyFont="1" applyAlignment="1">
      <alignment horizontal="center" vertical="center"/>
    </xf>
    <xf numFmtId="170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31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0" fillId="0" borderId="21" xfId="1" applyFont="1" applyBorder="1" applyAlignment="1" applyProtection="1">
      <alignment horizontal="left" vertical="top" wrapText="1"/>
      <protection locked="0"/>
    </xf>
    <xf numFmtId="0" fontId="10" fillId="0" borderId="14" xfId="1" applyFont="1" applyBorder="1" applyAlignment="1" applyProtection="1">
      <alignment horizontal="left" vertical="top" wrapText="1"/>
      <protection locked="0"/>
    </xf>
    <xf numFmtId="0" fontId="10" fillId="0" borderId="12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10" fillId="0" borderId="3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10" fillId="0" borderId="1" xfId="1" applyFont="1" applyBorder="1" applyAlignment="1" applyProtection="1">
      <alignment horizontal="left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461530</xdr:colOff>
      <xdr:row>280</xdr:row>
      <xdr:rowOff>155864</xdr:rowOff>
    </xdr:from>
    <xdr:to>
      <xdr:col>6</xdr:col>
      <xdr:colOff>333355</xdr:colOff>
      <xdr:row>294</xdr:row>
      <xdr:rowOff>189063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3530" y="53876864"/>
          <a:ext cx="4019530" cy="282142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461530</xdr:colOff>
      <xdr:row>295</xdr:row>
      <xdr:rowOff>173183</xdr:rowOff>
    </xdr:from>
    <xdr:to>
      <xdr:col>6</xdr:col>
      <xdr:colOff>333355</xdr:colOff>
      <xdr:row>310</xdr:row>
      <xdr:rowOff>7220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3530" y="56881569"/>
          <a:ext cx="4019530" cy="28214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1066800</xdr:colOff>
      <xdr:row>235</xdr:row>
      <xdr:rowOff>104775</xdr:rowOff>
    </xdr:from>
    <xdr:to>
      <xdr:col>17</xdr:col>
      <xdr:colOff>69356</xdr:colOff>
      <xdr:row>271</xdr:row>
      <xdr:rowOff>99505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7912100" y="48409225"/>
          <a:ext cx="6393956" cy="7074980"/>
          <a:chOff x="194672" y="187101"/>
          <a:chExt cx="6060581" cy="7186105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0947" y="223744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4672" y="223744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67222" y="223744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54440" y="5573206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97706" y="5573206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77375" y="2898475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4672" y="2898475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67222" y="2898475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2" name="TextBox 14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194672" y="2898475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B</a:t>
            </a:r>
            <a:endParaRPr lang="en-IN" sz="1400" b="1"/>
          </a:p>
        </xdr:txBody>
      </xdr:sp>
      <xdr:sp macro="" textlink="">
        <xdr:nvSpPr>
          <xdr:cNvPr id="23" name="TextBox 15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5531978" y="187101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B</a:t>
            </a:r>
            <a:endParaRPr lang="en-IN" sz="1400" b="1"/>
          </a:p>
        </xdr:txBody>
      </xdr:sp>
      <xdr:sp macro="" textlink="">
        <xdr:nvSpPr>
          <xdr:cNvPr id="24" name="TextBox 16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277375" y="230131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A</a:t>
            </a:r>
            <a:endParaRPr lang="en-IN" sz="1400" b="1"/>
          </a:p>
        </xdr:txBody>
      </xdr:sp>
      <xdr:sp macro="" textlink="">
        <xdr:nvSpPr>
          <xdr:cNvPr id="25" name="TextBox 17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1207142" y="236518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A</a:t>
            </a:r>
            <a:endParaRPr lang="en-IN" sz="1400" b="1"/>
          </a:p>
        </xdr:txBody>
      </xdr:sp>
    </xdr:grpSp>
    <xdr:clientData/>
  </xdr:twoCellAnchor>
  <xdr:twoCellAnchor>
    <xdr:from>
      <xdr:col>0</xdr:col>
      <xdr:colOff>133350</xdr:colOff>
      <xdr:row>237</xdr:row>
      <xdr:rowOff>63500</xdr:rowOff>
    </xdr:from>
    <xdr:to>
      <xdr:col>7</xdr:col>
      <xdr:colOff>698501</xdr:colOff>
      <xdr:row>278</xdr:row>
      <xdr:rowOff>6350</xdr:rowOff>
    </xdr:to>
    <xdr:grpSp>
      <xdr:nvGrpSpPr>
        <xdr:cNvPr id="4" name="Group 3"/>
        <xdr:cNvGrpSpPr/>
      </xdr:nvGrpSpPr>
      <xdr:grpSpPr>
        <a:xfrm>
          <a:off x="133350" y="48761650"/>
          <a:ext cx="6540501" cy="8007350"/>
          <a:chOff x="133350" y="48761650"/>
          <a:chExt cx="6540501" cy="8007350"/>
        </a:xfrm>
      </xdr:grpSpPr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3935" y="55911481"/>
            <a:ext cx="1438667" cy="85751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3100" y="487616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79488" y="55911481"/>
            <a:ext cx="809156" cy="85751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58966" y="54356804"/>
            <a:ext cx="1348594" cy="145103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21775" y="54384514"/>
            <a:ext cx="2152076" cy="145103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6158" y="54356804"/>
            <a:ext cx="1348594" cy="145103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54356804"/>
            <a:ext cx="1348594" cy="145103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4765" y="51559227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4765" y="487616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38363" y="51559227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11711" y="55911481"/>
            <a:ext cx="809156" cy="85751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6478" y="51559227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21734" y="487616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5" name="TextBox 17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94765" y="48761650"/>
            <a:ext cx="763060" cy="303018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A</a:t>
            </a:r>
            <a:endParaRPr lang="en-IN" sz="1400" b="1"/>
          </a:p>
        </xdr:txBody>
      </xdr:sp>
      <xdr:sp macro="" textlink="">
        <xdr:nvSpPr>
          <xdr:cNvPr id="56" name="TextBox 17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656684" y="48831500"/>
            <a:ext cx="763060" cy="303018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A</a:t>
            </a:r>
            <a:endParaRPr lang="en-IN" sz="1400" b="1"/>
          </a:p>
        </xdr:txBody>
      </xdr:sp>
      <xdr:sp macro="" textlink="">
        <xdr:nvSpPr>
          <xdr:cNvPr id="57" name="TextBox 17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3280078" y="51692577"/>
            <a:ext cx="763060" cy="303018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B</a:t>
            </a:r>
            <a:endParaRPr lang="en-IN" sz="14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4566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1722386</xdr:colOff>
      <xdr:row>34</xdr:row>
      <xdr:rowOff>113072</xdr:rowOff>
    </xdr:from>
    <xdr:to>
      <xdr:col>9</xdr:col>
      <xdr:colOff>191746</xdr:colOff>
      <xdr:row>53</xdr:row>
      <xdr:rowOff>93572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84268" y="6601278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307041</xdr:colOff>
      <xdr:row>14</xdr:row>
      <xdr:rowOff>0</xdr:rowOff>
    </xdr:from>
    <xdr:to>
      <xdr:col>15</xdr:col>
      <xdr:colOff>199549</xdr:colOff>
      <xdr:row>32</xdr:row>
      <xdr:rowOff>171000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88306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ss1QzVZL4PT7sHj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80"/>
  <sheetViews>
    <sheetView tabSelected="1" view="pageBreakPreview" topLeftCell="A73" zoomScaleNormal="100" zoomScaleSheetLayoutView="100" workbookViewId="0">
      <selection activeCell="K77" sqref="K77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2.453125" style="40" customWidth="1"/>
    <col min="9" max="9" width="17.453125" style="21" customWidth="1"/>
    <col min="10" max="10" width="11.453125" style="21" customWidth="1"/>
    <col min="11" max="11" width="11.2695312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8" ht="46.5" customHeight="1" x14ac:dyDescent="0.35">
      <c r="A1" s="147" t="s">
        <v>214</v>
      </c>
      <c r="B1" s="147"/>
      <c r="C1" s="147"/>
      <c r="D1" s="147"/>
      <c r="E1" s="147"/>
      <c r="F1" s="147"/>
      <c r="G1" s="147"/>
      <c r="H1" s="147"/>
    </row>
    <row r="2" spans="1:8" ht="16.5" customHeight="1" x14ac:dyDescent="0.35">
      <c r="A2" s="117" t="s">
        <v>0</v>
      </c>
      <c r="B2" s="117"/>
      <c r="C2" s="117"/>
      <c r="D2" s="117"/>
      <c r="E2" s="117"/>
      <c r="F2" s="117"/>
      <c r="G2" s="117"/>
      <c r="H2" s="117"/>
    </row>
    <row r="3" spans="1:8" x14ac:dyDescent="0.35">
      <c r="A3" s="130" t="s">
        <v>1</v>
      </c>
      <c r="B3" s="130"/>
      <c r="C3" s="130"/>
      <c r="D3" s="130"/>
      <c r="E3" s="148" t="str">
        <f ca="1">TEXT(TODAY(),"DD/MM/YYYY")</f>
        <v>11/07/2025</v>
      </c>
      <c r="F3" s="130"/>
      <c r="G3" s="130"/>
      <c r="H3" s="130"/>
    </row>
    <row r="4" spans="1:8" ht="15" customHeight="1" x14ac:dyDescent="0.35">
      <c r="A4" s="130" t="s">
        <v>2</v>
      </c>
      <c r="B4" s="130"/>
      <c r="C4" s="130"/>
      <c r="D4" s="130"/>
      <c r="E4" s="130" t="s">
        <v>172</v>
      </c>
      <c r="F4" s="130"/>
      <c r="G4" s="130"/>
      <c r="H4" s="130"/>
    </row>
    <row r="5" spans="1:8" x14ac:dyDescent="0.35">
      <c r="A5" s="130" t="s">
        <v>3</v>
      </c>
      <c r="B5" s="130"/>
      <c r="C5" s="130"/>
      <c r="D5" s="130"/>
      <c r="E5" s="148">
        <v>45847</v>
      </c>
      <c r="F5" s="130"/>
      <c r="G5" s="130"/>
      <c r="H5" s="130"/>
    </row>
    <row r="6" spans="1:8" ht="16.5" customHeight="1" x14ac:dyDescent="0.35">
      <c r="A6" s="130" t="s">
        <v>4</v>
      </c>
      <c r="B6" s="130"/>
      <c r="C6" s="130"/>
      <c r="D6" s="130"/>
      <c r="E6" s="130" t="s">
        <v>204</v>
      </c>
      <c r="F6" s="130"/>
      <c r="G6" s="130"/>
      <c r="H6" s="130"/>
    </row>
    <row r="7" spans="1:8" ht="15" customHeight="1" x14ac:dyDescent="0.35">
      <c r="A7" s="130" t="s">
        <v>5</v>
      </c>
      <c r="B7" s="130"/>
      <c r="C7" s="130"/>
      <c r="D7" s="130"/>
      <c r="E7" s="130" t="str">
        <f>E6</f>
        <v>M/s. La Mer Developers Pvt. Ltd</v>
      </c>
      <c r="F7" s="130"/>
      <c r="G7" s="130"/>
      <c r="H7" s="130"/>
    </row>
    <row r="8" spans="1:8" x14ac:dyDescent="0.35">
      <c r="A8" s="130" t="s">
        <v>6</v>
      </c>
      <c r="B8" s="130"/>
      <c r="C8" s="130"/>
      <c r="D8" s="130"/>
      <c r="E8" s="149" t="s">
        <v>173</v>
      </c>
      <c r="F8" s="130"/>
      <c r="G8" s="130"/>
      <c r="H8" s="130"/>
    </row>
    <row r="9" spans="1:8" x14ac:dyDescent="0.35">
      <c r="A9" s="130" t="s">
        <v>125</v>
      </c>
      <c r="B9" s="130"/>
      <c r="C9" s="130"/>
      <c r="D9" s="130"/>
      <c r="E9" s="130">
        <v>9987300005</v>
      </c>
      <c r="F9" s="130"/>
      <c r="G9" s="130"/>
      <c r="H9" s="130"/>
    </row>
    <row r="10" spans="1:8" x14ac:dyDescent="0.35">
      <c r="A10" s="130" t="s">
        <v>215</v>
      </c>
      <c r="B10" s="130"/>
      <c r="C10" s="130"/>
      <c r="D10" s="130"/>
      <c r="E10" s="130" t="s">
        <v>218</v>
      </c>
      <c r="F10" s="130"/>
      <c r="G10" s="130"/>
      <c r="H10" s="130"/>
    </row>
    <row r="11" spans="1:8" x14ac:dyDescent="0.35">
      <c r="A11" s="130" t="s">
        <v>7</v>
      </c>
      <c r="B11" s="130"/>
      <c r="C11" s="130"/>
      <c r="D11" s="130"/>
      <c r="E11" s="93" t="s">
        <v>205</v>
      </c>
      <c r="F11" s="130"/>
      <c r="G11" s="130"/>
      <c r="H11" s="130"/>
    </row>
    <row r="12" spans="1:8" x14ac:dyDescent="0.35">
      <c r="A12" s="86" t="s">
        <v>8</v>
      </c>
      <c r="B12" s="86"/>
      <c r="C12" s="86"/>
      <c r="D12" s="86"/>
      <c r="E12" s="93" t="s">
        <v>203</v>
      </c>
      <c r="F12" s="93"/>
      <c r="G12" s="93"/>
      <c r="H12" s="93"/>
    </row>
    <row r="13" spans="1:8" x14ac:dyDescent="0.35">
      <c r="A13" s="86" t="s">
        <v>9</v>
      </c>
      <c r="B13" s="86"/>
      <c r="C13" s="86"/>
      <c r="D13" s="86"/>
      <c r="E13" s="93" t="s">
        <v>174</v>
      </c>
      <c r="F13" s="138"/>
      <c r="G13" s="138"/>
      <c r="H13" s="138"/>
    </row>
    <row r="14" spans="1:8" ht="33" customHeight="1" x14ac:dyDescent="0.35">
      <c r="A14" s="137" t="s">
        <v>10</v>
      </c>
      <c r="B14" s="137"/>
      <c r="C14" s="13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La Mer Regency, Plot No.493, near La Riveria lakhani, Kalpataru Riverside Market Yard Road, Old Panvel, Panvel, Panvel West, Panvel, Raigad - 410206.</v>
      </c>
      <c r="D14" s="137"/>
      <c r="E14" s="137"/>
      <c r="F14" s="137"/>
      <c r="G14" s="137"/>
      <c r="H14" s="137"/>
    </row>
    <row r="15" spans="1:8" x14ac:dyDescent="0.35">
      <c r="A15" s="93" t="s">
        <v>175</v>
      </c>
      <c r="B15" s="150"/>
      <c r="C15" s="93">
        <v>493</v>
      </c>
      <c r="D15" s="93"/>
      <c r="E15" s="93"/>
      <c r="F15" s="93"/>
      <c r="G15" s="93"/>
      <c r="H15" s="93"/>
    </row>
    <row r="16" spans="1:8" ht="15.75" customHeight="1" x14ac:dyDescent="0.35">
      <c r="A16" s="89" t="s">
        <v>169</v>
      </c>
      <c r="B16" s="90"/>
      <c r="C16" s="89" t="s">
        <v>178</v>
      </c>
      <c r="D16" s="91"/>
      <c r="E16" s="91"/>
      <c r="F16" s="91"/>
      <c r="G16" s="91"/>
      <c r="H16" s="90"/>
    </row>
    <row r="17" spans="1:8" x14ac:dyDescent="0.35">
      <c r="A17" s="137" t="s">
        <v>11</v>
      </c>
      <c r="B17" s="137"/>
      <c r="C17" s="130" t="s">
        <v>181</v>
      </c>
      <c r="D17" s="130"/>
      <c r="E17" s="137" t="s">
        <v>170</v>
      </c>
      <c r="F17" s="137"/>
      <c r="G17" s="93" t="s">
        <v>176</v>
      </c>
      <c r="H17" s="93"/>
    </row>
    <row r="18" spans="1:8" x14ac:dyDescent="0.35">
      <c r="A18" s="86" t="s">
        <v>13</v>
      </c>
      <c r="B18" s="86"/>
      <c r="C18" s="93" t="s">
        <v>206</v>
      </c>
      <c r="D18" s="93"/>
      <c r="E18" s="137" t="s">
        <v>12</v>
      </c>
      <c r="F18" s="137"/>
      <c r="G18" s="139" t="s">
        <v>177</v>
      </c>
      <c r="H18" s="139"/>
    </row>
    <row r="19" spans="1:8" x14ac:dyDescent="0.35">
      <c r="A19" s="86" t="s">
        <v>74</v>
      </c>
      <c r="B19" s="86"/>
      <c r="C19" s="93" t="s">
        <v>176</v>
      </c>
      <c r="D19" s="93"/>
      <c r="E19" s="137" t="s">
        <v>14</v>
      </c>
      <c r="F19" s="137"/>
      <c r="G19" s="93">
        <v>410206</v>
      </c>
      <c r="H19" s="93"/>
    </row>
    <row r="20" spans="1:8" ht="32.25" customHeight="1" x14ac:dyDescent="0.35">
      <c r="A20" s="86" t="s">
        <v>126</v>
      </c>
      <c r="B20" s="86"/>
      <c r="C20" s="93" t="s">
        <v>182</v>
      </c>
      <c r="D20" s="93"/>
      <c r="E20" s="137" t="s">
        <v>15</v>
      </c>
      <c r="F20" s="137"/>
      <c r="G20" s="93" t="s">
        <v>179</v>
      </c>
      <c r="H20" s="93"/>
    </row>
    <row r="21" spans="1:8" ht="15" customHeight="1" x14ac:dyDescent="0.35">
      <c r="A21" s="137" t="s">
        <v>77</v>
      </c>
      <c r="B21" s="137"/>
      <c r="C21" s="137"/>
      <c r="D21" s="137"/>
      <c r="E21" s="130" t="s">
        <v>16</v>
      </c>
      <c r="F21" s="130"/>
      <c r="G21" s="130"/>
      <c r="H21" s="130"/>
    </row>
    <row r="22" spans="1:8" ht="18.75" customHeight="1" x14ac:dyDescent="0.35">
      <c r="A22" s="137"/>
      <c r="B22" s="137"/>
      <c r="C22" s="137"/>
      <c r="D22" s="137"/>
      <c r="E22" s="130"/>
      <c r="F22" s="130"/>
      <c r="G22" s="130"/>
      <c r="H22" s="130"/>
    </row>
    <row r="23" spans="1:8" ht="15" customHeight="1" x14ac:dyDescent="0.35">
      <c r="A23" s="137" t="s">
        <v>17</v>
      </c>
      <c r="B23" s="137"/>
      <c r="C23" s="137"/>
      <c r="D23" s="137"/>
      <c r="E23" s="93" t="s">
        <v>18</v>
      </c>
      <c r="F23" s="93"/>
      <c r="G23" s="93"/>
      <c r="H23" s="93"/>
    </row>
    <row r="24" spans="1:8" ht="15" customHeight="1" x14ac:dyDescent="0.35">
      <c r="A24" s="86" t="s">
        <v>19</v>
      </c>
      <c r="B24" s="86"/>
      <c r="C24" s="86"/>
      <c r="D24" s="86"/>
      <c r="E24" s="93" t="str">
        <f>IF(AND(G18="Mumbai"),"Upper Class","Middle Class")</f>
        <v>Middle Class</v>
      </c>
      <c r="F24" s="93"/>
      <c r="G24" s="93"/>
      <c r="H24" s="93"/>
    </row>
    <row r="25" spans="1:8" x14ac:dyDescent="0.35">
      <c r="A25" s="86" t="s">
        <v>20</v>
      </c>
      <c r="B25" s="86"/>
      <c r="C25" s="86"/>
      <c r="D25" s="86"/>
      <c r="E25" s="93" t="s">
        <v>21</v>
      </c>
      <c r="F25" s="93"/>
      <c r="G25" s="93"/>
      <c r="H25" s="93"/>
    </row>
    <row r="26" spans="1:8" ht="15.75" customHeight="1" x14ac:dyDescent="0.35">
      <c r="A26" s="86" t="s">
        <v>22</v>
      </c>
      <c r="B26" s="86"/>
      <c r="C26" s="86"/>
      <c r="D26" s="86"/>
      <c r="E26" s="93" t="str">
        <f>IF(AND(G18="Mumbai"),"Developed","Developing")</f>
        <v>Developing</v>
      </c>
      <c r="F26" s="93"/>
      <c r="G26" s="93"/>
      <c r="H26" s="93"/>
    </row>
    <row r="27" spans="1:8" x14ac:dyDescent="0.35">
      <c r="A27" s="86" t="s">
        <v>23</v>
      </c>
      <c r="B27" s="86"/>
      <c r="C27" s="86"/>
      <c r="D27" s="86"/>
      <c r="E27" s="93" t="s">
        <v>24</v>
      </c>
      <c r="F27" s="93"/>
      <c r="G27" s="93"/>
      <c r="H27" s="93"/>
    </row>
    <row r="28" spans="1:8" ht="15.75" customHeight="1" x14ac:dyDescent="0.35">
      <c r="A28" s="86" t="s">
        <v>82</v>
      </c>
      <c r="B28" s="86"/>
      <c r="C28" s="86"/>
      <c r="D28" s="86"/>
      <c r="E28" s="93" t="s">
        <v>83</v>
      </c>
      <c r="F28" s="93"/>
      <c r="G28" s="93"/>
      <c r="H28" s="93"/>
    </row>
    <row r="29" spans="1:8" ht="15" customHeight="1" x14ac:dyDescent="0.35">
      <c r="A29" s="86" t="s">
        <v>33</v>
      </c>
      <c r="B29" s="86"/>
      <c r="C29" s="86"/>
      <c r="D29" s="86"/>
      <c r="E29" s="9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93"/>
      <c r="G29" s="93"/>
      <c r="H29" s="93"/>
    </row>
    <row r="30" spans="1:8" ht="15.75" customHeight="1" x14ac:dyDescent="0.35">
      <c r="A30" s="86" t="s">
        <v>94</v>
      </c>
      <c r="B30" s="86"/>
      <c r="C30" s="86"/>
      <c r="D30" s="86"/>
      <c r="E30" s="93" t="s">
        <v>34</v>
      </c>
      <c r="F30" s="93"/>
      <c r="G30" s="93"/>
      <c r="H30" s="93"/>
    </row>
    <row r="31" spans="1:8" s="22" customFormat="1" x14ac:dyDescent="0.35">
      <c r="A31" s="136" t="s">
        <v>95</v>
      </c>
      <c r="B31" s="136"/>
      <c r="C31" s="135" t="s">
        <v>29</v>
      </c>
      <c r="D31" s="135"/>
      <c r="E31" s="135"/>
      <c r="F31" s="135" t="s">
        <v>31</v>
      </c>
      <c r="G31" s="135"/>
      <c r="H31" s="135"/>
    </row>
    <row r="32" spans="1:8" s="22" customFormat="1" x14ac:dyDescent="0.35">
      <c r="A32" s="133" t="s">
        <v>25</v>
      </c>
      <c r="B32" s="133" t="s">
        <v>30</v>
      </c>
      <c r="C32" s="119" t="s">
        <v>30</v>
      </c>
      <c r="D32" s="119"/>
      <c r="E32" s="119"/>
      <c r="F32" s="119" t="s">
        <v>183</v>
      </c>
      <c r="G32" s="119"/>
      <c r="H32" s="119"/>
    </row>
    <row r="33" spans="1:8" x14ac:dyDescent="0.35">
      <c r="A33" s="133" t="s">
        <v>26</v>
      </c>
      <c r="B33" s="133" t="s">
        <v>30</v>
      </c>
      <c r="C33" s="119" t="s">
        <v>30</v>
      </c>
      <c r="D33" s="119"/>
      <c r="E33" s="119"/>
      <c r="F33" s="119" t="s">
        <v>182</v>
      </c>
      <c r="G33" s="119"/>
      <c r="H33" s="119"/>
    </row>
    <row r="34" spans="1:8" s="22" customFormat="1" x14ac:dyDescent="0.35">
      <c r="A34" s="133" t="s">
        <v>28</v>
      </c>
      <c r="B34" s="133" t="s">
        <v>30</v>
      </c>
      <c r="C34" s="119" t="s">
        <v>30</v>
      </c>
      <c r="D34" s="119"/>
      <c r="E34" s="119"/>
      <c r="F34" s="119" t="s">
        <v>185</v>
      </c>
      <c r="G34" s="119"/>
      <c r="H34" s="119"/>
    </row>
    <row r="35" spans="1:8" x14ac:dyDescent="0.35">
      <c r="A35" s="133" t="s">
        <v>27</v>
      </c>
      <c r="B35" s="133" t="s">
        <v>30</v>
      </c>
      <c r="C35" s="119" t="s">
        <v>30</v>
      </c>
      <c r="D35" s="119"/>
      <c r="E35" s="119"/>
      <c r="F35" s="119" t="s">
        <v>184</v>
      </c>
      <c r="G35" s="119"/>
      <c r="H35" s="119"/>
    </row>
    <row r="36" spans="1:8" x14ac:dyDescent="0.35">
      <c r="A36" s="86" t="s">
        <v>32</v>
      </c>
      <c r="B36" s="86"/>
      <c r="C36" s="86"/>
      <c r="D36" s="86"/>
      <c r="E36" s="86"/>
      <c r="F36" s="86"/>
      <c r="G36" s="86"/>
      <c r="H36" s="86"/>
    </row>
    <row r="37" spans="1:8" ht="15.75" customHeight="1" x14ac:dyDescent="0.35">
      <c r="A37" s="86" t="s">
        <v>221</v>
      </c>
      <c r="B37" s="86"/>
      <c r="C37" s="206" t="s">
        <v>222</v>
      </c>
      <c r="D37" s="206"/>
      <c r="E37" s="206"/>
      <c r="F37" s="206"/>
      <c r="G37" s="206"/>
      <c r="H37" s="206"/>
    </row>
    <row r="38" spans="1:8" x14ac:dyDescent="0.35">
      <c r="A38" s="86" t="s">
        <v>168</v>
      </c>
      <c r="B38" s="86"/>
      <c r="C38" s="92" t="s">
        <v>180</v>
      </c>
      <c r="D38" s="93"/>
      <c r="E38" s="93"/>
      <c r="F38" s="93"/>
      <c r="G38" s="93"/>
      <c r="H38" s="93"/>
    </row>
    <row r="39" spans="1:8" x14ac:dyDescent="0.35">
      <c r="A39" s="120" t="s">
        <v>35</v>
      </c>
      <c r="B39" s="120"/>
      <c r="C39" s="120"/>
      <c r="D39" s="120"/>
      <c r="E39" s="120"/>
      <c r="F39" s="120"/>
      <c r="G39" s="120"/>
      <c r="H39" s="120"/>
    </row>
    <row r="40" spans="1:8" x14ac:dyDescent="0.35">
      <c r="A40" s="86" t="s">
        <v>36</v>
      </c>
      <c r="B40" s="86"/>
      <c r="C40" s="86"/>
      <c r="D40" s="86"/>
      <c r="E40" s="134">
        <v>3870</v>
      </c>
      <c r="F40" s="134"/>
      <c r="G40" s="134"/>
      <c r="H40" s="134"/>
    </row>
    <row r="41" spans="1:8" x14ac:dyDescent="0.35">
      <c r="A41" s="86" t="s">
        <v>37</v>
      </c>
      <c r="B41" s="86"/>
      <c r="C41" s="86"/>
      <c r="D41" s="86"/>
      <c r="E41" s="128">
        <v>1.1000000000000001</v>
      </c>
      <c r="F41" s="128"/>
      <c r="G41" s="128"/>
      <c r="H41" s="128"/>
    </row>
    <row r="42" spans="1:8" x14ac:dyDescent="0.35">
      <c r="A42" s="86" t="s">
        <v>38</v>
      </c>
      <c r="B42" s="86"/>
      <c r="C42" s="86"/>
      <c r="D42" s="86"/>
      <c r="E42" s="128">
        <f>E44/E40-E41</f>
        <v>1.5583979328165372</v>
      </c>
      <c r="F42" s="128"/>
      <c r="G42" s="128"/>
      <c r="H42" s="128"/>
    </row>
    <row r="43" spans="1:8" x14ac:dyDescent="0.35">
      <c r="A43" s="86" t="s">
        <v>39</v>
      </c>
      <c r="B43" s="86"/>
      <c r="C43" s="86"/>
      <c r="D43" s="86"/>
      <c r="E43" s="128">
        <f>E41+E42</f>
        <v>2.6583979328165372</v>
      </c>
      <c r="F43" s="128"/>
      <c r="G43" s="128"/>
      <c r="H43" s="128"/>
    </row>
    <row r="44" spans="1:8" x14ac:dyDescent="0.35">
      <c r="A44" s="86" t="s">
        <v>93</v>
      </c>
      <c r="B44" s="86"/>
      <c r="C44" s="86"/>
      <c r="D44" s="86"/>
      <c r="E44" s="129">
        <v>10288</v>
      </c>
      <c r="F44" s="129"/>
      <c r="G44" s="129"/>
      <c r="H44" s="129"/>
    </row>
    <row r="45" spans="1:8" x14ac:dyDescent="0.35">
      <c r="A45" s="130" t="s">
        <v>40</v>
      </c>
      <c r="B45" s="130"/>
      <c r="C45" s="130"/>
      <c r="D45" s="130"/>
      <c r="E45" s="130" t="s">
        <v>186</v>
      </c>
      <c r="F45" s="130"/>
      <c r="G45" s="130"/>
      <c r="H45" s="130"/>
    </row>
    <row r="46" spans="1:8" x14ac:dyDescent="0.35">
      <c r="A46" s="120" t="s">
        <v>41</v>
      </c>
      <c r="B46" s="120"/>
      <c r="C46" s="120"/>
      <c r="D46" s="120"/>
      <c r="E46" s="120"/>
      <c r="F46" s="120"/>
      <c r="G46" s="120"/>
      <c r="H46" s="120"/>
    </row>
    <row r="47" spans="1:8" ht="33.75" customHeight="1" x14ac:dyDescent="0.35">
      <c r="A47" s="94" t="s">
        <v>155</v>
      </c>
      <c r="B47" s="95"/>
      <c r="C47" s="96" t="s">
        <v>187</v>
      </c>
      <c r="D47" s="97"/>
      <c r="E47" s="97"/>
      <c r="F47" s="97"/>
      <c r="G47" s="97"/>
      <c r="H47" s="98"/>
    </row>
    <row r="48" spans="1:8" ht="15.75" customHeight="1" x14ac:dyDescent="0.35">
      <c r="A48" s="94" t="s">
        <v>42</v>
      </c>
      <c r="B48" s="95"/>
      <c r="C48" s="94" t="s">
        <v>188</v>
      </c>
      <c r="D48" s="131"/>
      <c r="E48" s="95"/>
      <c r="F48" s="18" t="s">
        <v>43</v>
      </c>
      <c r="G48" s="132">
        <v>44643</v>
      </c>
      <c r="H48" s="95"/>
    </row>
    <row r="49" spans="1:14" x14ac:dyDescent="0.35">
      <c r="A49" s="94" t="s">
        <v>44</v>
      </c>
      <c r="B49" s="95"/>
      <c r="C49" s="94" t="str">
        <f>C48</f>
        <v>PMP/NRV/16293/JK-866/2022</v>
      </c>
      <c r="D49" s="131"/>
      <c r="E49" s="95"/>
      <c r="F49" s="18" t="s">
        <v>43</v>
      </c>
      <c r="G49" s="132">
        <f>G48</f>
        <v>44643</v>
      </c>
      <c r="H49" s="180"/>
    </row>
    <row r="50" spans="1:14" s="23" customFormat="1" ht="30.75" customHeight="1" x14ac:dyDescent="0.35">
      <c r="A50" s="195" t="s">
        <v>159</v>
      </c>
      <c r="B50" s="196"/>
      <c r="C50" s="94" t="s">
        <v>189</v>
      </c>
      <c r="D50" s="131"/>
      <c r="E50" s="95"/>
      <c r="F50" s="18" t="s">
        <v>43</v>
      </c>
      <c r="G50" s="132">
        <f>G49</f>
        <v>44643</v>
      </c>
      <c r="H50" s="180"/>
    </row>
    <row r="51" spans="1:14" s="23" customFormat="1" x14ac:dyDescent="0.35">
      <c r="A51" s="197"/>
      <c r="B51" s="198"/>
      <c r="C51" s="94" t="s">
        <v>207</v>
      </c>
      <c r="D51" s="131"/>
      <c r="E51" s="131"/>
      <c r="F51" s="131"/>
      <c r="G51" s="131"/>
      <c r="H51" s="95"/>
    </row>
    <row r="52" spans="1:14" x14ac:dyDescent="0.35">
      <c r="A52" s="188" t="s">
        <v>171</v>
      </c>
      <c r="B52" s="189"/>
      <c r="C52" s="181" t="s">
        <v>30</v>
      </c>
      <c r="D52" s="182"/>
      <c r="E52" s="183"/>
      <c r="F52" s="53" t="s">
        <v>43</v>
      </c>
      <c r="G52" s="186" t="s">
        <v>30</v>
      </c>
      <c r="H52" s="187"/>
    </row>
    <row r="53" spans="1:14" hidden="1" x14ac:dyDescent="0.35">
      <c r="A53" s="190"/>
      <c r="B53" s="191"/>
      <c r="C53" s="181" t="s">
        <v>30</v>
      </c>
      <c r="D53" s="182"/>
      <c r="E53" s="182"/>
      <c r="F53" s="182"/>
      <c r="G53" s="182"/>
      <c r="H53" s="183"/>
    </row>
    <row r="54" spans="1:14" x14ac:dyDescent="0.35">
      <c r="A54" s="167" t="s">
        <v>46</v>
      </c>
      <c r="B54" s="167"/>
      <c r="C54" s="167"/>
      <c r="D54" s="167"/>
      <c r="E54" s="167"/>
      <c r="F54" s="167"/>
      <c r="G54" s="167"/>
      <c r="H54" s="167"/>
    </row>
    <row r="55" spans="1:14" x14ac:dyDescent="0.35">
      <c r="A55" s="137" t="s">
        <v>92</v>
      </c>
      <c r="B55" s="137"/>
      <c r="C55" s="137"/>
      <c r="D55" s="86">
        <f>E44</f>
        <v>10288</v>
      </c>
      <c r="E55" s="86"/>
      <c r="F55" s="86"/>
      <c r="G55" s="86"/>
      <c r="H55" s="86"/>
    </row>
    <row r="56" spans="1:14" x14ac:dyDescent="0.35">
      <c r="A56" s="93" t="s">
        <v>47</v>
      </c>
      <c r="B56" s="130"/>
      <c r="C56" s="130"/>
      <c r="D56" s="192" t="s">
        <v>211</v>
      </c>
      <c r="E56" s="192"/>
      <c r="F56" s="192"/>
      <c r="G56" s="192"/>
      <c r="H56" s="192"/>
      <c r="I56" s="24"/>
    </row>
    <row r="57" spans="1:14" x14ac:dyDescent="0.35">
      <c r="A57" s="140" t="s">
        <v>48</v>
      </c>
      <c r="B57" s="141"/>
      <c r="C57" s="194"/>
      <c r="D57" s="158" t="s">
        <v>207</v>
      </c>
      <c r="E57" s="193"/>
      <c r="F57" s="193"/>
      <c r="G57" s="193"/>
      <c r="H57" s="193"/>
    </row>
    <row r="58" spans="1:14" ht="15.75" customHeight="1" x14ac:dyDescent="0.35">
      <c r="A58" s="140" t="s">
        <v>90</v>
      </c>
      <c r="B58" s="141"/>
      <c r="C58" s="141"/>
      <c r="D58" s="144" t="s">
        <v>219</v>
      </c>
      <c r="E58" s="145"/>
      <c r="F58" s="145"/>
      <c r="G58" s="145"/>
      <c r="H58" s="146"/>
    </row>
    <row r="59" spans="1:14" ht="15.75" customHeight="1" x14ac:dyDescent="0.35">
      <c r="A59" s="142"/>
      <c r="B59" s="143"/>
      <c r="C59" s="143"/>
      <c r="D59" s="161" t="s">
        <v>220</v>
      </c>
      <c r="E59" s="162"/>
      <c r="F59" s="162"/>
      <c r="G59" s="162"/>
      <c r="H59" s="163"/>
    </row>
    <row r="60" spans="1:14" ht="15.75" customHeight="1" x14ac:dyDescent="0.35">
      <c r="A60" s="86" t="s">
        <v>45</v>
      </c>
      <c r="B60" s="86"/>
      <c r="C60" s="86"/>
      <c r="D60" s="121" t="s">
        <v>190</v>
      </c>
      <c r="E60" s="121"/>
      <c r="F60" s="121"/>
      <c r="G60" s="121"/>
      <c r="H60" s="121"/>
      <c r="J60" s="25"/>
      <c r="K60" s="24"/>
      <c r="N60" s="24"/>
    </row>
    <row r="61" spans="1:14" ht="15.75" customHeight="1" x14ac:dyDescent="0.35">
      <c r="A61" s="86" t="s">
        <v>88</v>
      </c>
      <c r="B61" s="86"/>
      <c r="C61" s="86"/>
      <c r="D61" s="127" t="str">
        <f>(IF(G52="NA","60 Years After Completion",IF(G52&lt;&gt;"NA",""&amp;60-ROUNDDOWN((E3-G52)/360,0)&amp;" Years"," ")))</f>
        <v>60 Years After Completion</v>
      </c>
      <c r="E61" s="127"/>
      <c r="F61" s="127"/>
      <c r="G61" s="127"/>
      <c r="H61" s="127"/>
      <c r="N61" s="24"/>
    </row>
    <row r="62" spans="1:14" ht="15.75" customHeight="1" x14ac:dyDescent="0.35">
      <c r="A62" s="86" t="s">
        <v>89</v>
      </c>
      <c r="B62" s="86"/>
      <c r="C62" s="86"/>
      <c r="D62" s="137" t="s">
        <v>24</v>
      </c>
      <c r="E62" s="137"/>
      <c r="F62" s="137"/>
      <c r="G62" s="137"/>
      <c r="H62" s="137"/>
      <c r="J62" s="26"/>
      <c r="K62" s="26"/>
    </row>
    <row r="63" spans="1:14" ht="15" customHeight="1" x14ac:dyDescent="0.35">
      <c r="A63" s="86" t="s">
        <v>75</v>
      </c>
      <c r="B63" s="86"/>
      <c r="C63" s="86"/>
      <c r="D63" s="93" t="s">
        <v>216</v>
      </c>
      <c r="E63" s="137"/>
      <c r="F63" s="137"/>
      <c r="G63" s="137"/>
      <c r="H63" s="137"/>
    </row>
    <row r="64" spans="1:14" x14ac:dyDescent="0.35">
      <c r="A64" s="137" t="s">
        <v>152</v>
      </c>
      <c r="B64" s="137"/>
      <c r="C64" s="137"/>
      <c r="D64" s="137" t="s">
        <v>30</v>
      </c>
      <c r="E64" s="137"/>
      <c r="F64" s="137"/>
      <c r="G64" s="137"/>
      <c r="H64" s="137"/>
      <c r="I64" s="27"/>
      <c r="J64" s="27"/>
      <c r="K64" s="27"/>
      <c r="L64" s="27"/>
      <c r="M64" s="27"/>
      <c r="N64" s="27"/>
    </row>
    <row r="65" spans="1:10" ht="15.75" customHeight="1" x14ac:dyDescent="0.35">
      <c r="A65" s="164" t="s">
        <v>87</v>
      </c>
      <c r="B65" s="164"/>
      <c r="C65" s="164"/>
      <c r="D65" s="158" t="str">
        <f ca="1">(IF(G71&gt;95%,"Nothing",IF(G71&gt;0%,"Cement, Aggregate, Steel, etc",IF(G71=0%,"Work not yet Started"))))</f>
        <v>Cement, Aggregate, Steel, etc</v>
      </c>
      <c r="E65" s="158"/>
      <c r="F65" s="158"/>
      <c r="G65" s="158"/>
      <c r="H65" s="158"/>
      <c r="J65" s="26"/>
    </row>
    <row r="66" spans="1:10" ht="33.75" customHeight="1" thickBot="1" x14ac:dyDescent="0.4">
      <c r="A66" s="157" t="s">
        <v>119</v>
      </c>
      <c r="B66" s="157"/>
      <c r="C66" s="157"/>
      <c r="D66" s="158" t="str">
        <f ca="1">(IF(D65="Nothing","Yes",IF(D65="Cement, Aggregate, Steel, etc","Under Construction",IF(D65="Work not yet Started","Work not yet Started"))))</f>
        <v>Under Construction</v>
      </c>
      <c r="E66" s="158"/>
      <c r="F66" s="158" t="str">
        <f ca="1">(IF(D65="Nothing","Yes",IF(D65="Cement, Aggregate, Steel, etc","Under Construction",IF(D65="Work not yet Started","Work not yet Started"))))</f>
        <v>Under Construction</v>
      </c>
      <c r="G66" s="158"/>
      <c r="H66" s="158"/>
    </row>
    <row r="67" spans="1:10" ht="15.75" customHeight="1" x14ac:dyDescent="0.35">
      <c r="A67" s="200" t="s">
        <v>144</v>
      </c>
      <c r="B67" s="201"/>
      <c r="C67" s="202" t="str">
        <f>D58</f>
        <v>A Wing = G + 1st to 13th Floor</v>
      </c>
      <c r="D67" s="203"/>
      <c r="E67" s="203"/>
      <c r="F67" s="203"/>
      <c r="G67" s="203"/>
      <c r="H67" s="204"/>
      <c r="I67" s="49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10 Floor, Painting upto 10 Floor Completed</v>
      </c>
      <c r="J67" s="50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10 Floor, Painting upto 10 Floor</v>
      </c>
    </row>
    <row r="68" spans="1:10" x14ac:dyDescent="0.35">
      <c r="A68" s="16" t="s">
        <v>146</v>
      </c>
      <c r="B68" s="47">
        <v>0</v>
      </c>
      <c r="C68" s="47" t="s">
        <v>73</v>
      </c>
      <c r="D68" s="47">
        <v>1</v>
      </c>
      <c r="E68" s="47" t="s">
        <v>72</v>
      </c>
      <c r="F68" s="47">
        <v>0</v>
      </c>
      <c r="G68" s="48" t="s">
        <v>81</v>
      </c>
      <c r="H68" s="17">
        <f ca="1">--TRIM(RIGHT(SUBSTITUTE(LEFT(C67,_xlfn.AGGREGATE(16,6,FIND({0,1,2,3,4,5,6,7,8,9},C67,ROW(INDIRECT("1:"&amp;LEN(C67)))),1))," ",REPT(" ",LEN(C67))),LEN(C67)))</f>
        <v>13</v>
      </c>
      <c r="I68" s="51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52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46.5" customHeight="1" x14ac:dyDescent="0.35">
      <c r="A69" s="199" t="s">
        <v>91</v>
      </c>
      <c r="B69" s="149"/>
      <c r="C69" s="155" t="str">
        <f ca="1">(IF($C$53=C67,"All work Completed. OC Received.",I67))</f>
        <v>Excavation, Plinth, RCC Slab, Brickwork, Internal Plaster, External Plaster Completed, Flooring upto 10 Floor, Painting upto 10 Floor Completed</v>
      </c>
      <c r="D69" s="155"/>
      <c r="E69" s="155"/>
      <c r="F69" s="155"/>
      <c r="G69" s="155"/>
      <c r="H69" s="156"/>
      <c r="I69" s="51" t="str">
        <f ca="1">IF(I68&lt;&gt;""," Completed","")</f>
        <v xml:space="preserve"> Completed</v>
      </c>
      <c r="J69" s="52" t="str">
        <f ca="1">IF(J67&lt;&gt;"","Completed","")</f>
        <v>Completed</v>
      </c>
    </row>
    <row r="70" spans="1:10" ht="15.75" customHeight="1" x14ac:dyDescent="0.35">
      <c r="A70" s="105" t="s">
        <v>49</v>
      </c>
      <c r="B70" s="106"/>
      <c r="C70" s="44" t="s">
        <v>143</v>
      </c>
      <c r="D70" s="44" t="s">
        <v>84</v>
      </c>
      <c r="E70" s="106" t="s">
        <v>86</v>
      </c>
      <c r="F70" s="106"/>
      <c r="G70" s="106" t="s">
        <v>85</v>
      </c>
      <c r="H70" s="178"/>
      <c r="I70" s="14" t="s">
        <v>145</v>
      </c>
      <c r="J70" s="28">
        <f ca="1">H68*25%</f>
        <v>3.25</v>
      </c>
    </row>
    <row r="71" spans="1:10" x14ac:dyDescent="0.35">
      <c r="A71" s="105" t="s">
        <v>132</v>
      </c>
      <c r="B71" s="106"/>
      <c r="C71" s="58">
        <f ca="1">J72</f>
        <v>13</v>
      </c>
      <c r="D71" s="19">
        <f ca="1">((100/H68)*C71)/100</f>
        <v>1</v>
      </c>
      <c r="E71" s="99">
        <f ca="1">(((C72/H68*10)+(40/(D68+F68+H68)*C73)+(7.5/(H68)*C74)+(7.5/(H68)*C75)+(10/H68*C76)+(10/H68*C77)+(5/H68*C78)+(5/H68*C79)+(5/H68*C80))/100)</f>
        <v>0.86538461538461531</v>
      </c>
      <c r="F71" s="122"/>
      <c r="G71" s="99">
        <f ca="1">((((C71/H68)*20)+((C72/H68)*25)+(30/(H68+F68+D68)*C73)+(5/H68*C74)+(5/H68*C75)+(5/H68*C76)+(5/H68*C77)+(0/H68*C78)+(0/H68*C79)+(5/H68*C80))/100)</f>
        <v>0.93846153846153835</v>
      </c>
      <c r="H71" s="100"/>
      <c r="I71" s="14" t="s">
        <v>102</v>
      </c>
      <c r="J71" s="29">
        <f ca="1">H68*50%</f>
        <v>6.5</v>
      </c>
    </row>
    <row r="72" spans="1:10" x14ac:dyDescent="0.35">
      <c r="A72" s="105" t="s">
        <v>50</v>
      </c>
      <c r="B72" s="106"/>
      <c r="C72" s="58">
        <f ca="1">J80</f>
        <v>13</v>
      </c>
      <c r="D72" s="19">
        <f ca="1">((100/H68)*C72)/100</f>
        <v>1</v>
      </c>
      <c r="E72" s="101"/>
      <c r="F72" s="123"/>
      <c r="G72" s="101"/>
      <c r="H72" s="102"/>
      <c r="I72" s="14" t="s">
        <v>103</v>
      </c>
      <c r="J72" s="29">
        <f ca="1">H68</f>
        <v>13</v>
      </c>
    </row>
    <row r="73" spans="1:10" ht="15.75" customHeight="1" x14ac:dyDescent="0.35">
      <c r="A73" s="105" t="s">
        <v>133</v>
      </c>
      <c r="B73" s="106"/>
      <c r="C73" s="44">
        <v>14</v>
      </c>
      <c r="D73" s="19">
        <f ca="1">((100/(D68+F68+H68))*C73)/100</f>
        <v>1</v>
      </c>
      <c r="E73" s="101"/>
      <c r="F73" s="123"/>
      <c r="G73" s="101"/>
      <c r="H73" s="102"/>
      <c r="I73" s="14" t="s">
        <v>104</v>
      </c>
      <c r="J73" s="30">
        <f ca="1">(IF(B68&gt;1,(H68/(B68+2)),H68/4))</f>
        <v>3.25</v>
      </c>
    </row>
    <row r="74" spans="1:10" ht="15.75" customHeight="1" x14ac:dyDescent="0.35">
      <c r="A74" s="105" t="s">
        <v>140</v>
      </c>
      <c r="B74" s="106" t="s">
        <v>134</v>
      </c>
      <c r="C74" s="44">
        <v>13</v>
      </c>
      <c r="D74" s="19">
        <f ca="1">((100/H68)*C74)/100</f>
        <v>1</v>
      </c>
      <c r="E74" s="101"/>
      <c r="F74" s="123"/>
      <c r="G74" s="101"/>
      <c r="H74" s="102"/>
      <c r="I74" s="14" t="s">
        <v>105</v>
      </c>
      <c r="J74" s="30">
        <f ca="1">(IF(B68&gt;1,(H68/(B68+2)+J73),H68/4+J73))</f>
        <v>6.5</v>
      </c>
    </row>
    <row r="75" spans="1:10" ht="15.75" customHeight="1" x14ac:dyDescent="0.35">
      <c r="A75" s="105" t="s">
        <v>141</v>
      </c>
      <c r="B75" s="106" t="s">
        <v>134</v>
      </c>
      <c r="C75" s="44">
        <v>13</v>
      </c>
      <c r="D75" s="19">
        <f ca="1">((100/H68)*C75)/100</f>
        <v>1</v>
      </c>
      <c r="E75" s="101"/>
      <c r="F75" s="123"/>
      <c r="G75" s="101"/>
      <c r="H75" s="102"/>
      <c r="I75" s="14" t="s">
        <v>150</v>
      </c>
      <c r="J75" s="30">
        <f>(IF(B68&gt;1,(H68/(B68+2)+J74),0))</f>
        <v>0</v>
      </c>
    </row>
    <row r="76" spans="1:10" ht="15" customHeight="1" x14ac:dyDescent="0.35">
      <c r="A76" s="105" t="s">
        <v>139</v>
      </c>
      <c r="B76" s="106" t="s">
        <v>136</v>
      </c>
      <c r="C76" s="44">
        <v>13</v>
      </c>
      <c r="D76" s="19">
        <f ca="1">((100/(H68))*C76)/100</f>
        <v>1</v>
      </c>
      <c r="E76" s="101"/>
      <c r="F76" s="123"/>
      <c r="G76" s="101"/>
      <c r="H76" s="102"/>
      <c r="I76" s="14" t="s">
        <v>147</v>
      </c>
      <c r="J76" s="30">
        <f>(IF(B68&gt;2,(H68/(B68+2)+J75),0))</f>
        <v>0</v>
      </c>
    </row>
    <row r="77" spans="1:10" ht="15.75" customHeight="1" x14ac:dyDescent="0.35">
      <c r="A77" s="105" t="s">
        <v>135</v>
      </c>
      <c r="B77" s="106" t="s">
        <v>135</v>
      </c>
      <c r="C77" s="44">
        <v>10</v>
      </c>
      <c r="D77" s="19">
        <f ca="1">((100/H68)*C77)/100</f>
        <v>0.76923076923076916</v>
      </c>
      <c r="E77" s="101"/>
      <c r="F77" s="123"/>
      <c r="G77" s="101"/>
      <c r="H77" s="102"/>
      <c r="I77" s="14" t="s">
        <v>148</v>
      </c>
      <c r="J77" s="31">
        <f>(IF(B68&gt;3,(H68/(B68+2)+J76),0))</f>
        <v>0</v>
      </c>
    </row>
    <row r="78" spans="1:10" ht="15.75" customHeight="1" x14ac:dyDescent="0.35">
      <c r="A78" s="105" t="s">
        <v>142</v>
      </c>
      <c r="B78" s="106"/>
      <c r="C78" s="44">
        <v>10</v>
      </c>
      <c r="D78" s="19">
        <f ca="1">((100/H68)*C78)/100</f>
        <v>0.76923076923076916</v>
      </c>
      <c r="E78" s="101"/>
      <c r="F78" s="123"/>
      <c r="G78" s="101"/>
      <c r="H78" s="102"/>
      <c r="I78" s="14" t="s">
        <v>149</v>
      </c>
      <c r="J78" s="30">
        <f>(IF(B68&gt;4,(H68/(B68+2)+J77),0))</f>
        <v>0</v>
      </c>
    </row>
    <row r="79" spans="1:10" ht="15.75" customHeight="1" x14ac:dyDescent="0.35">
      <c r="A79" s="105" t="s">
        <v>137</v>
      </c>
      <c r="B79" s="106" t="s">
        <v>137</v>
      </c>
      <c r="C79" s="44">
        <v>0</v>
      </c>
      <c r="D79" s="19">
        <f ca="1">((100/(H68))*C79)/100</f>
        <v>0</v>
      </c>
      <c r="E79" s="101"/>
      <c r="F79" s="123"/>
      <c r="G79" s="101"/>
      <c r="H79" s="102"/>
      <c r="I79" s="14" t="s">
        <v>151</v>
      </c>
      <c r="J79" s="30">
        <f ca="1">(IF(B68=1,(H68/(B68+3)+J74),IF(B68=0,(H68/4+J74),IF(B68&gt;1,0))))</f>
        <v>9.75</v>
      </c>
    </row>
    <row r="80" spans="1:10" ht="16" thickBot="1" x14ac:dyDescent="0.4">
      <c r="A80" s="125" t="s">
        <v>138</v>
      </c>
      <c r="B80" s="126"/>
      <c r="C80" s="45">
        <v>0</v>
      </c>
      <c r="D80" s="20">
        <f ca="1">((100/(H68))*C80)/100</f>
        <v>0</v>
      </c>
      <c r="E80" s="103"/>
      <c r="F80" s="124"/>
      <c r="G80" s="103"/>
      <c r="H80" s="104"/>
      <c r="I80" s="15" t="s">
        <v>106</v>
      </c>
      <c r="J80" s="32">
        <f ca="1">(IF(B68&gt;1.5,(H68/(B68+2)+J74+MAX(0,J75-J74)+MAX(0,J76-J75)+MAX(0,J77-J76)+MAX(0,J78-J77)+MAX(0,J79-J78)),IF(B68=1,(H68/(B68+3)+J79),IF(B68=0,H68/4+J79))))</f>
        <v>13</v>
      </c>
    </row>
    <row r="81" spans="1:10" ht="15.75" customHeight="1" x14ac:dyDescent="0.35">
      <c r="A81" s="169" t="s">
        <v>144</v>
      </c>
      <c r="B81" s="170"/>
      <c r="C81" s="171" t="str">
        <f>D59</f>
        <v>B Wing = G + 1st to 13th Floor</v>
      </c>
      <c r="D81" s="172"/>
      <c r="E81" s="172"/>
      <c r="F81" s="172"/>
      <c r="G81" s="172"/>
      <c r="H81" s="173"/>
      <c r="I81" s="49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 Completed, External Plaster upto 12 Floor, Flooring upto 9 Floor, Painting upto 9 Floor Completed</v>
      </c>
      <c r="J81" s="50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External Plaster upto 12 Floor, Flooring upto 9 Floor, Painting upto 9 Floor</v>
      </c>
    </row>
    <row r="82" spans="1:10" x14ac:dyDescent="0.35">
      <c r="A82" s="59" t="s">
        <v>146</v>
      </c>
      <c r="B82" s="60">
        <v>0</v>
      </c>
      <c r="C82" s="60" t="s">
        <v>73</v>
      </c>
      <c r="D82" s="60">
        <v>1</v>
      </c>
      <c r="E82" s="60" t="s">
        <v>72</v>
      </c>
      <c r="F82" s="60">
        <v>0</v>
      </c>
      <c r="G82" s="60" t="s">
        <v>81</v>
      </c>
      <c r="H82" s="61">
        <f ca="1">--TRIM(RIGHT(SUBSTITUTE(LEFT(C81,_xlfn.AGGREGATE(16,6,FIND({0,1,2,3,4,5,6,7,8,9},C81,ROW(INDIRECT("1:"&amp;LEN(C81)))),1))," ",REPT(" ",LEN(C81))),LEN(C81)))</f>
        <v>13</v>
      </c>
      <c r="I82" s="51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</v>
      </c>
      <c r="J82" s="52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49.5" customHeight="1" x14ac:dyDescent="0.35">
      <c r="A83" s="174" t="s">
        <v>91</v>
      </c>
      <c r="B83" s="175"/>
      <c r="C83" s="176" t="str">
        <f ca="1">(IF($C$53=C81,"All work Completed. OC Received.",I81))</f>
        <v>Excavation, Plinth, RCC Slab, Brickwork, Internal Plaster Completed, External Plaster upto 12 Floor, Flooring upto 9 Floor, Painting upto 9 Floor Completed</v>
      </c>
      <c r="D83" s="176"/>
      <c r="E83" s="176"/>
      <c r="F83" s="176"/>
      <c r="G83" s="176"/>
      <c r="H83" s="177"/>
      <c r="I83" s="51" t="str">
        <f ca="1">IF(I82&lt;&gt;""," Completed","")</f>
        <v xml:space="preserve"> Completed</v>
      </c>
      <c r="J83" s="52" t="str">
        <f ca="1">IF(J81&lt;&gt;"","Completed","")</f>
        <v>Completed</v>
      </c>
    </row>
    <row r="84" spans="1:10" ht="15.75" customHeight="1" x14ac:dyDescent="0.35">
      <c r="A84" s="105" t="s">
        <v>49</v>
      </c>
      <c r="B84" s="106"/>
      <c r="C84" s="44" t="s">
        <v>143</v>
      </c>
      <c r="D84" s="44" t="s">
        <v>84</v>
      </c>
      <c r="E84" s="106" t="s">
        <v>86</v>
      </c>
      <c r="F84" s="106"/>
      <c r="G84" s="106" t="s">
        <v>85</v>
      </c>
      <c r="H84" s="178"/>
      <c r="I84" s="14" t="s">
        <v>145</v>
      </c>
      <c r="J84" s="28">
        <f ca="1">H82*25%</f>
        <v>3.25</v>
      </c>
    </row>
    <row r="85" spans="1:10" x14ac:dyDescent="0.35">
      <c r="A85" s="105" t="s">
        <v>132</v>
      </c>
      <c r="B85" s="106"/>
      <c r="C85" s="58">
        <f ca="1">J86</f>
        <v>13</v>
      </c>
      <c r="D85" s="19">
        <f ca="1">((100/H82)*C85)/100</f>
        <v>1</v>
      </c>
      <c r="E85" s="99">
        <f ca="1">(((C86/H82*10)+(40/(D82+F82+H82)*C87)+(7.5/(H82)*C88)+(7.5/(H82)*C89)+(10/H82*C90)+(10/H82*C91)+(5/H82*C92)+(5/H82*C93)+(5/H82*C94))/100)</f>
        <v>0.84615384615384615</v>
      </c>
      <c r="F85" s="122"/>
      <c r="G85" s="99">
        <f ca="1">((((C85/H82)*20)+((C86/H82)*25)+(30/(H82+F82+D82)*C87)+(5/H82*C88)+(5/H82*C89)+(5/H82*C90)+(5/H82*C91)+(0/H82*C92)+(0/H82*C93)+(5/H82*C94))/100)</f>
        <v>0.93076923076923079</v>
      </c>
      <c r="H85" s="100"/>
      <c r="I85" s="14" t="s">
        <v>102</v>
      </c>
      <c r="J85" s="29">
        <f ca="1">H82*50%</f>
        <v>6.5</v>
      </c>
    </row>
    <row r="86" spans="1:10" x14ac:dyDescent="0.35">
      <c r="A86" s="105" t="s">
        <v>50</v>
      </c>
      <c r="B86" s="106"/>
      <c r="C86" s="58">
        <f ca="1">J94</f>
        <v>13</v>
      </c>
      <c r="D86" s="19">
        <f ca="1">((100/H82)*C86)/100</f>
        <v>1</v>
      </c>
      <c r="E86" s="101"/>
      <c r="F86" s="123"/>
      <c r="G86" s="101"/>
      <c r="H86" s="102"/>
      <c r="I86" s="14" t="s">
        <v>103</v>
      </c>
      <c r="J86" s="29">
        <f ca="1">H82</f>
        <v>13</v>
      </c>
    </row>
    <row r="87" spans="1:10" ht="15.75" customHeight="1" x14ac:dyDescent="0.35">
      <c r="A87" s="105" t="s">
        <v>133</v>
      </c>
      <c r="B87" s="106"/>
      <c r="C87" s="44">
        <v>14</v>
      </c>
      <c r="D87" s="19">
        <f ca="1">((100/(D82+F82+H82))*C87)/100</f>
        <v>1</v>
      </c>
      <c r="E87" s="101"/>
      <c r="F87" s="123"/>
      <c r="G87" s="101"/>
      <c r="H87" s="102"/>
      <c r="I87" s="14" t="s">
        <v>104</v>
      </c>
      <c r="J87" s="30">
        <f ca="1">(IF(B82&gt;1,(H82/(B82+2)),H82/4))</f>
        <v>3.25</v>
      </c>
    </row>
    <row r="88" spans="1:10" ht="15.75" customHeight="1" x14ac:dyDescent="0.35">
      <c r="A88" s="105" t="s">
        <v>140</v>
      </c>
      <c r="B88" s="106" t="s">
        <v>134</v>
      </c>
      <c r="C88" s="44">
        <v>13</v>
      </c>
      <c r="D88" s="19">
        <f ca="1">((100/H82)*C88)/100</f>
        <v>1</v>
      </c>
      <c r="E88" s="101"/>
      <c r="F88" s="123"/>
      <c r="G88" s="101"/>
      <c r="H88" s="102"/>
      <c r="I88" s="14" t="s">
        <v>105</v>
      </c>
      <c r="J88" s="30">
        <f ca="1">(IF(B82&gt;1,(H82/(B82+2)+J87),H82/4+J87))</f>
        <v>6.5</v>
      </c>
    </row>
    <row r="89" spans="1:10" ht="15.75" customHeight="1" x14ac:dyDescent="0.35">
      <c r="A89" s="105" t="s">
        <v>141</v>
      </c>
      <c r="B89" s="106" t="s">
        <v>134</v>
      </c>
      <c r="C89" s="44">
        <v>13</v>
      </c>
      <c r="D89" s="19">
        <f ca="1">((100/H82)*C89)/100</f>
        <v>1</v>
      </c>
      <c r="E89" s="101"/>
      <c r="F89" s="123"/>
      <c r="G89" s="101"/>
      <c r="H89" s="102"/>
      <c r="I89" s="14" t="s">
        <v>150</v>
      </c>
      <c r="J89" s="30">
        <f>(IF(B82&gt;1,(H82/(B82+2)+J88),0))</f>
        <v>0</v>
      </c>
    </row>
    <row r="90" spans="1:10" ht="15" customHeight="1" x14ac:dyDescent="0.35">
      <c r="A90" s="105" t="s">
        <v>139</v>
      </c>
      <c r="B90" s="106" t="s">
        <v>136</v>
      </c>
      <c r="C90" s="44">
        <v>12</v>
      </c>
      <c r="D90" s="19">
        <f ca="1">((100/(H82))*C90)/100</f>
        <v>0.92307692307692302</v>
      </c>
      <c r="E90" s="101"/>
      <c r="F90" s="123"/>
      <c r="G90" s="101"/>
      <c r="H90" s="102"/>
      <c r="I90" s="14" t="s">
        <v>147</v>
      </c>
      <c r="J90" s="30">
        <f>(IF(B82&gt;2,(H82/(B82+2)+J89),0))</f>
        <v>0</v>
      </c>
    </row>
    <row r="91" spans="1:10" ht="15.75" customHeight="1" x14ac:dyDescent="0.35">
      <c r="A91" s="105" t="s">
        <v>135</v>
      </c>
      <c r="B91" s="106" t="s">
        <v>135</v>
      </c>
      <c r="C91" s="44">
        <v>9</v>
      </c>
      <c r="D91" s="19">
        <f ca="1">((100/H82)*C91)/100</f>
        <v>0.69230769230769229</v>
      </c>
      <c r="E91" s="101"/>
      <c r="F91" s="123"/>
      <c r="G91" s="101"/>
      <c r="H91" s="102"/>
      <c r="I91" s="14" t="s">
        <v>148</v>
      </c>
      <c r="J91" s="31">
        <f>(IF(B82&gt;3,(H82/(B82+2)+J90),0))</f>
        <v>0</v>
      </c>
    </row>
    <row r="92" spans="1:10" ht="15.75" customHeight="1" x14ac:dyDescent="0.35">
      <c r="A92" s="105" t="s">
        <v>142</v>
      </c>
      <c r="B92" s="106"/>
      <c r="C92" s="44">
        <v>9</v>
      </c>
      <c r="D92" s="19">
        <f ca="1">((100/H82)*C92)/100</f>
        <v>0.69230769230769229</v>
      </c>
      <c r="E92" s="101"/>
      <c r="F92" s="123"/>
      <c r="G92" s="101"/>
      <c r="H92" s="102"/>
      <c r="I92" s="14" t="s">
        <v>149</v>
      </c>
      <c r="J92" s="30">
        <f>(IF(B82&gt;4,(H82/(B82+2)+J91),0))</f>
        <v>0</v>
      </c>
    </row>
    <row r="93" spans="1:10" ht="15.75" customHeight="1" x14ac:dyDescent="0.35">
      <c r="A93" s="105" t="s">
        <v>137</v>
      </c>
      <c r="B93" s="106" t="s">
        <v>137</v>
      </c>
      <c r="C93" s="44">
        <v>0</v>
      </c>
      <c r="D93" s="19">
        <f ca="1">((100/(H82))*C93)/100</f>
        <v>0</v>
      </c>
      <c r="E93" s="101"/>
      <c r="F93" s="123"/>
      <c r="G93" s="101"/>
      <c r="H93" s="102"/>
      <c r="I93" s="14" t="s">
        <v>151</v>
      </c>
      <c r="J93" s="30">
        <f ca="1">(IF(B82=1,(H82/(B82+3)+J88),IF(B82=0,(H82/4+J88),IF(B82&gt;1,0))))</f>
        <v>9.75</v>
      </c>
    </row>
    <row r="94" spans="1:10" ht="16" thickBot="1" x14ac:dyDescent="0.4">
      <c r="A94" s="125" t="s">
        <v>138</v>
      </c>
      <c r="B94" s="126"/>
      <c r="C94" s="45">
        <v>0</v>
      </c>
      <c r="D94" s="20">
        <f ca="1">((100/(H82))*C94)/100</f>
        <v>0</v>
      </c>
      <c r="E94" s="103"/>
      <c r="F94" s="124"/>
      <c r="G94" s="103"/>
      <c r="H94" s="104"/>
      <c r="I94" s="15" t="s">
        <v>106</v>
      </c>
      <c r="J94" s="32">
        <f ca="1">(IF(B82&gt;1.5,(H82/(B82+2)+J88+MAX(0,J89-J88)+MAX(0,J90-J89)+MAX(0,J91-J90)+MAX(0,J92-J91)+MAX(0,J93-J92)),IF(B82=1,(H82/(B82+3)+J93),IF(B82=0,H82/4+J93))))</f>
        <v>13</v>
      </c>
    </row>
    <row r="95" spans="1:10" x14ac:dyDescent="0.35">
      <c r="A95" s="179" t="s">
        <v>161</v>
      </c>
      <c r="B95" s="179"/>
      <c r="C95" s="179"/>
      <c r="D95" s="179"/>
      <c r="E95" s="179"/>
      <c r="F95" s="168" t="s">
        <v>166</v>
      </c>
      <c r="G95" s="168"/>
      <c r="H95" s="168"/>
    </row>
    <row r="96" spans="1:10" x14ac:dyDescent="0.35">
      <c r="A96" s="86" t="s">
        <v>164</v>
      </c>
      <c r="B96" s="86"/>
      <c r="C96" s="86"/>
      <c r="D96" s="86"/>
      <c r="E96" s="86"/>
      <c r="F96" s="185">
        <v>8200</v>
      </c>
      <c r="G96" s="185"/>
      <c r="H96" s="185"/>
    </row>
    <row r="97" spans="1:8" x14ac:dyDescent="0.35">
      <c r="A97" s="86" t="s">
        <v>163</v>
      </c>
      <c r="B97" s="86"/>
      <c r="C97" s="86"/>
      <c r="D97" s="86"/>
      <c r="E97" s="86"/>
      <c r="F97" s="85">
        <v>15000</v>
      </c>
      <c r="G97" s="85"/>
      <c r="H97" s="85"/>
    </row>
    <row r="98" spans="1:8" x14ac:dyDescent="0.35">
      <c r="A98" s="86" t="s">
        <v>165</v>
      </c>
      <c r="B98" s="86"/>
      <c r="C98" s="86"/>
      <c r="D98" s="86"/>
      <c r="E98" s="86"/>
      <c r="F98" s="85">
        <v>12500</v>
      </c>
      <c r="G98" s="85"/>
      <c r="H98" s="85"/>
    </row>
    <row r="99" spans="1:8" s="33" customFormat="1" hidden="1" x14ac:dyDescent="0.3">
      <c r="A99" s="86" t="s">
        <v>162</v>
      </c>
      <c r="B99" s="86"/>
      <c r="C99" s="86"/>
      <c r="D99" s="86"/>
      <c r="E99" s="86"/>
      <c r="F99" s="85"/>
      <c r="G99" s="85"/>
      <c r="H99" s="85"/>
    </row>
    <row r="100" spans="1:8" s="33" customFormat="1" hidden="1" x14ac:dyDescent="0.3">
      <c r="A100" s="86" t="s">
        <v>96</v>
      </c>
      <c r="B100" s="86"/>
      <c r="C100" s="86"/>
      <c r="D100" s="86"/>
      <c r="E100" s="86"/>
      <c r="F100" s="85"/>
      <c r="G100" s="85"/>
      <c r="H100" s="85"/>
    </row>
    <row r="101" spans="1:8" s="33" customFormat="1" hidden="1" x14ac:dyDescent="0.3">
      <c r="A101" s="86" t="s">
        <v>97</v>
      </c>
      <c r="B101" s="86"/>
      <c r="C101" s="86"/>
      <c r="D101" s="86"/>
      <c r="E101" s="86"/>
      <c r="F101" s="85"/>
      <c r="G101" s="85"/>
      <c r="H101" s="85"/>
    </row>
    <row r="102" spans="1:8" s="33" customFormat="1" hidden="1" x14ac:dyDescent="0.3">
      <c r="A102" s="86" t="s">
        <v>167</v>
      </c>
      <c r="B102" s="86"/>
      <c r="C102" s="86"/>
      <c r="D102" s="86"/>
      <c r="E102" s="86"/>
      <c r="F102" s="85"/>
      <c r="G102" s="85"/>
      <c r="H102" s="85"/>
    </row>
    <row r="103" spans="1:8" s="33" customFormat="1" hidden="1" x14ac:dyDescent="0.3">
      <c r="A103" s="86" t="s">
        <v>98</v>
      </c>
      <c r="B103" s="86"/>
      <c r="C103" s="86"/>
      <c r="D103" s="86"/>
      <c r="E103" s="86"/>
      <c r="F103" s="85"/>
      <c r="G103" s="85"/>
      <c r="H103" s="85"/>
    </row>
    <row r="104" spans="1:8" s="33" customFormat="1" hidden="1" x14ac:dyDescent="0.3">
      <c r="A104" s="86" t="s">
        <v>99</v>
      </c>
      <c r="B104" s="86"/>
      <c r="C104" s="86"/>
      <c r="D104" s="86"/>
      <c r="E104" s="86"/>
      <c r="F104" s="85"/>
      <c r="G104" s="85"/>
      <c r="H104" s="85"/>
    </row>
    <row r="105" spans="1:8" s="33" customFormat="1" hidden="1" x14ac:dyDescent="0.3">
      <c r="A105" s="86" t="s">
        <v>100</v>
      </c>
      <c r="B105" s="86"/>
      <c r="C105" s="86"/>
      <c r="D105" s="86"/>
      <c r="E105" s="86"/>
      <c r="F105" s="85"/>
      <c r="G105" s="85"/>
      <c r="H105" s="85"/>
    </row>
    <row r="106" spans="1:8" s="33" customFormat="1" hidden="1" x14ac:dyDescent="0.3">
      <c r="A106" s="86" t="s">
        <v>101</v>
      </c>
      <c r="B106" s="86"/>
      <c r="C106" s="86"/>
      <c r="D106" s="86"/>
      <c r="E106" s="86"/>
      <c r="F106" s="85"/>
      <c r="G106" s="85"/>
      <c r="H106" s="85"/>
    </row>
    <row r="107" spans="1:8" x14ac:dyDescent="0.35">
      <c r="A107" s="86" t="s">
        <v>51</v>
      </c>
      <c r="B107" s="86"/>
      <c r="C107" s="86"/>
      <c r="D107" s="86"/>
      <c r="E107" s="86"/>
      <c r="F107" s="85">
        <v>400000</v>
      </c>
      <c r="G107" s="85"/>
      <c r="H107" s="85"/>
    </row>
    <row r="108" spans="1:8" s="34" customFormat="1" x14ac:dyDescent="0.35">
      <c r="A108" s="120" t="s">
        <v>52</v>
      </c>
      <c r="B108" s="120"/>
      <c r="C108" s="120"/>
      <c r="D108" s="120"/>
      <c r="E108" s="120"/>
      <c r="F108" s="85">
        <f>F96*0.8</f>
        <v>6560</v>
      </c>
      <c r="G108" s="85"/>
      <c r="H108" s="85"/>
    </row>
    <row r="109" spans="1:8" s="35" customFormat="1" ht="15.75" customHeight="1" x14ac:dyDescent="0.35">
      <c r="A109" s="118" t="s">
        <v>76</v>
      </c>
      <c r="B109" s="118"/>
      <c r="C109" s="118"/>
      <c r="D109" s="118"/>
      <c r="E109" s="118"/>
      <c r="F109" s="118"/>
      <c r="G109" s="118"/>
      <c r="H109" s="118"/>
    </row>
    <row r="110" spans="1:8" s="35" customFormat="1" ht="15.75" customHeight="1" x14ac:dyDescent="0.35">
      <c r="A110" s="87" t="s">
        <v>53</v>
      </c>
      <c r="B110" s="87"/>
      <c r="C110" s="114" t="s">
        <v>79</v>
      </c>
      <c r="D110" s="114"/>
      <c r="E110" s="88" t="s">
        <v>54</v>
      </c>
      <c r="F110" s="88"/>
      <c r="G110" s="87" t="s">
        <v>55</v>
      </c>
      <c r="H110" s="87"/>
    </row>
    <row r="111" spans="1:8" s="35" customFormat="1" x14ac:dyDescent="0.35">
      <c r="A111" s="109" t="s">
        <v>194</v>
      </c>
      <c r="B111" s="109"/>
      <c r="C111" s="115">
        <f>COUNT(D129:D134)</f>
        <v>6</v>
      </c>
      <c r="D111" s="110"/>
      <c r="E111" s="111">
        <f>SUM(D129:D134)</f>
        <v>2883.2450399999998</v>
      </c>
      <c r="F111" s="116"/>
      <c r="G111" s="111">
        <f>SUM(F129:F134)</f>
        <v>4613.1920639999998</v>
      </c>
      <c r="H111" s="116"/>
    </row>
    <row r="112" spans="1:8" s="35" customFormat="1" x14ac:dyDescent="0.35">
      <c r="A112" s="118" t="s">
        <v>71</v>
      </c>
      <c r="B112" s="118"/>
      <c r="C112" s="118"/>
      <c r="D112" s="118"/>
      <c r="E112" s="118"/>
      <c r="F112" s="118"/>
      <c r="G112" s="118"/>
      <c r="H112" s="118"/>
    </row>
    <row r="113" spans="1:14" s="35" customFormat="1" ht="15.75" customHeight="1" x14ac:dyDescent="0.35">
      <c r="A113" s="87" t="s">
        <v>53</v>
      </c>
      <c r="B113" s="87"/>
      <c r="C113" s="114" t="s">
        <v>79</v>
      </c>
      <c r="D113" s="114"/>
      <c r="E113" s="88" t="s">
        <v>54</v>
      </c>
      <c r="F113" s="88"/>
      <c r="G113" s="87" t="s">
        <v>55</v>
      </c>
      <c r="H113" s="87"/>
    </row>
    <row r="114" spans="1:14" s="35" customFormat="1" x14ac:dyDescent="0.35">
      <c r="A114" s="109" t="s">
        <v>194</v>
      </c>
      <c r="B114" s="109"/>
      <c r="C114" s="110">
        <f>COUNT(D140:D145)+COUNT(D147:D152)+COUNT(D154:D159)+COUNT(D161:D168)+COUNT(D170:D177)+COUNT(D179:D186)*3+COUNT(D188:D194)</f>
        <v>65</v>
      </c>
      <c r="D114" s="110"/>
      <c r="E114" s="111">
        <f>SUM(D140:D145)+SUM(D147:D152)+SUM(D154:D159)+SUM(D161:D168)+SUM(D170:D177)+SUM(D179:D186)*3+SUM(D188:D194)</f>
        <v>36284.651769600008</v>
      </c>
      <c r="F114" s="111"/>
      <c r="G114" s="111">
        <f>SUM(F140:F145)+SUM(F147:F152)+SUM(F154:F159)+SUM(F161:F168)+SUM(F170:F177)+SUM(F179:F186)*3+SUM(F188:F194)</f>
        <v>54585.423734400014</v>
      </c>
      <c r="H114" s="111"/>
    </row>
    <row r="115" spans="1:14" s="35" customFormat="1" x14ac:dyDescent="0.35">
      <c r="A115" s="109" t="s">
        <v>197</v>
      </c>
      <c r="B115" s="109"/>
      <c r="C115" s="110">
        <f>COUNT(D198:D205)*8+COUNT(D207:D213)</f>
        <v>71</v>
      </c>
      <c r="D115" s="110"/>
      <c r="E115" s="111">
        <f>SUM(D198:D205)*8+SUM(D207:D213)</f>
        <v>40148.492904000013</v>
      </c>
      <c r="F115" s="111"/>
      <c r="G115" s="111">
        <f>SUM(F198:F205)*8+SUM(F207:F213)</f>
        <v>60222.739356000006</v>
      </c>
      <c r="H115" s="111"/>
    </row>
    <row r="116" spans="1:14" s="35" customFormat="1" x14ac:dyDescent="0.35">
      <c r="A116" s="118" t="s">
        <v>154</v>
      </c>
      <c r="B116" s="118"/>
      <c r="C116" s="114">
        <f>SUM(C114:D115)</f>
        <v>136</v>
      </c>
      <c r="D116" s="114"/>
      <c r="E116" s="159">
        <f>SUM(E114:F115)</f>
        <v>76433.144673600022</v>
      </c>
      <c r="F116" s="88"/>
      <c r="G116" s="87">
        <f>SUM(G114:H115)</f>
        <v>114808.16309040002</v>
      </c>
      <c r="H116" s="87"/>
    </row>
    <row r="117" spans="1:14" s="34" customFormat="1" x14ac:dyDescent="0.35">
      <c r="A117" s="117" t="s">
        <v>56</v>
      </c>
      <c r="B117" s="117"/>
      <c r="C117" s="117"/>
      <c r="D117" s="117"/>
      <c r="E117" s="117"/>
      <c r="F117" s="117"/>
      <c r="G117" s="117"/>
      <c r="H117" s="117"/>
    </row>
    <row r="118" spans="1:14" x14ac:dyDescent="0.35">
      <c r="A118" s="117" t="s">
        <v>57</v>
      </c>
      <c r="B118" s="117"/>
      <c r="C118" s="117"/>
      <c r="D118" s="117"/>
      <c r="E118" s="117"/>
      <c r="F118" s="117"/>
      <c r="G118" s="117"/>
      <c r="H118" s="117"/>
    </row>
    <row r="119" spans="1:14" ht="47.25" customHeight="1" x14ac:dyDescent="0.35">
      <c r="A119" s="107" t="s">
        <v>122</v>
      </c>
      <c r="B119" s="107" t="s">
        <v>121</v>
      </c>
      <c r="C119" s="107" t="s">
        <v>58</v>
      </c>
      <c r="D119" s="107" t="s">
        <v>59</v>
      </c>
      <c r="E119" s="151" t="s">
        <v>160</v>
      </c>
      <c r="F119" s="43" t="s">
        <v>153</v>
      </c>
      <c r="G119" s="112" t="s">
        <v>61</v>
      </c>
      <c r="H119" s="153"/>
    </row>
    <row r="120" spans="1:14" s="37" customFormat="1" x14ac:dyDescent="0.35">
      <c r="A120" s="108"/>
      <c r="B120" s="108"/>
      <c r="C120" s="108"/>
      <c r="D120" s="108"/>
      <c r="E120" s="152"/>
      <c r="F120" s="13">
        <v>0.6</v>
      </c>
      <c r="G120" s="113"/>
      <c r="H120" s="154"/>
    </row>
    <row r="121" spans="1:14" s="37" customFormat="1" x14ac:dyDescent="0.35">
      <c r="A121" s="83" t="s">
        <v>194</v>
      </c>
      <c r="B121" s="83"/>
      <c r="C121" s="83"/>
      <c r="D121" s="83"/>
      <c r="E121" s="83"/>
      <c r="F121" s="83"/>
      <c r="G121" s="83"/>
      <c r="H121" s="83"/>
      <c r="J121" s="36"/>
    </row>
    <row r="122" spans="1:14" s="37" customFormat="1" x14ac:dyDescent="0.35">
      <c r="A122" s="83" t="s">
        <v>208</v>
      </c>
      <c r="B122" s="83"/>
      <c r="C122" s="83"/>
      <c r="D122" s="83"/>
      <c r="E122" s="83"/>
      <c r="F122" s="83"/>
      <c r="G122" s="83"/>
      <c r="H122" s="83"/>
      <c r="I122" s="57">
        <v>10.763999999999999</v>
      </c>
      <c r="J122" s="36"/>
    </row>
    <row r="123" spans="1:14" s="37" customFormat="1" ht="15.75" customHeight="1" x14ac:dyDescent="0.35">
      <c r="A123" s="84">
        <v>1</v>
      </c>
      <c r="B123" s="84"/>
      <c r="C123" s="63" t="s">
        <v>209</v>
      </c>
      <c r="D123" s="57">
        <f>(55.98)*10.764</f>
        <v>602.56871999999998</v>
      </c>
      <c r="E123" s="63">
        <v>0</v>
      </c>
      <c r="F123" s="63">
        <f>(D123+E123)*(($F$120)+1)</f>
        <v>964.10995200000002</v>
      </c>
      <c r="G123" s="84" t="str">
        <f>A122</f>
        <v>Ground Floor For Commercial &amp; Parking</v>
      </c>
      <c r="H123" s="84"/>
      <c r="I123" s="36"/>
      <c r="L123" s="82"/>
      <c r="M123" s="82"/>
      <c r="N123" s="36"/>
    </row>
    <row r="124" spans="1:14" s="37" customFormat="1" ht="15.75" customHeight="1" x14ac:dyDescent="0.35">
      <c r="A124" s="84">
        <f t="shared" ref="A124:A127" si="0">A123+1</f>
        <v>2</v>
      </c>
      <c r="B124" s="84"/>
      <c r="C124" s="63" t="s">
        <v>209</v>
      </c>
      <c r="D124" s="57">
        <f>(57.75)*10.764</f>
        <v>621.62099999999998</v>
      </c>
      <c r="E124" s="63">
        <v>0</v>
      </c>
      <c r="F124" s="63">
        <f t="shared" ref="F124:F127" si="1">(D124+E124)*(($F$120)+1)</f>
        <v>994.59360000000004</v>
      </c>
      <c r="G124" s="84"/>
      <c r="H124" s="84"/>
      <c r="I124" s="36"/>
      <c r="J124" s="37">
        <f>(5.32*8.66+1.84*4.21+7.02*2+1.2*1.35)*10.764</f>
        <v>747.85688640000001</v>
      </c>
      <c r="L124" s="82"/>
      <c r="M124" s="82"/>
      <c r="N124" s="36"/>
    </row>
    <row r="125" spans="1:14" s="37" customFormat="1" ht="15.75" customHeight="1" x14ac:dyDescent="0.35">
      <c r="A125" s="84">
        <f t="shared" si="0"/>
        <v>3</v>
      </c>
      <c r="B125" s="84"/>
      <c r="C125" s="63" t="s">
        <v>209</v>
      </c>
      <c r="D125" s="57">
        <f>(59.59)*10.764</f>
        <v>641.42675999999994</v>
      </c>
      <c r="E125" s="63">
        <v>0</v>
      </c>
      <c r="F125" s="63">
        <f t="shared" si="1"/>
        <v>1026.2828159999999</v>
      </c>
      <c r="G125" s="84"/>
      <c r="H125" s="84"/>
      <c r="I125" s="36"/>
      <c r="L125" s="82"/>
      <c r="M125" s="82"/>
      <c r="N125" s="36"/>
    </row>
    <row r="126" spans="1:14" s="37" customFormat="1" ht="15.75" customHeight="1" x14ac:dyDescent="0.35">
      <c r="A126" s="84">
        <f t="shared" si="0"/>
        <v>4</v>
      </c>
      <c r="B126" s="84"/>
      <c r="C126" s="63" t="s">
        <v>209</v>
      </c>
      <c r="D126" s="57">
        <f>(85.89)*10.764</f>
        <v>924.51995999999997</v>
      </c>
      <c r="E126" s="63">
        <v>0</v>
      </c>
      <c r="F126" s="63">
        <f t="shared" si="1"/>
        <v>1479.2319360000001</v>
      </c>
      <c r="G126" s="84"/>
      <c r="H126" s="84"/>
      <c r="I126" s="36"/>
      <c r="L126" s="82"/>
      <c r="M126" s="82"/>
      <c r="N126" s="36"/>
    </row>
    <row r="127" spans="1:14" s="37" customFormat="1" ht="15.75" customHeight="1" x14ac:dyDescent="0.35">
      <c r="A127" s="84">
        <f t="shared" si="0"/>
        <v>5</v>
      </c>
      <c r="B127" s="84"/>
      <c r="C127" s="63" t="s">
        <v>209</v>
      </c>
      <c r="D127" s="57">
        <f>(26.32)*10.764</f>
        <v>283.30847999999997</v>
      </c>
      <c r="E127" s="63">
        <v>0</v>
      </c>
      <c r="F127" s="63">
        <f t="shared" si="1"/>
        <v>453.29356799999999</v>
      </c>
      <c r="G127" s="84"/>
      <c r="H127" s="84"/>
      <c r="I127" s="36"/>
      <c r="J127" s="37">
        <v>1.5</v>
      </c>
      <c r="L127" s="82"/>
      <c r="M127" s="82"/>
      <c r="N127" s="36"/>
    </row>
    <row r="128" spans="1:14" s="37" customFormat="1" x14ac:dyDescent="0.35">
      <c r="A128" s="83" t="s">
        <v>193</v>
      </c>
      <c r="B128" s="83"/>
      <c r="C128" s="83"/>
      <c r="D128" s="83"/>
      <c r="E128" s="83"/>
      <c r="F128" s="83"/>
      <c r="G128" s="83"/>
      <c r="H128" s="83"/>
      <c r="J128" s="36" t="s">
        <v>196</v>
      </c>
    </row>
    <row r="129" spans="1:14" s="37" customFormat="1" ht="15.75" customHeight="1" x14ac:dyDescent="0.35">
      <c r="A129" s="84">
        <v>101</v>
      </c>
      <c r="B129" s="84"/>
      <c r="C129" s="63" t="s">
        <v>195</v>
      </c>
      <c r="D129" s="57">
        <f>(59.79)*10.764</f>
        <v>643.5795599999999</v>
      </c>
      <c r="E129" s="63">
        <v>0</v>
      </c>
      <c r="F129" s="63">
        <f>(D129+E129)*(($F$120)+1)</f>
        <v>1029.7272959999998</v>
      </c>
      <c r="G129" s="84" t="str">
        <f>A128</f>
        <v>1st Floor For Commercial</v>
      </c>
      <c r="H129" s="84"/>
      <c r="I129" s="36"/>
      <c r="L129" s="82"/>
      <c r="M129" s="82"/>
      <c r="N129" s="36"/>
    </row>
    <row r="130" spans="1:14" s="37" customFormat="1" ht="15.75" customHeight="1" x14ac:dyDescent="0.35">
      <c r="A130" s="84">
        <f t="shared" ref="A130:A134" si="2">A129+1</f>
        <v>102</v>
      </c>
      <c r="B130" s="84"/>
      <c r="C130" s="63" t="s">
        <v>195</v>
      </c>
      <c r="D130" s="57">
        <f>(35.2)*10.764</f>
        <v>378.89280000000002</v>
      </c>
      <c r="E130" s="63">
        <v>0</v>
      </c>
      <c r="F130" s="63">
        <f t="shared" ref="F130:F132" si="3">(D130+E130)*(($F$120)+1)</f>
        <v>606.2284800000001</v>
      </c>
      <c r="G130" s="84"/>
      <c r="H130" s="84"/>
      <c r="I130" s="36"/>
      <c r="J130" s="37">
        <f>(5.32*8.66+1.84*4.21+7.02*2+1.2*1.35)*10.764</f>
        <v>747.85688640000001</v>
      </c>
      <c r="L130" s="82"/>
      <c r="M130" s="82"/>
      <c r="N130" s="36"/>
    </row>
    <row r="131" spans="1:14" s="37" customFormat="1" ht="15.75" customHeight="1" x14ac:dyDescent="0.35">
      <c r="A131" s="84">
        <f t="shared" si="2"/>
        <v>103</v>
      </c>
      <c r="B131" s="84"/>
      <c r="C131" s="63" t="s">
        <v>195</v>
      </c>
      <c r="D131" s="57">
        <f>(38.51)*10.764</f>
        <v>414.52163999999993</v>
      </c>
      <c r="E131" s="63">
        <v>0</v>
      </c>
      <c r="F131" s="63">
        <f t="shared" si="3"/>
        <v>663.23462399999994</v>
      </c>
      <c r="G131" s="84"/>
      <c r="H131" s="84"/>
      <c r="I131" s="36"/>
      <c r="L131" s="82"/>
      <c r="M131" s="82"/>
      <c r="N131" s="36"/>
    </row>
    <row r="132" spans="1:14" s="37" customFormat="1" ht="15.75" customHeight="1" x14ac:dyDescent="0.35">
      <c r="A132" s="84">
        <f t="shared" si="2"/>
        <v>104</v>
      </c>
      <c r="B132" s="84"/>
      <c r="C132" s="63" t="s">
        <v>195</v>
      </c>
      <c r="D132" s="57">
        <f>(42.81)*10.764</f>
        <v>460.80684000000002</v>
      </c>
      <c r="E132" s="63">
        <v>0</v>
      </c>
      <c r="F132" s="63">
        <f t="shared" si="3"/>
        <v>737.29094400000008</v>
      </c>
      <c r="G132" s="84"/>
      <c r="H132" s="84"/>
      <c r="I132" s="55">
        <v>5.45</v>
      </c>
      <c r="J132" s="37">
        <v>7</v>
      </c>
      <c r="L132" s="82"/>
      <c r="M132" s="82"/>
      <c r="N132" s="36"/>
    </row>
    <row r="133" spans="1:14" s="37" customFormat="1" ht="15.75" customHeight="1" x14ac:dyDescent="0.35">
      <c r="A133" s="84">
        <f t="shared" si="2"/>
        <v>105</v>
      </c>
      <c r="B133" s="84"/>
      <c r="C133" s="63" t="s">
        <v>195</v>
      </c>
      <c r="D133" s="57">
        <f>(49.76)*10.764</f>
        <v>535.61663999999996</v>
      </c>
      <c r="E133" s="63">
        <v>0</v>
      </c>
      <c r="F133" s="63">
        <f t="shared" ref="F133:F134" si="4">(D133+E133)*(($F$120)+1)</f>
        <v>856.98662400000001</v>
      </c>
      <c r="G133" s="84"/>
      <c r="H133" s="84"/>
      <c r="I133" s="56">
        <v>1</v>
      </c>
      <c r="J133" s="37">
        <f>J132/I132</f>
        <v>1.2844036697247705</v>
      </c>
      <c r="L133" s="82"/>
      <c r="M133" s="82"/>
      <c r="N133" s="36"/>
    </row>
    <row r="134" spans="1:14" s="37" customFormat="1" ht="15.75" customHeight="1" x14ac:dyDescent="0.35">
      <c r="A134" s="84">
        <f t="shared" si="2"/>
        <v>106</v>
      </c>
      <c r="B134" s="84"/>
      <c r="C134" s="63" t="s">
        <v>195</v>
      </c>
      <c r="D134" s="57">
        <f>(41.79)*10.764</f>
        <v>449.82755999999995</v>
      </c>
      <c r="E134" s="63">
        <v>0</v>
      </c>
      <c r="F134" s="63">
        <f t="shared" si="4"/>
        <v>719.72409599999992</v>
      </c>
      <c r="G134" s="84"/>
      <c r="H134" s="84"/>
      <c r="I134" s="36"/>
      <c r="L134" s="82"/>
      <c r="M134" s="82"/>
      <c r="N134" s="36"/>
    </row>
    <row r="135" spans="1:14" s="37" customFormat="1" x14ac:dyDescent="0.35">
      <c r="A135" s="67"/>
      <c r="B135" s="160"/>
      <c r="C135" s="160"/>
      <c r="D135" s="160"/>
      <c r="E135" s="160"/>
      <c r="F135" s="160"/>
      <c r="G135" s="160"/>
      <c r="H135" s="68"/>
      <c r="I135" s="36">
        <v>4</v>
      </c>
      <c r="J135" s="37">
        <v>5.91</v>
      </c>
      <c r="N135" s="36"/>
    </row>
    <row r="136" spans="1:14" ht="47.25" customHeight="1" x14ac:dyDescent="0.35">
      <c r="A136" s="112" t="s">
        <v>123</v>
      </c>
      <c r="B136" s="112" t="s">
        <v>124</v>
      </c>
      <c r="C136" s="107" t="s">
        <v>58</v>
      </c>
      <c r="D136" s="107" t="s">
        <v>59</v>
      </c>
      <c r="E136" s="151" t="s">
        <v>60</v>
      </c>
      <c r="F136" s="43" t="s">
        <v>153</v>
      </c>
      <c r="G136" s="112" t="s">
        <v>61</v>
      </c>
      <c r="H136" s="153"/>
      <c r="I136" s="36">
        <v>1</v>
      </c>
      <c r="J136" s="21">
        <f>J135/I135</f>
        <v>1.4775</v>
      </c>
    </row>
    <row r="137" spans="1:14" s="37" customFormat="1" x14ac:dyDescent="0.35">
      <c r="A137" s="113"/>
      <c r="B137" s="113"/>
      <c r="C137" s="108"/>
      <c r="D137" s="108"/>
      <c r="E137" s="152"/>
      <c r="F137" s="13">
        <v>0.5</v>
      </c>
      <c r="G137" s="113"/>
      <c r="H137" s="154"/>
      <c r="I137" s="36"/>
    </row>
    <row r="138" spans="1:14" s="37" customFormat="1" x14ac:dyDescent="0.35">
      <c r="A138" s="75" t="s">
        <v>194</v>
      </c>
      <c r="B138" s="76"/>
      <c r="C138" s="76"/>
      <c r="D138" s="76"/>
      <c r="E138" s="76"/>
      <c r="F138" s="76"/>
      <c r="G138" s="76"/>
      <c r="H138" s="77"/>
      <c r="J138" s="36"/>
    </row>
    <row r="139" spans="1:14" s="37" customFormat="1" x14ac:dyDescent="0.35">
      <c r="A139" s="75" t="s">
        <v>192</v>
      </c>
      <c r="B139" s="76"/>
      <c r="C139" s="76"/>
      <c r="D139" s="76"/>
      <c r="E139" s="76"/>
      <c r="F139" s="76"/>
      <c r="G139" s="76"/>
      <c r="H139" s="77"/>
      <c r="J139" s="36"/>
    </row>
    <row r="140" spans="1:14" s="37" customFormat="1" ht="15.75" customHeight="1" x14ac:dyDescent="0.35">
      <c r="A140" s="67">
        <v>1</v>
      </c>
      <c r="B140" s="68"/>
      <c r="C140" s="54">
        <v>1</v>
      </c>
      <c r="D140" s="42">
        <f>(3*4.7+2.1*2.75+2.9*3.75+2.1*1.2+1.2*2.1+1.5*0.9+2.05*1.5+2.1*1)*10.764</f>
        <v>455.4786600000001</v>
      </c>
      <c r="E140" s="42">
        <v>0</v>
      </c>
      <c r="F140" s="42">
        <f t="shared" ref="F140:F145" si="5">D140*(($F$137)+1)+(IF(E140&lt;101,E140,IF(E140&lt;201,E140/2,IF(E140&lt;=301,E140/3,E140/4))))</f>
        <v>683.2179900000001</v>
      </c>
      <c r="G140" s="69" t="str">
        <f>A139</f>
        <v>1st Floor for Residential</v>
      </c>
      <c r="H140" s="70"/>
      <c r="I140" s="36"/>
      <c r="L140" s="82"/>
      <c r="M140" s="82"/>
      <c r="N140" s="36"/>
    </row>
    <row r="141" spans="1:14" s="37" customFormat="1" ht="15.75" customHeight="1" x14ac:dyDescent="0.35">
      <c r="A141" s="67">
        <f t="shared" ref="A141:A145" si="6">A140+1</f>
        <v>2</v>
      </c>
      <c r="B141" s="68"/>
      <c r="C141" s="54">
        <v>2</v>
      </c>
      <c r="D141" s="42">
        <f>(4.4*3.35+2.1*2.88+3.25*3.1+3.25*3.7+1.2*2.25+1.2*2.2+3.75*0.9+1.44*1.44+1.5*2.3+2.1*1+1.25*3.7)*10.764</f>
        <v>687.29862240000011</v>
      </c>
      <c r="E141" s="42">
        <v>0</v>
      </c>
      <c r="F141" s="42">
        <f t="shared" si="5"/>
        <v>1030.9479336000002</v>
      </c>
      <c r="G141" s="71"/>
      <c r="H141" s="72"/>
      <c r="I141" s="36">
        <f>8300000/F141</f>
        <v>8050.8430440487555</v>
      </c>
      <c r="L141" s="82"/>
      <c r="M141" s="82"/>
      <c r="N141" s="36"/>
    </row>
    <row r="142" spans="1:14" s="37" customFormat="1" ht="15.75" customHeight="1" x14ac:dyDescent="0.35">
      <c r="A142" s="67">
        <f t="shared" si="6"/>
        <v>3</v>
      </c>
      <c r="B142" s="68"/>
      <c r="C142" s="54">
        <v>2</v>
      </c>
      <c r="D142" s="42">
        <f>(4.4*3.35+2.1*2.88+3.25*3.1+3.25*3.3+1.2*2.2+1.2*2.2+3.3*0.9+1.44*1.44+1.5*2.3+2.05*1+1*3.3)*10.764</f>
        <v>653.49966240000003</v>
      </c>
      <c r="E142" s="42">
        <v>0</v>
      </c>
      <c r="F142" s="42">
        <f t="shared" si="5"/>
        <v>980.24949360000005</v>
      </c>
      <c r="G142" s="71"/>
      <c r="H142" s="72"/>
      <c r="I142" s="36"/>
      <c r="L142" s="82"/>
      <c r="M142" s="82"/>
      <c r="N142" s="36"/>
    </row>
    <row r="143" spans="1:14" s="37" customFormat="1" ht="15.75" customHeight="1" x14ac:dyDescent="0.35">
      <c r="A143" s="67">
        <f t="shared" si="6"/>
        <v>4</v>
      </c>
      <c r="B143" s="68"/>
      <c r="C143" s="54">
        <v>1</v>
      </c>
      <c r="D143" s="42">
        <f>(3*4.7+2.1*2.75+2.9*3.75+2.1*1.2+1.2*2.1+1.5*0.9+2.05*1.5+2.1*1)*10.764</f>
        <v>455.4786600000001</v>
      </c>
      <c r="E143" s="42">
        <v>0</v>
      </c>
      <c r="F143" s="42">
        <f t="shared" si="5"/>
        <v>683.2179900000001</v>
      </c>
      <c r="G143" s="71"/>
      <c r="H143" s="72"/>
      <c r="I143" s="36"/>
      <c r="L143" s="82"/>
      <c r="M143" s="82"/>
      <c r="N143" s="36"/>
    </row>
    <row r="144" spans="1:14" s="37" customFormat="1" ht="15.75" customHeight="1" x14ac:dyDescent="0.35">
      <c r="A144" s="67">
        <f t="shared" si="6"/>
        <v>5</v>
      </c>
      <c r="B144" s="68"/>
      <c r="C144" s="54">
        <v>1</v>
      </c>
      <c r="D144" s="42">
        <f>(3*4.7+2.1*2.75+2.9*3.75+2.1*1.2+1.2*2.1+1.5*0.9+2.05*1.5+2.1*1)*10.764</f>
        <v>455.4786600000001</v>
      </c>
      <c r="E144" s="42">
        <v>0</v>
      </c>
      <c r="F144" s="42">
        <f t="shared" si="5"/>
        <v>683.2179900000001</v>
      </c>
      <c r="G144" s="71"/>
      <c r="H144" s="72"/>
      <c r="I144" s="36"/>
      <c r="L144" s="82"/>
      <c r="M144" s="82"/>
      <c r="N144" s="36"/>
    </row>
    <row r="145" spans="1:14" s="37" customFormat="1" ht="15.75" customHeight="1" x14ac:dyDescent="0.35">
      <c r="A145" s="67">
        <f t="shared" si="6"/>
        <v>6</v>
      </c>
      <c r="B145" s="68"/>
      <c r="C145" s="54">
        <v>1</v>
      </c>
      <c r="D145" s="42">
        <f>(3*4.7+2.1*2.75+2.9*3.75+2.1*1.2+1.2*2.1+1.5*0.9+2.05*1.5+2.1*1)*10.764</f>
        <v>455.4786600000001</v>
      </c>
      <c r="E145" s="42">
        <v>0</v>
      </c>
      <c r="F145" s="42">
        <f t="shared" si="5"/>
        <v>683.2179900000001</v>
      </c>
      <c r="G145" s="73"/>
      <c r="H145" s="74"/>
      <c r="I145" s="36"/>
      <c r="L145" s="82"/>
      <c r="M145" s="82"/>
      <c r="N145" s="36"/>
    </row>
    <row r="146" spans="1:14" s="37" customFormat="1" x14ac:dyDescent="0.35">
      <c r="A146" s="83" t="s">
        <v>120</v>
      </c>
      <c r="B146" s="83"/>
      <c r="C146" s="83"/>
      <c r="D146" s="83"/>
      <c r="E146" s="83"/>
      <c r="F146" s="83"/>
      <c r="G146" s="83"/>
      <c r="H146" s="83"/>
      <c r="I146" s="36"/>
      <c r="L146" s="82"/>
      <c r="M146" s="82"/>
    </row>
    <row r="147" spans="1:14" s="37" customFormat="1" ht="15.75" customHeight="1" x14ac:dyDescent="0.35">
      <c r="A147" s="84">
        <v>1</v>
      </c>
      <c r="B147" s="84"/>
      <c r="C147" s="54">
        <v>1</v>
      </c>
      <c r="D147" s="42">
        <f>(3*4.7+2.1*2.75+2.9*3.75+2.1*1.2+1.2*2.1+1.5*0.9+2.05*1.5+2.1*1)*10.764</f>
        <v>455.4786600000001</v>
      </c>
      <c r="E147" s="42">
        <v>0</v>
      </c>
      <c r="F147" s="42">
        <f t="shared" ref="F147:F148" si="7">D147*(($F$137)+1)+(IF(E147&lt;101,E147,IF(E147&lt;201,E147/2,IF(E147&lt;=301,E147/3,E147/4))))</f>
        <v>683.2179900000001</v>
      </c>
      <c r="G147" s="69" t="str">
        <f>A146</f>
        <v>2nd Floor</v>
      </c>
      <c r="H147" s="70"/>
      <c r="I147" s="36">
        <f>5500000/F147</f>
        <v>8050.1393120517787</v>
      </c>
      <c r="N147" s="36"/>
    </row>
    <row r="148" spans="1:14" s="37" customFormat="1" ht="15.75" customHeight="1" x14ac:dyDescent="0.35">
      <c r="A148" s="84">
        <f>A147+1</f>
        <v>2</v>
      </c>
      <c r="B148" s="84"/>
      <c r="C148" s="54">
        <v>2</v>
      </c>
      <c r="D148" s="42">
        <f>(4.4*3.35+2.1*2.88+3.25*3.1+3.25*3.7+1.2*2.25+1.2*2.2+3.75*0.9+1.44*1.44+1.5*2.3+2.1*1+1.25*3.7)*10.764</f>
        <v>687.29862240000011</v>
      </c>
      <c r="E148" s="42">
        <v>0</v>
      </c>
      <c r="F148" s="42">
        <f t="shared" si="7"/>
        <v>1030.9479336000002</v>
      </c>
      <c r="G148" s="71"/>
      <c r="H148" s="72"/>
      <c r="I148" s="36">
        <f>7900000/F149</f>
        <v>8059.1727428360891</v>
      </c>
      <c r="N148" s="36"/>
    </row>
    <row r="149" spans="1:14" s="37" customFormat="1" ht="15.75" customHeight="1" x14ac:dyDescent="0.35">
      <c r="A149" s="84">
        <f>A148+1</f>
        <v>3</v>
      </c>
      <c r="B149" s="84"/>
      <c r="C149" s="54">
        <v>2</v>
      </c>
      <c r="D149" s="42">
        <f>(4.4*3.35+2.1*2.88+3.25*3.1+3.25*3.3+1.2*2.2+1.2*2.2+3.3*0.9+1.44*1.44+1.5*2.3+2.05*1+1*3.3)*10.764</f>
        <v>653.49966240000003</v>
      </c>
      <c r="E149" s="42">
        <v>0</v>
      </c>
      <c r="F149" s="42">
        <f>D149*(($F$137)+1)+(IF(E149&lt;101,E149,IF(E149&lt;201,E149/2,IF(E149&lt;=301,E149/3,E149/4))))</f>
        <v>980.24949360000005</v>
      </c>
      <c r="G149" s="71"/>
      <c r="H149" s="72"/>
      <c r="I149" s="36"/>
      <c r="N149" s="36"/>
    </row>
    <row r="150" spans="1:14" s="37" customFormat="1" ht="15.75" customHeight="1" x14ac:dyDescent="0.35">
      <c r="A150" s="84">
        <f>A149+1</f>
        <v>4</v>
      </c>
      <c r="B150" s="84"/>
      <c r="C150" s="54">
        <v>1</v>
      </c>
      <c r="D150" s="42">
        <f>(3*4.7+2.1*2.75+2.9*3.75+2.1*1.2+1.2*2.1+1.5*0.9+2.05*1.5+2.1*1)*10.764</f>
        <v>455.4786600000001</v>
      </c>
      <c r="E150" s="42">
        <v>0</v>
      </c>
      <c r="F150" s="42">
        <f>D150*(($F$137)+1)+(IF(E150&lt;101,E150,IF(E150&lt;201,E150/2,IF(E150&lt;=301,E150/3,E150/4))))</f>
        <v>683.2179900000001</v>
      </c>
      <c r="G150" s="71"/>
      <c r="H150" s="72"/>
      <c r="I150" s="36"/>
      <c r="N150" s="36"/>
    </row>
    <row r="151" spans="1:14" s="37" customFormat="1" ht="15.75" customHeight="1" x14ac:dyDescent="0.35">
      <c r="A151" s="84">
        <f>A150+1</f>
        <v>5</v>
      </c>
      <c r="B151" s="84"/>
      <c r="C151" s="54">
        <v>1</v>
      </c>
      <c r="D151" s="42">
        <f>(3*4.7+2.1*2.75+2.9*3.75+2.1*1.2+1.2*2.1+1.5*0.9+2.05*1.5+2.1*1)*10.764</f>
        <v>455.4786600000001</v>
      </c>
      <c r="E151" s="42">
        <v>0</v>
      </c>
      <c r="F151" s="42">
        <f>D151*(($F$137)+1)+(IF(E151&lt;101,E151,IF(E151&lt;201,E151/2,IF(E151&lt;=301,E151/3,E151/4))))</f>
        <v>683.2179900000001</v>
      </c>
      <c r="G151" s="71"/>
      <c r="H151" s="72"/>
      <c r="I151" s="36"/>
      <c r="N151" s="36"/>
    </row>
    <row r="152" spans="1:14" s="37" customFormat="1" ht="15.75" customHeight="1" x14ac:dyDescent="0.35">
      <c r="A152" s="84">
        <f>A151+1</f>
        <v>6</v>
      </c>
      <c r="B152" s="84"/>
      <c r="C152" s="54">
        <v>1</v>
      </c>
      <c r="D152" s="42">
        <f>(3*4.7+2.1*2.75+2.9*3.75+2.1*1.2+1.2*2.1+1.5*0.9+2.05*1.5+2.1*1)*10.764</f>
        <v>455.4786600000001</v>
      </c>
      <c r="E152" s="42">
        <v>0</v>
      </c>
      <c r="F152" s="42">
        <f>D152*(($F$137)+1)+(IF(E152&lt;101,E152,IF(E152&lt;201,E152/2,IF(E152&lt;=301,E152/3,E152/4))))</f>
        <v>683.2179900000001</v>
      </c>
      <c r="G152" s="73"/>
      <c r="H152" s="74"/>
      <c r="I152" s="36"/>
      <c r="N152" s="36"/>
    </row>
    <row r="153" spans="1:14" s="37" customFormat="1" x14ac:dyDescent="0.35">
      <c r="A153" s="75" t="s">
        <v>210</v>
      </c>
      <c r="B153" s="76"/>
      <c r="C153" s="76"/>
      <c r="D153" s="76"/>
      <c r="E153" s="76"/>
      <c r="F153" s="76"/>
      <c r="G153" s="76"/>
      <c r="H153" s="77"/>
      <c r="J153" s="36"/>
    </row>
    <row r="154" spans="1:14" s="37" customFormat="1" ht="15.75" customHeight="1" x14ac:dyDescent="0.35">
      <c r="A154" s="67">
        <v>1</v>
      </c>
      <c r="B154" s="68"/>
      <c r="C154" s="54">
        <v>1</v>
      </c>
      <c r="D154" s="42">
        <f>(3*4.7+2.1*2.75+2.9*3.75+2.1*1.2+1.2*2.1+1.5*0.9+2.05*1.5+2.1*1)*10.764</f>
        <v>455.4786600000001</v>
      </c>
      <c r="E154" s="42">
        <v>0</v>
      </c>
      <c r="F154" s="42">
        <f t="shared" ref="F154:F159" si="8">D154*(($F$137)+1)+(IF(E154&lt;101,E154,IF(E154&lt;201,E154/2,IF(E154&lt;=301,E154/3,E154/4))))</f>
        <v>683.2179900000001</v>
      </c>
      <c r="G154" s="69" t="str">
        <f>A153</f>
        <v>3rd Floor  for Residential &amp; Amenities</v>
      </c>
      <c r="H154" s="70"/>
      <c r="I154" s="36"/>
      <c r="L154" s="82"/>
      <c r="M154" s="82"/>
      <c r="N154" s="36"/>
    </row>
    <row r="155" spans="1:14" s="37" customFormat="1" ht="15.75" customHeight="1" x14ac:dyDescent="0.35">
      <c r="A155" s="67">
        <f t="shared" ref="A155:A159" si="9">A154+1</f>
        <v>2</v>
      </c>
      <c r="B155" s="68"/>
      <c r="C155" s="54">
        <v>2</v>
      </c>
      <c r="D155" s="42">
        <f>(4.4*3.35+2.1*2.88+3.25*3.1+3.25*3.7+1.2*2.25+1.2*2.2+3.75*0.9+1.44*1.44+1.5*2.3+2.1*1+1.25*3.7)*10.764</f>
        <v>687.29862240000011</v>
      </c>
      <c r="E155" s="42">
        <v>0</v>
      </c>
      <c r="F155" s="42">
        <f t="shared" si="8"/>
        <v>1030.9479336000002</v>
      </c>
      <c r="G155" s="71"/>
      <c r="H155" s="72"/>
      <c r="I155" s="36"/>
      <c r="L155" s="82"/>
      <c r="M155" s="82"/>
      <c r="N155" s="36"/>
    </row>
    <row r="156" spans="1:14" s="37" customFormat="1" ht="15.75" customHeight="1" x14ac:dyDescent="0.35">
      <c r="A156" s="67">
        <f t="shared" si="9"/>
        <v>3</v>
      </c>
      <c r="B156" s="68"/>
      <c r="C156" s="54">
        <v>2</v>
      </c>
      <c r="D156" s="42">
        <f>(4.4*3.35+2.1*2.88+3.25*3.1+3.25*3.3+1.2*2.2+1.2*2.2+3.3*0.9+1.44*1.44+1.5*2.3+2.05*1+1*3.3)*10.764</f>
        <v>653.49966240000003</v>
      </c>
      <c r="E156" s="42">
        <v>0</v>
      </c>
      <c r="F156" s="42">
        <f t="shared" si="8"/>
        <v>980.24949360000005</v>
      </c>
      <c r="G156" s="71"/>
      <c r="H156" s="72"/>
      <c r="I156" s="36"/>
      <c r="L156" s="82"/>
      <c r="M156" s="82"/>
      <c r="N156" s="36"/>
    </row>
    <row r="157" spans="1:14" s="37" customFormat="1" ht="15.75" customHeight="1" x14ac:dyDescent="0.35">
      <c r="A157" s="67">
        <f t="shared" si="9"/>
        <v>4</v>
      </c>
      <c r="B157" s="68"/>
      <c r="C157" s="54">
        <v>1</v>
      </c>
      <c r="D157" s="42">
        <f>(3*4.7+2.1*2.75+2.9*3.75+2.1*1.2+1.2*2.1+1.5*0.9+2.05*1.5+2.1*1)*10.764</f>
        <v>455.4786600000001</v>
      </c>
      <c r="E157" s="42">
        <v>0</v>
      </c>
      <c r="F157" s="42">
        <f t="shared" si="8"/>
        <v>683.2179900000001</v>
      </c>
      <c r="G157" s="71"/>
      <c r="H157" s="72"/>
      <c r="I157" s="36"/>
      <c r="L157" s="82"/>
      <c r="M157" s="82"/>
      <c r="N157" s="36"/>
    </row>
    <row r="158" spans="1:14" s="37" customFormat="1" ht="15.75" customHeight="1" x14ac:dyDescent="0.35">
      <c r="A158" s="67">
        <f t="shared" si="9"/>
        <v>5</v>
      </c>
      <c r="B158" s="68"/>
      <c r="C158" s="54">
        <v>1</v>
      </c>
      <c r="D158" s="42">
        <f>(3*4.7+2.1*2.75+2.9*3.75+2.1*1.2+1.2*2.1+1.5*0.9+2.05*1.5+2.1*1)*10.764</f>
        <v>455.4786600000001</v>
      </c>
      <c r="E158" s="42">
        <v>0</v>
      </c>
      <c r="F158" s="42">
        <f t="shared" si="8"/>
        <v>683.2179900000001</v>
      </c>
      <c r="G158" s="71"/>
      <c r="H158" s="72"/>
      <c r="I158" s="36"/>
      <c r="L158" s="82"/>
      <c r="M158" s="82"/>
      <c r="N158" s="36"/>
    </row>
    <row r="159" spans="1:14" s="37" customFormat="1" ht="15.75" customHeight="1" x14ac:dyDescent="0.35">
      <c r="A159" s="67">
        <f t="shared" si="9"/>
        <v>6</v>
      </c>
      <c r="B159" s="68"/>
      <c r="C159" s="54">
        <v>1</v>
      </c>
      <c r="D159" s="42">
        <f>(3*4.7+2.1*2.75+2.9*3.75+2.1*1.2+1.2*2.1+1.5*0.9+2.05*1.5+2.1*1)*10.764</f>
        <v>455.4786600000001</v>
      </c>
      <c r="E159" s="42">
        <v>0</v>
      </c>
      <c r="F159" s="42">
        <f t="shared" si="8"/>
        <v>683.2179900000001</v>
      </c>
      <c r="G159" s="73"/>
      <c r="H159" s="74"/>
      <c r="I159" s="36"/>
      <c r="L159" s="82"/>
      <c r="M159" s="82"/>
      <c r="N159" s="36"/>
    </row>
    <row r="160" spans="1:14" s="37" customFormat="1" x14ac:dyDescent="0.35">
      <c r="A160" s="75" t="s">
        <v>201</v>
      </c>
      <c r="B160" s="76"/>
      <c r="C160" s="76"/>
      <c r="D160" s="76"/>
      <c r="E160" s="76"/>
      <c r="F160" s="76"/>
      <c r="G160" s="76"/>
      <c r="H160" s="77"/>
      <c r="J160" s="36"/>
    </row>
    <row r="161" spans="1:14" s="37" customFormat="1" ht="15.75" customHeight="1" x14ac:dyDescent="0.35">
      <c r="A161" s="67">
        <v>1</v>
      </c>
      <c r="B161" s="68"/>
      <c r="C161" s="54">
        <v>1</v>
      </c>
      <c r="D161" s="42">
        <f>(3*4.7+2.1*2.75+2.9*3.75+2.1*1.2+1.2*2.1+1.5*0.9+2.05*1.5+2.1*1)*10.764</f>
        <v>455.4786600000001</v>
      </c>
      <c r="E161" s="42">
        <v>0</v>
      </c>
      <c r="F161" s="42">
        <f t="shared" ref="F161:F168" si="10">D161*(($F$137)+1)+(IF(E161&lt;101,E161,IF(E161&lt;201,E161/2,IF(E161&lt;=301,E161/3,E161/4))))</f>
        <v>683.2179900000001</v>
      </c>
      <c r="G161" s="69" t="str">
        <f>A160</f>
        <v>4th Floor</v>
      </c>
      <c r="H161" s="70"/>
      <c r="I161" s="36"/>
      <c r="L161" s="82"/>
      <c r="M161" s="82"/>
      <c r="N161" s="36"/>
    </row>
    <row r="162" spans="1:14" s="37" customFormat="1" ht="15.75" customHeight="1" x14ac:dyDescent="0.35">
      <c r="A162" s="67">
        <f t="shared" ref="A162:A168" si="11">A161+1</f>
        <v>2</v>
      </c>
      <c r="B162" s="68"/>
      <c r="C162" s="54">
        <v>2</v>
      </c>
      <c r="D162" s="42">
        <f>(4.4*3.35+2.1*2.88+3.25*3.1+3.25*3.7+1.2*2.25+1.2*2.2+3.75*0.9+1.44*1.44+1.5*2.3+2.1*1+1.25*3.7)*10.764</f>
        <v>687.29862240000011</v>
      </c>
      <c r="E162" s="42">
        <v>0</v>
      </c>
      <c r="F162" s="42">
        <f t="shared" si="10"/>
        <v>1030.9479336000002</v>
      </c>
      <c r="G162" s="71"/>
      <c r="H162" s="72"/>
      <c r="I162" s="36"/>
      <c r="L162" s="82"/>
      <c r="M162" s="82"/>
      <c r="N162" s="36"/>
    </row>
    <row r="163" spans="1:14" s="37" customFormat="1" ht="15.75" customHeight="1" x14ac:dyDescent="0.35">
      <c r="A163" s="67">
        <f t="shared" si="11"/>
        <v>3</v>
      </c>
      <c r="B163" s="68"/>
      <c r="C163" s="54">
        <v>2</v>
      </c>
      <c r="D163" s="42">
        <f>(4.4*3.35+2.1*2.88+3.25*3.1+3.25*3.3+1.2*2.2+1.2*2.2+3.3*0.9+1.44*1.44+1.5*2.3+2.05*1+1*3.3)*10.764</f>
        <v>653.49966240000003</v>
      </c>
      <c r="E163" s="42">
        <v>0</v>
      </c>
      <c r="F163" s="42">
        <f t="shared" si="10"/>
        <v>980.24949360000005</v>
      </c>
      <c r="G163" s="71"/>
      <c r="H163" s="72"/>
      <c r="I163" s="36"/>
      <c r="L163" s="82"/>
      <c r="M163" s="82"/>
      <c r="N163" s="36"/>
    </row>
    <row r="164" spans="1:14" s="37" customFormat="1" ht="15.75" customHeight="1" x14ac:dyDescent="0.35">
      <c r="A164" s="67">
        <f t="shared" si="11"/>
        <v>4</v>
      </c>
      <c r="B164" s="68"/>
      <c r="C164" s="54">
        <v>1</v>
      </c>
      <c r="D164" s="42">
        <f>(3*4.7+2.1*2.75+2.9*3.75+2.1*1.2+1.2*2.1+1.5*0.9+2.05*1.5+2.1*1)*10.764</f>
        <v>455.4786600000001</v>
      </c>
      <c r="E164" s="42">
        <v>0</v>
      </c>
      <c r="F164" s="42">
        <f t="shared" si="10"/>
        <v>683.2179900000001</v>
      </c>
      <c r="G164" s="71"/>
      <c r="H164" s="72"/>
      <c r="I164" s="36"/>
      <c r="L164" s="82"/>
      <c r="M164" s="82"/>
      <c r="N164" s="36"/>
    </row>
    <row r="165" spans="1:14" s="37" customFormat="1" ht="15.75" customHeight="1" x14ac:dyDescent="0.35">
      <c r="A165" s="67">
        <f t="shared" si="11"/>
        <v>5</v>
      </c>
      <c r="B165" s="68"/>
      <c r="C165" s="54">
        <v>1</v>
      </c>
      <c r="D165" s="42">
        <f>(3*4.7+2.1*2.75+2.9*3.75+2.1*1.2+1.2*2.1+1.5*0.9+2.05*1.5+2.1*1)*10.764</f>
        <v>455.4786600000001</v>
      </c>
      <c r="E165" s="42">
        <v>0</v>
      </c>
      <c r="F165" s="42">
        <f t="shared" si="10"/>
        <v>683.2179900000001</v>
      </c>
      <c r="G165" s="71"/>
      <c r="H165" s="72"/>
      <c r="I165" s="36"/>
      <c r="L165" s="82"/>
      <c r="M165" s="82"/>
      <c r="N165" s="36"/>
    </row>
    <row r="166" spans="1:14" s="37" customFormat="1" ht="15.75" customHeight="1" x14ac:dyDescent="0.35">
      <c r="A166" s="67">
        <f t="shared" si="11"/>
        <v>6</v>
      </c>
      <c r="B166" s="68"/>
      <c r="C166" s="54">
        <v>2</v>
      </c>
      <c r="D166" s="42">
        <f>(4.4*3.35+2.1*2.88+3.25*3.1+3.25*3.7+1.2*2.25+1.2*2.2+3.75*0.9+1.44*1.44+1.5*2.3+2.1*1+1.25*3.7)*10.764</f>
        <v>687.29862240000011</v>
      </c>
      <c r="E166" s="57">
        <f>(3.2*2.3)*10.764</f>
        <v>79.223039999999983</v>
      </c>
      <c r="F166" s="42">
        <f t="shared" si="10"/>
        <v>1110.1709736000003</v>
      </c>
      <c r="G166" s="71"/>
      <c r="H166" s="72"/>
      <c r="I166" s="36"/>
      <c r="L166" s="82"/>
      <c r="M166" s="82"/>
      <c r="N166" s="36"/>
    </row>
    <row r="167" spans="1:14" s="37" customFormat="1" ht="15.75" customHeight="1" x14ac:dyDescent="0.35">
      <c r="A167" s="67">
        <f t="shared" si="11"/>
        <v>7</v>
      </c>
      <c r="B167" s="68"/>
      <c r="C167" s="54">
        <v>2</v>
      </c>
      <c r="D167" s="42">
        <f>(4.4*3.35+2.1*2.88+3.25*3.1+3.25*3.7+1.2*2.25+1.2*2.2+3.75*0.9+1.44*1.44+1.5*2.3+2.1*1+1.25*3.7)*10.764</f>
        <v>687.29862240000011</v>
      </c>
      <c r="E167" s="57">
        <f>(3.2*2.3)*10.764</f>
        <v>79.223039999999983</v>
      </c>
      <c r="F167" s="42">
        <f t="shared" si="10"/>
        <v>1110.1709736000003</v>
      </c>
      <c r="G167" s="71"/>
      <c r="H167" s="72"/>
      <c r="I167" s="36"/>
      <c r="L167" s="82"/>
      <c r="M167" s="82"/>
      <c r="N167" s="36"/>
    </row>
    <row r="168" spans="1:14" s="37" customFormat="1" ht="15.75" customHeight="1" x14ac:dyDescent="0.35">
      <c r="A168" s="67">
        <f t="shared" si="11"/>
        <v>8</v>
      </c>
      <c r="B168" s="68"/>
      <c r="C168" s="54">
        <v>1</v>
      </c>
      <c r="D168" s="42">
        <f>(3*4.7+2.1*2.75+2.9*3.75+2.1*1.2+1.2*2.1+1.5*0.9+2.05*1.5+2.1*1)*10.764</f>
        <v>455.4786600000001</v>
      </c>
      <c r="E168" s="42">
        <v>0</v>
      </c>
      <c r="F168" s="42">
        <f t="shared" si="10"/>
        <v>683.2179900000001</v>
      </c>
      <c r="G168" s="73"/>
      <c r="H168" s="74"/>
      <c r="I168" s="36"/>
      <c r="L168" s="82"/>
      <c r="M168" s="82"/>
      <c r="N168" s="36"/>
    </row>
    <row r="169" spans="1:14" s="37" customFormat="1" x14ac:dyDescent="0.35">
      <c r="A169" s="75" t="s">
        <v>200</v>
      </c>
      <c r="B169" s="76"/>
      <c r="C169" s="76"/>
      <c r="D169" s="76"/>
      <c r="E169" s="76"/>
      <c r="F169" s="76"/>
      <c r="G169" s="76"/>
      <c r="H169" s="77"/>
      <c r="J169" s="36"/>
    </row>
    <row r="170" spans="1:14" s="37" customFormat="1" ht="15.75" customHeight="1" x14ac:dyDescent="0.35">
      <c r="A170" s="67">
        <v>1</v>
      </c>
      <c r="B170" s="68"/>
      <c r="C170" s="54">
        <v>1</v>
      </c>
      <c r="D170" s="42">
        <f>(3*4.7+2.1*2.75+2.9*3.75+2.1*1.2+1.2*2.1+1.5*0.9+2.05*1.5+2.1*1)*10.764</f>
        <v>455.4786600000001</v>
      </c>
      <c r="E170" s="42">
        <v>0</v>
      </c>
      <c r="F170" s="42">
        <f t="shared" ref="F170:F177" si="12">D170*(($F$137)+1)+(IF(E170&lt;101,E170,IF(E170&lt;201,E170/2,IF(E170&lt;=301,E170/3,E170/4))))</f>
        <v>683.2179900000001</v>
      </c>
      <c r="G170" s="69" t="str">
        <f>A169</f>
        <v>5th Floor</v>
      </c>
      <c r="H170" s="70"/>
      <c r="I170" s="36"/>
      <c r="L170" s="82"/>
      <c r="M170" s="82"/>
      <c r="N170" s="36"/>
    </row>
    <row r="171" spans="1:14" s="37" customFormat="1" ht="15.75" customHeight="1" x14ac:dyDescent="0.35">
      <c r="A171" s="67">
        <f t="shared" ref="A171:A177" si="13">A170+1</f>
        <v>2</v>
      </c>
      <c r="B171" s="68"/>
      <c r="C171" s="54">
        <v>2</v>
      </c>
      <c r="D171" s="42">
        <f>(4.4*3.35+2.1*2.88+3.25*3.1+3.25*3.7+1.2*2.25+1.2*2.2+3.75*0.9+1.44*1.44+1.5*2.3+2.1*1+1.25*3.7)*10.764</f>
        <v>687.29862240000011</v>
      </c>
      <c r="E171" s="42">
        <v>0</v>
      </c>
      <c r="F171" s="42">
        <f t="shared" si="12"/>
        <v>1030.9479336000002</v>
      </c>
      <c r="G171" s="71"/>
      <c r="H171" s="72"/>
      <c r="I171" s="36"/>
      <c r="L171" s="82"/>
      <c r="M171" s="82"/>
      <c r="N171" s="36"/>
    </row>
    <row r="172" spans="1:14" s="37" customFormat="1" ht="15.75" customHeight="1" x14ac:dyDescent="0.35">
      <c r="A172" s="67">
        <f t="shared" si="13"/>
        <v>3</v>
      </c>
      <c r="B172" s="68"/>
      <c r="C172" s="54">
        <v>2</v>
      </c>
      <c r="D172" s="42">
        <f>(4.4*3.35+2.1*2.88+3.25*3.1+3.25*3.3+1.2*2.2+1.2*2.2+3.3*0.9+1.44*1.44+1.5*2.3+2.05*1+1*3.3)*10.764</f>
        <v>653.49966240000003</v>
      </c>
      <c r="E172" s="42">
        <v>0</v>
      </c>
      <c r="F172" s="42">
        <f t="shared" si="12"/>
        <v>980.24949360000005</v>
      </c>
      <c r="G172" s="71"/>
      <c r="H172" s="72"/>
      <c r="I172" s="36"/>
      <c r="L172" s="82"/>
      <c r="M172" s="82"/>
      <c r="N172" s="36"/>
    </row>
    <row r="173" spans="1:14" s="37" customFormat="1" ht="15.75" customHeight="1" x14ac:dyDescent="0.35">
      <c r="A173" s="67">
        <f t="shared" si="13"/>
        <v>4</v>
      </c>
      <c r="B173" s="68"/>
      <c r="C173" s="54">
        <v>1</v>
      </c>
      <c r="D173" s="42">
        <f>(3*4.7+2.1*2.75+2.9*3.75+2.1*1.2+1.2*2.1+1.5*0.9+2.05*1.5+2.1*1)*10.764</f>
        <v>455.4786600000001</v>
      </c>
      <c r="E173" s="42">
        <v>0</v>
      </c>
      <c r="F173" s="42">
        <f t="shared" si="12"/>
        <v>683.2179900000001</v>
      </c>
      <c r="G173" s="71"/>
      <c r="H173" s="72"/>
      <c r="I173" s="36"/>
      <c r="L173" s="82"/>
      <c r="M173" s="82"/>
      <c r="N173" s="36"/>
    </row>
    <row r="174" spans="1:14" s="37" customFormat="1" ht="15.75" customHeight="1" x14ac:dyDescent="0.35">
      <c r="A174" s="67">
        <f t="shared" si="13"/>
        <v>5</v>
      </c>
      <c r="B174" s="68"/>
      <c r="C174" s="54">
        <v>1</v>
      </c>
      <c r="D174" s="42">
        <f>(3*4.7+2.1*2.75+2.9*3.75+2.1*1.2+1.2*2.1+1.5*0.9+2.05*1.5+2.1*1)*10.764</f>
        <v>455.4786600000001</v>
      </c>
      <c r="E174" s="42">
        <v>0</v>
      </c>
      <c r="F174" s="42">
        <f t="shared" si="12"/>
        <v>683.2179900000001</v>
      </c>
      <c r="G174" s="71"/>
      <c r="H174" s="72"/>
      <c r="I174" s="36"/>
      <c r="L174" s="82"/>
      <c r="M174" s="82"/>
      <c r="N174" s="36"/>
    </row>
    <row r="175" spans="1:14" s="37" customFormat="1" ht="15.75" customHeight="1" x14ac:dyDescent="0.35">
      <c r="A175" s="67">
        <f t="shared" si="13"/>
        <v>6</v>
      </c>
      <c r="B175" s="68"/>
      <c r="C175" s="54">
        <v>2</v>
      </c>
      <c r="D175" s="42">
        <f>(4.4*3.35+2.1*2.88+3.25*3.1+3.25*3.7+1.2*2.25+1.2*2.2+3.75*0.9+1.44*1.44+1.5*2.3+2.1*1+1.25*3.7)*10.764</f>
        <v>687.29862240000011</v>
      </c>
      <c r="E175" s="42">
        <v>0</v>
      </c>
      <c r="F175" s="42">
        <f t="shared" si="12"/>
        <v>1030.9479336000002</v>
      </c>
      <c r="G175" s="71"/>
      <c r="H175" s="72"/>
      <c r="I175" s="36"/>
      <c r="L175" s="82"/>
      <c r="M175" s="82"/>
      <c r="N175" s="36"/>
    </row>
    <row r="176" spans="1:14" s="37" customFormat="1" ht="15.75" customHeight="1" x14ac:dyDescent="0.35">
      <c r="A176" s="67">
        <f t="shared" si="13"/>
        <v>7</v>
      </c>
      <c r="B176" s="68"/>
      <c r="C176" s="54">
        <v>2</v>
      </c>
      <c r="D176" s="42">
        <f>(4.4*3.35+2.1*2.88+3.25*3.1+3.25*3.7+1.2*2.25+1.2*2.2+3.75*0.9+1.44*1.44+1.5*2.3+2.1*1+1.25*3.7)*10.764</f>
        <v>687.29862240000011</v>
      </c>
      <c r="E176" s="42">
        <v>0</v>
      </c>
      <c r="F176" s="42">
        <f t="shared" si="12"/>
        <v>1030.9479336000002</v>
      </c>
      <c r="G176" s="71"/>
      <c r="H176" s="72"/>
      <c r="I176" s="36"/>
      <c r="L176" s="82"/>
      <c r="M176" s="82"/>
      <c r="N176" s="36"/>
    </row>
    <row r="177" spans="1:14" s="37" customFormat="1" ht="15.75" customHeight="1" x14ac:dyDescent="0.35">
      <c r="A177" s="67">
        <f t="shared" si="13"/>
        <v>8</v>
      </c>
      <c r="B177" s="68"/>
      <c r="C177" s="54">
        <v>1</v>
      </c>
      <c r="D177" s="42">
        <f>(3*4.7+2.1*2.75+2.9*3.75+2.1*1.2+1.2*2.1+1.5*0.9+2.05*1.5+2.1*1)*10.764</f>
        <v>455.4786600000001</v>
      </c>
      <c r="E177" s="42">
        <v>0</v>
      </c>
      <c r="F177" s="42">
        <f t="shared" si="12"/>
        <v>683.2179900000001</v>
      </c>
      <c r="G177" s="73"/>
      <c r="H177" s="74"/>
      <c r="I177" s="36"/>
      <c r="L177" s="82"/>
      <c r="M177" s="82"/>
      <c r="N177" s="36"/>
    </row>
    <row r="178" spans="1:14" s="37" customFormat="1" ht="15.75" customHeight="1" x14ac:dyDescent="0.35">
      <c r="A178" s="75" t="s">
        <v>198</v>
      </c>
      <c r="B178" s="76"/>
      <c r="C178" s="76"/>
      <c r="D178" s="76"/>
      <c r="E178" s="76"/>
      <c r="F178" s="76"/>
      <c r="G178" s="76"/>
      <c r="H178" s="77"/>
      <c r="I178" s="36"/>
    </row>
    <row r="179" spans="1:14" s="37" customFormat="1" ht="15.75" customHeight="1" x14ac:dyDescent="0.35">
      <c r="A179" s="67">
        <v>1</v>
      </c>
      <c r="B179" s="68"/>
      <c r="C179" s="54">
        <v>1</v>
      </c>
      <c r="D179" s="42">
        <f>(3*4.7+2.1*2.75+2.9*3.75+2.1*1.2+1.2*2.1+1.5*0.9+2.05*1.5+2.1*1)*10.764</f>
        <v>455.4786600000001</v>
      </c>
      <c r="E179" s="42">
        <v>0</v>
      </c>
      <c r="F179" s="42">
        <f t="shared" ref="F179:F186" si="14">D179*(($F$137)+1)+(IF(E179&lt;101,E179,IF(E179&lt;201,E179/2,IF(E179&lt;=301,E179/3,E179/4))))</f>
        <v>683.2179900000001</v>
      </c>
      <c r="G179" s="69" t="str">
        <f>A178</f>
        <v>6th, 7th, 9th Floor</v>
      </c>
      <c r="H179" s="70"/>
      <c r="I179" s="36"/>
    </row>
    <row r="180" spans="1:14" s="37" customFormat="1" ht="15.75" customHeight="1" x14ac:dyDescent="0.35">
      <c r="A180" s="67">
        <v>2</v>
      </c>
      <c r="B180" s="68"/>
      <c r="C180" s="54">
        <v>2</v>
      </c>
      <c r="D180" s="42">
        <f>(4.4*3.35+2.1*2.88+3.25*3.1+3.25*3.7+1.2*2.25+1.2*2.2+3.75*0.9+1.44*1.44+1.5*2.3+2.1*1+1.25*3.7)*10.764</f>
        <v>687.29862240000011</v>
      </c>
      <c r="E180" s="42">
        <v>0</v>
      </c>
      <c r="F180" s="42">
        <f t="shared" si="14"/>
        <v>1030.9479336000002</v>
      </c>
      <c r="G180" s="71"/>
      <c r="H180" s="72"/>
      <c r="I180" s="36"/>
    </row>
    <row r="181" spans="1:14" s="37" customFormat="1" ht="15.75" customHeight="1" x14ac:dyDescent="0.35">
      <c r="A181" s="67">
        <v>3</v>
      </c>
      <c r="B181" s="68"/>
      <c r="C181" s="54">
        <v>2</v>
      </c>
      <c r="D181" s="42">
        <f>(4.4*3.35+2.1*2.88+3.25*3.1+3.25*3.3+1.2*2.2+1.2*2.2+3.3*0.9+1.44*1.44+1.5*2.3+2.05*1+1*3.3)*10.764</f>
        <v>653.49966240000003</v>
      </c>
      <c r="E181" s="42">
        <v>0</v>
      </c>
      <c r="F181" s="42">
        <f t="shared" si="14"/>
        <v>980.24949360000005</v>
      </c>
      <c r="G181" s="71"/>
      <c r="H181" s="72"/>
      <c r="I181" s="36"/>
    </row>
    <row r="182" spans="1:14" s="37" customFormat="1" ht="15.75" customHeight="1" x14ac:dyDescent="0.35">
      <c r="A182" s="67">
        <v>4</v>
      </c>
      <c r="B182" s="68"/>
      <c r="C182" s="54">
        <v>1</v>
      </c>
      <c r="D182" s="42">
        <f>(3*4.7+2.1*2.75+2.9*3.75+2.1*1.2+1.2*2.1+1.5*0.9+2.05*1.5+2.1*1)*10.764</f>
        <v>455.4786600000001</v>
      </c>
      <c r="E182" s="42">
        <v>0</v>
      </c>
      <c r="F182" s="42">
        <f t="shared" si="14"/>
        <v>683.2179900000001</v>
      </c>
      <c r="G182" s="71"/>
      <c r="H182" s="72"/>
      <c r="I182" s="36"/>
    </row>
    <row r="183" spans="1:14" s="37" customFormat="1" ht="15.75" customHeight="1" x14ac:dyDescent="0.35">
      <c r="A183" s="67">
        <v>5</v>
      </c>
      <c r="B183" s="68"/>
      <c r="C183" s="54">
        <v>1</v>
      </c>
      <c r="D183" s="42">
        <f>(3*4.7+2.1*2.75+2.9*3.75+2.1*1.2+1.2*2.1+1.5*0.9+2.05*1.5+2.1*1)*10.764</f>
        <v>455.4786600000001</v>
      </c>
      <c r="E183" s="42">
        <v>0</v>
      </c>
      <c r="F183" s="42">
        <f t="shared" si="14"/>
        <v>683.2179900000001</v>
      </c>
      <c r="G183" s="71"/>
      <c r="H183" s="72"/>
      <c r="I183" s="36"/>
    </row>
    <row r="184" spans="1:14" s="37" customFormat="1" ht="15.75" customHeight="1" x14ac:dyDescent="0.35">
      <c r="A184" s="67">
        <v>6</v>
      </c>
      <c r="B184" s="68"/>
      <c r="C184" s="54">
        <v>2</v>
      </c>
      <c r="D184" s="42">
        <f>(4.4*3.35+2.1*2.88+3.25*3.1+3.25*3.7+1.2*2.25+1.2*2.2+3.75*0.9+1.44*1.44+1.5*2.3+2.1*1+1.25*3.7+1.5*2.3)*10.764</f>
        <v>724.43442240000002</v>
      </c>
      <c r="E184" s="42">
        <v>0</v>
      </c>
      <c r="F184" s="42">
        <f t="shared" si="14"/>
        <v>1086.6516336</v>
      </c>
      <c r="G184" s="71"/>
      <c r="H184" s="72"/>
      <c r="I184" s="36"/>
    </row>
    <row r="185" spans="1:14" s="37" customFormat="1" ht="15.75" customHeight="1" x14ac:dyDescent="0.35">
      <c r="A185" s="67">
        <v>7</v>
      </c>
      <c r="B185" s="68"/>
      <c r="C185" s="54">
        <v>2</v>
      </c>
      <c r="D185" s="42">
        <f>(4.4*3.35+2.1*2.88+3.25*3.1+3.25*3.7+1.2*2.25+1.2*2.2+3.75*0.9+1.44*1.44+1.5*2.3+2.1*1+1.25*3.7+1.5*2.3)*10.764</f>
        <v>724.43442240000002</v>
      </c>
      <c r="E185" s="42">
        <v>0</v>
      </c>
      <c r="F185" s="42">
        <f t="shared" si="14"/>
        <v>1086.6516336</v>
      </c>
      <c r="G185" s="71"/>
      <c r="H185" s="72"/>
      <c r="I185" s="36"/>
    </row>
    <row r="186" spans="1:14" s="37" customFormat="1" ht="15.75" customHeight="1" x14ac:dyDescent="0.35">
      <c r="A186" s="67">
        <v>8</v>
      </c>
      <c r="B186" s="68"/>
      <c r="C186" s="54">
        <v>1</v>
      </c>
      <c r="D186" s="42">
        <f>(3*4.7+2.1*2.75+2.9*3.75+2.1*1.2+1.2*2.1+1.5*0.9+2.05*1.5+2.1*1)*10.764</f>
        <v>455.4786600000001</v>
      </c>
      <c r="E186" s="42">
        <v>0</v>
      </c>
      <c r="F186" s="42">
        <f t="shared" si="14"/>
        <v>683.2179900000001</v>
      </c>
      <c r="G186" s="73"/>
      <c r="H186" s="74"/>
      <c r="I186" s="36"/>
    </row>
    <row r="187" spans="1:14" s="37" customFormat="1" x14ac:dyDescent="0.35">
      <c r="A187" s="75" t="s">
        <v>199</v>
      </c>
      <c r="B187" s="76"/>
      <c r="C187" s="76"/>
      <c r="D187" s="76"/>
      <c r="E187" s="76"/>
      <c r="F187" s="76"/>
      <c r="G187" s="76"/>
      <c r="H187" s="77"/>
      <c r="J187" s="36"/>
    </row>
    <row r="188" spans="1:14" s="37" customFormat="1" ht="15.75" customHeight="1" x14ac:dyDescent="0.35">
      <c r="A188" s="67">
        <v>1</v>
      </c>
      <c r="B188" s="68"/>
      <c r="C188" s="54">
        <v>1</v>
      </c>
      <c r="D188" s="42">
        <f>(3*4.7+2.1*2.75+2.9*3.75+2.1*1.2+1.2*2.1+1.5*0.9+2.05*1.5+2.1*1)*10.764</f>
        <v>455.4786600000001</v>
      </c>
      <c r="E188" s="42">
        <v>0</v>
      </c>
      <c r="F188" s="42">
        <f t="shared" ref="F188:F194" si="15">D188*(($F$137)+1)+(IF(E188&lt;101,E188,IF(E188&lt;201,E188/2,IF(E188&lt;=301,E188/3,E188/4))))</f>
        <v>683.2179900000001</v>
      </c>
      <c r="G188" s="69" t="str">
        <f>A187</f>
        <v>8th Floor (Part Refuge Area)</v>
      </c>
      <c r="H188" s="70"/>
      <c r="I188" s="36"/>
      <c r="L188" s="82"/>
      <c r="M188" s="82"/>
      <c r="N188" s="36"/>
    </row>
    <row r="189" spans="1:14" s="37" customFormat="1" ht="15.75" customHeight="1" x14ac:dyDescent="0.35">
      <c r="A189" s="67">
        <f t="shared" ref="A189:A192" si="16">A188+1</f>
        <v>2</v>
      </c>
      <c r="B189" s="68"/>
      <c r="C189" s="54">
        <v>2</v>
      </c>
      <c r="D189" s="42">
        <f>(4.4*3.35+2.1*2.88+3.25*3.1+3.25*3.7+1.2*2.25+1.2*2.2+3.75*0.9+1.44*1.44+1.5*2.3+2.1*1+1.25*3.7)*10.764</f>
        <v>687.29862240000011</v>
      </c>
      <c r="E189" s="42">
        <v>0</v>
      </c>
      <c r="F189" s="42">
        <f t="shared" si="15"/>
        <v>1030.9479336000002</v>
      </c>
      <c r="G189" s="71"/>
      <c r="H189" s="72"/>
      <c r="I189" s="36"/>
      <c r="L189" s="82"/>
      <c r="M189" s="82"/>
      <c r="N189" s="36"/>
    </row>
    <row r="190" spans="1:14" s="37" customFormat="1" ht="15.75" customHeight="1" x14ac:dyDescent="0.35">
      <c r="A190" s="67">
        <f t="shared" si="16"/>
        <v>3</v>
      </c>
      <c r="B190" s="68"/>
      <c r="C190" s="54">
        <v>2</v>
      </c>
      <c r="D190" s="42">
        <f>(4.4*3.35+2.1*2.88+3.25*3.1+3.25*3.3+1.2*2.2+1.2*2.2+3.3*0.9+1.44*1.44+1.5*2.3+2.05*1+1*3.3)*10.764</f>
        <v>653.49966240000003</v>
      </c>
      <c r="E190" s="42">
        <v>0</v>
      </c>
      <c r="F190" s="42">
        <f t="shared" si="15"/>
        <v>980.24949360000005</v>
      </c>
      <c r="G190" s="71"/>
      <c r="H190" s="72"/>
      <c r="I190" s="36"/>
      <c r="L190" s="82"/>
      <c r="M190" s="82"/>
      <c r="N190" s="36"/>
    </row>
    <row r="191" spans="1:14" s="37" customFormat="1" ht="15.75" customHeight="1" x14ac:dyDescent="0.35">
      <c r="A191" s="67">
        <f t="shared" si="16"/>
        <v>4</v>
      </c>
      <c r="B191" s="68"/>
      <c r="C191" s="54">
        <v>1</v>
      </c>
      <c r="D191" s="42">
        <f>(3*4.7+2.1*2.75+2.9*3.75+2.1*1.2+1.2*2.1+1.5*0.9+2.05*1.5+2.1*1)*10.764</f>
        <v>455.4786600000001</v>
      </c>
      <c r="E191" s="42">
        <v>0</v>
      </c>
      <c r="F191" s="42">
        <f t="shared" si="15"/>
        <v>683.2179900000001</v>
      </c>
      <c r="G191" s="71"/>
      <c r="H191" s="72"/>
      <c r="I191" s="36"/>
      <c r="L191" s="82"/>
      <c r="M191" s="82"/>
      <c r="N191" s="36"/>
    </row>
    <row r="192" spans="1:14" s="37" customFormat="1" ht="15.75" customHeight="1" x14ac:dyDescent="0.35">
      <c r="A192" s="67">
        <f t="shared" si="16"/>
        <v>5</v>
      </c>
      <c r="B192" s="68"/>
      <c r="C192" s="54">
        <v>1</v>
      </c>
      <c r="D192" s="42">
        <f>(3*4.7+2.1*2.75+2.9*3.75+2.1*1.2+1.2*2.1+1.5*0.9+2.05*1.5+2.1*1)*10.764</f>
        <v>455.4786600000001</v>
      </c>
      <c r="E192" s="42">
        <v>0</v>
      </c>
      <c r="F192" s="42">
        <f t="shared" si="15"/>
        <v>683.2179900000001</v>
      </c>
      <c r="G192" s="71"/>
      <c r="H192" s="72"/>
      <c r="I192" s="36"/>
      <c r="L192" s="82"/>
      <c r="M192" s="82"/>
      <c r="N192" s="36"/>
    </row>
    <row r="193" spans="1:14" s="37" customFormat="1" ht="15.75" customHeight="1" x14ac:dyDescent="0.35">
      <c r="A193" s="67">
        <v>6</v>
      </c>
      <c r="B193" s="68"/>
      <c r="C193" s="54">
        <v>2</v>
      </c>
      <c r="D193" s="42">
        <f>(4.4*3.35+2.1*2.88+3.25*3.1+3.25*3.7+1.2*2.25+1.2*2.2+3.75*0.9+1.44*1.44+1.5*2.3+2.1*1+1.25*3.7+1.5*2.3)*10.764</f>
        <v>724.43442240000002</v>
      </c>
      <c r="E193" s="42">
        <v>0</v>
      </c>
      <c r="F193" s="42">
        <f t="shared" si="15"/>
        <v>1086.6516336</v>
      </c>
      <c r="G193" s="71"/>
      <c r="H193" s="72"/>
      <c r="I193" s="36"/>
      <c r="L193" s="82"/>
      <c r="M193" s="82"/>
      <c r="N193" s="36"/>
    </row>
    <row r="194" spans="1:14" s="37" customFormat="1" ht="15.75" customHeight="1" x14ac:dyDescent="0.35">
      <c r="A194" s="67">
        <v>7</v>
      </c>
      <c r="B194" s="68"/>
      <c r="C194" s="54">
        <v>1</v>
      </c>
      <c r="D194" s="42">
        <f>(3*4.7+2.1*2.75+2.9*3.75+2.1*1.2+1.2*2.1+1.5*0.9+2.05*1.5+2.1*1)*10.764</f>
        <v>455.4786600000001</v>
      </c>
      <c r="E194" s="42">
        <v>0</v>
      </c>
      <c r="F194" s="42">
        <f t="shared" si="15"/>
        <v>683.2179900000001</v>
      </c>
      <c r="G194" s="73"/>
      <c r="H194" s="74"/>
      <c r="I194" s="36"/>
      <c r="L194" s="82"/>
      <c r="M194" s="82"/>
      <c r="N194" s="36"/>
    </row>
    <row r="195" spans="1:14" s="37" customFormat="1" x14ac:dyDescent="0.35">
      <c r="A195" s="75" t="s">
        <v>197</v>
      </c>
      <c r="B195" s="76"/>
      <c r="C195" s="76"/>
      <c r="D195" s="76"/>
      <c r="E195" s="76"/>
      <c r="F195" s="76"/>
      <c r="G195" s="76"/>
      <c r="H195" s="77"/>
      <c r="J195" s="36"/>
    </row>
    <row r="196" spans="1:14" s="37" customFormat="1" x14ac:dyDescent="0.35">
      <c r="A196" s="75" t="s">
        <v>191</v>
      </c>
      <c r="B196" s="76"/>
      <c r="C196" s="76"/>
      <c r="D196" s="76"/>
      <c r="E196" s="76"/>
      <c r="F196" s="76"/>
      <c r="G196" s="76"/>
      <c r="H196" s="77"/>
      <c r="J196" s="36"/>
    </row>
    <row r="197" spans="1:14" s="37" customFormat="1" ht="15.75" customHeight="1" x14ac:dyDescent="0.35">
      <c r="A197" s="75" t="s">
        <v>212</v>
      </c>
      <c r="B197" s="76"/>
      <c r="C197" s="76"/>
      <c r="D197" s="76"/>
      <c r="E197" s="76"/>
      <c r="F197" s="76"/>
      <c r="G197" s="76"/>
      <c r="H197" s="77"/>
      <c r="I197" s="36"/>
    </row>
    <row r="198" spans="1:14" s="37" customFormat="1" ht="15.75" customHeight="1" x14ac:dyDescent="0.35">
      <c r="A198" s="67">
        <v>1</v>
      </c>
      <c r="B198" s="68"/>
      <c r="C198" s="54">
        <v>1</v>
      </c>
      <c r="D198" s="42">
        <f>(3*4.7+2.1*2.75+2.9*3.75+2.1*1.2+1.2*2.1+1.5*0.9+2.05*1.5+2.1*1)*10.764</f>
        <v>455.4786600000001</v>
      </c>
      <c r="E198" s="42">
        <v>0</v>
      </c>
      <c r="F198" s="42">
        <f t="shared" ref="F198:F205" si="17">D198*(($F$137)+1)+(IF(E198&lt;101,E198,IF(E198&lt;201,E198/2,IF(E198&lt;=301,E198/3,E198/4))))</f>
        <v>683.2179900000001</v>
      </c>
      <c r="G198" s="69" t="str">
        <f>A197</f>
        <v>1st to 7th &amp; 9th Floor For Residential</v>
      </c>
      <c r="H198" s="70"/>
      <c r="I198" s="36"/>
    </row>
    <row r="199" spans="1:14" s="37" customFormat="1" ht="15.75" customHeight="1" x14ac:dyDescent="0.35">
      <c r="A199" s="67">
        <v>2</v>
      </c>
      <c r="B199" s="68"/>
      <c r="C199" s="54">
        <v>2</v>
      </c>
      <c r="D199" s="42">
        <f>(4.4*3.35+2.1*2.88+3.25*3.1+3.25*3.7+1.2*2.25+1.2*2.2+3.75*0.9+1.44*1.44+1.5*2.3+2.1*1+1.25*3.7)*10.764</f>
        <v>687.29862240000011</v>
      </c>
      <c r="E199" s="42">
        <v>0</v>
      </c>
      <c r="F199" s="42">
        <f t="shared" si="17"/>
        <v>1030.9479336000002</v>
      </c>
      <c r="G199" s="71"/>
      <c r="H199" s="72"/>
      <c r="I199" s="36"/>
    </row>
    <row r="200" spans="1:14" s="37" customFormat="1" ht="15.75" customHeight="1" x14ac:dyDescent="0.35">
      <c r="A200" s="67">
        <v>3</v>
      </c>
      <c r="B200" s="68"/>
      <c r="C200" s="54">
        <v>2</v>
      </c>
      <c r="D200" s="42">
        <f>(4.4*3.35+2.1*2.88+3.25*3.1+3.25*3.7+1.2*2.25+1.2*2.2+3.75*0.9+1.44*1.44+1.5*2.3+2.1*1+1.25*3.7)*10.764</f>
        <v>687.29862240000011</v>
      </c>
      <c r="E200" s="42">
        <v>0</v>
      </c>
      <c r="F200" s="42">
        <f t="shared" si="17"/>
        <v>1030.9479336000002</v>
      </c>
      <c r="G200" s="71"/>
      <c r="H200" s="72"/>
      <c r="I200" s="36"/>
    </row>
    <row r="201" spans="1:14" s="37" customFormat="1" ht="15.75" customHeight="1" x14ac:dyDescent="0.35">
      <c r="A201" s="67">
        <v>4</v>
      </c>
      <c r="B201" s="68"/>
      <c r="C201" s="54">
        <v>1</v>
      </c>
      <c r="D201" s="42">
        <f>(3*4.7+2.1*2.75+2.9*3.75+2.1*1.2+1.2*2.1+1.5*0.9+2.05*1.5+2.1*1)*10.764</f>
        <v>455.4786600000001</v>
      </c>
      <c r="E201" s="42">
        <v>0</v>
      </c>
      <c r="F201" s="42">
        <f t="shared" si="17"/>
        <v>683.2179900000001</v>
      </c>
      <c r="G201" s="71"/>
      <c r="H201" s="72"/>
      <c r="I201" s="36"/>
    </row>
    <row r="202" spans="1:14" s="37" customFormat="1" ht="15.75" customHeight="1" x14ac:dyDescent="0.35">
      <c r="A202" s="67">
        <v>5</v>
      </c>
      <c r="B202" s="68"/>
      <c r="C202" s="54">
        <v>1</v>
      </c>
      <c r="D202" s="42">
        <f>(3*4.7+2.1*2.75+2.9*3.75+2.1*1.2+1.2*2.1+1.5*0.9+2.05*1.5+2.1*1)*10.764</f>
        <v>455.4786600000001</v>
      </c>
      <c r="E202" s="42">
        <v>0</v>
      </c>
      <c r="F202" s="42">
        <f t="shared" si="17"/>
        <v>683.2179900000001</v>
      </c>
      <c r="G202" s="71"/>
      <c r="H202" s="72"/>
      <c r="I202" s="36"/>
    </row>
    <row r="203" spans="1:14" s="37" customFormat="1" ht="15.75" customHeight="1" x14ac:dyDescent="0.35">
      <c r="A203" s="67">
        <v>6</v>
      </c>
      <c r="B203" s="68"/>
      <c r="C203" s="54">
        <v>2</v>
      </c>
      <c r="D203" s="42">
        <f>(4.4*3.35+2.1*2.88+3.25*3.1+3.25*3.7+1.2*2.25+1.2*2.2+3.75*0.9+1.44*1.44+1.5*2.3+2.1*1+1.25*3.7)*10.764</f>
        <v>687.29862240000011</v>
      </c>
      <c r="E203" s="42">
        <v>0</v>
      </c>
      <c r="F203" s="42">
        <f t="shared" si="17"/>
        <v>1030.9479336000002</v>
      </c>
      <c r="G203" s="71"/>
      <c r="H203" s="72"/>
      <c r="I203" s="36"/>
    </row>
    <row r="204" spans="1:14" s="37" customFormat="1" ht="15.75" customHeight="1" x14ac:dyDescent="0.35">
      <c r="A204" s="67">
        <v>7</v>
      </c>
      <c r="B204" s="68"/>
      <c r="C204" s="54">
        <v>2</v>
      </c>
      <c r="D204" s="42">
        <f>(4.4*3.35+2.1*2.88+3.25*3.1+3.25*3.3+1.2*2.2+1.2*2.2+3.3*0.9+1.44*1.44+1.5*2.3+2.05*1+1*3.3)*10.764</f>
        <v>653.49966240000003</v>
      </c>
      <c r="E204" s="42">
        <v>0</v>
      </c>
      <c r="F204" s="42">
        <f t="shared" si="17"/>
        <v>980.24949360000005</v>
      </c>
      <c r="G204" s="71"/>
      <c r="H204" s="72"/>
      <c r="I204" s="36"/>
    </row>
    <row r="205" spans="1:14" s="37" customFormat="1" ht="15.75" customHeight="1" x14ac:dyDescent="0.35">
      <c r="A205" s="67">
        <v>8</v>
      </c>
      <c r="B205" s="68"/>
      <c r="C205" s="54">
        <v>1</v>
      </c>
      <c r="D205" s="42">
        <f>(3*4.7+2.1*2.75+2.9*3.75+2.1*1.2+1.2*2.1+1.5*0.9+2.05*1.5+2.1*1)*10.764</f>
        <v>455.4786600000001</v>
      </c>
      <c r="E205" s="42">
        <v>0</v>
      </c>
      <c r="F205" s="42">
        <f t="shared" si="17"/>
        <v>683.2179900000001</v>
      </c>
      <c r="G205" s="73"/>
      <c r="H205" s="74"/>
      <c r="I205" s="36"/>
    </row>
    <row r="206" spans="1:14" s="37" customFormat="1" x14ac:dyDescent="0.35">
      <c r="A206" s="75" t="s">
        <v>199</v>
      </c>
      <c r="B206" s="76"/>
      <c r="C206" s="76"/>
      <c r="D206" s="76"/>
      <c r="E206" s="76"/>
      <c r="F206" s="76"/>
      <c r="G206" s="76"/>
      <c r="H206" s="77"/>
      <c r="J206" s="36"/>
    </row>
    <row r="207" spans="1:14" s="37" customFormat="1" ht="15.75" customHeight="1" x14ac:dyDescent="0.35">
      <c r="A207" s="67">
        <v>1</v>
      </c>
      <c r="B207" s="68"/>
      <c r="C207" s="54">
        <v>1</v>
      </c>
      <c r="D207" s="42">
        <f>(3*4.7+2.1*2.75+2.9*3.75+2.1*1.2+1.2*2.1+1.5*0.9+2.05*1.5+2.1*1)*10.764</f>
        <v>455.4786600000001</v>
      </c>
      <c r="E207" s="42">
        <v>0</v>
      </c>
      <c r="F207" s="42">
        <f t="shared" ref="F207:F213" si="18">D207*(($F$137)+1)+(IF(E207&lt;101,E207,IF(E207&lt;201,E207/2,IF(E207&lt;=301,E207/3,E207/4))))</f>
        <v>683.2179900000001</v>
      </c>
      <c r="G207" s="69" t="str">
        <f>A206</f>
        <v>8th Floor (Part Refuge Area)</v>
      </c>
      <c r="H207" s="70"/>
      <c r="I207" s="36"/>
      <c r="L207" s="82"/>
      <c r="M207" s="82"/>
      <c r="N207" s="36"/>
    </row>
    <row r="208" spans="1:14" s="37" customFormat="1" ht="15.75" customHeight="1" x14ac:dyDescent="0.35">
      <c r="A208" s="67">
        <f t="shared" ref="A208:A213" si="19">A207+1</f>
        <v>2</v>
      </c>
      <c r="B208" s="68"/>
      <c r="C208" s="54">
        <v>2</v>
      </c>
      <c r="D208" s="42">
        <f>(4.4*3.35+2.1*2.88+3.25*3.1+3.25*3.7+1.2*2.25+1.2*2.2+3.75*0.9+1.44*1.44+1.5*2.3+2.1*1+1.25*3.7)*10.764</f>
        <v>687.29862240000011</v>
      </c>
      <c r="E208" s="42">
        <v>0</v>
      </c>
      <c r="F208" s="42">
        <f t="shared" si="18"/>
        <v>1030.9479336000002</v>
      </c>
      <c r="G208" s="71"/>
      <c r="H208" s="72"/>
      <c r="I208" s="36"/>
      <c r="L208" s="82"/>
      <c r="M208" s="82"/>
      <c r="N208" s="36"/>
    </row>
    <row r="209" spans="1:14" s="37" customFormat="1" ht="15.75" customHeight="1" x14ac:dyDescent="0.35">
      <c r="A209" s="67">
        <f t="shared" si="19"/>
        <v>3</v>
      </c>
      <c r="B209" s="68"/>
      <c r="C209" s="54">
        <v>2</v>
      </c>
      <c r="D209" s="42">
        <f>(4.4*3.35+2.1*2.88+3.25*3.1+3.25*3.7+1.2*2.25+1.2*2.2+3.75*0.9+1.44*1.44+1.5*2.3+2.1*1+1.25*3.7)*10.764</f>
        <v>687.29862240000011</v>
      </c>
      <c r="E209" s="42">
        <v>0</v>
      </c>
      <c r="F209" s="42">
        <f t="shared" si="18"/>
        <v>1030.9479336000002</v>
      </c>
      <c r="G209" s="71"/>
      <c r="H209" s="72"/>
      <c r="I209" s="36"/>
      <c r="L209" s="82"/>
      <c r="M209" s="82"/>
      <c r="N209" s="36"/>
    </row>
    <row r="210" spans="1:14" s="37" customFormat="1" ht="15.75" customHeight="1" x14ac:dyDescent="0.35">
      <c r="A210" s="67">
        <f t="shared" si="19"/>
        <v>4</v>
      </c>
      <c r="B210" s="68"/>
      <c r="C210" s="54">
        <v>1</v>
      </c>
      <c r="D210" s="42">
        <f>(3*4.7+2.1*2.75+2.9*3.75+2.1*1.2+1.2*2.1+1.5*0.9+2.05*1.5+2.1*1)*10.764</f>
        <v>455.4786600000001</v>
      </c>
      <c r="E210" s="42">
        <v>0</v>
      </c>
      <c r="F210" s="42">
        <f t="shared" si="18"/>
        <v>683.2179900000001</v>
      </c>
      <c r="G210" s="71"/>
      <c r="H210" s="72"/>
      <c r="I210" s="36"/>
      <c r="L210" s="82"/>
      <c r="M210" s="82"/>
      <c r="N210" s="36"/>
    </row>
    <row r="211" spans="1:14" s="37" customFormat="1" ht="15.75" customHeight="1" x14ac:dyDescent="0.35">
      <c r="A211" s="67">
        <f t="shared" si="19"/>
        <v>5</v>
      </c>
      <c r="B211" s="68"/>
      <c r="C211" s="54">
        <v>1</v>
      </c>
      <c r="D211" s="42">
        <f>(3*4.7+2.1*2.75+2.9*3.75+2.1*1.2+1.2*2.1+1.5*0.9+2.05*1.5+2.1*1)*10.764</f>
        <v>455.4786600000001</v>
      </c>
      <c r="E211" s="42">
        <v>0</v>
      </c>
      <c r="F211" s="42">
        <f t="shared" si="18"/>
        <v>683.2179900000001</v>
      </c>
      <c r="G211" s="71"/>
      <c r="H211" s="72"/>
      <c r="I211" s="36"/>
      <c r="L211" s="82"/>
      <c r="M211" s="82"/>
      <c r="N211" s="36"/>
    </row>
    <row r="212" spans="1:14" s="37" customFormat="1" ht="15.75" customHeight="1" x14ac:dyDescent="0.35">
      <c r="A212" s="67">
        <f t="shared" si="19"/>
        <v>6</v>
      </c>
      <c r="B212" s="68"/>
      <c r="C212" s="54">
        <v>2</v>
      </c>
      <c r="D212" s="42">
        <f>(4.4*3.35+2.1*2.88+3.25*3.1+3.25*3.3+1.2*2.2+1.2*2.2+3.3*0.9+1.44*1.44+1.5*2.3+2.05*1+1*3.3)*10.764</f>
        <v>653.49966240000003</v>
      </c>
      <c r="E212" s="42">
        <v>0</v>
      </c>
      <c r="F212" s="42">
        <f t="shared" si="18"/>
        <v>980.24949360000005</v>
      </c>
      <c r="G212" s="71"/>
      <c r="H212" s="72"/>
      <c r="I212" s="36"/>
      <c r="L212" s="82"/>
      <c r="M212" s="82"/>
      <c r="N212" s="36"/>
    </row>
    <row r="213" spans="1:14" s="37" customFormat="1" ht="15.75" customHeight="1" x14ac:dyDescent="0.35">
      <c r="A213" s="67">
        <f t="shared" si="19"/>
        <v>7</v>
      </c>
      <c r="B213" s="68"/>
      <c r="C213" s="54">
        <v>1</v>
      </c>
      <c r="D213" s="42">
        <f>(3*4.7+2.1*2.75+2.9*3.75+2.1*1.2+1.2*2.1+1.5*0.9+2.05*1.5+2.1*1)*10.764</f>
        <v>455.4786600000001</v>
      </c>
      <c r="E213" s="42">
        <v>0</v>
      </c>
      <c r="F213" s="42">
        <f t="shared" si="18"/>
        <v>683.2179900000001</v>
      </c>
      <c r="G213" s="71"/>
      <c r="H213" s="72"/>
      <c r="I213" s="36"/>
      <c r="L213" s="82"/>
      <c r="M213" s="82"/>
      <c r="N213" s="36"/>
    </row>
    <row r="214" spans="1:14" s="35" customFormat="1" x14ac:dyDescent="0.35">
      <c r="A214" s="81" t="s">
        <v>69</v>
      </c>
      <c r="B214" s="81"/>
      <c r="C214" s="81"/>
      <c r="D214" s="81"/>
      <c r="E214" s="81"/>
      <c r="F214" s="81"/>
      <c r="G214" s="81"/>
      <c r="H214" s="81"/>
    </row>
    <row r="215" spans="1:14" s="35" customFormat="1" x14ac:dyDescent="0.35">
      <c r="A215" s="46" t="s">
        <v>157</v>
      </c>
      <c r="B215" s="78" t="s">
        <v>213</v>
      </c>
      <c r="C215" s="79"/>
      <c r="D215" s="79"/>
      <c r="E215" s="79"/>
      <c r="F215" s="79"/>
      <c r="G215" s="79"/>
      <c r="H215" s="80"/>
    </row>
    <row r="216" spans="1:14" s="35" customFormat="1" x14ac:dyDescent="0.35">
      <c r="A216" s="46" t="s">
        <v>157</v>
      </c>
      <c r="B216" s="78" t="str">
        <f>(IF(F136="Saleable area Loading :","We have considered Saleable area of Flats as per our Calculation.","We considered Saleable area of Flat as per Builder area Sheet."))</f>
        <v>We have considered Saleable area of Flats as per our Calculation.</v>
      </c>
      <c r="C216" s="79"/>
      <c r="D216" s="79"/>
      <c r="E216" s="79"/>
      <c r="F216" s="79"/>
      <c r="G216" s="79"/>
      <c r="H216" s="80"/>
    </row>
    <row r="217" spans="1:14" s="35" customFormat="1" x14ac:dyDescent="0.35">
      <c r="A217" s="46" t="s">
        <v>157</v>
      </c>
      <c r="B217" s="78" t="str">
        <f>(IF(F119="Saleable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17" s="79"/>
      <c r="D217" s="79"/>
      <c r="E217" s="79"/>
      <c r="F217" s="79"/>
      <c r="G217" s="79"/>
      <c r="H217" s="80"/>
    </row>
    <row r="218" spans="1:14" s="35" customFormat="1" x14ac:dyDescent="0.35">
      <c r="A218" s="46" t="s">
        <v>157</v>
      </c>
      <c r="B218" s="64" t="s">
        <v>127</v>
      </c>
      <c r="C218" s="65"/>
      <c r="D218" s="65"/>
      <c r="E218" s="65"/>
      <c r="F218" s="65"/>
      <c r="G218" s="65"/>
      <c r="H218" s="66"/>
    </row>
    <row r="219" spans="1:14" s="35" customFormat="1" x14ac:dyDescent="0.35">
      <c r="A219" s="46" t="s">
        <v>157</v>
      </c>
      <c r="B219" s="64" t="s">
        <v>202</v>
      </c>
      <c r="C219" s="65"/>
      <c r="D219" s="65"/>
      <c r="E219" s="65"/>
      <c r="F219" s="65"/>
      <c r="G219" s="65"/>
      <c r="H219" s="66"/>
    </row>
    <row r="220" spans="1:14" s="35" customFormat="1" x14ac:dyDescent="0.35">
      <c r="A220" s="46" t="s">
        <v>157</v>
      </c>
      <c r="B220" s="64" t="s">
        <v>156</v>
      </c>
      <c r="C220" s="65"/>
      <c r="D220" s="65"/>
      <c r="E220" s="65"/>
      <c r="F220" s="65"/>
      <c r="G220" s="65"/>
      <c r="H220" s="66"/>
    </row>
    <row r="221" spans="1:14" s="35" customFormat="1" x14ac:dyDescent="0.35">
      <c r="A221" s="46" t="s">
        <v>157</v>
      </c>
      <c r="B221" s="64" t="s">
        <v>128</v>
      </c>
      <c r="C221" s="65"/>
      <c r="D221" s="65"/>
      <c r="E221" s="65"/>
      <c r="F221" s="65"/>
      <c r="G221" s="65"/>
      <c r="H221" s="66"/>
    </row>
    <row r="222" spans="1:14" s="35" customFormat="1" ht="34.5" customHeight="1" x14ac:dyDescent="0.35">
      <c r="A222" s="46" t="s">
        <v>157</v>
      </c>
      <c r="B222" s="64" t="s">
        <v>158</v>
      </c>
      <c r="C222" s="65"/>
      <c r="D222" s="65"/>
      <c r="E222" s="65"/>
      <c r="F222" s="65"/>
      <c r="G222" s="65"/>
      <c r="H222" s="66"/>
    </row>
    <row r="223" spans="1:14" s="35" customFormat="1" x14ac:dyDescent="0.35">
      <c r="A223" s="62" t="s">
        <v>157</v>
      </c>
      <c r="B223" s="64" t="s">
        <v>129</v>
      </c>
      <c r="C223" s="65"/>
      <c r="D223" s="65"/>
      <c r="E223" s="65"/>
      <c r="F223" s="65"/>
      <c r="G223" s="65"/>
      <c r="H223" s="66"/>
    </row>
    <row r="224" spans="1:14" s="35" customFormat="1" ht="32.25" customHeight="1" x14ac:dyDescent="0.35">
      <c r="A224" s="46" t="s">
        <v>157</v>
      </c>
      <c r="B224" s="64" t="s">
        <v>223</v>
      </c>
      <c r="C224" s="65"/>
      <c r="D224" s="65"/>
      <c r="E224" s="65"/>
      <c r="F224" s="65"/>
      <c r="G224" s="65"/>
      <c r="H224" s="66"/>
    </row>
    <row r="225" spans="1:8" x14ac:dyDescent="0.35">
      <c r="A225" s="167" t="s">
        <v>62</v>
      </c>
      <c r="B225" s="167"/>
      <c r="C225" s="167"/>
      <c r="D225" s="167"/>
      <c r="E225" s="167"/>
      <c r="F225" s="167"/>
      <c r="G225" s="167"/>
      <c r="H225" s="167"/>
    </row>
    <row r="226" spans="1:8" x14ac:dyDescent="0.35">
      <c r="A226" s="86" t="s">
        <v>63</v>
      </c>
      <c r="B226" s="86"/>
      <c r="C226" s="86"/>
      <c r="D226" s="86"/>
      <c r="E226" s="86"/>
      <c r="F226" s="86"/>
      <c r="G226" s="86"/>
      <c r="H226" s="86"/>
    </row>
    <row r="227" spans="1:8" ht="15.75" customHeight="1" x14ac:dyDescent="0.35">
      <c r="A227" s="184" t="s">
        <v>64</v>
      </c>
      <c r="B227" s="184"/>
      <c r="C227" s="184"/>
      <c r="D227" s="184"/>
      <c r="E227" s="184"/>
      <c r="F227" s="184"/>
      <c r="G227" s="184"/>
      <c r="H227" s="184"/>
    </row>
    <row r="228" spans="1:8" x14ac:dyDescent="0.35">
      <c r="A228" s="86" t="s">
        <v>65</v>
      </c>
      <c r="B228" s="86"/>
      <c r="C228" s="86"/>
      <c r="D228" s="86"/>
      <c r="E228" s="86"/>
      <c r="F228" s="86"/>
      <c r="G228" s="86"/>
      <c r="H228" s="86"/>
    </row>
    <row r="229" spans="1:8" x14ac:dyDescent="0.35">
      <c r="A229" s="86" t="s">
        <v>66</v>
      </c>
      <c r="B229" s="86"/>
      <c r="C229" s="86"/>
      <c r="D229" s="86"/>
      <c r="E229" s="86"/>
      <c r="F229" s="86"/>
      <c r="G229" s="86"/>
      <c r="H229" s="86"/>
    </row>
    <row r="230" spans="1:8" x14ac:dyDescent="0.35">
      <c r="A230" s="86" t="s">
        <v>130</v>
      </c>
      <c r="B230" s="86"/>
      <c r="C230" s="86"/>
      <c r="D230" s="86"/>
      <c r="E230" s="86"/>
      <c r="F230" s="86"/>
      <c r="G230" s="86"/>
      <c r="H230" s="86"/>
    </row>
    <row r="231" spans="1:8" ht="35.25" customHeight="1" x14ac:dyDescent="0.35">
      <c r="A231" s="137" t="s">
        <v>131</v>
      </c>
      <c r="B231" s="137"/>
      <c r="C231" s="137"/>
      <c r="D231" s="137"/>
      <c r="E231" s="137"/>
      <c r="F231" s="137"/>
      <c r="G231" s="137"/>
      <c r="H231" s="137"/>
    </row>
    <row r="232" spans="1:8" x14ac:dyDescent="0.35">
      <c r="A232" s="166" t="s">
        <v>78</v>
      </c>
      <c r="B232" s="166"/>
      <c r="C232" s="166" t="s">
        <v>217</v>
      </c>
      <c r="D232" s="166"/>
      <c r="E232" s="166" t="s">
        <v>107</v>
      </c>
      <c r="F232" s="166"/>
      <c r="G232" s="166" t="s">
        <v>224</v>
      </c>
      <c r="H232" s="166"/>
    </row>
    <row r="233" spans="1:8" x14ac:dyDescent="0.35">
      <c r="A233" s="165" t="s">
        <v>80</v>
      </c>
      <c r="B233" s="165"/>
      <c r="C233" s="165"/>
      <c r="D233" s="165"/>
      <c r="E233" s="165"/>
      <c r="F233" s="165"/>
      <c r="G233" s="165"/>
      <c r="H233" s="165"/>
    </row>
    <row r="234" spans="1:8" x14ac:dyDescent="0.35">
      <c r="A234" s="165"/>
      <c r="B234" s="165"/>
      <c r="C234" s="165"/>
      <c r="D234" s="165"/>
      <c r="E234" s="165"/>
      <c r="F234" s="165"/>
      <c r="G234" s="165"/>
      <c r="H234" s="165"/>
    </row>
    <row r="235" spans="1:8" x14ac:dyDescent="0.35">
      <c r="A235" s="165"/>
      <c r="B235" s="165"/>
      <c r="C235" s="165"/>
      <c r="D235" s="165"/>
      <c r="E235" s="165"/>
      <c r="F235" s="165"/>
      <c r="G235" s="165"/>
      <c r="H235" s="165"/>
    </row>
    <row r="236" spans="1:8" x14ac:dyDescent="0.35">
      <c r="A236" s="165"/>
      <c r="B236" s="165"/>
      <c r="C236" s="165"/>
      <c r="D236" s="165"/>
      <c r="E236" s="165"/>
      <c r="F236" s="165"/>
      <c r="G236" s="165"/>
      <c r="H236" s="165"/>
    </row>
    <row r="237" spans="1:8" x14ac:dyDescent="0.35">
      <c r="A237" s="38" t="s">
        <v>67</v>
      </c>
      <c r="B237" s="39"/>
      <c r="C237" s="39"/>
      <c r="D237" s="38" t="str">
        <f>E8</f>
        <v>La Mer Regency</v>
      </c>
      <c r="F237" s="39"/>
      <c r="G237" s="39"/>
      <c r="H237" s="39"/>
    </row>
    <row r="238" spans="1:8" x14ac:dyDescent="0.35">
      <c r="A238" s="39"/>
      <c r="B238" s="39"/>
      <c r="C238" s="39"/>
      <c r="D238" s="39"/>
      <c r="E238" s="39"/>
      <c r="F238" s="39"/>
      <c r="G238" s="39"/>
      <c r="H238" s="39"/>
    </row>
    <row r="239" spans="1:8" x14ac:dyDescent="0.35">
      <c r="A239" s="39"/>
      <c r="B239" s="39"/>
      <c r="C239" s="39"/>
      <c r="D239" s="39"/>
      <c r="E239" s="39"/>
      <c r="F239" s="39"/>
      <c r="G239" s="39"/>
      <c r="H239" s="39"/>
    </row>
    <row r="240" spans="1:8" ht="15" customHeight="1" x14ac:dyDescent="0.35"/>
    <row r="280" spans="1:1" x14ac:dyDescent="0.35">
      <c r="A280" s="41" t="s">
        <v>68</v>
      </c>
    </row>
  </sheetData>
  <mergeCells count="423">
    <mergeCell ref="A10:D10"/>
    <mergeCell ref="E10:H10"/>
    <mergeCell ref="A123:B123"/>
    <mergeCell ref="L123:M123"/>
    <mergeCell ref="A124:B124"/>
    <mergeCell ref="L124:M124"/>
    <mergeCell ref="A125:B125"/>
    <mergeCell ref="L125:M125"/>
    <mergeCell ref="A126:B126"/>
    <mergeCell ref="L126:M126"/>
    <mergeCell ref="G70:H70"/>
    <mergeCell ref="A55:C55"/>
    <mergeCell ref="A56:C56"/>
    <mergeCell ref="D56:H56"/>
    <mergeCell ref="D57:H57"/>
    <mergeCell ref="A57:C57"/>
    <mergeCell ref="G49:H49"/>
    <mergeCell ref="A50:B51"/>
    <mergeCell ref="A77:B77"/>
    <mergeCell ref="A70:B70"/>
    <mergeCell ref="A73:B73"/>
    <mergeCell ref="A69:B69"/>
    <mergeCell ref="A67:B67"/>
    <mergeCell ref="C67:H67"/>
    <mergeCell ref="G50:H50"/>
    <mergeCell ref="C49:E49"/>
    <mergeCell ref="C52:E52"/>
    <mergeCell ref="A49:B49"/>
    <mergeCell ref="A54:H54"/>
    <mergeCell ref="A230:H230"/>
    <mergeCell ref="A227:H227"/>
    <mergeCell ref="A113:B113"/>
    <mergeCell ref="D136:D137"/>
    <mergeCell ref="E136:E137"/>
    <mergeCell ref="G136:H137"/>
    <mergeCell ref="A89:B89"/>
    <mergeCell ref="A90:B90"/>
    <mergeCell ref="A91:B91"/>
    <mergeCell ref="F96:H96"/>
    <mergeCell ref="G111:H111"/>
    <mergeCell ref="G52:H52"/>
    <mergeCell ref="A52:B53"/>
    <mergeCell ref="C53:H53"/>
    <mergeCell ref="B224:H224"/>
    <mergeCell ref="B221:H221"/>
    <mergeCell ref="D55:H55"/>
    <mergeCell ref="A78:B78"/>
    <mergeCell ref="F102:H102"/>
    <mergeCell ref="A96:E96"/>
    <mergeCell ref="A85:B85"/>
    <mergeCell ref="E85:F94"/>
    <mergeCell ref="A92:B92"/>
    <mergeCell ref="A93:B93"/>
    <mergeCell ref="A94:B94"/>
    <mergeCell ref="F95:H95"/>
    <mergeCell ref="F100:H100"/>
    <mergeCell ref="A81:B81"/>
    <mergeCell ref="C81:H81"/>
    <mergeCell ref="A83:B83"/>
    <mergeCell ref="C83:H83"/>
    <mergeCell ref="A84:B84"/>
    <mergeCell ref="E84:F84"/>
    <mergeCell ref="G84:H84"/>
    <mergeCell ref="A95:E95"/>
    <mergeCell ref="A76:B76"/>
    <mergeCell ref="D59:H59"/>
    <mergeCell ref="A64:C64"/>
    <mergeCell ref="D64:H64"/>
    <mergeCell ref="A65:C65"/>
    <mergeCell ref="D65:H65"/>
    <mergeCell ref="A71:B71"/>
    <mergeCell ref="A233:H236"/>
    <mergeCell ref="A232:B232"/>
    <mergeCell ref="E232:F232"/>
    <mergeCell ref="C232:D232"/>
    <mergeCell ref="G232:H232"/>
    <mergeCell ref="A109:H109"/>
    <mergeCell ref="A107:E107"/>
    <mergeCell ref="F107:H107"/>
    <mergeCell ref="A108:E108"/>
    <mergeCell ref="F108:H108"/>
    <mergeCell ref="A114:B114"/>
    <mergeCell ref="A111:B111"/>
    <mergeCell ref="A228:H228"/>
    <mergeCell ref="A112:H112"/>
    <mergeCell ref="A231:H231"/>
    <mergeCell ref="A229:H229"/>
    <mergeCell ref="A225:H225"/>
    <mergeCell ref="A226:H226"/>
    <mergeCell ref="C114:D114"/>
    <mergeCell ref="E114:F114"/>
    <mergeCell ref="G114:H114"/>
    <mergeCell ref="A128:H128"/>
    <mergeCell ref="E119:E120"/>
    <mergeCell ref="G119:H120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139:H139"/>
    <mergeCell ref="E116:F116"/>
    <mergeCell ref="A135:H135"/>
    <mergeCell ref="A136:A137"/>
    <mergeCell ref="A138:H138"/>
    <mergeCell ref="A133:B133"/>
    <mergeCell ref="C50:E50"/>
    <mergeCell ref="A58:C59"/>
    <mergeCell ref="D58:H5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A29:D29"/>
    <mergeCell ref="E29:H29"/>
    <mergeCell ref="A30:D30"/>
    <mergeCell ref="E30:H30"/>
    <mergeCell ref="A26:D26"/>
    <mergeCell ref="E26:H26"/>
    <mergeCell ref="C31:E31"/>
    <mergeCell ref="F34:H34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F31:H31"/>
    <mergeCell ref="A32:B32"/>
    <mergeCell ref="A31:B31"/>
    <mergeCell ref="C32:E32"/>
    <mergeCell ref="A33:B33"/>
    <mergeCell ref="C33:E33"/>
    <mergeCell ref="F32:H32"/>
    <mergeCell ref="A41:D41"/>
    <mergeCell ref="A48:B48"/>
    <mergeCell ref="C48:E48"/>
    <mergeCell ref="G48:H48"/>
    <mergeCell ref="A34:B34"/>
    <mergeCell ref="C34:E34"/>
    <mergeCell ref="A36:H36"/>
    <mergeCell ref="A35:B35"/>
    <mergeCell ref="C35:E35"/>
    <mergeCell ref="A40:D40"/>
    <mergeCell ref="E40:H40"/>
    <mergeCell ref="F33:H33"/>
    <mergeCell ref="A39:H39"/>
    <mergeCell ref="A60:C60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E44:H44"/>
    <mergeCell ref="E45:H45"/>
    <mergeCell ref="A43:D43"/>
    <mergeCell ref="C51:H51"/>
    <mergeCell ref="F35:H35"/>
    <mergeCell ref="A37:B37"/>
    <mergeCell ref="C37:H37"/>
    <mergeCell ref="A44:D44"/>
    <mergeCell ref="A45:D45"/>
    <mergeCell ref="A46:H46"/>
    <mergeCell ref="E41:H41"/>
    <mergeCell ref="L134:M134"/>
    <mergeCell ref="G129:H134"/>
    <mergeCell ref="A122:H122"/>
    <mergeCell ref="A132:B132"/>
    <mergeCell ref="A117:H117"/>
    <mergeCell ref="A118:H118"/>
    <mergeCell ref="A116:B116"/>
    <mergeCell ref="A127:B127"/>
    <mergeCell ref="L127:M127"/>
    <mergeCell ref="G123:H127"/>
    <mergeCell ref="C119:C120"/>
    <mergeCell ref="B136:B137"/>
    <mergeCell ref="E110:F110"/>
    <mergeCell ref="A110:B110"/>
    <mergeCell ref="C110:D110"/>
    <mergeCell ref="G110:H110"/>
    <mergeCell ref="C111:D111"/>
    <mergeCell ref="E111:F111"/>
    <mergeCell ref="B119:B120"/>
    <mergeCell ref="A119:A120"/>
    <mergeCell ref="C136:C137"/>
    <mergeCell ref="C116:D116"/>
    <mergeCell ref="C113:D113"/>
    <mergeCell ref="G113:H113"/>
    <mergeCell ref="A134:B134"/>
    <mergeCell ref="A101:E101"/>
    <mergeCell ref="F101:H101"/>
    <mergeCell ref="A102:E102"/>
    <mergeCell ref="A104:E104"/>
    <mergeCell ref="F98:H98"/>
    <mergeCell ref="A103:E103"/>
    <mergeCell ref="A100:E100"/>
    <mergeCell ref="F99:H99"/>
    <mergeCell ref="F103:H103"/>
    <mergeCell ref="F104:H104"/>
    <mergeCell ref="A98:E98"/>
    <mergeCell ref="A16:B16"/>
    <mergeCell ref="C16:H16"/>
    <mergeCell ref="A38:B38"/>
    <mergeCell ref="C38:H38"/>
    <mergeCell ref="B222:H222"/>
    <mergeCell ref="A47:B47"/>
    <mergeCell ref="C47:H47"/>
    <mergeCell ref="B220:H220"/>
    <mergeCell ref="G85:H94"/>
    <mergeCell ref="A86:B86"/>
    <mergeCell ref="A87:B87"/>
    <mergeCell ref="A88:B88"/>
    <mergeCell ref="F97:H97"/>
    <mergeCell ref="A97:E97"/>
    <mergeCell ref="D119:D120"/>
    <mergeCell ref="A99:E99"/>
    <mergeCell ref="A129:B129"/>
    <mergeCell ref="A130:B130"/>
    <mergeCell ref="A131:B131"/>
    <mergeCell ref="A115:B115"/>
    <mergeCell ref="C115:D115"/>
    <mergeCell ref="E115:F115"/>
    <mergeCell ref="G115:H115"/>
    <mergeCell ref="A121:H121"/>
    <mergeCell ref="F105:H105"/>
    <mergeCell ref="F106:H106"/>
    <mergeCell ref="A105:E105"/>
    <mergeCell ref="A106:E106"/>
    <mergeCell ref="L129:M129"/>
    <mergeCell ref="A144:B144"/>
    <mergeCell ref="L144:M144"/>
    <mergeCell ref="A145:B145"/>
    <mergeCell ref="L145:M145"/>
    <mergeCell ref="G140:H145"/>
    <mergeCell ref="A140:B140"/>
    <mergeCell ref="A143:B143"/>
    <mergeCell ref="G116:H116"/>
    <mergeCell ref="E113:F113"/>
    <mergeCell ref="L143:M143"/>
    <mergeCell ref="L140:M140"/>
    <mergeCell ref="A141:B141"/>
    <mergeCell ref="L141:M141"/>
    <mergeCell ref="A142:B142"/>
    <mergeCell ref="L142:M142"/>
    <mergeCell ref="L132:M132"/>
    <mergeCell ref="L131:M131"/>
    <mergeCell ref="L130:M130"/>
    <mergeCell ref="L133:M133"/>
    <mergeCell ref="L213:M213"/>
    <mergeCell ref="L154:M154"/>
    <mergeCell ref="A155:B155"/>
    <mergeCell ref="L155:M155"/>
    <mergeCell ref="A156:B156"/>
    <mergeCell ref="L156:M156"/>
    <mergeCell ref="A157:B157"/>
    <mergeCell ref="L157:M157"/>
    <mergeCell ref="A158:B158"/>
    <mergeCell ref="L158:M158"/>
    <mergeCell ref="A159:B159"/>
    <mergeCell ref="L159:M159"/>
    <mergeCell ref="A160:H160"/>
    <mergeCell ref="A161:B161"/>
    <mergeCell ref="L161:M161"/>
    <mergeCell ref="A162:B162"/>
    <mergeCell ref="A163:B163"/>
    <mergeCell ref="L163:M163"/>
    <mergeCell ref="A164:B164"/>
    <mergeCell ref="L164:M164"/>
    <mergeCell ref="L162:M162"/>
    <mergeCell ref="L211:M211"/>
    <mergeCell ref="L212:M212"/>
    <mergeCell ref="A176:B176"/>
    <mergeCell ref="A153:H153"/>
    <mergeCell ref="A154:B154"/>
    <mergeCell ref="G154:H159"/>
    <mergeCell ref="A206:H206"/>
    <mergeCell ref="A207:B207"/>
    <mergeCell ref="L207:M207"/>
    <mergeCell ref="A208:B208"/>
    <mergeCell ref="L208:M208"/>
    <mergeCell ref="A209:B209"/>
    <mergeCell ref="L209:M209"/>
    <mergeCell ref="L166:M166"/>
    <mergeCell ref="G161:H168"/>
    <mergeCell ref="A167:B167"/>
    <mergeCell ref="L167:M167"/>
    <mergeCell ref="A168:B168"/>
    <mergeCell ref="L168:M168"/>
    <mergeCell ref="A169:H169"/>
    <mergeCell ref="A165:B165"/>
    <mergeCell ref="L165:M165"/>
    <mergeCell ref="A166:B166"/>
    <mergeCell ref="A186:B186"/>
    <mergeCell ref="G179:H186"/>
    <mergeCell ref="A178:H178"/>
    <mergeCell ref="A179:B179"/>
    <mergeCell ref="A146:H146"/>
    <mergeCell ref="L146:M146"/>
    <mergeCell ref="A147:B147"/>
    <mergeCell ref="A148:B148"/>
    <mergeCell ref="A149:B149"/>
    <mergeCell ref="A150:B150"/>
    <mergeCell ref="A151:B151"/>
    <mergeCell ref="A152:B152"/>
    <mergeCell ref="G147:H152"/>
    <mergeCell ref="A173:B173"/>
    <mergeCell ref="L173:M173"/>
    <mergeCell ref="A174:B174"/>
    <mergeCell ref="L174:M174"/>
    <mergeCell ref="A175:B175"/>
    <mergeCell ref="L175:M175"/>
    <mergeCell ref="A183:B183"/>
    <mergeCell ref="L176:M176"/>
    <mergeCell ref="A177:B177"/>
    <mergeCell ref="L177:M177"/>
    <mergeCell ref="G170:H177"/>
    <mergeCell ref="A170:B170"/>
    <mergeCell ref="L170:M170"/>
    <mergeCell ref="A171:B171"/>
    <mergeCell ref="L171:M171"/>
    <mergeCell ref="A172:B172"/>
    <mergeCell ref="L172:M172"/>
    <mergeCell ref="A185:B185"/>
    <mergeCell ref="L210:M210"/>
    <mergeCell ref="A180:B180"/>
    <mergeCell ref="A181:B181"/>
    <mergeCell ref="A182:B182"/>
    <mergeCell ref="A187:H187"/>
    <mergeCell ref="A184:B184"/>
    <mergeCell ref="A188:B188"/>
    <mergeCell ref="G188:H194"/>
    <mergeCell ref="L188:M188"/>
    <mergeCell ref="A189:B189"/>
    <mergeCell ref="L189:M189"/>
    <mergeCell ref="A190:B190"/>
    <mergeCell ref="L190:M190"/>
    <mergeCell ref="A191:B191"/>
    <mergeCell ref="L191:M191"/>
    <mergeCell ref="A192:B192"/>
    <mergeCell ref="L192:M192"/>
    <mergeCell ref="A193:B193"/>
    <mergeCell ref="L193:M193"/>
    <mergeCell ref="A194:B194"/>
    <mergeCell ref="L194:M194"/>
    <mergeCell ref="A195:H195"/>
    <mergeCell ref="A196:H196"/>
    <mergeCell ref="B223:H223"/>
    <mergeCell ref="A202:B202"/>
    <mergeCell ref="A203:B203"/>
    <mergeCell ref="A204:B204"/>
    <mergeCell ref="A205:B205"/>
    <mergeCell ref="G198:H205"/>
    <mergeCell ref="A197:H197"/>
    <mergeCell ref="A198:B198"/>
    <mergeCell ref="A199:B199"/>
    <mergeCell ref="A200:B200"/>
    <mergeCell ref="A201:B201"/>
    <mergeCell ref="A211:B211"/>
    <mergeCell ref="A210:B210"/>
    <mergeCell ref="B215:H215"/>
    <mergeCell ref="B216:H216"/>
    <mergeCell ref="B218:H218"/>
    <mergeCell ref="B219:H219"/>
    <mergeCell ref="A214:H214"/>
    <mergeCell ref="B217:H217"/>
    <mergeCell ref="A212:B212"/>
    <mergeCell ref="A213:B213"/>
    <mergeCell ref="G207:H213"/>
  </mergeCells>
  <hyperlinks>
    <hyperlink ref="C38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236" max="16383" man="1"/>
    <brk id="27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5" sqref="B15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5" t="s">
        <v>108</v>
      </c>
      <c r="C3" s="205"/>
      <c r="D3" s="205"/>
      <c r="E3" s="205"/>
      <c r="F3" s="205"/>
      <c r="G3" s="205"/>
      <c r="H3" s="205"/>
    </row>
    <row r="4" spans="1:9" x14ac:dyDescent="0.3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2025-07-11T13:35:27Z</cp:lastPrinted>
  <dcterms:created xsi:type="dcterms:W3CDTF">2019-07-16T09:29:46Z</dcterms:created>
  <dcterms:modified xsi:type="dcterms:W3CDTF">2025-07-11T13:35:37Z</dcterms:modified>
</cp:coreProperties>
</file>