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5-07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I119" i="1"/>
  <c r="J127" i="1"/>
  <c r="J134" i="1"/>
  <c r="D122" i="1" l="1"/>
  <c r="J122" i="1" s="1"/>
  <c r="D121" i="1"/>
  <c r="J121" i="1" s="1"/>
  <c r="D119" i="1"/>
  <c r="J119" i="1" s="1"/>
  <c r="D118" i="1"/>
  <c r="J118" i="1" s="1"/>
  <c r="D117" i="1"/>
  <c r="J117" i="1" s="1"/>
  <c r="D116" i="1"/>
  <c r="J116" i="1" s="1"/>
  <c r="D115" i="1"/>
  <c r="J115" i="1" s="1"/>
  <c r="D114" i="1"/>
  <c r="I114" i="1" s="1"/>
  <c r="H37" i="3"/>
  <c r="D109" i="1"/>
  <c r="D108" i="1"/>
  <c r="D107" i="1"/>
  <c r="D106" i="1"/>
  <c r="D105" i="1"/>
  <c r="D104" i="1"/>
  <c r="D103" i="1"/>
  <c r="D102" i="1"/>
  <c r="F109" i="1"/>
  <c r="G92" i="1" l="1"/>
  <c r="G95" i="1"/>
  <c r="C95" i="1"/>
  <c r="J114" i="1"/>
  <c r="C92" i="1"/>
  <c r="E92" i="1"/>
  <c r="E95" i="1"/>
  <c r="A143" i="1"/>
  <c r="A144" i="1" s="1"/>
  <c r="A145" i="1" s="1"/>
  <c r="A146" i="1" s="1"/>
  <c r="A147" i="1" s="1"/>
  <c r="A148" i="1" s="1"/>
  <c r="A149" i="1" s="1"/>
  <c r="K94" i="1" l="1"/>
  <c r="J94" i="1"/>
  <c r="A121" i="1"/>
  <c r="A122" i="1" s="1"/>
  <c r="A123" i="1" s="1"/>
  <c r="A124" i="1" s="1"/>
  <c r="A125" i="1" s="1"/>
  <c r="A126" i="1" s="1"/>
  <c r="P114" i="1"/>
  <c r="O135" i="1"/>
  <c r="O114" i="1"/>
  <c r="P128" i="1"/>
  <c r="O128" i="1"/>
  <c r="P135" i="1"/>
  <c r="N128" i="1" l="1"/>
  <c r="N135" i="1"/>
  <c r="N114" i="1"/>
  <c r="C59" i="1"/>
  <c r="H60" i="1"/>
  <c r="D65" i="1" l="1"/>
  <c r="D72" i="1"/>
  <c r="D68" i="1"/>
  <c r="K64" i="1"/>
  <c r="C63" i="1" s="1"/>
  <c r="D71" i="1"/>
  <c r="D67" i="1"/>
  <c r="K63" i="1"/>
  <c r="D70" i="1"/>
  <c r="D66" i="1"/>
  <c r="K62" i="1"/>
  <c r="K65" i="1"/>
  <c r="K66" i="1" s="1"/>
  <c r="D69" i="1"/>
  <c r="D63" i="1" l="1"/>
  <c r="K67" i="1"/>
  <c r="K68" i="1" s="1"/>
  <c r="K69" i="1" s="1"/>
  <c r="K70" i="1" s="1"/>
  <c r="K71" i="1" l="1"/>
  <c r="K72" i="1" l="1"/>
  <c r="C64" i="1" l="1"/>
  <c r="G63" i="1" s="1"/>
  <c r="D58" i="1" l="1"/>
  <c r="F73" i="1"/>
  <c r="D64" i="1"/>
  <c r="I59" i="1"/>
  <c r="C61" i="1" s="1"/>
  <c r="E63" i="1" s="1"/>
  <c r="C13" i="1" l="1"/>
  <c r="E40" i="1" l="1"/>
  <c r="E41" i="1" s="1"/>
  <c r="F140" i="1" l="1"/>
  <c r="J140" i="1" s="1"/>
  <c r="F139" i="1"/>
  <c r="J139" i="1" s="1"/>
  <c r="F138" i="1"/>
  <c r="J138" i="1" s="1"/>
  <c r="F137" i="1"/>
  <c r="J137" i="1" s="1"/>
  <c r="F136" i="1"/>
  <c r="J136" i="1" s="1"/>
  <c r="G135" i="1"/>
  <c r="G136" i="1" s="1"/>
  <c r="G137" i="1" s="1"/>
  <c r="G138" i="1" s="1"/>
  <c r="G139" i="1" s="1"/>
  <c r="G140" i="1" s="1"/>
  <c r="F135" i="1"/>
  <c r="J135" i="1" s="1"/>
  <c r="F133" i="1"/>
  <c r="J133" i="1" s="1"/>
  <c r="F132" i="1"/>
  <c r="J132" i="1" s="1"/>
  <c r="F131" i="1"/>
  <c r="J131" i="1" s="1"/>
  <c r="F130" i="1"/>
  <c r="J130" i="1" s="1"/>
  <c r="F129" i="1"/>
  <c r="J129" i="1" s="1"/>
  <c r="F128" i="1"/>
  <c r="J128" i="1" s="1"/>
  <c r="F123" i="1"/>
  <c r="J123" i="1" s="1"/>
  <c r="F124" i="1"/>
  <c r="J124" i="1" s="1"/>
  <c r="F125" i="1"/>
  <c r="J125" i="1" s="1"/>
  <c r="F126" i="1"/>
  <c r="J126" i="1" s="1"/>
  <c r="F102" i="1"/>
  <c r="G102" i="1"/>
  <c r="A104" i="1"/>
  <c r="A105" i="1" s="1"/>
  <c r="A106" i="1" s="1"/>
  <c r="A107" i="1" s="1"/>
  <c r="A108" i="1" s="1"/>
  <c r="A109" i="1" s="1"/>
  <c r="F103" i="1"/>
  <c r="F104" i="1"/>
  <c r="I104" i="1" s="1"/>
  <c r="F105" i="1"/>
  <c r="F106" i="1"/>
  <c r="F107" i="1"/>
  <c r="F108" i="1"/>
  <c r="D56" i="1"/>
  <c r="O136" i="1" l="1"/>
  <c r="O129" i="1"/>
  <c r="G114" i="1"/>
  <c r="A135" i="1" l="1"/>
  <c r="A128" i="1"/>
  <c r="P129" i="1"/>
  <c r="P130" i="1" s="1"/>
  <c r="P131" i="1" s="1"/>
  <c r="P132" i="1" s="1"/>
  <c r="P133" i="1" s="1"/>
  <c r="P136" i="1"/>
  <c r="P137" i="1" s="1"/>
  <c r="P138" i="1" s="1"/>
  <c r="P139" i="1" s="1"/>
  <c r="P140" i="1" s="1"/>
  <c r="O137" i="1"/>
  <c r="O130" i="1"/>
  <c r="O115" i="1"/>
  <c r="G128" i="1"/>
  <c r="G129" i="1" s="1"/>
  <c r="G130" i="1" s="1"/>
  <c r="G131" i="1" s="1"/>
  <c r="G132" i="1" s="1"/>
  <c r="G133" i="1" s="1"/>
  <c r="G121" i="1"/>
  <c r="G123" i="1" s="1"/>
  <c r="G124" i="1" s="1"/>
  <c r="G125" i="1" s="1"/>
  <c r="G126" i="1" s="1"/>
  <c r="E24" i="1"/>
  <c r="E22" i="1"/>
  <c r="N137" i="1" l="1"/>
  <c r="A137" i="1" s="1"/>
  <c r="N136" i="1"/>
  <c r="A136" i="1" s="1"/>
  <c r="N129" i="1"/>
  <c r="A129" i="1" s="1"/>
  <c r="N130" i="1"/>
  <c r="A130" i="1" s="1"/>
  <c r="A114" i="1"/>
  <c r="O138" i="1"/>
  <c r="N138" i="1" s="1"/>
  <c r="O131" i="1"/>
  <c r="N131" i="1" s="1"/>
  <c r="P115" i="1"/>
  <c r="P116" i="1" s="1"/>
  <c r="P117" i="1" s="1"/>
  <c r="P118" i="1" s="1"/>
  <c r="P119" i="1" s="1"/>
  <c r="O116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15" i="1" l="1"/>
  <c r="A115" i="1" s="1"/>
  <c r="N116" i="1"/>
  <c r="A116" i="1" s="1"/>
  <c r="A131" i="1"/>
  <c r="O139" i="1"/>
  <c r="N139" i="1" s="1"/>
  <c r="A138" i="1"/>
  <c r="O132" i="1"/>
  <c r="N132" i="1" s="1"/>
  <c r="O117" i="1"/>
  <c r="N117" i="1" s="1"/>
  <c r="G12" i="5"/>
  <c r="O140" i="1" l="1"/>
  <c r="N140" i="1" s="1"/>
  <c r="A139" i="1"/>
  <c r="A132" i="1"/>
  <c r="O133" i="1"/>
  <c r="N133" i="1" s="1"/>
  <c r="A117" i="1"/>
  <c r="O118" i="1"/>
  <c r="N118" i="1" s="1"/>
  <c r="A140" i="1" l="1"/>
  <c r="A118" i="1"/>
  <c r="O119" i="1"/>
  <c r="N119" i="1" s="1"/>
  <c r="A133" i="1"/>
  <c r="A119" i="1" l="1"/>
  <c r="E7" i="1"/>
  <c r="D163" i="1" l="1"/>
  <c r="F89" i="1"/>
  <c r="C46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<sst xmlns="http://schemas.openxmlformats.org/spreadsheetml/2006/main" count="319" uniqueCount="242">
  <si>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</si>
  <si>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</si>
  <si>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</si>
  <si>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</si>
  <si>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</si>
  <si>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</si>
  <si>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</si>
  <si>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</si>
  <si>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</si>
  <si>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</si>
  <si>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</si>
  <si>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</si>
  <si>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</si>
  <si>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</si>
  <si>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</si>
  <si>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</si>
  <si>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</si>
  <si>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</si>
  <si>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</si>
  <si>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</si>
  <si>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</si>
  <si>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</si>
  <si>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</si>
  <si>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</si>
  <si>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</si>
  <si>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</si>
  <si>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</si>
  <si>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</si>
  <si>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</si>
  <si>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</si>
  <si>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</si>
  <si>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</si>
  <si>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</si>
  <si>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</si>
  <si>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</si>
  <si>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</si>
  <si>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</si>
  <si>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</si>
  <si>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</si>
  <si>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</si>
  <si>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</si>
  <si>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</si>
  <si>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</si>
  <si>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</si>
  <si>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</si>
  <si>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</si>
  <si>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</si>
  <si>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</si>
  <si>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</si>
  <si>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</si>
  <si>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</si>
  <si>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</si>
  <si>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</si>
  <si>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</si>
  <si>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</si>
  <si>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</si>
  <si>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</si>
  <si>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</si>
  <si>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</si>
  <si>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</si>
  <si>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</si>
  <si>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</si>
  <si>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</si>
  <si>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</si>
  <si>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</si>
  <si>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</si>
  <si>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</si>
  <si>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</si>
  <si>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</si>
  <si>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</si>
  <si>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</si>
  <si>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</si>
  <si>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</si>
  <si>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</si>
  <si>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</si>
  <si>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</si>
  <si>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</si>
  <si>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</si>
  <si>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</si>
  <si>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</si>
  <si>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</si>
  <si>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</si>
  <si>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</si>
  <si>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</si>
  <si>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</si>
  <si>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</si>
  <si>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</si>
  <si>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</si>
  <si>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</si>
  <si>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</si>
  <si>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</si>
  <si>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</si>
  <si>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</si>
  <si>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</si>
  <si>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</si>
  <si>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</si>
  <si>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</si>
  <si>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</si>
  <si>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</si>
  <si>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</si>
  <si>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</si>
  <si>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</si>
  <si>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</si>
  <si>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</si>
  <si>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</si>
  <si>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</si>
  <si>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</si>
  <si>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</si>
  <si>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</si>
  <si>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</si>
  <si>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</si>
  <si>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</si>
  <si>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</si>
  <si>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</si>
  <si>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</si>
  <si>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</si>
  <si>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</si>
  <si>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</si>
  <si>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</si>
  <si>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</si>
  <si>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</si>
  <si>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</si>
  <si>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</si>
  <si>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</si>
  <si>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</si>
  <si>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</si>
  <si>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</si>
  <si>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</si>
  <si>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</si>
  <si>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</si>
  <si>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</si>
  <si>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</si>
  <si>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</si>
  <si>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</si>
  <si>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</si>
  <si>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</si>
  <si>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</si>
  <si>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</si>
  <si>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</si>
  <si>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</si>
  <si>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</si>
  <si>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</si>
  <si>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</si>
  <si>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</si>
  <si>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</si>
  <si>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</si>
  <si>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</si>
  <si>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</si>
  <si>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</si>
  <si>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</si>
  <si>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</si>
  <si>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</si>
  <si>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</si>
  <si>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</si>
  <si>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</si>
  <si>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</si>
  <si>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</si>
  <si>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</si>
  <si>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</si>
  <si>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</si>
  <si>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Saleable area
Loading :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</si>
  <si>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</si>
  <si>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</si>
  <si>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</si>
  <si>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</si>
  <si>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1st &amp; 20th Floor</t>
  </si>
  <si>
    <t>Contact Details ( Name &amp; Contact No.)</t>
  </si>
  <si>
    <t>Nearby Landmark</t>
  </si>
  <si>
    <t>1st, 2nd, 3rd, 5th, 7th &amp; 9th Floor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</si>
  <si>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</si>
  <si>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</si>
  <si>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</si>
  <si>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</si>
  <si>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</si>
  <si>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</si>
  <si>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</si>
  <si>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</si>
  <si>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</si>
  <si>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</si>
  <si>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</si>
  <si>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</si>
  <si>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</si>
  <si>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</si>
  <si>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</si>
  <si>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</si>
  <si>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</si>
  <si>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</si>
  <si>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</si>
  <si>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1</t>
  </si>
  <si>
    <t>Basement 2</t>
  </si>
  <si>
    <t>Basement 3</t>
  </si>
  <si>
    <t>Basement 4</t>
  </si>
  <si>
    <t>Axis Goregaon</t>
  </si>
  <si>
    <t>M/s.Om Sai Construction</t>
  </si>
  <si>
    <t xml:space="preserve">P99000028976
</t>
  </si>
  <si>
    <t>Mahim</t>
  </si>
  <si>
    <t>Village</t>
  </si>
  <si>
    <t>Palghar</t>
  </si>
  <si>
    <t>MHASUL/KS.1/MJ.1/ANAP/SR/139/19</t>
  </si>
  <si>
    <t>06/12/2019.</t>
  </si>
  <si>
    <t>Valid Up to:  Gr + 1st to 7th Floor</t>
  </si>
  <si>
    <t>Shop</t>
  </si>
  <si>
    <t>Ground Floor for Commercial &amp; Parking</t>
  </si>
  <si>
    <t>1st to 6th Floor</t>
  </si>
  <si>
    <t>1BHK</t>
  </si>
  <si>
    <t>2BHK</t>
  </si>
  <si>
    <t>7th Floor (Part Terrace Area)</t>
  </si>
  <si>
    <t xml:space="preserve">RCC </t>
  </si>
  <si>
    <t>Flats</t>
  </si>
  <si>
    <t>Flats - 38, Shops - 08</t>
  </si>
  <si>
    <t>On Site, we meet Mr.Vikas - 9673439288.</t>
  </si>
  <si>
    <t>We considered Gross carpet area = Net carpet + Enclose balcony + C.B Area+W.S Area.</t>
  </si>
  <si>
    <t>Advance</t>
  </si>
  <si>
    <t>Society Maintenance Charges</t>
  </si>
  <si>
    <t>Building</t>
  </si>
  <si>
    <t>Open Plot</t>
  </si>
  <si>
    <t>Haranwadi Road</t>
  </si>
  <si>
    <t>Gayatri Park</t>
  </si>
  <si>
    <t>4.1Km from Palghar Railway Station</t>
  </si>
  <si>
    <t>rate is considered from paramount Encalve PH-2 (Bldg no.2,Type - D1, B - wing)</t>
  </si>
  <si>
    <t>Approved Plans, CC, Sale Plans, Cost Sheet</t>
  </si>
  <si>
    <t>S No</t>
  </si>
  <si>
    <t>1023/7</t>
  </si>
  <si>
    <t>Building No.4 (A Wing/TypeA)</t>
  </si>
  <si>
    <t>Building No.4 (A Wing/TypeA) = Gr + 1st to 7th Floor</t>
  </si>
  <si>
    <t>01 Wing</t>
  </si>
  <si>
    <t>Paramount Enclave Phase 02</t>
  </si>
  <si>
    <t>1,00,000/-</t>
  </si>
  <si>
    <t>75,000/-</t>
  </si>
  <si>
    <t>Builder Saleable area</t>
  </si>
  <si>
    <t>We considered  Saleable area of shop as per our calculation &amp; Flat area as per builder area sheet.</t>
  </si>
  <si>
    <t>Location Link</t>
  </si>
  <si>
    <t>https://goo.gl/maps/sgUk54mgnHjvXzeNA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</si>
  <si>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
</t>
  </si>
  <si>
    <t>Paramount Enclave II Building No. 4 Type A Wing A</t>
  </si>
  <si>
    <t xml:space="preserve">As per RERA, completion period of project Paramount Enclave Phase 02 is expired on Date 31/12/2023 but still project is under construction
</t>
  </si>
  <si>
    <t>As per RERA - 31/12/2025</t>
  </si>
  <si>
    <t>Construction work was stopped. Work is same as last visit dtd.13/04/2024</t>
  </si>
  <si>
    <t>The project has received first CC on 06/12/2019, But construction work is not yet completed.</t>
  </si>
  <si>
    <t>Construction work is in the process. (Slow Speed)</t>
  </si>
  <si>
    <t>Pooja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</si>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</sst>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78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9" fontId="17" fillId="0" borderId="0" xfId="0" applyNumberFormat="1" applyFont="1" applyProtection="1">
      <protection hidden="1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Protection="1">
      <protection hidden="1"/>
    </xf>
    <xf numFmtId="0" fontId="17" fillId="0" borderId="14" xfId="0" applyFont="1" applyBorder="1" applyProtection="1">
      <protection hidden="1"/>
    </xf>
    <xf numFmtId="9" fontId="17" fillId="0" borderId="14" xfId="0" applyNumberFormat="1" applyFont="1" applyBorder="1" applyProtection="1">
      <protection hidden="1"/>
    </xf>
    <xf numFmtId="165" fontId="0" fillId="0" borderId="0" xfId="0" applyNumberFormat="1"/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0" fillId="0" borderId="13" xfId="0" applyBorder="1"/>
    <xf numFmtId="1" fontId="0" fillId="0" borderId="0" xfId="0" applyNumberFormat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24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24" fillId="0" borderId="9" xfId="0" applyNumberFormat="1" applyFont="1" applyBorder="1" applyAlignment="1" applyProtection="1">
      <alignment vertical="top" wrapText="1"/>
      <protection locked="0"/>
    </xf>
    <xf numFmtId="1" fontId="24" fillId="0" borderId="24" xfId="0" applyNumberFormat="1" applyFont="1" applyBorder="1" applyAlignment="1" applyProtection="1">
      <alignment vertical="top" wrapText="1"/>
      <protection locked="0"/>
    </xf>
    <xf numFmtId="1" fontId="24" fillId="0" borderId="10" xfId="0" applyNumberFormat="1" applyFont="1" applyBorder="1" applyAlignment="1" applyProtection="1">
      <alignment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5" xfId="1" applyFont="1" applyBorder="1" applyAlignment="1" applyProtection="1">
      <alignment horizontal="center" vertical="top" wrapText="1"/>
      <protection locked="0"/>
    </xf>
    <xf numFmtId="0" fontId="13" fillId="0" borderId="18" xfId="1" applyFont="1" applyBorder="1" applyAlignment="1" applyProtection="1">
      <alignment horizontal="center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vertical="top"/>
      <protection locked="0"/>
    </xf>
    <xf numFmtId="0" fontId="8" fillId="0" borderId="24" xfId="1" applyFont="1" applyBorder="1" applyAlignment="1" applyProtection="1">
      <alignment vertical="top"/>
      <protection locked="0"/>
    </xf>
    <xf numFmtId="0" fontId="8" fillId="0" borderId="10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0" fontId="23" fillId="0" borderId="1" xfId="9" applyBorder="1" applyAlignment="1" applyProtection="1">
      <alignment horizontal="center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720881</xdr:colOff>
      <xdr:row>205</xdr:row>
      <xdr:rowOff>0</xdr:rowOff>
    </xdr:from>
    <xdr:to>
      <xdr:col>7</xdr:col>
      <xdr:colOff>219818</xdr:colOff>
      <xdr:row>222</xdr:row>
      <xdr:rowOff>170999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0881" y="38626676"/>
          <a:ext cx="561734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717177</xdr:colOff>
      <xdr:row>223</xdr:row>
      <xdr:rowOff>139630</xdr:rowOff>
    </xdr:from>
    <xdr:to>
      <xdr:col>7</xdr:col>
      <xdr:colOff>219818</xdr:colOff>
      <xdr:row>241</xdr:row>
      <xdr:rowOff>108923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7177" y="42397012"/>
          <a:ext cx="562105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17</xdr:col>
      <xdr:colOff>544411</xdr:colOff>
      <xdr:row>187</xdr:row>
      <xdr:rowOff>140453</xdr:rowOff>
    </xdr:from>
    <xdr:to>
      <xdr:col>20</xdr:col>
      <xdr:colOff>75639</xdr:colOff>
      <xdr:row>197</xdr:row>
      <xdr:rowOff>11818</xdr:rowOff>
    </xdr:to>
    <xdr:pic>
      <xdr:nvPicPr>
        <xdr:cNvPr id="19" name="Picture 18" descr="https://vsjcllp.vsjadon.com/upload/insp-203945-1525.jpg">
          <a:extLst>
            <a:ext uri="{FF2B5EF4-FFF2-40B4-BE49-F238E27FC236}">
              <a16:creationId xmlns:a16="http://schemas.microsoft.com/office/drawing/2014/main" id="{91C84053-1022-4918-BF50-19B0747DA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8661" y="34497128"/>
          <a:ext cx="1360028" cy="187161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606727</xdr:colOff>
      <xdr:row>177</xdr:row>
      <xdr:rowOff>38087</xdr:rowOff>
    </xdr:from>
    <xdr:to>
      <xdr:col>10</xdr:col>
      <xdr:colOff>249175</xdr:colOff>
      <xdr:row>187</xdr:row>
      <xdr:rowOff>38033</xdr:rowOff>
    </xdr:to>
    <xdr:pic>
      <xdr:nvPicPr>
        <xdr:cNvPr id="20" name="Picture 19" descr="https://vsjcllp.vsjadon.com/upload/insp-203945-845.jpg">
          <a:extLst>
            <a:ext uri="{FF2B5EF4-FFF2-40B4-BE49-F238E27FC236}">
              <a16:creationId xmlns:a16="http://schemas.microsoft.com/office/drawing/2014/main" id="{F755B3C5-01AA-4DAB-BDB5-2CDB4A31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1352" y="32394512"/>
          <a:ext cx="1452198" cy="200019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539112</xdr:colOff>
      <xdr:row>177</xdr:row>
      <xdr:rowOff>35336</xdr:rowOff>
    </xdr:from>
    <xdr:to>
      <xdr:col>17</xdr:col>
      <xdr:colOff>598040</xdr:colOff>
      <xdr:row>187</xdr:row>
      <xdr:rowOff>35282</xdr:rowOff>
    </xdr:to>
    <xdr:pic>
      <xdr:nvPicPr>
        <xdr:cNvPr id="21" name="Picture 20" descr="https://vsjcllp.vsjadon.com/upload/insp-203945-844.jpg">
          <a:extLst>
            <a:ext uri="{FF2B5EF4-FFF2-40B4-BE49-F238E27FC236}">
              <a16:creationId xmlns:a16="http://schemas.microsoft.com/office/drawing/2014/main" id="{5338D9F4-6887-4C39-AA03-9A343D17E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3187" y="32391761"/>
          <a:ext cx="1459103" cy="200019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106322</xdr:colOff>
      <xdr:row>177</xdr:row>
      <xdr:rowOff>38803</xdr:rowOff>
    </xdr:from>
    <xdr:to>
      <xdr:col>20</xdr:col>
      <xdr:colOff>335302</xdr:colOff>
      <xdr:row>187</xdr:row>
      <xdr:rowOff>40486</xdr:rowOff>
    </xdr:to>
    <xdr:pic>
      <xdr:nvPicPr>
        <xdr:cNvPr id="22" name="Picture 21" descr="https://vsjcllp.vsjadon.com/upload/insp-203945-861.jpg">
          <a:extLst>
            <a:ext uri="{FF2B5EF4-FFF2-40B4-BE49-F238E27FC236}">
              <a16:creationId xmlns:a16="http://schemas.microsoft.com/office/drawing/2014/main" id="{8FB9FA83-155F-4FBE-9B3B-A88CEFBDE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0172" y="32395228"/>
          <a:ext cx="1448180" cy="200193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399953</xdr:colOff>
      <xdr:row>187</xdr:row>
      <xdr:rowOff>142357</xdr:rowOff>
    </xdr:from>
    <xdr:to>
      <xdr:col>12</xdr:col>
      <xdr:colOff>379538</xdr:colOff>
      <xdr:row>197</xdr:row>
      <xdr:rowOff>13722</xdr:rowOff>
    </xdr:to>
    <xdr:pic>
      <xdr:nvPicPr>
        <xdr:cNvPr id="23" name="Picture 22" descr="https://vsjcllp.vsjadon.com/upload/insp-203945-862.jpg">
          <a:extLst>
            <a:ext uri="{FF2B5EF4-FFF2-40B4-BE49-F238E27FC236}">
              <a16:creationId xmlns:a16="http://schemas.microsoft.com/office/drawing/2014/main" id="{355071C0-F4F8-404A-A381-6A25BBC60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28" y="34499032"/>
          <a:ext cx="1389285" cy="187161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357323</xdr:colOff>
      <xdr:row>177</xdr:row>
      <xdr:rowOff>31461</xdr:rowOff>
    </xdr:from>
    <xdr:to>
      <xdr:col>12</xdr:col>
      <xdr:colOff>430567</xdr:colOff>
      <xdr:row>187</xdr:row>
      <xdr:rowOff>31407</xdr:rowOff>
    </xdr:to>
    <xdr:pic>
      <xdr:nvPicPr>
        <xdr:cNvPr id="24" name="Picture 23" descr="https://vsjcllp.vsjadon.com/upload/insp-203945-871.jpg">
          <a:extLst>
            <a:ext uri="{FF2B5EF4-FFF2-40B4-BE49-F238E27FC236}">
              <a16:creationId xmlns:a16="http://schemas.microsoft.com/office/drawing/2014/main" id="{DC49EA8F-6BE6-44EA-8A5C-77EE6FB98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1698" y="32387886"/>
          <a:ext cx="1482944" cy="200019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585402</xdr:colOff>
      <xdr:row>161</xdr:row>
      <xdr:rowOff>99907</xdr:rowOff>
    </xdr:from>
    <xdr:to>
      <xdr:col>20</xdr:col>
      <xdr:colOff>349825</xdr:colOff>
      <xdr:row>176</xdr:row>
      <xdr:rowOff>102628</xdr:rowOff>
    </xdr:to>
    <xdr:pic>
      <xdr:nvPicPr>
        <xdr:cNvPr id="25" name="Picture 24" descr="https://vsjcllp.vsjadon.com/upload/insp-203945-940.jpg">
          <a:extLst>
            <a:ext uri="{FF2B5EF4-FFF2-40B4-BE49-F238E27FC236}">
              <a16:creationId xmlns:a16="http://schemas.microsoft.com/office/drawing/2014/main" id="{D0BF4BA1-411D-4A94-85B3-919161D2E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0052" y="29265457"/>
          <a:ext cx="2202823" cy="299357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741063</xdr:colOff>
      <xdr:row>187</xdr:row>
      <xdr:rowOff>155609</xdr:rowOff>
    </xdr:from>
    <xdr:to>
      <xdr:col>10</xdr:col>
      <xdr:colOff>285898</xdr:colOff>
      <xdr:row>197</xdr:row>
      <xdr:rowOff>26311</xdr:rowOff>
    </xdr:to>
    <xdr:pic>
      <xdr:nvPicPr>
        <xdr:cNvPr id="26" name="Picture 25" descr="https://vsjcllp.vsjadon.com/upload/insp-203945-883.jpg">
          <a:extLst>
            <a:ext uri="{FF2B5EF4-FFF2-40B4-BE49-F238E27FC236}">
              <a16:creationId xmlns:a16="http://schemas.microsoft.com/office/drawing/2014/main" id="{3AE77C25-53A4-4879-B09E-6ABF44484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5688" y="34512284"/>
          <a:ext cx="1354585" cy="187095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481673</xdr:colOff>
      <xdr:row>187</xdr:row>
      <xdr:rowOff>136193</xdr:rowOff>
    </xdr:from>
    <xdr:to>
      <xdr:col>17</xdr:col>
      <xdr:colOff>438184</xdr:colOff>
      <xdr:row>197</xdr:row>
      <xdr:rowOff>7558</xdr:rowOff>
    </xdr:to>
    <xdr:pic>
      <xdr:nvPicPr>
        <xdr:cNvPr id="27" name="Picture 26" descr="https://vsjcllp.vsjadon.com/upload/insp-203945-925.jpg">
          <a:extLst>
            <a:ext uri="{FF2B5EF4-FFF2-40B4-BE49-F238E27FC236}">
              <a16:creationId xmlns:a16="http://schemas.microsoft.com/office/drawing/2014/main" id="{BC6377DD-EDB7-44CE-97EE-0BB6209FA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5748" y="34492868"/>
          <a:ext cx="1356686" cy="187161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622808</xdr:colOff>
      <xdr:row>161</xdr:row>
      <xdr:rowOff>105508</xdr:rowOff>
    </xdr:from>
    <xdr:to>
      <xdr:col>16</xdr:col>
      <xdr:colOff>504449</xdr:colOff>
      <xdr:row>176</xdr:row>
      <xdr:rowOff>108229</xdr:rowOff>
    </xdr:to>
    <xdr:pic>
      <xdr:nvPicPr>
        <xdr:cNvPr id="28" name="Picture 27" descr="https://vsjcllp.vsjadon.com/upload/insp-203945-1512.jpg">
          <a:extLst>
            <a:ext uri="{FF2B5EF4-FFF2-40B4-BE49-F238E27FC236}">
              <a16:creationId xmlns:a16="http://schemas.microsoft.com/office/drawing/2014/main" id="{01C667B2-B5EA-4F9E-8C75-D2D2FACB2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7433" y="29271058"/>
          <a:ext cx="3891666" cy="299357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163</xdr:row>
      <xdr:rowOff>88900</xdr:rowOff>
    </xdr:from>
    <xdr:to>
      <xdr:col>7</xdr:col>
      <xdr:colOff>645091</xdr:colOff>
      <xdr:row>202</xdr:row>
      <xdr:rowOff>12700</xdr:rowOff>
    </xdr:to>
    <xdr:grpSp>
      <xdr:nvGrpSpPr>
        <xdr:cNvPr id="14" name="Group 13"/>
        <xdr:cNvGrpSpPr/>
      </xdr:nvGrpSpPr>
      <xdr:grpSpPr>
        <a:xfrm>
          <a:off x="203200" y="29603700"/>
          <a:ext cx="6417241" cy="7594600"/>
          <a:chOff x="203200" y="29603700"/>
          <a:chExt cx="6417241" cy="7594600"/>
        </a:xfrm>
      </xdr:grpSpPr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92908" y="35970524"/>
            <a:ext cx="1348594" cy="122777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200" y="33687112"/>
            <a:ext cx="287767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7781" y="296037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2346" y="3368711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02128" y="3368711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7760" y="296037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5</xdr:col>
      <xdr:colOff>908479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783" y="2675283"/>
          <a:ext cx="6375000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gUk54mgnHjvXzeNA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04"/>
  <sheetViews>
    <sheetView tabSelected="1" view="pageBreakPreview" zoomScaleNormal="100" zoomScaleSheetLayoutView="100" workbookViewId="0">
      <selection activeCell="E8" sqref="E8:H8"/>
    </sheetView>
  </sheetViews>
  <sheetFormatPr defaultColWidth="9.1796875" defaultRowHeight="15.5" x14ac:dyDescent="0.35"/>
  <cols>
    <col min="1" max="1" width="11.453125" style="16" customWidth="1"/>
    <col min="2" max="2" width="12" style="16" customWidth="1"/>
    <col min="3" max="3" width="12.7265625" style="16" customWidth="1"/>
    <col min="4" max="4" width="14.1796875" style="16" customWidth="1"/>
    <col min="5" max="7" width="11.7265625" style="16" customWidth="1"/>
    <col min="8" max="8" width="12.453125" style="16" customWidth="1"/>
    <col min="9" max="9" width="15.7265625" style="8" customWidth="1"/>
    <col min="10" max="10" width="11.453125" style="8" customWidth="1"/>
    <col min="11" max="11" width="10.54296875" style="8" bestFit="1" customWidth="1"/>
    <col min="12" max="12" width="10.54296875" style="8" customWidth="1"/>
    <col min="13" max="13" width="11.81640625" style="8" customWidth="1"/>
    <col min="14" max="14" width="12.54296875" style="8" hidden="1" customWidth="1"/>
    <col min="15" max="15" width="9.81640625" style="8" hidden="1" customWidth="1"/>
    <col min="16" max="16" width="10.453125" style="8" hidden="1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12" ht="46.5" customHeight="1" x14ac:dyDescent="0.35">
      <c r="A1" s="145" t="s">
        <v>233</v>
      </c>
      <c r="B1" s="145"/>
      <c r="C1" s="145"/>
      <c r="D1" s="145"/>
      <c r="E1" s="145"/>
      <c r="F1" s="145"/>
      <c r="G1" s="145"/>
      <c r="H1" s="145"/>
    </row>
    <row r="2" spans="1:12" ht="16.5" customHeight="1" x14ac:dyDescent="0.35">
      <c r="A2" s="96" t="s">
        <v>0</v>
      </c>
      <c r="B2" s="96"/>
      <c r="C2" s="96"/>
      <c r="D2" s="96"/>
      <c r="E2" s="96"/>
      <c r="F2" s="96"/>
      <c r="G2" s="96"/>
      <c r="H2" s="96"/>
    </row>
    <row r="3" spans="1:12" x14ac:dyDescent="0.35">
      <c r="A3" s="95" t="s">
        <v>1</v>
      </c>
      <c r="B3" s="95"/>
      <c r="C3" s="95"/>
      <c r="D3" s="95"/>
      <c r="E3" s="146" t="str">
        <f ca="1">TEXT(TODAY(),"DD/MM/YYYY")</f>
        <v>15/07/2025</v>
      </c>
      <c r="F3" s="146"/>
      <c r="G3" s="146"/>
      <c r="H3" s="146"/>
    </row>
    <row r="4" spans="1:12" ht="15" customHeight="1" x14ac:dyDescent="0.35">
      <c r="A4" s="95" t="s">
        <v>2</v>
      </c>
      <c r="B4" s="95"/>
      <c r="C4" s="95"/>
      <c r="D4" s="95"/>
      <c r="E4" s="140" t="s">
        <v>192</v>
      </c>
      <c r="F4" s="140"/>
      <c r="G4" s="140"/>
      <c r="H4" s="140"/>
    </row>
    <row r="5" spans="1:12" x14ac:dyDescent="0.35">
      <c r="A5" s="95" t="s">
        <v>3</v>
      </c>
      <c r="B5" s="95"/>
      <c r="C5" s="95"/>
      <c r="D5" s="95"/>
      <c r="E5" s="146">
        <v>45847</v>
      </c>
      <c r="F5" s="146"/>
      <c r="G5" s="146"/>
      <c r="H5" s="146"/>
    </row>
    <row r="6" spans="1:12" ht="16.5" customHeight="1" x14ac:dyDescent="0.35">
      <c r="A6" s="95" t="s">
        <v>4</v>
      </c>
      <c r="B6" s="95"/>
      <c r="C6" s="95"/>
      <c r="D6" s="95"/>
      <c r="E6" s="105" t="s">
        <v>193</v>
      </c>
      <c r="F6" s="105"/>
      <c r="G6" s="105"/>
      <c r="H6" s="105"/>
    </row>
    <row r="7" spans="1:12" ht="15" customHeight="1" x14ac:dyDescent="0.35">
      <c r="A7" s="95" t="s">
        <v>5</v>
      </c>
      <c r="B7" s="95"/>
      <c r="C7" s="95"/>
      <c r="D7" s="95"/>
      <c r="E7" s="105" t="str">
        <f>E6</f>
        <v>M/s.Om Sai Construction</v>
      </c>
      <c r="F7" s="105"/>
      <c r="G7" s="105"/>
      <c r="H7" s="105"/>
    </row>
    <row r="8" spans="1:12" x14ac:dyDescent="0.35">
      <c r="A8" s="95" t="s">
        <v>6</v>
      </c>
      <c r="B8" s="95"/>
      <c r="C8" s="95"/>
      <c r="D8" s="95"/>
      <c r="E8" s="137" t="s">
        <v>226</v>
      </c>
      <c r="F8" s="104"/>
      <c r="G8" s="104"/>
      <c r="H8" s="104"/>
    </row>
    <row r="9" spans="1:12" x14ac:dyDescent="0.35">
      <c r="A9" s="95" t="s">
        <v>166</v>
      </c>
      <c r="B9" s="95"/>
      <c r="C9" s="95"/>
      <c r="D9" s="95"/>
      <c r="E9" s="95">
        <v>9890496008</v>
      </c>
      <c r="F9" s="95"/>
      <c r="G9" s="95"/>
      <c r="H9" s="95"/>
    </row>
    <row r="10" spans="1:12" x14ac:dyDescent="0.35">
      <c r="A10" s="120" t="s">
        <v>7</v>
      </c>
      <c r="B10" s="120"/>
      <c r="C10" s="120"/>
      <c r="D10" s="120"/>
      <c r="E10" s="120" t="s">
        <v>223</v>
      </c>
      <c r="F10" s="120"/>
      <c r="G10" s="120"/>
      <c r="H10" s="120"/>
    </row>
    <row r="11" spans="1:12" x14ac:dyDescent="0.35">
      <c r="A11" s="120" t="s">
        <v>8</v>
      </c>
      <c r="B11" s="120"/>
      <c r="C11" s="120"/>
      <c r="D11" s="120"/>
      <c r="E11" s="119" t="s">
        <v>220</v>
      </c>
      <c r="F11" s="119"/>
      <c r="G11" s="119"/>
      <c r="H11" s="119"/>
      <c r="L11" s="8" t="s">
        <v>234</v>
      </c>
    </row>
    <row r="12" spans="1:12" x14ac:dyDescent="0.35">
      <c r="A12" s="120" t="s">
        <v>9</v>
      </c>
      <c r="B12" s="120"/>
      <c r="C12" s="120"/>
      <c r="D12" s="120"/>
      <c r="E12" s="119" t="s">
        <v>194</v>
      </c>
      <c r="F12" s="120"/>
      <c r="G12" s="120"/>
      <c r="H12" s="120"/>
    </row>
    <row r="13" spans="1:12" ht="34.5" customHeight="1" x14ac:dyDescent="0.35">
      <c r="A13" s="119" t="s">
        <v>10</v>
      </c>
      <c r="B13" s="119"/>
      <c r="C13" s="119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Paramount Enclave Phase 02, S No.1023/7, near Gayatri Park, Haranwadi Road, Mahim, Palghar, Palghar, Palghar.</v>
      </c>
      <c r="D13" s="119"/>
      <c r="E13" s="119"/>
      <c r="F13" s="119"/>
      <c r="G13" s="119"/>
      <c r="H13" s="119"/>
    </row>
    <row r="14" spans="1:12" x14ac:dyDescent="0.35">
      <c r="A14" s="119" t="s">
        <v>221</v>
      </c>
      <c r="B14" s="119"/>
      <c r="C14" s="119" t="s">
        <v>222</v>
      </c>
      <c r="D14" s="119"/>
      <c r="E14" s="119"/>
      <c r="F14" s="119"/>
      <c r="G14" s="119"/>
      <c r="H14" s="119"/>
    </row>
    <row r="15" spans="1:12" ht="15.75" customHeight="1" x14ac:dyDescent="0.35">
      <c r="A15" s="119" t="s">
        <v>11</v>
      </c>
      <c r="B15" s="119"/>
      <c r="C15" s="120" t="s">
        <v>216</v>
      </c>
      <c r="D15" s="120"/>
      <c r="E15" s="119" t="s">
        <v>196</v>
      </c>
      <c r="F15" s="119"/>
      <c r="G15" s="119" t="s">
        <v>195</v>
      </c>
      <c r="H15" s="119"/>
    </row>
    <row r="16" spans="1:12" x14ac:dyDescent="0.35">
      <c r="A16" s="120" t="s">
        <v>13</v>
      </c>
      <c r="B16" s="120"/>
      <c r="C16" s="119" t="s">
        <v>197</v>
      </c>
      <c r="D16" s="119"/>
      <c r="E16" s="119" t="s">
        <v>12</v>
      </c>
      <c r="F16" s="119"/>
      <c r="G16" s="144" t="s">
        <v>197</v>
      </c>
      <c r="H16" s="144"/>
    </row>
    <row r="17" spans="1:8" x14ac:dyDescent="0.35">
      <c r="A17" s="120" t="s">
        <v>104</v>
      </c>
      <c r="B17" s="120"/>
      <c r="C17" s="119" t="s">
        <v>197</v>
      </c>
      <c r="D17" s="119"/>
      <c r="E17" s="119" t="s">
        <v>14</v>
      </c>
      <c r="F17" s="119"/>
      <c r="G17" s="119">
        <v>401404</v>
      </c>
      <c r="H17" s="119"/>
    </row>
    <row r="18" spans="1:8" ht="32.25" customHeight="1" x14ac:dyDescent="0.35">
      <c r="A18" s="95" t="s">
        <v>167</v>
      </c>
      <c r="B18" s="95"/>
      <c r="C18" s="143" t="s">
        <v>217</v>
      </c>
      <c r="D18" s="143"/>
      <c r="E18" s="105" t="s">
        <v>15</v>
      </c>
      <c r="F18" s="105"/>
      <c r="G18" s="119" t="s">
        <v>218</v>
      </c>
      <c r="H18" s="119"/>
    </row>
    <row r="19" spans="1:8" ht="15" customHeight="1" x14ac:dyDescent="0.35">
      <c r="A19" s="105" t="s">
        <v>109</v>
      </c>
      <c r="B19" s="105"/>
      <c r="C19" s="105"/>
      <c r="D19" s="105"/>
      <c r="E19" s="120" t="s">
        <v>16</v>
      </c>
      <c r="F19" s="120"/>
      <c r="G19" s="120"/>
      <c r="H19" s="120"/>
    </row>
    <row r="20" spans="1:8" ht="18.75" customHeight="1" x14ac:dyDescent="0.35">
      <c r="A20" s="105"/>
      <c r="B20" s="105"/>
      <c r="C20" s="105"/>
      <c r="D20" s="105"/>
      <c r="E20" s="120"/>
      <c r="F20" s="120"/>
      <c r="G20" s="120"/>
      <c r="H20" s="120"/>
    </row>
    <row r="21" spans="1:8" ht="15" customHeight="1" x14ac:dyDescent="0.35">
      <c r="A21" s="105" t="s">
        <v>17</v>
      </c>
      <c r="B21" s="105"/>
      <c r="C21" s="105"/>
      <c r="D21" s="105"/>
      <c r="E21" s="119" t="s">
        <v>18</v>
      </c>
      <c r="F21" s="119"/>
      <c r="G21" s="119"/>
      <c r="H21" s="119"/>
    </row>
    <row r="22" spans="1:8" ht="15" customHeight="1" x14ac:dyDescent="0.35">
      <c r="A22" s="95" t="s">
        <v>19</v>
      </c>
      <c r="B22" s="95"/>
      <c r="C22" s="95"/>
      <c r="D22" s="95"/>
      <c r="E22" s="119" t="str">
        <f>IF(AND(G16="Mumbai"),"Upper Class","Middle Class")</f>
        <v>Middle Class</v>
      </c>
      <c r="F22" s="119"/>
      <c r="G22" s="119"/>
      <c r="H22" s="119"/>
    </row>
    <row r="23" spans="1:8" x14ac:dyDescent="0.35">
      <c r="A23" s="95" t="s">
        <v>20</v>
      </c>
      <c r="B23" s="95"/>
      <c r="C23" s="95"/>
      <c r="D23" s="95"/>
      <c r="E23" s="119" t="s">
        <v>21</v>
      </c>
      <c r="F23" s="119"/>
      <c r="G23" s="119"/>
      <c r="H23" s="119"/>
    </row>
    <row r="24" spans="1:8" ht="15.75" customHeight="1" x14ac:dyDescent="0.35">
      <c r="A24" s="95" t="s">
        <v>22</v>
      </c>
      <c r="B24" s="95"/>
      <c r="C24" s="95"/>
      <c r="D24" s="95"/>
      <c r="E24" s="119" t="str">
        <f>IF(AND(G16="Mumbai"),"Developed","Developing")</f>
        <v>Developing</v>
      </c>
      <c r="F24" s="119"/>
      <c r="G24" s="119"/>
      <c r="H24" s="119"/>
    </row>
    <row r="25" spans="1:8" x14ac:dyDescent="0.35">
      <c r="A25" s="95" t="s">
        <v>23</v>
      </c>
      <c r="B25" s="95"/>
      <c r="C25" s="95"/>
      <c r="D25" s="95"/>
      <c r="E25" s="119" t="s">
        <v>24</v>
      </c>
      <c r="F25" s="119"/>
      <c r="G25" s="119"/>
      <c r="H25" s="119"/>
    </row>
    <row r="26" spans="1:8" x14ac:dyDescent="0.35">
      <c r="A26" s="95" t="s">
        <v>117</v>
      </c>
      <c r="B26" s="95"/>
      <c r="C26" s="95"/>
      <c r="D26" s="95"/>
      <c r="E26" s="119" t="s">
        <v>118</v>
      </c>
      <c r="F26" s="119"/>
      <c r="G26" s="119"/>
      <c r="H26" s="119"/>
    </row>
    <row r="27" spans="1:8" ht="15" customHeight="1" x14ac:dyDescent="0.35">
      <c r="A27" s="105" t="s">
        <v>35</v>
      </c>
      <c r="B27" s="105"/>
      <c r="C27" s="105"/>
      <c r="D27" s="105"/>
      <c r="E27" s="140" t="s">
        <v>113</v>
      </c>
      <c r="F27" s="140"/>
      <c r="G27" s="140"/>
      <c r="H27" s="140"/>
    </row>
    <row r="28" spans="1:8" x14ac:dyDescent="0.35">
      <c r="A28" s="105" t="s">
        <v>129</v>
      </c>
      <c r="B28" s="105"/>
      <c r="C28" s="105"/>
      <c r="D28" s="105"/>
      <c r="E28" s="105" t="s">
        <v>36</v>
      </c>
      <c r="F28" s="105"/>
      <c r="G28" s="105"/>
      <c r="H28" s="105"/>
    </row>
    <row r="29" spans="1:8" s="11" customFormat="1" x14ac:dyDescent="0.35">
      <c r="A29" s="142" t="s">
        <v>130</v>
      </c>
      <c r="B29" s="142"/>
      <c r="C29" s="141" t="s">
        <v>29</v>
      </c>
      <c r="D29" s="141"/>
      <c r="E29" s="141"/>
      <c r="F29" s="141" t="s">
        <v>31</v>
      </c>
      <c r="G29" s="141"/>
      <c r="H29" s="141"/>
    </row>
    <row r="30" spans="1:8" s="11" customFormat="1" x14ac:dyDescent="0.35">
      <c r="A30" s="124" t="s">
        <v>25</v>
      </c>
      <c r="B30" s="124" t="s">
        <v>30</v>
      </c>
      <c r="C30" s="107" t="s">
        <v>30</v>
      </c>
      <c r="D30" s="107"/>
      <c r="E30" s="107"/>
      <c r="F30" s="107" t="s">
        <v>214</v>
      </c>
      <c r="G30" s="107"/>
      <c r="H30" s="107"/>
    </row>
    <row r="31" spans="1:8" x14ac:dyDescent="0.35">
      <c r="A31" s="124" t="s">
        <v>26</v>
      </c>
      <c r="B31" s="124" t="s">
        <v>30</v>
      </c>
      <c r="C31" s="107" t="s">
        <v>30</v>
      </c>
      <c r="D31" s="107"/>
      <c r="E31" s="107"/>
      <c r="F31" s="107" t="s">
        <v>214</v>
      </c>
      <c r="G31" s="107"/>
      <c r="H31" s="107"/>
    </row>
    <row r="32" spans="1:8" s="11" customFormat="1" x14ac:dyDescent="0.35">
      <c r="A32" s="124" t="s">
        <v>28</v>
      </c>
      <c r="B32" s="124" t="s">
        <v>30</v>
      </c>
      <c r="C32" s="107" t="s">
        <v>30</v>
      </c>
      <c r="D32" s="107"/>
      <c r="E32" s="107"/>
      <c r="F32" s="107" t="s">
        <v>216</v>
      </c>
      <c r="G32" s="107"/>
      <c r="H32" s="107"/>
    </row>
    <row r="33" spans="1:8" x14ac:dyDescent="0.35">
      <c r="A33" s="124" t="s">
        <v>27</v>
      </c>
      <c r="B33" s="124" t="s">
        <v>30</v>
      </c>
      <c r="C33" s="107" t="s">
        <v>30</v>
      </c>
      <c r="D33" s="107"/>
      <c r="E33" s="107"/>
      <c r="F33" s="107" t="s">
        <v>215</v>
      </c>
      <c r="G33" s="107"/>
      <c r="H33" s="107"/>
    </row>
    <row r="34" spans="1:8" x14ac:dyDescent="0.35">
      <c r="A34" s="95" t="s">
        <v>32</v>
      </c>
      <c r="B34" s="95"/>
      <c r="C34" s="95"/>
      <c r="D34" s="95"/>
      <c r="E34" s="95"/>
      <c r="F34" s="95"/>
      <c r="G34" s="95"/>
      <c r="H34" s="95"/>
    </row>
    <row r="35" spans="1:8" ht="15.75" customHeight="1" x14ac:dyDescent="0.35">
      <c r="A35" s="96" t="s">
        <v>33</v>
      </c>
      <c r="B35" s="96"/>
      <c r="C35" s="117">
        <v>19.675106</v>
      </c>
      <c r="D35" s="117"/>
      <c r="E35" s="96" t="s">
        <v>34</v>
      </c>
      <c r="F35" s="96"/>
      <c r="G35" s="118">
        <v>72.741612200000006</v>
      </c>
      <c r="H35" s="118"/>
    </row>
    <row r="36" spans="1:8" ht="15.75" customHeight="1" x14ac:dyDescent="0.35">
      <c r="A36" s="96" t="s">
        <v>231</v>
      </c>
      <c r="B36" s="96"/>
      <c r="C36" s="177" t="s">
        <v>232</v>
      </c>
      <c r="D36" s="117"/>
      <c r="E36" s="117"/>
      <c r="F36" s="117"/>
      <c r="G36" s="117"/>
      <c r="H36" s="117"/>
    </row>
    <row r="37" spans="1:8" x14ac:dyDescent="0.35">
      <c r="A37" s="104" t="s">
        <v>37</v>
      </c>
      <c r="B37" s="104"/>
      <c r="C37" s="104"/>
      <c r="D37" s="104"/>
      <c r="E37" s="104"/>
      <c r="F37" s="104"/>
      <c r="G37" s="104"/>
      <c r="H37" s="104"/>
    </row>
    <row r="38" spans="1:8" x14ac:dyDescent="0.35">
      <c r="A38" s="95" t="s">
        <v>38</v>
      </c>
      <c r="B38" s="95"/>
      <c r="C38" s="95"/>
      <c r="D38" s="95"/>
      <c r="E38" s="106">
        <v>14600</v>
      </c>
      <c r="F38" s="106"/>
      <c r="G38" s="106"/>
      <c r="H38" s="106"/>
    </row>
    <row r="39" spans="1:8" x14ac:dyDescent="0.35">
      <c r="A39" s="95" t="s">
        <v>39</v>
      </c>
      <c r="B39" s="95"/>
      <c r="C39" s="95"/>
      <c r="D39" s="95"/>
      <c r="E39" s="128">
        <v>0.75</v>
      </c>
      <c r="F39" s="128"/>
      <c r="G39" s="128"/>
      <c r="H39" s="128"/>
    </row>
    <row r="40" spans="1:8" x14ac:dyDescent="0.35">
      <c r="A40" s="95" t="s">
        <v>40</v>
      </c>
      <c r="B40" s="95"/>
      <c r="C40" s="95"/>
      <c r="D40" s="95"/>
      <c r="E40" s="127">
        <f>E42/E38-E39</f>
        <v>0</v>
      </c>
      <c r="F40" s="127"/>
      <c r="G40" s="127"/>
      <c r="H40" s="127"/>
    </row>
    <row r="41" spans="1:8" x14ac:dyDescent="0.35">
      <c r="A41" s="95" t="s">
        <v>41</v>
      </c>
      <c r="B41" s="95"/>
      <c r="C41" s="95"/>
      <c r="D41" s="95"/>
      <c r="E41" s="128">
        <f>E39+E40</f>
        <v>0.75</v>
      </c>
      <c r="F41" s="128"/>
      <c r="G41" s="128"/>
      <c r="H41" s="128"/>
    </row>
    <row r="42" spans="1:8" x14ac:dyDescent="0.35">
      <c r="A42" s="95" t="s">
        <v>128</v>
      </c>
      <c r="B42" s="95"/>
      <c r="C42" s="95"/>
      <c r="D42" s="95"/>
      <c r="E42" s="128">
        <v>10950</v>
      </c>
      <c r="F42" s="128"/>
      <c r="G42" s="128"/>
      <c r="H42" s="128"/>
    </row>
    <row r="43" spans="1:8" x14ac:dyDescent="0.35">
      <c r="A43" s="120" t="s">
        <v>42</v>
      </c>
      <c r="B43" s="120"/>
      <c r="C43" s="120"/>
      <c r="D43" s="120"/>
      <c r="E43" s="120" t="s">
        <v>225</v>
      </c>
      <c r="F43" s="120"/>
      <c r="G43" s="120"/>
      <c r="H43" s="120"/>
    </row>
    <row r="44" spans="1:8" x14ac:dyDescent="0.35">
      <c r="A44" s="104" t="s">
        <v>43</v>
      </c>
      <c r="B44" s="104"/>
      <c r="C44" s="104"/>
      <c r="D44" s="104"/>
      <c r="E44" s="104"/>
      <c r="F44" s="104"/>
      <c r="G44" s="104"/>
      <c r="H44" s="104"/>
    </row>
    <row r="45" spans="1:8" ht="15.75" customHeight="1" x14ac:dyDescent="0.35">
      <c r="A45" s="105" t="s">
        <v>44</v>
      </c>
      <c r="B45" s="105"/>
      <c r="C45" s="136" t="s">
        <v>198</v>
      </c>
      <c r="D45" s="136"/>
      <c r="E45" s="136"/>
      <c r="F45" s="56" t="s">
        <v>45</v>
      </c>
      <c r="G45" s="132" t="s">
        <v>199</v>
      </c>
      <c r="H45" s="132"/>
    </row>
    <row r="46" spans="1:8" ht="15.75" customHeight="1" x14ac:dyDescent="0.35">
      <c r="A46" s="95" t="s">
        <v>46</v>
      </c>
      <c r="B46" s="95"/>
      <c r="C46" s="136" t="str">
        <f>C45</f>
        <v>MHASUL/KS.1/MJ.1/ANAP/SR/139/19</v>
      </c>
      <c r="D46" s="136"/>
      <c r="E46" s="136"/>
      <c r="F46" s="56" t="s">
        <v>45</v>
      </c>
      <c r="G46" s="132" t="s">
        <v>199</v>
      </c>
      <c r="H46" s="132"/>
    </row>
    <row r="47" spans="1:8" s="10" customFormat="1" x14ac:dyDescent="0.35">
      <c r="A47" s="119" t="s">
        <v>47</v>
      </c>
      <c r="B47" s="119"/>
      <c r="C47" s="136" t="s">
        <v>198</v>
      </c>
      <c r="D47" s="136"/>
      <c r="E47" s="136"/>
      <c r="F47" s="13" t="s">
        <v>45</v>
      </c>
      <c r="G47" s="132" t="s">
        <v>199</v>
      </c>
      <c r="H47" s="132"/>
    </row>
    <row r="48" spans="1:8" s="10" customFormat="1" x14ac:dyDescent="0.35">
      <c r="A48" s="119"/>
      <c r="B48" s="119"/>
      <c r="C48" s="133" t="s">
        <v>200</v>
      </c>
      <c r="D48" s="134"/>
      <c r="E48" s="134"/>
      <c r="F48" s="134"/>
      <c r="G48" s="134"/>
      <c r="H48" s="135"/>
    </row>
    <row r="49" spans="1:14" x14ac:dyDescent="0.35">
      <c r="A49" s="137" t="s">
        <v>48</v>
      </c>
      <c r="B49" s="137"/>
      <c r="C49" s="138" t="s">
        <v>144</v>
      </c>
      <c r="D49" s="139"/>
      <c r="E49" s="139" t="s">
        <v>49</v>
      </c>
      <c r="F49" s="63" t="s">
        <v>45</v>
      </c>
      <c r="G49" s="121" t="s">
        <v>30</v>
      </c>
      <c r="H49" s="121"/>
    </row>
    <row r="50" spans="1:14" x14ac:dyDescent="0.35">
      <c r="A50" s="158" t="s">
        <v>51</v>
      </c>
      <c r="B50" s="158"/>
      <c r="C50" s="158"/>
      <c r="D50" s="158"/>
      <c r="E50" s="158"/>
      <c r="F50" s="158"/>
      <c r="G50" s="158"/>
      <c r="H50" s="158"/>
    </row>
    <row r="51" spans="1:14" x14ac:dyDescent="0.35">
      <c r="A51" s="105" t="s">
        <v>127</v>
      </c>
      <c r="B51" s="105"/>
      <c r="C51" s="105"/>
      <c r="D51" s="95">
        <v>1602.04</v>
      </c>
      <c r="E51" s="95"/>
      <c r="F51" s="95"/>
      <c r="G51" s="95"/>
      <c r="H51" s="95"/>
    </row>
    <row r="52" spans="1:14" x14ac:dyDescent="0.35">
      <c r="A52" s="119" t="s">
        <v>52</v>
      </c>
      <c r="B52" s="120"/>
      <c r="C52" s="120"/>
      <c r="D52" s="120" t="s">
        <v>209</v>
      </c>
      <c r="E52" s="120"/>
      <c r="F52" s="120"/>
      <c r="G52" s="120"/>
      <c r="H52" s="120"/>
      <c r="I52" s="42"/>
    </row>
    <row r="53" spans="1:14" ht="15.75" customHeight="1" x14ac:dyDescent="0.35">
      <c r="A53" s="129" t="s">
        <v>53</v>
      </c>
      <c r="B53" s="130"/>
      <c r="C53" s="131"/>
      <c r="D53" s="169" t="s">
        <v>224</v>
      </c>
      <c r="E53" s="169"/>
      <c r="F53" s="169"/>
      <c r="G53" s="169"/>
      <c r="H53" s="169"/>
    </row>
    <row r="54" spans="1:14" ht="15.75" customHeight="1" x14ac:dyDescent="0.35">
      <c r="A54" s="129" t="s">
        <v>125</v>
      </c>
      <c r="B54" s="130"/>
      <c r="C54" s="130"/>
      <c r="D54" s="120" t="s">
        <v>224</v>
      </c>
      <c r="E54" s="120"/>
      <c r="F54" s="120"/>
      <c r="G54" s="120"/>
      <c r="H54" s="120"/>
    </row>
    <row r="55" spans="1:14" ht="15.75" customHeight="1" x14ac:dyDescent="0.35">
      <c r="A55" s="95" t="s">
        <v>50</v>
      </c>
      <c r="B55" s="95"/>
      <c r="C55" s="95"/>
      <c r="D55" s="122" t="s">
        <v>236</v>
      </c>
      <c r="E55" s="122"/>
      <c r="F55" s="122"/>
      <c r="G55" s="122"/>
      <c r="H55" s="122"/>
      <c r="J55" s="41"/>
      <c r="K55" s="42"/>
      <c r="N55" s="42"/>
    </row>
    <row r="56" spans="1:14" ht="15.75" customHeight="1" x14ac:dyDescent="0.35">
      <c r="A56" s="95" t="s">
        <v>123</v>
      </c>
      <c r="B56" s="95"/>
      <c r="C56" s="95"/>
      <c r="D56" s="123" t="str">
        <f>(IF(G49="NA","60 Years After Completion",IF(G49&lt;&gt;"NA",""&amp;ROUNDDOWN((E3-G49)/360,0)&amp;" Years"," ")))</f>
        <v>60 Years After Completion</v>
      </c>
      <c r="E56" s="123"/>
      <c r="F56" s="123"/>
      <c r="G56" s="123"/>
      <c r="H56" s="123"/>
      <c r="N56" s="42"/>
    </row>
    <row r="57" spans="1:14" ht="15.75" customHeight="1" x14ac:dyDescent="0.35">
      <c r="A57" s="95" t="s">
        <v>124</v>
      </c>
      <c r="B57" s="95"/>
      <c r="C57" s="95"/>
      <c r="D57" s="105" t="s">
        <v>24</v>
      </c>
      <c r="E57" s="105"/>
      <c r="F57" s="105"/>
      <c r="G57" s="105"/>
      <c r="H57" s="105"/>
      <c r="J57" s="18"/>
      <c r="K57" s="18"/>
    </row>
    <row r="58" spans="1:14" ht="15.75" customHeight="1" thickBot="1" x14ac:dyDescent="0.4">
      <c r="A58" s="169" t="s">
        <v>122</v>
      </c>
      <c r="B58" s="169"/>
      <c r="C58" s="169"/>
      <c r="D58" s="108" t="str">
        <f ca="1">(IF(G63&gt;95%,"Nothing",IF(G63&gt;0%,"Cement, Aggregate, Steel, etc",IF(G63=0%,"Work not yet Started"))))</f>
        <v>Cement, Aggregate, Steel, etc</v>
      </c>
      <c r="E58" s="108"/>
      <c r="F58" s="108"/>
      <c r="G58" s="108"/>
      <c r="H58" s="108"/>
      <c r="J58" s="18"/>
      <c r="K58" s="18"/>
    </row>
    <row r="59" spans="1:14" ht="15.75" customHeight="1" x14ac:dyDescent="0.35">
      <c r="A59" s="112" t="s">
        <v>185</v>
      </c>
      <c r="B59" s="113"/>
      <c r="C59" s="114" t="str">
        <f>D54</f>
        <v>Building No.4 (A Wing/TypeA) = Gr + 1st to 7th Floor</v>
      </c>
      <c r="D59" s="115"/>
      <c r="E59" s="115"/>
      <c r="F59" s="115"/>
      <c r="G59" s="115"/>
      <c r="H59" s="116"/>
      <c r="I59" s="20" t="str">
        <f ca="1">(IF(C63=0,"Work not yet Started.",IF(D63=25%,"Piling work in process",IF(D63=50%,"Excavation work in process",IF(D63=100%,"Excavation work completed, ","0")))&amp;(IF(C64=0%,"",IF(C64=K65,"Footing work is process",IF(C64=K66,"Footing work Completed",IF(C64=K67,"1st Basement Completed",IF(C64=K68,"1st &amp; 2nd Basement Completed",IF(C64=K69,"1st to 3rd Basement Completed",IF(C64=K70,"1st to 4th Basement Completed",IF(C64=K71,"Plinth work is process",IF(C64=K72,"Plinth work completed","0")))))))))))&amp;(IF(C65&gt;0,", RCC upto "&amp;C65&amp;" Slab completed",""))&amp;(IF(C66&gt;0,", Brickwork upto "&amp;C66&amp;" Floor completed"," "))&amp;(IF(C67&gt;0,", Internal Plaster upto "&amp;C67&amp;" Floor completed"," "))&amp;(IF(C68&gt;0,", External Plaster upto "&amp;C68&amp;" Floor completed"," "))&amp;(IF(C69&gt;0,", Flooring upto "&amp;C69&amp;" Floor completed"," "))&amp;(IF(C70&gt;0,", Painting upto "&amp;C70&amp;" Floor completed"," "))&amp;(IF(C71&gt;0,", Finishing upto "&amp;C71&amp;" Floor completed"," ")))</f>
        <v xml:space="preserve">Excavation work completed, Plinth work completed, RCC upto 8 Slab completed, Brickwork upto 7 Floor completed, Internal Plaster upto 7 Floor completed, External Plaster upto 6 Floor completed, Flooring upto 5 Floor completed, Painting upto 2 Floor completed </v>
      </c>
      <c r="J59" s="20"/>
      <c r="K59" s="21"/>
    </row>
    <row r="60" spans="1:14" x14ac:dyDescent="0.35">
      <c r="A60" s="51" t="s">
        <v>187</v>
      </c>
      <c r="B60" s="54">
        <v>0</v>
      </c>
      <c r="C60" s="54" t="s">
        <v>103</v>
      </c>
      <c r="D60" s="54">
        <v>1</v>
      </c>
      <c r="E60" s="54" t="s">
        <v>102</v>
      </c>
      <c r="F60" s="54">
        <v>0</v>
      </c>
      <c r="G60" s="54" t="s">
        <v>116</v>
      </c>
      <c r="H60" s="55">
        <f ca="1">--TRIM(RIGHT(SUBSTITUTE(LEFT(C59,_xlfn.AGGREGATE(16,6,FIND({0,1,2,3,4,5,6,7,8,9},C59,ROW(INDIRECT("1:"&amp;LEN(C59)))),1))," ",REPT(" ",LEN(C59))),LEN(C59)))</f>
        <v>7</v>
      </c>
      <c r="I60" s="18" t="s">
        <v>158</v>
      </c>
      <c r="J60" s="18"/>
      <c r="K60" s="22"/>
    </row>
    <row r="61" spans="1:14" ht="63.75" customHeight="1" x14ac:dyDescent="0.35">
      <c r="A61" s="110" t="s">
        <v>126</v>
      </c>
      <c r="B61" s="111"/>
      <c r="C61" s="125" t="str">
        <f ca="1">I59</f>
        <v xml:space="preserve">Excavation work completed, Plinth work completed, RCC upto 8 Slab completed, Brickwork upto 7 Floor completed, Internal Plaster upto 7 Floor completed, External Plaster upto 6 Floor completed, Flooring upto 5 Floor completed, Painting upto 2 Floor completed </v>
      </c>
      <c r="D61" s="125"/>
      <c r="E61" s="125"/>
      <c r="F61" s="125"/>
      <c r="G61" s="125"/>
      <c r="H61" s="126"/>
      <c r="I61" s="18" t="s">
        <v>143</v>
      </c>
      <c r="J61" s="18"/>
      <c r="K61" s="22"/>
    </row>
    <row r="62" spans="1:14" x14ac:dyDescent="0.35">
      <c r="A62" s="102" t="s">
        <v>54</v>
      </c>
      <c r="B62" s="103"/>
      <c r="C62" s="57" t="s">
        <v>184</v>
      </c>
      <c r="D62" s="57" t="s">
        <v>119</v>
      </c>
      <c r="E62" s="103" t="s">
        <v>121</v>
      </c>
      <c r="F62" s="103"/>
      <c r="G62" s="103" t="s">
        <v>120</v>
      </c>
      <c r="H62" s="109"/>
      <c r="I62" s="40" t="s">
        <v>186</v>
      </c>
      <c r="K62" s="23">
        <f ca="1">H60*25%</f>
        <v>1.75</v>
      </c>
    </row>
    <row r="63" spans="1:14" x14ac:dyDescent="0.35">
      <c r="A63" s="102" t="s">
        <v>174</v>
      </c>
      <c r="B63" s="103"/>
      <c r="C63" s="58">
        <f ca="1">K64</f>
        <v>7</v>
      </c>
      <c r="D63" s="59">
        <f ca="1">((100/H60)*C63)/100</f>
        <v>1</v>
      </c>
      <c r="E63" s="147">
        <f ca="1">(IF(C61=I60,"100%",IF(C61=I61,"100%",(((C64/H60*10)+(40/(D60+F60+H60)*C65)+(7.5/(H60)*C66)+(7.5/(H60)*C67)+(10/H60*C68)+(10/H60*C69)+(5/H60*C70)+(5/H60*C71)+(5/H60*C72))/100))))</f>
        <v>0.8214285714285714</v>
      </c>
      <c r="F63" s="147"/>
      <c r="G63" s="147">
        <f ca="1">((((C63/H60)*20)+((C64/H60)*25)+(30/(H60+F60+D60)*C65)+(5/H60*C66)+(5/H60*C67)+(5/H60*C68)+(5/H60*C69)+(0/H60*C70)+(0/H60*C71)+(5/H60*C72))/100)</f>
        <v>0.9285714285714286</v>
      </c>
      <c r="H63" s="170"/>
      <c r="I63" s="40" t="s">
        <v>137</v>
      </c>
      <c r="J63" s="24"/>
      <c r="K63" s="44">
        <f ca="1">H60*50%</f>
        <v>3.5</v>
      </c>
    </row>
    <row r="64" spans="1:14" x14ac:dyDescent="0.35">
      <c r="A64" s="102" t="s">
        <v>55</v>
      </c>
      <c r="B64" s="103"/>
      <c r="C64" s="60">
        <f ca="1">K72</f>
        <v>7</v>
      </c>
      <c r="D64" s="59">
        <f ca="1">((100/H60)*C64)/100</f>
        <v>1</v>
      </c>
      <c r="E64" s="147"/>
      <c r="F64" s="147"/>
      <c r="G64" s="147"/>
      <c r="H64" s="170"/>
      <c r="I64" s="40" t="s">
        <v>138</v>
      </c>
      <c r="J64" s="24"/>
      <c r="K64" s="44">
        <f ca="1">H60</f>
        <v>7</v>
      </c>
    </row>
    <row r="65" spans="1:11" ht="15.75" customHeight="1" x14ac:dyDescent="0.35">
      <c r="A65" s="102" t="s">
        <v>207</v>
      </c>
      <c r="B65" s="103"/>
      <c r="C65" s="60">
        <v>8</v>
      </c>
      <c r="D65" s="59">
        <f ca="1">((100/(D60+F60+H60))*C65)/100</f>
        <v>1</v>
      </c>
      <c r="E65" s="147"/>
      <c r="F65" s="147"/>
      <c r="G65" s="147"/>
      <c r="H65" s="170"/>
      <c r="I65" s="40" t="s">
        <v>139</v>
      </c>
      <c r="J65" s="24"/>
      <c r="K65" s="48">
        <f ca="1">(IF(B60=0,H60/4,(H60/(B60+4))))</f>
        <v>1.75</v>
      </c>
    </row>
    <row r="66" spans="1:11" ht="15.75" customHeight="1" x14ac:dyDescent="0.35">
      <c r="A66" s="102" t="s">
        <v>181</v>
      </c>
      <c r="B66" s="103" t="s">
        <v>175</v>
      </c>
      <c r="C66" s="58">
        <v>7</v>
      </c>
      <c r="D66" s="59">
        <f ca="1">((100/H60)*C66)/100</f>
        <v>1</v>
      </c>
      <c r="E66" s="147"/>
      <c r="F66" s="147"/>
      <c r="G66" s="147"/>
      <c r="H66" s="170"/>
      <c r="I66" s="40" t="s">
        <v>140</v>
      </c>
      <c r="J66" s="24"/>
      <c r="K66" s="48">
        <f ca="1">(IF(B60=0,H60/4+K65,(H60/(B60+4)+K65)))</f>
        <v>3.5</v>
      </c>
    </row>
    <row r="67" spans="1:11" ht="15.75" customHeight="1" x14ac:dyDescent="0.35">
      <c r="A67" s="102" t="s">
        <v>182</v>
      </c>
      <c r="B67" s="103" t="s">
        <v>175</v>
      </c>
      <c r="C67" s="58">
        <v>7</v>
      </c>
      <c r="D67" s="59">
        <f ca="1">((100/H60)*C67)/100</f>
        <v>1</v>
      </c>
      <c r="E67" s="147"/>
      <c r="F67" s="147"/>
      <c r="G67" s="147"/>
      <c r="H67" s="170"/>
      <c r="I67" s="40" t="s">
        <v>188</v>
      </c>
      <c r="J67" s="53"/>
      <c r="K67" s="48">
        <f>(IF(B60=0,0,(H60/(B60+4)+K66)))</f>
        <v>0</v>
      </c>
    </row>
    <row r="68" spans="1:11" ht="15" customHeight="1" x14ac:dyDescent="0.35">
      <c r="A68" s="102" t="s">
        <v>180</v>
      </c>
      <c r="B68" s="103" t="s">
        <v>177</v>
      </c>
      <c r="C68" s="58">
        <v>6</v>
      </c>
      <c r="D68" s="59">
        <f ca="1">((100/(H60))*C68)/100</f>
        <v>0.85714285714285721</v>
      </c>
      <c r="E68" s="147"/>
      <c r="F68" s="147"/>
      <c r="G68" s="147"/>
      <c r="H68" s="170"/>
      <c r="I68" s="40" t="s">
        <v>189</v>
      </c>
      <c r="J68" s="53"/>
      <c r="K68" s="48">
        <f>(IF(B60&gt;1,(H60/(B60+4)+K67),0))</f>
        <v>0</v>
      </c>
    </row>
    <row r="69" spans="1:11" ht="15.75" customHeight="1" x14ac:dyDescent="0.35">
      <c r="A69" s="102" t="s">
        <v>176</v>
      </c>
      <c r="B69" s="103" t="s">
        <v>176</v>
      </c>
      <c r="C69" s="58">
        <v>5</v>
      </c>
      <c r="D69" s="59">
        <f ca="1">((100/H60)*C69)/100</f>
        <v>0.7142857142857143</v>
      </c>
      <c r="E69" s="147"/>
      <c r="F69" s="147"/>
      <c r="G69" s="147"/>
      <c r="H69" s="170"/>
      <c r="I69" s="40" t="s">
        <v>190</v>
      </c>
      <c r="J69" s="47"/>
      <c r="K69" s="49">
        <f>(IF(B60&gt;2,(H60/(B60+4)+K68),0))</f>
        <v>0</v>
      </c>
    </row>
    <row r="70" spans="1:11" ht="15.75" customHeight="1" x14ac:dyDescent="0.35">
      <c r="A70" s="102" t="s">
        <v>183</v>
      </c>
      <c r="B70" s="103"/>
      <c r="C70" s="58">
        <v>2</v>
      </c>
      <c r="D70" s="59">
        <f ca="1">((100/H60)*C70)/100</f>
        <v>0.28571428571428575</v>
      </c>
      <c r="E70" s="147"/>
      <c r="F70" s="147"/>
      <c r="G70" s="147"/>
      <c r="H70" s="170"/>
      <c r="I70" s="40" t="s">
        <v>191</v>
      </c>
      <c r="J70"/>
      <c r="K70" s="52">
        <f>(IF(B60&gt;3,(H60/(B60+4)+K69),0))</f>
        <v>0</v>
      </c>
    </row>
    <row r="71" spans="1:11" ht="15.75" customHeight="1" x14ac:dyDescent="0.35">
      <c r="A71" s="102" t="s">
        <v>178</v>
      </c>
      <c r="B71" s="103" t="s">
        <v>178</v>
      </c>
      <c r="C71" s="58">
        <v>0</v>
      </c>
      <c r="D71" s="59">
        <f ca="1">((100/(H60))*C71)/100</f>
        <v>0</v>
      </c>
      <c r="E71" s="147"/>
      <c r="F71" s="147"/>
      <c r="G71" s="147"/>
      <c r="H71" s="170"/>
      <c r="I71" s="40" t="s">
        <v>141</v>
      </c>
      <c r="J71" s="24"/>
      <c r="K71" s="48">
        <f ca="1">(IF(B60=0,H60/4+K66,(H60/(B60+4)+K66+MAX(0,K67-K66)+MAX(0,K68-K67)+MAX(0,K69-K68)+MAX(0,K70-K69))))</f>
        <v>5.25</v>
      </c>
    </row>
    <row r="72" spans="1:11" ht="16" thickBot="1" x14ac:dyDescent="0.4">
      <c r="A72" s="172" t="s">
        <v>179</v>
      </c>
      <c r="B72" s="173"/>
      <c r="C72" s="61">
        <v>0</v>
      </c>
      <c r="D72" s="62">
        <f ca="1">((100/(H60))*C72)/100</f>
        <v>0</v>
      </c>
      <c r="E72" s="148"/>
      <c r="F72" s="148"/>
      <c r="G72" s="148"/>
      <c r="H72" s="171"/>
      <c r="I72" s="45" t="s">
        <v>142</v>
      </c>
      <c r="J72" s="46"/>
      <c r="K72" s="50">
        <f ca="1">(IF(B60=0,H60/4+K71,(H60/(B60+4)+K71)))</f>
        <v>7</v>
      </c>
    </row>
    <row r="73" spans="1:11" x14ac:dyDescent="0.35">
      <c r="A73" s="166" t="s">
        <v>159</v>
      </c>
      <c r="B73" s="167"/>
      <c r="C73" s="167"/>
      <c r="D73" s="167"/>
      <c r="E73" s="168"/>
      <c r="F73" s="166" t="str">
        <f ca="1">(IF(G63="100%","Yes",IF(G63&gt;0%,"Under Construction",IF(G63=0%,"Work not yet Started"))))</f>
        <v>Under Construction</v>
      </c>
      <c r="G73" s="167"/>
      <c r="H73" s="168"/>
    </row>
    <row r="74" spans="1:11" x14ac:dyDescent="0.35">
      <c r="A74" s="95" t="s">
        <v>56</v>
      </c>
      <c r="B74" s="95"/>
      <c r="C74" s="95"/>
      <c r="D74" s="95"/>
      <c r="E74" s="95"/>
      <c r="F74" s="95"/>
      <c r="G74" s="95"/>
      <c r="H74" s="95"/>
    </row>
    <row r="75" spans="1:11" ht="15" customHeight="1" x14ac:dyDescent="0.35">
      <c r="A75" s="111" t="s">
        <v>105</v>
      </c>
      <c r="B75" s="111"/>
      <c r="C75" s="125" t="s">
        <v>106</v>
      </c>
      <c r="D75" s="125"/>
      <c r="E75" s="125"/>
      <c r="F75" s="125"/>
      <c r="G75" s="125"/>
      <c r="H75" s="125"/>
    </row>
    <row r="76" spans="1:11" x14ac:dyDescent="0.35">
      <c r="A76" s="104" t="s">
        <v>57</v>
      </c>
      <c r="B76" s="104"/>
      <c r="C76" s="104"/>
      <c r="D76" s="104"/>
      <c r="E76" s="104"/>
      <c r="F76" s="104"/>
      <c r="G76" s="104"/>
      <c r="H76" s="104"/>
    </row>
    <row r="77" spans="1:11" x14ac:dyDescent="0.35">
      <c r="A77" s="95" t="s">
        <v>107</v>
      </c>
      <c r="B77" s="95"/>
      <c r="C77" s="95"/>
      <c r="D77" s="95"/>
      <c r="E77" s="95"/>
      <c r="F77" s="139">
        <v>4100</v>
      </c>
      <c r="G77" s="139"/>
      <c r="H77" s="139"/>
      <c r="I77" s="8" t="s">
        <v>219</v>
      </c>
    </row>
    <row r="78" spans="1:11" x14ac:dyDescent="0.35">
      <c r="A78" s="95" t="s">
        <v>114</v>
      </c>
      <c r="B78" s="95"/>
      <c r="C78" s="95"/>
      <c r="D78" s="95"/>
      <c r="E78" s="95"/>
      <c r="F78" s="88">
        <v>6000</v>
      </c>
      <c r="G78" s="88"/>
      <c r="H78" s="88"/>
    </row>
    <row r="79" spans="1:11" hidden="1" x14ac:dyDescent="0.35">
      <c r="A79" s="95" t="s">
        <v>115</v>
      </c>
      <c r="B79" s="95"/>
      <c r="C79" s="95"/>
      <c r="D79" s="95"/>
      <c r="E79" s="95"/>
      <c r="F79" s="88"/>
      <c r="G79" s="88"/>
      <c r="H79" s="88"/>
    </row>
    <row r="80" spans="1:11" s="12" customFormat="1" hidden="1" x14ac:dyDescent="0.3">
      <c r="A80" s="95" t="s">
        <v>131</v>
      </c>
      <c r="B80" s="95"/>
      <c r="C80" s="95"/>
      <c r="D80" s="95"/>
      <c r="E80" s="95"/>
      <c r="F80" s="88" t="s">
        <v>30</v>
      </c>
      <c r="G80" s="88"/>
      <c r="H80" s="88"/>
    </row>
    <row r="81" spans="1:11" s="12" customFormat="1" x14ac:dyDescent="0.3">
      <c r="A81" s="95" t="s">
        <v>132</v>
      </c>
      <c r="B81" s="95"/>
      <c r="C81" s="95"/>
      <c r="D81" s="95"/>
      <c r="E81" s="95"/>
      <c r="F81" s="88" t="s">
        <v>228</v>
      </c>
      <c r="G81" s="88"/>
      <c r="H81" s="88"/>
    </row>
    <row r="82" spans="1:11" s="12" customFormat="1" hidden="1" x14ac:dyDescent="0.3">
      <c r="A82" s="95" t="s">
        <v>133</v>
      </c>
      <c r="B82" s="95"/>
      <c r="C82" s="95"/>
      <c r="D82" s="95"/>
      <c r="E82" s="95"/>
      <c r="F82" s="88" t="s">
        <v>30</v>
      </c>
      <c r="G82" s="88"/>
      <c r="H82" s="88"/>
    </row>
    <row r="83" spans="1:11" s="12" customFormat="1" hidden="1" x14ac:dyDescent="0.3">
      <c r="A83" s="95" t="s">
        <v>134</v>
      </c>
      <c r="B83" s="95"/>
      <c r="C83" s="95"/>
      <c r="D83" s="95"/>
      <c r="E83" s="95"/>
      <c r="F83" s="88" t="s">
        <v>30</v>
      </c>
      <c r="G83" s="88"/>
      <c r="H83" s="88"/>
    </row>
    <row r="84" spans="1:11" s="12" customFormat="1" hidden="1" x14ac:dyDescent="0.3">
      <c r="A84" s="95" t="s">
        <v>135</v>
      </c>
      <c r="B84" s="95"/>
      <c r="C84" s="95"/>
      <c r="D84" s="95"/>
      <c r="E84" s="95"/>
      <c r="F84" s="88" t="s">
        <v>30</v>
      </c>
      <c r="G84" s="88"/>
      <c r="H84" s="88"/>
    </row>
    <row r="85" spans="1:11" s="12" customFormat="1" hidden="1" x14ac:dyDescent="0.3">
      <c r="A85" s="95" t="s">
        <v>136</v>
      </c>
      <c r="B85" s="95"/>
      <c r="C85" s="95"/>
      <c r="D85" s="95"/>
      <c r="E85" s="95"/>
      <c r="F85" s="88" t="s">
        <v>30</v>
      </c>
      <c r="G85" s="88"/>
      <c r="H85" s="88"/>
    </row>
    <row r="86" spans="1:11" s="12" customFormat="1" x14ac:dyDescent="0.3">
      <c r="A86" s="95" t="s">
        <v>213</v>
      </c>
      <c r="B86" s="95"/>
      <c r="C86" s="95"/>
      <c r="D86" s="95"/>
      <c r="E86" s="95"/>
      <c r="F86" s="88" t="s">
        <v>227</v>
      </c>
      <c r="G86" s="88"/>
      <c r="H86" s="88"/>
    </row>
    <row r="87" spans="1:11" s="12" customFormat="1" hidden="1" x14ac:dyDescent="0.3">
      <c r="A87" s="95" t="s">
        <v>212</v>
      </c>
      <c r="B87" s="95"/>
      <c r="C87" s="95"/>
      <c r="D87" s="95"/>
      <c r="E87" s="95"/>
      <c r="F87" s="88" t="s">
        <v>30</v>
      </c>
      <c r="G87" s="88"/>
      <c r="H87" s="88"/>
    </row>
    <row r="88" spans="1:11" x14ac:dyDescent="0.35">
      <c r="A88" s="95" t="s">
        <v>58</v>
      </c>
      <c r="B88" s="95"/>
      <c r="C88" s="95"/>
      <c r="D88" s="95"/>
      <c r="E88" s="95"/>
      <c r="F88" s="88" t="s">
        <v>227</v>
      </c>
      <c r="G88" s="88"/>
      <c r="H88" s="88"/>
    </row>
    <row r="89" spans="1:11" s="9" customFormat="1" x14ac:dyDescent="0.35">
      <c r="A89" s="104" t="s">
        <v>59</v>
      </c>
      <c r="B89" s="104"/>
      <c r="C89" s="104"/>
      <c r="D89" s="104"/>
      <c r="E89" s="104"/>
      <c r="F89" s="88">
        <f>F77*0.8</f>
        <v>3280</v>
      </c>
      <c r="G89" s="88"/>
      <c r="H89" s="88"/>
    </row>
    <row r="90" spans="1:11" s="1" customFormat="1" ht="15.75" customHeight="1" x14ac:dyDescent="0.35">
      <c r="A90" s="151" t="s">
        <v>108</v>
      </c>
      <c r="B90" s="151"/>
      <c r="C90" s="151"/>
      <c r="D90" s="151"/>
      <c r="E90" s="151"/>
      <c r="F90" s="151"/>
      <c r="G90" s="151"/>
      <c r="H90" s="151"/>
    </row>
    <row r="91" spans="1:11" s="1" customFormat="1" ht="15.75" customHeight="1" x14ac:dyDescent="0.35">
      <c r="A91" s="97" t="s">
        <v>60</v>
      </c>
      <c r="B91" s="97"/>
      <c r="C91" s="100" t="s">
        <v>111</v>
      </c>
      <c r="D91" s="100"/>
      <c r="E91" s="101" t="s">
        <v>61</v>
      </c>
      <c r="F91" s="101"/>
      <c r="G91" s="97" t="s">
        <v>62</v>
      </c>
      <c r="H91" s="97"/>
    </row>
    <row r="92" spans="1:11" s="1" customFormat="1" x14ac:dyDescent="0.35">
      <c r="A92" s="153" t="s">
        <v>201</v>
      </c>
      <c r="B92" s="153"/>
      <c r="C92" s="90">
        <f>COUNT(D102:D109)</f>
        <v>8</v>
      </c>
      <c r="D92" s="98"/>
      <c r="E92" s="91">
        <f>SUM(D102:D109)</f>
        <v>1242.8114399999999</v>
      </c>
      <c r="F92" s="99"/>
      <c r="G92" s="92">
        <f t="shared" ref="G92" si="0">SUM(D102:D109)</f>
        <v>1242.8114399999999</v>
      </c>
      <c r="H92" s="92"/>
    </row>
    <row r="93" spans="1:11" s="1" customFormat="1" x14ac:dyDescent="0.35">
      <c r="A93" s="151" t="s">
        <v>101</v>
      </c>
      <c r="B93" s="151"/>
      <c r="C93" s="151"/>
      <c r="D93" s="151"/>
      <c r="E93" s="151"/>
      <c r="F93" s="151"/>
      <c r="G93" s="151"/>
      <c r="H93" s="151"/>
    </row>
    <row r="94" spans="1:11" s="1" customFormat="1" ht="15.75" customHeight="1" x14ac:dyDescent="0.35">
      <c r="A94" s="97" t="s">
        <v>60</v>
      </c>
      <c r="B94" s="97"/>
      <c r="C94" s="100" t="s">
        <v>111</v>
      </c>
      <c r="D94" s="100"/>
      <c r="E94" s="101" t="s">
        <v>61</v>
      </c>
      <c r="F94" s="101"/>
      <c r="G94" s="97" t="s">
        <v>62</v>
      </c>
      <c r="H94" s="97"/>
      <c r="J94" s="67">
        <f>SUM(G92,G95)</f>
        <v>17415.0756</v>
      </c>
      <c r="K94" s="67">
        <f>SUM(E92,E95)</f>
        <v>17415.0756</v>
      </c>
    </row>
    <row r="95" spans="1:11" s="1" customFormat="1" x14ac:dyDescent="0.35">
      <c r="A95" s="153" t="s">
        <v>208</v>
      </c>
      <c r="B95" s="153"/>
      <c r="C95" s="90">
        <f>COUNT(D114:D119)*6+COUNT(D121:D122)</f>
        <v>38</v>
      </c>
      <c r="D95" s="90"/>
      <c r="E95" s="91">
        <f>SUM(D114:D119)*6+SUM(D121:D122)</f>
        <v>16172.264159999999</v>
      </c>
      <c r="F95" s="91"/>
      <c r="G95" s="92">
        <f t="shared" ref="G95" si="1">SUM(D114:D119)*6+SUM(D121:D122)</f>
        <v>16172.264159999999</v>
      </c>
      <c r="H95" s="92"/>
    </row>
    <row r="96" spans="1:11" s="9" customFormat="1" x14ac:dyDescent="0.35">
      <c r="A96" s="96" t="s">
        <v>65</v>
      </c>
      <c r="B96" s="96"/>
      <c r="C96" s="96"/>
      <c r="D96" s="96"/>
      <c r="E96" s="96"/>
      <c r="F96" s="96"/>
      <c r="G96" s="96"/>
      <c r="H96" s="96"/>
    </row>
    <row r="97" spans="1:14" x14ac:dyDescent="0.35">
      <c r="A97" s="96" t="s">
        <v>66</v>
      </c>
      <c r="B97" s="96"/>
      <c r="C97" s="96"/>
      <c r="D97" s="96"/>
      <c r="E97" s="96"/>
      <c r="F97" s="96"/>
      <c r="G97" s="96"/>
      <c r="H97" s="96"/>
    </row>
    <row r="98" spans="1:14" ht="47.25" customHeight="1" x14ac:dyDescent="0.35">
      <c r="A98" s="93" t="s">
        <v>162</v>
      </c>
      <c r="B98" s="93" t="s">
        <v>161</v>
      </c>
      <c r="C98" s="93" t="s">
        <v>67</v>
      </c>
      <c r="D98" s="93" t="s">
        <v>68</v>
      </c>
      <c r="E98" s="162" t="s">
        <v>69</v>
      </c>
      <c r="F98" s="37" t="s">
        <v>160</v>
      </c>
      <c r="G98" s="160" t="s">
        <v>70</v>
      </c>
      <c r="H98" s="161"/>
    </row>
    <row r="99" spans="1:14" s="2" customFormat="1" x14ac:dyDescent="0.35">
      <c r="A99" s="94"/>
      <c r="B99" s="94"/>
      <c r="C99" s="94"/>
      <c r="D99" s="94"/>
      <c r="E99" s="163"/>
      <c r="F99" s="38">
        <v>0.55000000000000004</v>
      </c>
      <c r="G99" s="164"/>
      <c r="H99" s="165"/>
    </row>
    <row r="100" spans="1:14" s="2" customFormat="1" x14ac:dyDescent="0.35">
      <c r="A100" s="81" t="s">
        <v>223</v>
      </c>
      <c r="B100" s="82"/>
      <c r="C100" s="82"/>
      <c r="D100" s="82"/>
      <c r="E100" s="82"/>
      <c r="F100" s="82"/>
      <c r="G100" s="82"/>
      <c r="H100" s="83"/>
    </row>
    <row r="101" spans="1:14" s="2" customFormat="1" x14ac:dyDescent="0.35">
      <c r="A101" s="81" t="s">
        <v>202</v>
      </c>
      <c r="B101" s="82"/>
      <c r="C101" s="82"/>
      <c r="D101" s="82"/>
      <c r="E101" s="82"/>
      <c r="F101" s="82"/>
      <c r="G101" s="82"/>
      <c r="H101" s="83"/>
    </row>
    <row r="102" spans="1:14" s="2" customFormat="1" ht="15.75" customHeight="1" x14ac:dyDescent="0.35">
      <c r="A102" s="78">
        <v>14</v>
      </c>
      <c r="B102" s="79"/>
      <c r="C102" s="19" t="s">
        <v>201</v>
      </c>
      <c r="D102" s="19">
        <f>12.95*10.764</f>
        <v>139.39379999999997</v>
      </c>
      <c r="E102" s="19">
        <v>0</v>
      </c>
      <c r="F102" s="19">
        <f>D102*(($F$99)+1)+E102</f>
        <v>216.06038999999996</v>
      </c>
      <c r="G102" s="72" t="str">
        <f>A101</f>
        <v>Ground Floor for Commercial &amp; Parking</v>
      </c>
      <c r="H102" s="73"/>
      <c r="I102" s="39"/>
      <c r="L102" s="84"/>
      <c r="M102" s="84"/>
      <c r="N102" s="39"/>
    </row>
    <row r="103" spans="1:14" s="2" customFormat="1" ht="15.75" customHeight="1" x14ac:dyDescent="0.35">
      <c r="A103" s="78">
        <v>15</v>
      </c>
      <c r="B103" s="79"/>
      <c r="C103" s="19" t="s">
        <v>201</v>
      </c>
      <c r="D103" s="19">
        <f>11.87*10.764</f>
        <v>127.76867999999999</v>
      </c>
      <c r="E103" s="19">
        <v>0</v>
      </c>
      <c r="F103" s="19">
        <f t="shared" ref="F103:F104" si="2">D103*(($F$99)+1)+E103</f>
        <v>198.04145399999999</v>
      </c>
      <c r="G103" s="74"/>
      <c r="H103" s="75"/>
      <c r="I103" s="39"/>
      <c r="L103" s="84"/>
      <c r="M103" s="84"/>
      <c r="N103" s="39"/>
    </row>
    <row r="104" spans="1:14" s="2" customFormat="1" ht="15.75" customHeight="1" x14ac:dyDescent="0.35">
      <c r="A104" s="78">
        <f t="shared" ref="A104:A106" si="3">A103+1</f>
        <v>16</v>
      </c>
      <c r="B104" s="79"/>
      <c r="C104" s="19" t="s">
        <v>201</v>
      </c>
      <c r="D104" s="19">
        <f>17.12*10.764</f>
        <v>184.27968000000001</v>
      </c>
      <c r="E104" s="19">
        <v>0</v>
      </c>
      <c r="F104" s="19">
        <f t="shared" si="2"/>
        <v>285.63350400000002</v>
      </c>
      <c r="G104" s="74"/>
      <c r="H104" s="75"/>
      <c r="I104" s="39">
        <f>2000000/F104</f>
        <v>7001.9797117357766</v>
      </c>
      <c r="L104" s="84"/>
      <c r="M104" s="84"/>
      <c r="N104" s="39"/>
    </row>
    <row r="105" spans="1:14" s="2" customFormat="1" ht="15.75" customHeight="1" x14ac:dyDescent="0.35">
      <c r="A105" s="78">
        <f t="shared" si="3"/>
        <v>17</v>
      </c>
      <c r="B105" s="79"/>
      <c r="C105" s="19" t="s">
        <v>201</v>
      </c>
      <c r="D105" s="19">
        <f>13.77*10.764</f>
        <v>148.22027999999997</v>
      </c>
      <c r="E105" s="19">
        <v>0</v>
      </c>
      <c r="F105" s="19">
        <f t="shared" ref="F105:F106" si="4">D105*(($F$99)+1)+E105</f>
        <v>229.74143399999997</v>
      </c>
      <c r="G105" s="74"/>
      <c r="H105" s="75"/>
      <c r="I105" s="39"/>
      <c r="L105" s="84"/>
      <c r="M105" s="84"/>
      <c r="N105" s="39"/>
    </row>
    <row r="106" spans="1:14" s="2" customFormat="1" ht="15.75" customHeight="1" x14ac:dyDescent="0.35">
      <c r="A106" s="78">
        <f t="shared" si="3"/>
        <v>18</v>
      </c>
      <c r="B106" s="79"/>
      <c r="C106" s="19" t="s">
        <v>201</v>
      </c>
      <c r="D106" s="19">
        <f>11.08*10.764</f>
        <v>119.26512</v>
      </c>
      <c r="E106" s="19">
        <v>0</v>
      </c>
      <c r="F106" s="19">
        <f t="shared" si="4"/>
        <v>184.86093600000001</v>
      </c>
      <c r="G106" s="74"/>
      <c r="H106" s="75"/>
      <c r="I106" s="39"/>
      <c r="L106" s="84"/>
      <c r="M106" s="84"/>
      <c r="N106" s="39"/>
    </row>
    <row r="107" spans="1:14" s="2" customFormat="1" ht="15.75" customHeight="1" x14ac:dyDescent="0.35">
      <c r="A107" s="78">
        <f t="shared" ref="A107:A109" si="5">A106+1</f>
        <v>19</v>
      </c>
      <c r="B107" s="79"/>
      <c r="C107" s="19" t="s">
        <v>201</v>
      </c>
      <c r="D107" s="19">
        <f>10.13*10.764</f>
        <v>109.03932</v>
      </c>
      <c r="E107" s="19">
        <v>0</v>
      </c>
      <c r="F107" s="19">
        <f t="shared" ref="F107:F108" si="6">D107*(($F$99)+1)+E107</f>
        <v>169.01094600000002</v>
      </c>
      <c r="G107" s="74"/>
      <c r="H107" s="75"/>
      <c r="I107" s="39"/>
      <c r="L107" s="84"/>
      <c r="M107" s="84"/>
      <c r="N107" s="39"/>
    </row>
    <row r="108" spans="1:14" s="2" customFormat="1" ht="15.75" customHeight="1" x14ac:dyDescent="0.35">
      <c r="A108" s="78">
        <f t="shared" si="5"/>
        <v>20</v>
      </c>
      <c r="B108" s="79"/>
      <c r="C108" s="19" t="s">
        <v>201</v>
      </c>
      <c r="D108" s="19">
        <f>16.65*10.764</f>
        <v>179.22059999999996</v>
      </c>
      <c r="E108" s="19">
        <v>0</v>
      </c>
      <c r="F108" s="19">
        <f t="shared" si="6"/>
        <v>277.79192999999992</v>
      </c>
      <c r="G108" s="74"/>
      <c r="H108" s="75"/>
      <c r="I108" s="39"/>
      <c r="L108" s="84"/>
      <c r="M108" s="84"/>
      <c r="N108" s="39"/>
    </row>
    <row r="109" spans="1:14" s="2" customFormat="1" ht="15.75" customHeight="1" x14ac:dyDescent="0.35">
      <c r="A109" s="78">
        <f t="shared" si="5"/>
        <v>21</v>
      </c>
      <c r="B109" s="79"/>
      <c r="C109" s="19" t="s">
        <v>201</v>
      </c>
      <c r="D109" s="19">
        <f>21.89*10.764</f>
        <v>235.62395999999998</v>
      </c>
      <c r="E109" s="19">
        <v>0</v>
      </c>
      <c r="F109" s="19">
        <f t="shared" ref="F109" si="7">D109*(($F$99)+1)+E109</f>
        <v>365.21713799999998</v>
      </c>
      <c r="G109" s="76"/>
      <c r="H109" s="77"/>
      <c r="I109" s="39"/>
      <c r="L109" s="84"/>
      <c r="M109" s="84"/>
      <c r="N109" s="39"/>
    </row>
    <row r="110" spans="1:14" s="2" customFormat="1" x14ac:dyDescent="0.35">
      <c r="A110" s="78"/>
      <c r="B110" s="89"/>
      <c r="C110" s="89"/>
      <c r="D110" s="89"/>
      <c r="E110" s="89"/>
      <c r="F110" s="89"/>
      <c r="G110" s="89"/>
      <c r="H110" s="79"/>
      <c r="I110" s="39"/>
      <c r="N110" s="39"/>
    </row>
    <row r="111" spans="1:14" ht="47.25" customHeight="1" x14ac:dyDescent="0.35">
      <c r="A111" s="64" t="s">
        <v>163</v>
      </c>
      <c r="B111" s="64" t="s">
        <v>164</v>
      </c>
      <c r="C111" s="37" t="s">
        <v>67</v>
      </c>
      <c r="D111" s="37" t="s">
        <v>68</v>
      </c>
      <c r="E111" s="65" t="s">
        <v>69</v>
      </c>
      <c r="F111" s="37" t="s">
        <v>229</v>
      </c>
      <c r="G111" s="160" t="s">
        <v>70</v>
      </c>
      <c r="H111" s="161"/>
      <c r="I111" s="39"/>
    </row>
    <row r="112" spans="1:14" s="2" customFormat="1" x14ac:dyDescent="0.35">
      <c r="A112" s="81" t="s">
        <v>223</v>
      </c>
      <c r="B112" s="82"/>
      <c r="C112" s="82"/>
      <c r="D112" s="82"/>
      <c r="E112" s="82"/>
      <c r="F112" s="82"/>
      <c r="G112" s="82"/>
      <c r="H112" s="83"/>
    </row>
    <row r="113" spans="1:16" s="2" customFormat="1" x14ac:dyDescent="0.35">
      <c r="A113" s="81" t="s">
        <v>203</v>
      </c>
      <c r="B113" s="82"/>
      <c r="C113" s="82"/>
      <c r="D113" s="82"/>
      <c r="E113" s="82"/>
      <c r="F113" s="82"/>
      <c r="G113" s="82"/>
      <c r="H113" s="83"/>
      <c r="I113" s="39"/>
    </row>
    <row r="114" spans="1:16" s="2" customFormat="1" ht="15.75" customHeight="1" x14ac:dyDescent="0.35">
      <c r="A114" s="78" t="str">
        <f t="shared" ref="A114:A119" ca="1" si="8">N114</f>
        <v>101 to 601</v>
      </c>
      <c r="B114" s="79"/>
      <c r="C114" s="19" t="s">
        <v>204</v>
      </c>
      <c r="D114" s="19">
        <f>((31.06)+(2.74+2.13+2.74)*0.75)*10.764</f>
        <v>395.76536999999996</v>
      </c>
      <c r="E114" s="19">
        <v>0</v>
      </c>
      <c r="F114" s="19">
        <v>630</v>
      </c>
      <c r="G114" s="72" t="str">
        <f>A113</f>
        <v>1st to 6th Floor</v>
      </c>
      <c r="H114" s="73"/>
      <c r="I114" s="66">
        <f>F114/D114</f>
        <v>1.5918522633751409</v>
      </c>
      <c r="J114" s="66">
        <f>F114/D114</f>
        <v>1.5918522633751409</v>
      </c>
      <c r="N114" s="2" t="str">
        <f t="shared" ref="N114:N119" ca="1" si="9">O114&amp;""&amp;" to "&amp;""&amp;P114</f>
        <v>101 to 601</v>
      </c>
      <c r="O114" s="2">
        <f ca="1">(SUMPRODUCT(MID(0&amp;(LEFT(A113,SUM(LEN(A113)-LEN(SUBSTITUTE(A113,{"0","1","2"},""))))), LARGE(INDEX(ISNUMBER(--MID((LEFT(A113,SUM(LEN(A113)-LEN(SUBSTITUTE(A113,{"0","1","2"},""))))), ROW(INDIRECT("1:"&amp;LEN((LEFT(A113,SUM(LEN(A113)-LEN(SUBSTITUTE(A113,{"0","1","2"},"")))))))), 1)) * ROW(INDIRECT("1:"&amp;LEN((LEFT(A113,SUM(LEN(A113)-LEN(SUBSTITUTE(A113,{"0","1","2"},"")))))))), 0), ROW(INDIRECT("1:"&amp;LEN((LEFT(A113,SUM(LEN(A113)-LEN(SUBSTITUTE(A113,{"0","1","2"},"")))))))))+1, 1) * 10^ROW(INDIRECT("1:"&amp;LEN((LEFT(A113,SUM(LEN(A113)-LEN(SUBSTITUTE(A113,{"0","1","2"},""))))))))/10))*100+1</f>
        <v>101</v>
      </c>
      <c r="P114" s="2">
        <f ca="1">(SUMPRODUCT(MID(0&amp;(--TRIM(RIGHT(SUBSTITUTE(LEFT(A113,_xlfn.AGGREGATE(16,6,FIND({0,1,2,3,4,5,6,7,8,9},A113,ROW(INDIRECT("1:"&amp;LEN(A113)))),1))," ",REPT(" ",LEN(A113))),LEN(A113)))), LARGE(INDEX(ISNUMBER(--MID((--TRIM(RIGHT(SUBSTITUTE(LEFT(A113,_xlfn.AGGREGATE(16,6,FIND({0,1,2,3,4,5,6,7,8,9},A113,ROW(INDIRECT("1:"&amp;LEN(A113)))),1))," ",REPT(" ",LEN(A113))),LEN(A113)))), ROW(INDIRECT("1:"&amp;LEN((--TRIM(RIGHT(SUBSTITUTE(LEFT(A113,_xlfn.AGGREGATE(16,6,FIND({0,1,2,3,4,5,6,7,8,9},A113,ROW(INDIRECT("1:"&amp;LEN(A113)))),1))," ",REPT(" ",LEN(A113))),LEN(A113))))))), 1)) * ROW(INDIRECT("1:"&amp;LEN((--TRIM(RIGHT(SUBSTITUTE(LEFT(A113,_xlfn.AGGREGATE(16,6,FIND({0,1,2,3,4,5,6,7,8,9},A113,ROW(INDIRECT("1:"&amp;LEN(A113)))),1))," ",REPT(" ",LEN(A113))),LEN(A113))))))), 0), ROW(INDIRECT("1:"&amp;LEN((--TRIM(RIGHT(SUBSTITUTE(LEFT(A113,_xlfn.AGGREGATE(16,6,FIND({0,1,2,3,4,5,6,7,8,9},A113,ROW(INDIRECT("1:"&amp;LEN(A113)))),1))," ",REPT(" ",LEN(A113))),LEN(A113))))))))+1, 1) * 10^ROW(INDIRECT("1:"&amp;LEN((--TRIM(RIGHT(SUBSTITUTE(LEFT(A113,_xlfn.AGGREGATE(16,6,FIND({0,1,2,3,4,5,6,7,8,9},A113,ROW(INDIRECT("1:"&amp;LEN(A113)))),1))," ",REPT(" ",LEN(A113))),LEN(A113)))))))/10))*100+1</f>
        <v>601</v>
      </c>
    </row>
    <row r="115" spans="1:16" s="2" customFormat="1" ht="15.75" customHeight="1" x14ac:dyDescent="0.35">
      <c r="A115" s="78" t="str">
        <f t="shared" ca="1" si="8"/>
        <v>102 to 602</v>
      </c>
      <c r="B115" s="79"/>
      <c r="C115" s="19" t="s">
        <v>204</v>
      </c>
      <c r="D115" s="19">
        <f>((30.97)+(2.74+2.13+2.74)*0.75)*10.764</f>
        <v>394.79660999999999</v>
      </c>
      <c r="E115" s="19">
        <v>0</v>
      </c>
      <c r="F115" s="19">
        <v>630</v>
      </c>
      <c r="G115" s="74"/>
      <c r="H115" s="75"/>
      <c r="I115" s="39"/>
      <c r="J115" s="66">
        <f t="shared" ref="J115:J140" si="10">F115/D115</f>
        <v>1.5957583830317084</v>
      </c>
      <c r="N115" s="2" t="str">
        <f t="shared" ca="1" si="9"/>
        <v>102 to 602</v>
      </c>
      <c r="O115" s="2">
        <f t="shared" ref="O115:P118" ca="1" si="11">O114+1</f>
        <v>102</v>
      </c>
      <c r="P115" s="2">
        <f t="shared" ca="1" si="11"/>
        <v>602</v>
      </c>
    </row>
    <row r="116" spans="1:16" s="2" customFormat="1" ht="15.75" customHeight="1" x14ac:dyDescent="0.35">
      <c r="A116" s="78" t="str">
        <f t="shared" ca="1" si="8"/>
        <v>103 to 603</v>
      </c>
      <c r="B116" s="79"/>
      <c r="C116" s="19" t="s">
        <v>204</v>
      </c>
      <c r="D116" s="19">
        <f>((31.12)+(2.13+2.74)*0.75)*10.764</f>
        <v>374.29118999999997</v>
      </c>
      <c r="E116" s="19">
        <v>0</v>
      </c>
      <c r="F116" s="19">
        <v>630</v>
      </c>
      <c r="G116" s="74"/>
      <c r="H116" s="75"/>
      <c r="I116" s="39"/>
      <c r="J116" s="66">
        <f t="shared" si="10"/>
        <v>1.6831814823106044</v>
      </c>
      <c r="N116" s="2" t="str">
        <f t="shared" ca="1" si="9"/>
        <v>103 to 603</v>
      </c>
      <c r="O116" s="2">
        <f t="shared" ca="1" si="11"/>
        <v>103</v>
      </c>
      <c r="P116" s="2">
        <f t="shared" ca="1" si="11"/>
        <v>603</v>
      </c>
    </row>
    <row r="117" spans="1:16" s="2" customFormat="1" ht="15.75" customHeight="1" x14ac:dyDescent="0.35">
      <c r="A117" s="78" t="str">
        <f t="shared" ca="1" si="8"/>
        <v>104 to 604</v>
      </c>
      <c r="B117" s="79"/>
      <c r="C117" s="19" t="s">
        <v>204</v>
      </c>
      <c r="D117" s="19">
        <f>((31.12)+(2.13+2.74)*0.75)*10.764</f>
        <v>374.29118999999997</v>
      </c>
      <c r="E117" s="19">
        <v>0</v>
      </c>
      <c r="F117" s="19">
        <v>630</v>
      </c>
      <c r="G117" s="74"/>
      <c r="H117" s="75"/>
      <c r="I117" s="39"/>
      <c r="J117" s="66">
        <f t="shared" si="10"/>
        <v>1.6831814823106044</v>
      </c>
      <c r="N117" s="2" t="str">
        <f t="shared" ca="1" si="9"/>
        <v>104 to 604</v>
      </c>
      <c r="O117" s="2">
        <f t="shared" ca="1" si="11"/>
        <v>104</v>
      </c>
      <c r="P117" s="2">
        <f t="shared" ca="1" si="11"/>
        <v>604</v>
      </c>
    </row>
    <row r="118" spans="1:16" s="2" customFormat="1" ht="15.75" customHeight="1" x14ac:dyDescent="0.35">
      <c r="A118" s="78" t="str">
        <f t="shared" ca="1" si="8"/>
        <v>105 to 605</v>
      </c>
      <c r="B118" s="79"/>
      <c r="C118" s="19" t="s">
        <v>204</v>
      </c>
      <c r="D118" s="19">
        <f>((31.12)+(2.74+2.13+2.74)*0.75)*10.764</f>
        <v>396.41120999999998</v>
      </c>
      <c r="E118" s="19">
        <v>0</v>
      </c>
      <c r="F118" s="19">
        <v>630</v>
      </c>
      <c r="G118" s="74"/>
      <c r="H118" s="75"/>
      <c r="I118" s="39"/>
      <c r="J118" s="66">
        <f t="shared" si="10"/>
        <v>1.589258790133609</v>
      </c>
      <c r="N118" s="2" t="str">
        <f t="shared" ca="1" si="9"/>
        <v>105 to 605</v>
      </c>
      <c r="O118" s="2">
        <f t="shared" ca="1" si="11"/>
        <v>105</v>
      </c>
      <c r="P118" s="2">
        <f t="shared" ca="1" si="11"/>
        <v>605</v>
      </c>
    </row>
    <row r="119" spans="1:16" s="2" customFormat="1" ht="15.75" customHeight="1" x14ac:dyDescent="0.35">
      <c r="A119" s="78" t="str">
        <f t="shared" ca="1" si="8"/>
        <v>106 to 606</v>
      </c>
      <c r="B119" s="79"/>
      <c r="C119" s="19" t="s">
        <v>205</v>
      </c>
      <c r="D119" s="19">
        <f>((47.49)+(2.74+2.13+2.74+2.74)*0.75)*10.764</f>
        <v>594.73791000000006</v>
      </c>
      <c r="E119" s="19">
        <v>0</v>
      </c>
      <c r="F119" s="19">
        <v>950</v>
      </c>
      <c r="G119" s="76"/>
      <c r="H119" s="77"/>
      <c r="I119" s="39">
        <f>3895000/F119</f>
        <v>4100</v>
      </c>
      <c r="J119" s="66">
        <f t="shared" si="10"/>
        <v>1.5973422645951725</v>
      </c>
      <c r="N119" s="2" t="str">
        <f t="shared" ca="1" si="9"/>
        <v>106 to 606</v>
      </c>
      <c r="O119" s="2">
        <f t="shared" ref="O119:P119" ca="1" si="12">O118+1</f>
        <v>106</v>
      </c>
      <c r="P119" s="2">
        <f t="shared" ca="1" si="12"/>
        <v>606</v>
      </c>
    </row>
    <row r="120" spans="1:16" s="2" customFormat="1" x14ac:dyDescent="0.35">
      <c r="A120" s="152" t="s">
        <v>206</v>
      </c>
      <c r="B120" s="152"/>
      <c r="C120" s="152"/>
      <c r="D120" s="152"/>
      <c r="E120" s="152"/>
      <c r="F120" s="152"/>
      <c r="G120" s="152"/>
      <c r="H120" s="152"/>
      <c r="I120" s="39"/>
      <c r="J120" s="66"/>
      <c r="L120" s="84"/>
      <c r="M120" s="84"/>
    </row>
    <row r="121" spans="1:16" s="2" customFormat="1" ht="15.75" customHeight="1" x14ac:dyDescent="0.35">
      <c r="A121" s="80">
        <f>LEFT(A120,SUM(LEN(A120)-LEN(SUBSTITUTE(A120,{"0","1","2","3","4","5","6","7","8","9"},""))))*100+1</f>
        <v>701</v>
      </c>
      <c r="B121" s="80"/>
      <c r="C121" s="19" t="s">
        <v>204</v>
      </c>
      <c r="D121" s="19">
        <f>((31.06)+(2.74+2.13+2.74)*0.75)*10.764</f>
        <v>395.76536999999996</v>
      </c>
      <c r="E121" s="19">
        <v>0</v>
      </c>
      <c r="F121" s="19">
        <v>630</v>
      </c>
      <c r="G121" s="72" t="str">
        <f>A120</f>
        <v>7th Floor (Part Terrace Area)</v>
      </c>
      <c r="H121" s="73"/>
      <c r="I121" s="39"/>
      <c r="J121" s="66">
        <f t="shared" si="10"/>
        <v>1.5918522633751409</v>
      </c>
      <c r="N121" s="39"/>
    </row>
    <row r="122" spans="1:16" s="2" customFormat="1" ht="15.75" customHeight="1" x14ac:dyDescent="0.35">
      <c r="A122" s="80">
        <f>A121+1</f>
        <v>702</v>
      </c>
      <c r="B122" s="80"/>
      <c r="C122" s="19" t="s">
        <v>205</v>
      </c>
      <c r="D122" s="19">
        <f>((47.49)+(2.74+2.13+2.74+2.74)*0.75)*10.764</f>
        <v>594.73791000000006</v>
      </c>
      <c r="E122" s="19">
        <v>0</v>
      </c>
      <c r="F122" s="19">
        <v>950</v>
      </c>
      <c r="G122" s="76"/>
      <c r="H122" s="77"/>
      <c r="I122" s="39"/>
      <c r="J122" s="66">
        <f t="shared" si="10"/>
        <v>1.5973422645951725</v>
      </c>
      <c r="N122" s="39"/>
    </row>
    <row r="123" spans="1:16" s="2" customFormat="1" hidden="1" x14ac:dyDescent="0.35">
      <c r="A123" s="80">
        <f>A122+1</f>
        <v>703</v>
      </c>
      <c r="B123" s="80"/>
      <c r="C123" s="19"/>
      <c r="D123" s="19"/>
      <c r="E123" s="19">
        <v>0</v>
      </c>
      <c r="F123" s="19" t="e">
        <f>D123*((#REF!)+1)+E123</f>
        <v>#REF!</v>
      </c>
      <c r="G123" s="80">
        <f t="shared" ref="G123:G126" si="13">G122</f>
        <v>0</v>
      </c>
      <c r="H123" s="80"/>
      <c r="I123" s="39"/>
      <c r="J123" s="66" t="e">
        <f t="shared" si="10"/>
        <v>#REF!</v>
      </c>
      <c r="N123" s="39"/>
    </row>
    <row r="124" spans="1:16" s="2" customFormat="1" hidden="1" x14ac:dyDescent="0.35">
      <c r="A124" s="80">
        <f t="shared" ref="A124:A126" si="14">A123+1</f>
        <v>704</v>
      </c>
      <c r="B124" s="80"/>
      <c r="C124" s="19"/>
      <c r="D124" s="19"/>
      <c r="E124" s="19">
        <v>0</v>
      </c>
      <c r="F124" s="19" t="e">
        <f>D124*((#REF!)+1)+E124</f>
        <v>#REF!</v>
      </c>
      <c r="G124" s="80">
        <f t="shared" si="13"/>
        <v>0</v>
      </c>
      <c r="H124" s="80"/>
      <c r="I124" s="39"/>
      <c r="J124" s="66" t="e">
        <f t="shared" si="10"/>
        <v>#REF!</v>
      </c>
      <c r="N124" s="39"/>
    </row>
    <row r="125" spans="1:16" s="2" customFormat="1" hidden="1" x14ac:dyDescent="0.35">
      <c r="A125" s="80">
        <f t="shared" si="14"/>
        <v>705</v>
      </c>
      <c r="B125" s="80"/>
      <c r="C125" s="19"/>
      <c r="D125" s="19"/>
      <c r="E125" s="19">
        <v>0</v>
      </c>
      <c r="F125" s="19" t="e">
        <f>D125*((#REF!)+1)+E125</f>
        <v>#REF!</v>
      </c>
      <c r="G125" s="80">
        <f t="shared" si="13"/>
        <v>0</v>
      </c>
      <c r="H125" s="80"/>
      <c r="I125" s="39"/>
      <c r="J125" s="66" t="e">
        <f t="shared" si="10"/>
        <v>#REF!</v>
      </c>
      <c r="N125" s="39"/>
    </row>
    <row r="126" spans="1:16" s="2" customFormat="1" hidden="1" x14ac:dyDescent="0.35">
      <c r="A126" s="80">
        <f t="shared" si="14"/>
        <v>706</v>
      </c>
      <c r="B126" s="80"/>
      <c r="C126" s="19"/>
      <c r="D126" s="19"/>
      <c r="E126" s="19">
        <v>0</v>
      </c>
      <c r="F126" s="19" t="e">
        <f>D126*((#REF!)+1)+E126</f>
        <v>#REF!</v>
      </c>
      <c r="G126" s="80">
        <f t="shared" si="13"/>
        <v>0</v>
      </c>
      <c r="H126" s="80"/>
      <c r="I126" s="39"/>
      <c r="J126" s="66" t="e">
        <f t="shared" si="10"/>
        <v>#REF!</v>
      </c>
      <c r="N126" s="39"/>
    </row>
    <row r="127" spans="1:16" s="2" customFormat="1" ht="15.75" hidden="1" customHeight="1" x14ac:dyDescent="0.35">
      <c r="A127" s="81" t="s">
        <v>168</v>
      </c>
      <c r="B127" s="82"/>
      <c r="C127" s="82"/>
      <c r="D127" s="82"/>
      <c r="E127" s="82"/>
      <c r="F127" s="82"/>
      <c r="G127" s="82"/>
      <c r="H127" s="83"/>
      <c r="I127" s="39"/>
      <c r="J127" s="66" t="e">
        <f t="shared" si="10"/>
        <v>#DIV/0!</v>
      </c>
    </row>
    <row r="128" spans="1:16" s="2" customFormat="1" hidden="1" x14ac:dyDescent="0.35">
      <c r="A128" s="78" t="str">
        <f t="shared" ref="A128:A133" ca="1" si="15">N128</f>
        <v>101,..,901</v>
      </c>
      <c r="B128" s="79"/>
      <c r="C128" s="19"/>
      <c r="D128" s="19"/>
      <c r="E128" s="19">
        <v>0</v>
      </c>
      <c r="F128" s="19" t="e">
        <f>D128*((#REF!)+1)+E128</f>
        <v>#REF!</v>
      </c>
      <c r="G128" s="78" t="str">
        <f>A127</f>
        <v>1st, 2nd, 3rd, 5th, 7th &amp; 9th Floor</v>
      </c>
      <c r="H128" s="79"/>
      <c r="I128" s="39"/>
      <c r="J128" s="66" t="e">
        <f t="shared" si="10"/>
        <v>#REF!</v>
      </c>
      <c r="N128" s="2" t="str">
        <f t="shared" ref="N128:N133" ca="1" si="16">O128&amp;""&amp;",..,"&amp;""&amp;P128</f>
        <v>101,..,901</v>
      </c>
      <c r="O128" s="2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10^ROW(INDIRECT("1:"&amp;LEN((LEFT(A127,SUM(LEN(A127)-LEN(SUBSTITUTE(A127,{"0","1","2"},""))))))))/10))*100+1</f>
        <v>101</v>
      </c>
      <c r="P128" s="2">
        <f ca="1">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",LEN(A127))),LEN(A127)))))))/10))*100+1</f>
        <v>901</v>
      </c>
    </row>
    <row r="129" spans="1:16" s="2" customFormat="1" hidden="1" x14ac:dyDescent="0.35">
      <c r="A129" s="78" t="str">
        <f t="shared" ca="1" si="15"/>
        <v>102,..,902</v>
      </c>
      <c r="B129" s="79"/>
      <c r="C129" s="19"/>
      <c r="D129" s="19"/>
      <c r="E129" s="19">
        <v>0</v>
      </c>
      <c r="F129" s="19" t="e">
        <f>D129*((#REF!)+1)+E129</f>
        <v>#REF!</v>
      </c>
      <c r="G129" s="78" t="str">
        <f t="shared" ref="G129:G133" si="17">G128</f>
        <v>1st, 2nd, 3rd, 5th, 7th &amp; 9th Floor</v>
      </c>
      <c r="H129" s="79"/>
      <c r="I129" s="39"/>
      <c r="J129" s="66" t="e">
        <f t="shared" si="10"/>
        <v>#REF!</v>
      </c>
      <c r="N129" s="2" t="str">
        <f t="shared" ca="1" si="16"/>
        <v>102,..,902</v>
      </c>
      <c r="O129" s="2">
        <f t="shared" ref="O129:P132" ca="1" si="18">O128+1</f>
        <v>102</v>
      </c>
      <c r="P129" s="2">
        <f t="shared" ca="1" si="18"/>
        <v>902</v>
      </c>
    </row>
    <row r="130" spans="1:16" s="2" customFormat="1" hidden="1" x14ac:dyDescent="0.35">
      <c r="A130" s="78" t="str">
        <f t="shared" ca="1" si="15"/>
        <v>103,..,903</v>
      </c>
      <c r="B130" s="79"/>
      <c r="C130" s="19"/>
      <c r="D130" s="19"/>
      <c r="E130" s="19">
        <v>0</v>
      </c>
      <c r="F130" s="19" t="e">
        <f>D130*((#REF!)+1)+E130</f>
        <v>#REF!</v>
      </c>
      <c r="G130" s="78" t="str">
        <f t="shared" si="17"/>
        <v>1st, 2nd, 3rd, 5th, 7th &amp; 9th Floor</v>
      </c>
      <c r="H130" s="79"/>
      <c r="I130" s="39"/>
      <c r="J130" s="66" t="e">
        <f t="shared" si="10"/>
        <v>#REF!</v>
      </c>
      <c r="N130" s="2" t="str">
        <f t="shared" ca="1" si="16"/>
        <v>103,..,903</v>
      </c>
      <c r="O130" s="2">
        <f t="shared" ca="1" si="18"/>
        <v>103</v>
      </c>
      <c r="P130" s="2">
        <f t="shared" ca="1" si="18"/>
        <v>903</v>
      </c>
    </row>
    <row r="131" spans="1:16" s="2" customFormat="1" hidden="1" x14ac:dyDescent="0.35">
      <c r="A131" s="78" t="str">
        <f t="shared" ca="1" si="15"/>
        <v>104,..,904</v>
      </c>
      <c r="B131" s="79"/>
      <c r="C131" s="19"/>
      <c r="D131" s="19"/>
      <c r="E131" s="19">
        <v>0</v>
      </c>
      <c r="F131" s="19" t="e">
        <f>D131*((#REF!)+1)+E131</f>
        <v>#REF!</v>
      </c>
      <c r="G131" s="78" t="str">
        <f t="shared" si="17"/>
        <v>1st, 2nd, 3rd, 5th, 7th &amp; 9th Floor</v>
      </c>
      <c r="H131" s="79"/>
      <c r="I131" s="39"/>
      <c r="J131" s="66" t="e">
        <f t="shared" si="10"/>
        <v>#REF!</v>
      </c>
      <c r="N131" s="2" t="str">
        <f t="shared" ca="1" si="16"/>
        <v>104,..,904</v>
      </c>
      <c r="O131" s="2">
        <f t="shared" ca="1" si="18"/>
        <v>104</v>
      </c>
      <c r="P131" s="2">
        <f t="shared" ca="1" si="18"/>
        <v>904</v>
      </c>
    </row>
    <row r="132" spans="1:16" s="2" customFormat="1" hidden="1" x14ac:dyDescent="0.35">
      <c r="A132" s="78" t="str">
        <f t="shared" ca="1" si="15"/>
        <v>105,..,905</v>
      </c>
      <c r="B132" s="79"/>
      <c r="C132" s="19"/>
      <c r="D132" s="19"/>
      <c r="E132" s="19">
        <v>0</v>
      </c>
      <c r="F132" s="19" t="e">
        <f>D132*((#REF!)+1)+E132</f>
        <v>#REF!</v>
      </c>
      <c r="G132" s="78" t="str">
        <f t="shared" si="17"/>
        <v>1st, 2nd, 3rd, 5th, 7th &amp; 9th Floor</v>
      </c>
      <c r="H132" s="79"/>
      <c r="I132" s="39"/>
      <c r="J132" s="66" t="e">
        <f t="shared" si="10"/>
        <v>#REF!</v>
      </c>
      <c r="N132" s="2" t="str">
        <f t="shared" ca="1" si="16"/>
        <v>105,..,905</v>
      </c>
      <c r="O132" s="2">
        <f t="shared" ca="1" si="18"/>
        <v>105</v>
      </c>
      <c r="P132" s="2">
        <f t="shared" ca="1" si="18"/>
        <v>905</v>
      </c>
    </row>
    <row r="133" spans="1:16" s="2" customFormat="1" hidden="1" x14ac:dyDescent="0.35">
      <c r="A133" s="78" t="str">
        <f t="shared" ca="1" si="15"/>
        <v>106,..,906</v>
      </c>
      <c r="B133" s="79"/>
      <c r="C133" s="19"/>
      <c r="D133" s="19"/>
      <c r="E133" s="19">
        <v>0</v>
      </c>
      <c r="F133" s="19" t="e">
        <f>D133*((#REF!)+1)+E133</f>
        <v>#REF!</v>
      </c>
      <c r="G133" s="78" t="str">
        <f t="shared" si="17"/>
        <v>1st, 2nd, 3rd, 5th, 7th &amp; 9th Floor</v>
      </c>
      <c r="H133" s="79"/>
      <c r="I133" s="39"/>
      <c r="J133" s="66" t="e">
        <f t="shared" si="10"/>
        <v>#REF!</v>
      </c>
      <c r="N133" s="2" t="str">
        <f t="shared" ca="1" si="16"/>
        <v>106,..,906</v>
      </c>
      <c r="O133" s="2">
        <f t="shared" ref="O133:P133" ca="1" si="19">O132+1</f>
        <v>106</v>
      </c>
      <c r="P133" s="2">
        <f t="shared" ca="1" si="19"/>
        <v>906</v>
      </c>
    </row>
    <row r="134" spans="1:16" s="2" customFormat="1" hidden="1" x14ac:dyDescent="0.35">
      <c r="A134" s="81" t="s">
        <v>165</v>
      </c>
      <c r="B134" s="82"/>
      <c r="C134" s="82"/>
      <c r="D134" s="82"/>
      <c r="E134" s="82"/>
      <c r="F134" s="82"/>
      <c r="G134" s="82"/>
      <c r="H134" s="83"/>
      <c r="I134" s="39"/>
      <c r="J134" s="66" t="e">
        <f t="shared" si="10"/>
        <v>#DIV/0!</v>
      </c>
    </row>
    <row r="135" spans="1:16" s="2" customFormat="1" hidden="1" x14ac:dyDescent="0.35">
      <c r="A135" s="78" t="str">
        <f t="shared" ref="A135:A140" ca="1" si="20">N135</f>
        <v>101 &amp; 2001</v>
      </c>
      <c r="B135" s="79"/>
      <c r="C135" s="19"/>
      <c r="D135" s="19"/>
      <c r="E135" s="19">
        <v>0</v>
      </c>
      <c r="F135" s="19" t="e">
        <f>D135*((#REF!)+1)+E135</f>
        <v>#REF!</v>
      </c>
      <c r="G135" s="78" t="str">
        <f>A134</f>
        <v>1st &amp; 20th Floor</v>
      </c>
      <c r="H135" s="79"/>
      <c r="I135" s="39"/>
      <c r="J135" s="66" t="e">
        <f t="shared" si="10"/>
        <v>#REF!</v>
      </c>
      <c r="N135" s="2" t="str">
        <f t="shared" ref="N135:N140" ca="1" si="21">O135&amp;""&amp;" &amp; "&amp;""&amp;P135</f>
        <v>101 &amp; 2001</v>
      </c>
      <c r="O135" s="2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10^ROW(INDIRECT("1:"&amp;LEN((LEFT(A134,SUM(LEN(A134)-LEN(SUBSTITUTE(A134,{"0","1","2"},""))))))))/10))*100+1</f>
        <v>101</v>
      </c>
      <c r="P135" s="2">
        <f ca="1">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",LEN(A134))),LEN(A134)))))))/10))*100+1</f>
        <v>2001</v>
      </c>
    </row>
    <row r="136" spans="1:16" s="2" customFormat="1" hidden="1" x14ac:dyDescent="0.35">
      <c r="A136" s="78" t="str">
        <f t="shared" ca="1" si="20"/>
        <v>102 &amp; 2002</v>
      </c>
      <c r="B136" s="79"/>
      <c r="C136" s="19"/>
      <c r="D136" s="19"/>
      <c r="E136" s="19">
        <v>0</v>
      </c>
      <c r="F136" s="19" t="e">
        <f>D136*((#REF!)+1)+E136</f>
        <v>#REF!</v>
      </c>
      <c r="G136" s="78" t="str">
        <f t="shared" ref="G136:G140" si="22">G135</f>
        <v>1st &amp; 20th Floor</v>
      </c>
      <c r="H136" s="79"/>
      <c r="I136" s="39"/>
      <c r="J136" s="66" t="e">
        <f t="shared" si="10"/>
        <v>#REF!</v>
      </c>
      <c r="N136" s="2" t="str">
        <f t="shared" ca="1" si="21"/>
        <v>102 &amp; 2002</v>
      </c>
      <c r="O136" s="2">
        <f t="shared" ref="O136:P136" ca="1" si="23">O135+1</f>
        <v>102</v>
      </c>
      <c r="P136" s="2">
        <f t="shared" ca="1" si="23"/>
        <v>2002</v>
      </c>
    </row>
    <row r="137" spans="1:16" s="2" customFormat="1" hidden="1" x14ac:dyDescent="0.35">
      <c r="A137" s="78" t="str">
        <f t="shared" ca="1" si="20"/>
        <v>103 &amp; 2003</v>
      </c>
      <c r="B137" s="79"/>
      <c r="C137" s="19"/>
      <c r="D137" s="19"/>
      <c r="E137" s="19">
        <v>0</v>
      </c>
      <c r="F137" s="19" t="e">
        <f>D137*((#REF!)+1)+E137</f>
        <v>#REF!</v>
      </c>
      <c r="G137" s="78" t="str">
        <f t="shared" si="22"/>
        <v>1st &amp; 20th Floor</v>
      </c>
      <c r="H137" s="79"/>
      <c r="I137" s="39"/>
      <c r="J137" s="66" t="e">
        <f t="shared" si="10"/>
        <v>#REF!</v>
      </c>
      <c r="N137" s="2" t="str">
        <f t="shared" ca="1" si="21"/>
        <v>103 &amp; 2003</v>
      </c>
      <c r="O137" s="2">
        <f t="shared" ref="O137:P137" ca="1" si="24">O136+1</f>
        <v>103</v>
      </c>
      <c r="P137" s="2">
        <f t="shared" ca="1" si="24"/>
        <v>2003</v>
      </c>
    </row>
    <row r="138" spans="1:16" s="2" customFormat="1" hidden="1" x14ac:dyDescent="0.35">
      <c r="A138" s="78" t="str">
        <f t="shared" ca="1" si="20"/>
        <v>104 &amp; 2004</v>
      </c>
      <c r="B138" s="79"/>
      <c r="C138" s="19"/>
      <c r="D138" s="19"/>
      <c r="E138" s="19">
        <v>0</v>
      </c>
      <c r="F138" s="19" t="e">
        <f>D138*((#REF!)+1)+E138</f>
        <v>#REF!</v>
      </c>
      <c r="G138" s="78" t="str">
        <f t="shared" si="22"/>
        <v>1st &amp; 20th Floor</v>
      </c>
      <c r="H138" s="79"/>
      <c r="I138" s="39"/>
      <c r="J138" s="66" t="e">
        <f t="shared" si="10"/>
        <v>#REF!</v>
      </c>
      <c r="N138" s="2" t="str">
        <f t="shared" ca="1" si="21"/>
        <v>104 &amp; 2004</v>
      </c>
      <c r="O138" s="2">
        <f t="shared" ref="O138:P138" ca="1" si="25">O137+1</f>
        <v>104</v>
      </c>
      <c r="P138" s="2">
        <f t="shared" ca="1" si="25"/>
        <v>2004</v>
      </c>
    </row>
    <row r="139" spans="1:16" s="2" customFormat="1" hidden="1" x14ac:dyDescent="0.35">
      <c r="A139" s="78" t="str">
        <f t="shared" ca="1" si="20"/>
        <v>105 &amp; 2005</v>
      </c>
      <c r="B139" s="79"/>
      <c r="C139" s="19"/>
      <c r="D139" s="19"/>
      <c r="E139" s="19">
        <v>0</v>
      </c>
      <c r="F139" s="19" t="e">
        <f>D139*((#REF!)+1)+E139</f>
        <v>#REF!</v>
      </c>
      <c r="G139" s="78" t="str">
        <f t="shared" si="22"/>
        <v>1st &amp; 20th Floor</v>
      </c>
      <c r="H139" s="79"/>
      <c r="I139" s="39"/>
      <c r="J139" s="66" t="e">
        <f t="shared" si="10"/>
        <v>#REF!</v>
      </c>
      <c r="N139" s="2" t="str">
        <f t="shared" ca="1" si="21"/>
        <v>105 &amp; 2005</v>
      </c>
      <c r="O139" s="2">
        <f t="shared" ref="O139:P139" ca="1" si="26">O138+1</f>
        <v>105</v>
      </c>
      <c r="P139" s="2">
        <f t="shared" ca="1" si="26"/>
        <v>2005</v>
      </c>
    </row>
    <row r="140" spans="1:16" s="2" customFormat="1" hidden="1" x14ac:dyDescent="0.35">
      <c r="A140" s="78" t="str">
        <f t="shared" ca="1" si="20"/>
        <v>106 &amp; 2006</v>
      </c>
      <c r="B140" s="79"/>
      <c r="C140" s="19"/>
      <c r="D140" s="19"/>
      <c r="E140" s="19">
        <v>0</v>
      </c>
      <c r="F140" s="19" t="e">
        <f>D140*((#REF!)+1)+E140</f>
        <v>#REF!</v>
      </c>
      <c r="G140" s="78" t="str">
        <f t="shared" si="22"/>
        <v>1st &amp; 20th Floor</v>
      </c>
      <c r="H140" s="79"/>
      <c r="I140" s="39"/>
      <c r="J140" s="66" t="e">
        <f t="shared" si="10"/>
        <v>#REF!</v>
      </c>
      <c r="N140" s="2" t="str">
        <f t="shared" ca="1" si="21"/>
        <v>106 &amp; 2006</v>
      </c>
      <c r="O140" s="2">
        <f t="shared" ref="O140:P140" ca="1" si="27">O139+1</f>
        <v>106</v>
      </c>
      <c r="P140" s="2">
        <f t="shared" ca="1" si="27"/>
        <v>2006</v>
      </c>
    </row>
    <row r="141" spans="1:16" s="1" customFormat="1" x14ac:dyDescent="0.35">
      <c r="A141" s="154" t="s">
        <v>78</v>
      </c>
      <c r="B141" s="154"/>
      <c r="C141" s="154"/>
      <c r="D141" s="154"/>
      <c r="E141" s="154"/>
      <c r="F141" s="154"/>
      <c r="G141" s="154"/>
      <c r="H141" s="154"/>
    </row>
    <row r="142" spans="1:16" s="1" customFormat="1" x14ac:dyDescent="0.35">
      <c r="A142" s="43">
        <v>1</v>
      </c>
      <c r="B142" s="69" t="s">
        <v>239</v>
      </c>
      <c r="C142" s="70"/>
      <c r="D142" s="70"/>
      <c r="E142" s="70"/>
      <c r="F142" s="70"/>
      <c r="G142" s="70"/>
      <c r="H142" s="71"/>
      <c r="I142" s="69" t="s">
        <v>237</v>
      </c>
      <c r="J142" s="70"/>
      <c r="K142" s="70"/>
      <c r="L142" s="70"/>
      <c r="M142" s="70"/>
      <c r="N142" s="70"/>
      <c r="O142" s="71"/>
    </row>
    <row r="143" spans="1:16" s="1" customFormat="1" ht="33" customHeight="1" x14ac:dyDescent="0.35">
      <c r="A143" s="43">
        <f>A142+1</f>
        <v>2</v>
      </c>
      <c r="B143" s="69" t="s">
        <v>230</v>
      </c>
      <c r="C143" s="70"/>
      <c r="D143" s="70"/>
      <c r="E143" s="70"/>
      <c r="F143" s="70"/>
      <c r="G143" s="70"/>
      <c r="H143" s="71"/>
    </row>
    <row r="144" spans="1:16" s="1" customFormat="1" x14ac:dyDescent="0.35">
      <c r="A144" s="43">
        <f t="shared" ref="A144:A149" si="28">A143+1</f>
        <v>3</v>
      </c>
      <c r="B144" s="69" t="s">
        <v>169</v>
      </c>
      <c r="C144" s="70"/>
      <c r="D144" s="70"/>
      <c r="E144" s="70"/>
      <c r="F144" s="70"/>
      <c r="G144" s="70"/>
      <c r="H144" s="71"/>
    </row>
    <row r="145" spans="1:8" s="1" customFormat="1" x14ac:dyDescent="0.35">
      <c r="A145" s="43">
        <f t="shared" si="28"/>
        <v>4</v>
      </c>
      <c r="B145" s="69" t="s">
        <v>211</v>
      </c>
      <c r="C145" s="70"/>
      <c r="D145" s="70"/>
      <c r="E145" s="70"/>
      <c r="F145" s="70"/>
      <c r="G145" s="70"/>
      <c r="H145" s="71"/>
    </row>
    <row r="146" spans="1:8" s="1" customFormat="1" x14ac:dyDescent="0.35">
      <c r="A146" s="43">
        <f t="shared" si="28"/>
        <v>5</v>
      </c>
      <c r="B146" s="69" t="s">
        <v>170</v>
      </c>
      <c r="C146" s="70"/>
      <c r="D146" s="70"/>
      <c r="E146" s="70"/>
      <c r="F146" s="70"/>
      <c r="G146" s="70"/>
      <c r="H146" s="71"/>
    </row>
    <row r="147" spans="1:8" s="1" customFormat="1" x14ac:dyDescent="0.35">
      <c r="A147" s="43">
        <f t="shared" si="28"/>
        <v>6</v>
      </c>
      <c r="B147" s="69" t="s">
        <v>171</v>
      </c>
      <c r="C147" s="70"/>
      <c r="D147" s="70"/>
      <c r="E147" s="70"/>
      <c r="F147" s="70"/>
      <c r="G147" s="70"/>
      <c r="H147" s="71"/>
    </row>
    <row r="148" spans="1:8" s="1" customFormat="1" ht="30.75" hidden="1" customHeight="1" x14ac:dyDescent="0.35">
      <c r="A148" s="68">
        <f t="shared" si="28"/>
        <v>7</v>
      </c>
      <c r="B148" s="85" t="s">
        <v>235</v>
      </c>
      <c r="C148" s="86"/>
      <c r="D148" s="86"/>
      <c r="E148" s="86"/>
      <c r="F148" s="86"/>
      <c r="G148" s="86"/>
      <c r="H148" s="87"/>
    </row>
    <row r="149" spans="1:8" s="1" customFormat="1" hidden="1" x14ac:dyDescent="0.35">
      <c r="A149" s="43">
        <f t="shared" si="28"/>
        <v>8</v>
      </c>
      <c r="B149" s="69" t="s">
        <v>210</v>
      </c>
      <c r="C149" s="70"/>
      <c r="D149" s="70"/>
      <c r="E149" s="70"/>
      <c r="F149" s="70"/>
      <c r="G149" s="70"/>
      <c r="H149" s="71"/>
    </row>
    <row r="150" spans="1:8" s="1" customFormat="1" x14ac:dyDescent="0.35">
      <c r="A150" s="43">
        <v>7</v>
      </c>
      <c r="B150" s="69" t="s">
        <v>238</v>
      </c>
      <c r="C150" s="70"/>
      <c r="D150" s="70"/>
      <c r="E150" s="70"/>
      <c r="F150" s="70"/>
      <c r="G150" s="70"/>
      <c r="H150" s="71"/>
    </row>
    <row r="151" spans="1:8" x14ac:dyDescent="0.35">
      <c r="A151" s="155" t="s">
        <v>71</v>
      </c>
      <c r="B151" s="156"/>
      <c r="C151" s="156"/>
      <c r="D151" s="156"/>
      <c r="E151" s="156"/>
      <c r="F151" s="156"/>
      <c r="G151" s="156"/>
      <c r="H151" s="157"/>
    </row>
    <row r="152" spans="1:8" x14ac:dyDescent="0.35">
      <c r="A152" s="95" t="s">
        <v>72</v>
      </c>
      <c r="B152" s="95"/>
      <c r="C152" s="95"/>
      <c r="D152" s="95"/>
      <c r="E152" s="95"/>
      <c r="F152" s="95"/>
      <c r="G152" s="95"/>
      <c r="H152" s="95"/>
    </row>
    <row r="153" spans="1:8" ht="15.75" customHeight="1" x14ac:dyDescent="0.35">
      <c r="A153" s="159" t="s">
        <v>73</v>
      </c>
      <c r="B153" s="159"/>
      <c r="C153" s="159"/>
      <c r="D153" s="159"/>
      <c r="E153" s="159"/>
      <c r="F153" s="159"/>
      <c r="G153" s="159"/>
      <c r="H153" s="159"/>
    </row>
    <row r="154" spans="1:8" x14ac:dyDescent="0.35">
      <c r="A154" s="95" t="s">
        <v>74</v>
      </c>
      <c r="B154" s="95"/>
      <c r="C154" s="95"/>
      <c r="D154" s="95"/>
      <c r="E154" s="95"/>
      <c r="F154" s="95"/>
      <c r="G154" s="95"/>
      <c r="H154" s="95"/>
    </row>
    <row r="155" spans="1:8" x14ac:dyDescent="0.35">
      <c r="A155" s="95" t="s">
        <v>75</v>
      </c>
      <c r="B155" s="95"/>
      <c r="C155" s="95"/>
      <c r="D155" s="95"/>
      <c r="E155" s="95"/>
      <c r="F155" s="95"/>
      <c r="G155" s="95"/>
      <c r="H155" s="95"/>
    </row>
    <row r="156" spans="1:8" x14ac:dyDescent="0.35">
      <c r="A156" s="95" t="s">
        <v>172</v>
      </c>
      <c r="B156" s="95"/>
      <c r="C156" s="95"/>
      <c r="D156" s="95"/>
      <c r="E156" s="95"/>
      <c r="F156" s="95"/>
      <c r="G156" s="95"/>
      <c r="H156" s="95"/>
    </row>
    <row r="157" spans="1:8" ht="35.25" customHeight="1" x14ac:dyDescent="0.35">
      <c r="A157" s="105" t="s">
        <v>173</v>
      </c>
      <c r="B157" s="105"/>
      <c r="C157" s="105"/>
      <c r="D157" s="105"/>
      <c r="E157" s="105"/>
      <c r="F157" s="105"/>
      <c r="G157" s="105"/>
      <c r="H157" s="105"/>
    </row>
    <row r="158" spans="1:8" x14ac:dyDescent="0.35">
      <c r="A158" s="150" t="s">
        <v>110</v>
      </c>
      <c r="B158" s="150"/>
      <c r="C158" s="150" t="s">
        <v>241</v>
      </c>
      <c r="D158" s="150"/>
      <c r="E158" s="150" t="s">
        <v>145</v>
      </c>
      <c r="F158" s="150"/>
      <c r="G158" s="150" t="s">
        <v>240</v>
      </c>
      <c r="H158" s="150"/>
    </row>
    <row r="159" spans="1:8" x14ac:dyDescent="0.35">
      <c r="A159" s="149" t="s">
        <v>112</v>
      </c>
      <c r="B159" s="149"/>
      <c r="C159" s="149"/>
      <c r="D159" s="149"/>
      <c r="E159" s="149"/>
      <c r="F159" s="149"/>
      <c r="G159" s="149"/>
      <c r="H159" s="149"/>
    </row>
    <row r="160" spans="1:8" x14ac:dyDescent="0.35">
      <c r="A160" s="149"/>
      <c r="B160" s="149"/>
      <c r="C160" s="149"/>
      <c r="D160" s="149"/>
      <c r="E160" s="149"/>
      <c r="F160" s="149"/>
      <c r="G160" s="149"/>
      <c r="H160" s="149"/>
    </row>
    <row r="161" spans="1:8" x14ac:dyDescent="0.35">
      <c r="A161" s="149"/>
      <c r="B161" s="149"/>
      <c r="C161" s="149"/>
      <c r="D161" s="149"/>
      <c r="E161" s="149"/>
      <c r="F161" s="149"/>
      <c r="G161" s="149"/>
      <c r="H161" s="149"/>
    </row>
    <row r="162" spans="1:8" x14ac:dyDescent="0.35">
      <c r="A162" s="149"/>
      <c r="B162" s="149"/>
      <c r="C162" s="149"/>
      <c r="D162" s="149"/>
      <c r="E162" s="149"/>
      <c r="F162" s="149"/>
      <c r="G162" s="149"/>
      <c r="H162" s="149"/>
    </row>
    <row r="163" spans="1:8" x14ac:dyDescent="0.35">
      <c r="A163" s="14" t="s">
        <v>76</v>
      </c>
      <c r="B163" s="15"/>
      <c r="C163" s="15"/>
      <c r="D163" s="14" t="str">
        <f>E8</f>
        <v>Paramount Enclave Phase 02</v>
      </c>
      <c r="F163" s="15"/>
      <c r="G163" s="15"/>
      <c r="H163" s="15"/>
    </row>
    <row r="164" spans="1:8" x14ac:dyDescent="0.35">
      <c r="A164" s="15"/>
      <c r="B164" s="15"/>
      <c r="C164" s="15"/>
      <c r="D164" s="15"/>
      <c r="E164" s="15"/>
      <c r="F164" s="15"/>
      <c r="G164" s="15"/>
      <c r="H164" s="15"/>
    </row>
    <row r="165" spans="1:8" x14ac:dyDescent="0.35">
      <c r="A165" s="15"/>
      <c r="B165" s="15"/>
      <c r="C165" s="15"/>
      <c r="D165" s="15"/>
      <c r="E165" s="15"/>
      <c r="F165" s="15"/>
      <c r="G165" s="15"/>
      <c r="H165" s="15"/>
    </row>
    <row r="166" spans="1:8" ht="15" customHeight="1" x14ac:dyDescent="0.35"/>
    <row r="204" spans="1:1" x14ac:dyDescent="0.35">
      <c r="A204" s="17" t="s">
        <v>77</v>
      </c>
    </row>
  </sheetData>
  <mergeCells count="295">
    <mergeCell ref="A36:B36"/>
    <mergeCell ref="C36:H36"/>
    <mergeCell ref="A54:C54"/>
    <mergeCell ref="D54:H54"/>
    <mergeCell ref="C75:H75"/>
    <mergeCell ref="D53:H53"/>
    <mergeCell ref="A69:B69"/>
    <mergeCell ref="A58:C58"/>
    <mergeCell ref="E39:H39"/>
    <mergeCell ref="A39:D39"/>
    <mergeCell ref="A45:B45"/>
    <mergeCell ref="C45:E45"/>
    <mergeCell ref="G45:H45"/>
    <mergeCell ref="G47:H47"/>
    <mergeCell ref="D51:H51"/>
    <mergeCell ref="C47:E47"/>
    <mergeCell ref="D57:H57"/>
    <mergeCell ref="A65:B65"/>
    <mergeCell ref="A64:B64"/>
    <mergeCell ref="G63:H72"/>
    <mergeCell ref="A71:B71"/>
    <mergeCell ref="A72:B72"/>
    <mergeCell ref="A46:B46"/>
    <mergeCell ref="A50:H50"/>
    <mergeCell ref="A156:H156"/>
    <mergeCell ref="A126:B126"/>
    <mergeCell ref="A153:H153"/>
    <mergeCell ref="A121:B121"/>
    <mergeCell ref="A94:B94"/>
    <mergeCell ref="G111:H111"/>
    <mergeCell ref="A68:B68"/>
    <mergeCell ref="F77:H77"/>
    <mergeCell ref="A74:H74"/>
    <mergeCell ref="A75:B75"/>
    <mergeCell ref="A100:H100"/>
    <mergeCell ref="A112:H112"/>
    <mergeCell ref="A108:B108"/>
    <mergeCell ref="A102:B102"/>
    <mergeCell ref="A103:B103"/>
    <mergeCell ref="A104:B104"/>
    <mergeCell ref="A105:B105"/>
    <mergeCell ref="A106:B106"/>
    <mergeCell ref="A101:H101"/>
    <mergeCell ref="E98:E99"/>
    <mergeCell ref="G98:H99"/>
    <mergeCell ref="A73:E73"/>
    <mergeCell ref="F73:H73"/>
    <mergeCell ref="A159:H162"/>
    <mergeCell ref="A158:B158"/>
    <mergeCell ref="E158:F158"/>
    <mergeCell ref="C158:D158"/>
    <mergeCell ref="G158:H158"/>
    <mergeCell ref="A90:H90"/>
    <mergeCell ref="A88:E88"/>
    <mergeCell ref="F88:H88"/>
    <mergeCell ref="A89:E89"/>
    <mergeCell ref="F89:H89"/>
    <mergeCell ref="A120:H120"/>
    <mergeCell ref="A95:B95"/>
    <mergeCell ref="A130:B130"/>
    <mergeCell ref="A92:B92"/>
    <mergeCell ref="A154:H154"/>
    <mergeCell ref="A93:H93"/>
    <mergeCell ref="A157:H157"/>
    <mergeCell ref="A155:H155"/>
    <mergeCell ref="A141:H141"/>
    <mergeCell ref="A151:H151"/>
    <mergeCell ref="A152:H152"/>
    <mergeCell ref="B98:B99"/>
    <mergeCell ref="A98:A99"/>
    <mergeCell ref="B150:H150"/>
    <mergeCell ref="A107:B107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29:H29"/>
    <mergeCell ref="A30:B30"/>
    <mergeCell ref="A29:B29"/>
    <mergeCell ref="C30:E30"/>
    <mergeCell ref="A31:B31"/>
    <mergeCell ref="C31:E31"/>
    <mergeCell ref="A34:H34"/>
    <mergeCell ref="A33:B33"/>
    <mergeCell ref="C33:E33"/>
    <mergeCell ref="A67:B67"/>
    <mergeCell ref="C61:H61"/>
    <mergeCell ref="A40:D40"/>
    <mergeCell ref="E40:H40"/>
    <mergeCell ref="E41:H41"/>
    <mergeCell ref="E42:H42"/>
    <mergeCell ref="E43:H43"/>
    <mergeCell ref="A66:B66"/>
    <mergeCell ref="E62:F62"/>
    <mergeCell ref="A41:D41"/>
    <mergeCell ref="A42:D42"/>
    <mergeCell ref="A43:D43"/>
    <mergeCell ref="A44:H44"/>
    <mergeCell ref="A53:C53"/>
    <mergeCell ref="G46:H46"/>
    <mergeCell ref="A47:B48"/>
    <mergeCell ref="C48:H48"/>
    <mergeCell ref="A62:B62"/>
    <mergeCell ref="C46:E46"/>
    <mergeCell ref="A49:B49"/>
    <mergeCell ref="C49:E49"/>
    <mergeCell ref="A51:C51"/>
    <mergeCell ref="A38:D38"/>
    <mergeCell ref="E38:H38"/>
    <mergeCell ref="F30:H30"/>
    <mergeCell ref="F31:H31"/>
    <mergeCell ref="A37:H37"/>
    <mergeCell ref="D58:H58"/>
    <mergeCell ref="A63:B63"/>
    <mergeCell ref="G62:H62"/>
    <mergeCell ref="A61:B61"/>
    <mergeCell ref="A59:B59"/>
    <mergeCell ref="C59:H59"/>
    <mergeCell ref="F33:H33"/>
    <mergeCell ref="A35:B35"/>
    <mergeCell ref="E35:F35"/>
    <mergeCell ref="C35:D35"/>
    <mergeCell ref="G35:H35"/>
    <mergeCell ref="A52:C52"/>
    <mergeCell ref="D52:H52"/>
    <mergeCell ref="G49:H49"/>
    <mergeCell ref="A55:C55"/>
    <mergeCell ref="A56:C56"/>
    <mergeCell ref="D55:H55"/>
    <mergeCell ref="D56:H56"/>
    <mergeCell ref="A57:C57"/>
    <mergeCell ref="F79:H79"/>
    <mergeCell ref="A80:E80"/>
    <mergeCell ref="F80:H80"/>
    <mergeCell ref="A81:E81"/>
    <mergeCell ref="F87:H87"/>
    <mergeCell ref="F85:H85"/>
    <mergeCell ref="C94:D94"/>
    <mergeCell ref="E94:F94"/>
    <mergeCell ref="G94:H94"/>
    <mergeCell ref="A83:E83"/>
    <mergeCell ref="A85:E85"/>
    <mergeCell ref="A84:E84"/>
    <mergeCell ref="F84:H84"/>
    <mergeCell ref="F81:H81"/>
    <mergeCell ref="A70:B70"/>
    <mergeCell ref="F78:H78"/>
    <mergeCell ref="A78:E78"/>
    <mergeCell ref="A76:H76"/>
    <mergeCell ref="F86:H86"/>
    <mergeCell ref="A82:E82"/>
    <mergeCell ref="F82:H82"/>
    <mergeCell ref="E63:F72"/>
    <mergeCell ref="D98:D99"/>
    <mergeCell ref="A77:E77"/>
    <mergeCell ref="A97:H97"/>
    <mergeCell ref="G91:H91"/>
    <mergeCell ref="A86:E86"/>
    <mergeCell ref="C92:D92"/>
    <mergeCell ref="E92:F92"/>
    <mergeCell ref="A87:E87"/>
    <mergeCell ref="A79:E79"/>
    <mergeCell ref="G92:H92"/>
    <mergeCell ref="C91:D91"/>
    <mergeCell ref="E91:F91"/>
    <mergeCell ref="A96:H96"/>
    <mergeCell ref="A91:B91"/>
    <mergeCell ref="L107:M107"/>
    <mergeCell ref="L106:M106"/>
    <mergeCell ref="L105:M105"/>
    <mergeCell ref="L104:M104"/>
    <mergeCell ref="L103:M103"/>
    <mergeCell ref="L102:M102"/>
    <mergeCell ref="A129:B129"/>
    <mergeCell ref="F83:H83"/>
    <mergeCell ref="G123:H123"/>
    <mergeCell ref="G125:H125"/>
    <mergeCell ref="A109:B109"/>
    <mergeCell ref="A114:B114"/>
    <mergeCell ref="A115:B115"/>
    <mergeCell ref="A113:H113"/>
    <mergeCell ref="L120:M120"/>
    <mergeCell ref="A110:H110"/>
    <mergeCell ref="C95:D95"/>
    <mergeCell ref="E95:F95"/>
    <mergeCell ref="G95:H95"/>
    <mergeCell ref="C98:C99"/>
    <mergeCell ref="A119:B119"/>
    <mergeCell ref="A125:B125"/>
    <mergeCell ref="A122:B122"/>
    <mergeCell ref="A123:B123"/>
    <mergeCell ref="A133:B133"/>
    <mergeCell ref="L109:M109"/>
    <mergeCell ref="A137:B137"/>
    <mergeCell ref="G137:H137"/>
    <mergeCell ref="G136:H136"/>
    <mergeCell ref="A134:H134"/>
    <mergeCell ref="A135:B135"/>
    <mergeCell ref="A136:B136"/>
    <mergeCell ref="G135:H135"/>
    <mergeCell ref="G129:H129"/>
    <mergeCell ref="G139:H139"/>
    <mergeCell ref="A140:B140"/>
    <mergeCell ref="A138:B138"/>
    <mergeCell ref="G138:H138"/>
    <mergeCell ref="B142:H142"/>
    <mergeCell ref="B143:H143"/>
    <mergeCell ref="B144:H144"/>
    <mergeCell ref="B145:H145"/>
    <mergeCell ref="B146:H146"/>
    <mergeCell ref="G140:H140"/>
    <mergeCell ref="I142:O142"/>
    <mergeCell ref="B149:H149"/>
    <mergeCell ref="G102:H109"/>
    <mergeCell ref="G114:H119"/>
    <mergeCell ref="A132:B132"/>
    <mergeCell ref="A131:B131"/>
    <mergeCell ref="A128:B128"/>
    <mergeCell ref="G130:H130"/>
    <mergeCell ref="G128:H128"/>
    <mergeCell ref="A116:B116"/>
    <mergeCell ref="G121:H122"/>
    <mergeCell ref="G124:H124"/>
    <mergeCell ref="G126:H126"/>
    <mergeCell ref="G132:H132"/>
    <mergeCell ref="G131:H131"/>
    <mergeCell ref="G133:H133"/>
    <mergeCell ref="A127:H127"/>
    <mergeCell ref="A124:B124"/>
    <mergeCell ref="A117:B117"/>
    <mergeCell ref="A118:B118"/>
    <mergeCell ref="L108:M108"/>
    <mergeCell ref="B147:H147"/>
    <mergeCell ref="B148:H148"/>
    <mergeCell ref="A139:B139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&amp;P</oddFooter>
  </headerFooter>
  <rowBreaks count="2" manualBreakCount="2">
    <brk id="162" max="16383" man="1"/>
    <brk id="20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7"/>
  <sheetViews>
    <sheetView topLeftCell="A16" workbookViewId="0">
      <selection activeCell="H38" sqref="H38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79</v>
      </c>
      <c r="C2" s="174"/>
      <c r="D2" s="174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80</v>
      </c>
      <c r="B4" s="5" t="s">
        <v>81</v>
      </c>
      <c r="C4" s="175" t="s">
        <v>82</v>
      </c>
      <c r="D4" s="175"/>
      <c r="E4" s="175"/>
      <c r="F4" s="6"/>
      <c r="G4" s="175" t="s">
        <v>83</v>
      </c>
      <c r="H4" s="175"/>
      <c r="I4" s="175"/>
      <c r="J4" s="175" t="s">
        <v>84</v>
      </c>
      <c r="K4" s="175"/>
      <c r="L4" s="175"/>
    </row>
    <row r="5" spans="1:12" x14ac:dyDescent="0.35">
      <c r="A5" s="3">
        <v>202</v>
      </c>
      <c r="B5" s="5"/>
      <c r="C5" s="5" t="s">
        <v>85</v>
      </c>
      <c r="D5" s="5" t="s">
        <v>86</v>
      </c>
      <c r="E5" s="5" t="s">
        <v>63</v>
      </c>
      <c r="F5" s="5"/>
      <c r="G5" s="5" t="s">
        <v>85</v>
      </c>
      <c r="H5" s="5" t="s">
        <v>86</v>
      </c>
      <c r="I5" s="5" t="s">
        <v>63</v>
      </c>
      <c r="J5" s="5" t="s">
        <v>85</v>
      </c>
      <c r="K5" s="5" t="s">
        <v>86</v>
      </c>
      <c r="L5" s="5" t="s">
        <v>63</v>
      </c>
    </row>
    <row r="6" spans="1:12" x14ac:dyDescent="0.35">
      <c r="B6" s="7" t="s">
        <v>87</v>
      </c>
      <c r="C6" s="7">
        <v>2.74</v>
      </c>
      <c r="D6" s="7">
        <v>3.57</v>
      </c>
      <c r="E6" s="7">
        <f>C6*D6</f>
        <v>9.7818000000000005</v>
      </c>
      <c r="F6" s="7" t="s">
        <v>88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89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90</v>
      </c>
      <c r="C9" s="7">
        <v>2.13</v>
      </c>
      <c r="D9" s="7">
        <v>1.74</v>
      </c>
      <c r="E9" s="7">
        <f t="shared" si="0"/>
        <v>3.7061999999999999</v>
      </c>
      <c r="F9" s="7" t="s">
        <v>88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89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91</v>
      </c>
      <c r="C13" s="7">
        <v>2.74</v>
      </c>
      <c r="D13" s="7">
        <v>2.74</v>
      </c>
      <c r="E13" s="7">
        <f t="shared" si="0"/>
        <v>7.5076000000000009</v>
      </c>
      <c r="F13" s="7" t="s">
        <v>88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89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92</v>
      </c>
      <c r="C17" s="7"/>
      <c r="D17" s="7"/>
      <c r="E17" s="7">
        <f t="shared" si="0"/>
        <v>0</v>
      </c>
      <c r="F17" s="7" t="s">
        <v>88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89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92</v>
      </c>
      <c r="C20" s="7"/>
      <c r="D20" s="7"/>
      <c r="E20" s="7">
        <f t="shared" si="0"/>
        <v>0</v>
      </c>
      <c r="F20" s="7" t="s">
        <v>88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89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93</v>
      </c>
      <c r="C23" s="7">
        <v>1.83</v>
      </c>
      <c r="D23" s="7">
        <v>1.22</v>
      </c>
      <c r="E23" s="7">
        <f t="shared" si="0"/>
        <v>2.2326000000000001</v>
      </c>
      <c r="F23" s="7" t="s">
        <v>94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95</v>
      </c>
      <c r="C24" s="7">
        <v>0.91</v>
      </c>
      <c r="D24" s="7">
        <v>1.22</v>
      </c>
      <c r="E24" s="7">
        <f t="shared" si="0"/>
        <v>1.1102000000000001</v>
      </c>
      <c r="F24" s="7" t="s">
        <v>94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96</v>
      </c>
      <c r="C25" s="7"/>
      <c r="D25" s="7"/>
      <c r="E25" s="7">
        <f t="shared" si="0"/>
        <v>0</v>
      </c>
      <c r="F25" s="7" t="s">
        <v>94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97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98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99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100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64</v>
      </c>
      <c r="C34" s="7"/>
      <c r="D34" s="7">
        <f>E34*10.764</f>
        <v>261.97853759999998</v>
      </c>
      <c r="E34" s="7">
        <f>SUM(E6:E33)</f>
        <v>24.3384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261.97853759999998</v>
      </c>
      <c r="E36">
        <f>E34+I34</f>
        <v>24.3384</v>
      </c>
    </row>
    <row r="37" spans="2:12" x14ac:dyDescent="0.35">
      <c r="H37">
        <f>25+5.17+0.89</f>
        <v>31.060000000000002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4" zoomScale="115" zoomScaleNormal="115" workbookViewId="0">
      <selection activeCell="D10" sqref="D10"/>
    </sheetView>
  </sheetViews>
  <sheetFormatPr defaultColWidth="8.7265625" defaultRowHeight="14.5" x14ac:dyDescent="0.35"/>
  <cols>
    <col min="1" max="1" width="8.7265625" style="25"/>
    <col min="2" max="2" width="22.1796875" style="25" customWidth="1"/>
    <col min="3" max="3" width="37" style="25" customWidth="1"/>
    <col min="4" max="5" width="11.453125" style="25" customWidth="1"/>
    <col min="6" max="6" width="14" style="25" customWidth="1"/>
    <col min="7" max="7" width="20" style="25" customWidth="1"/>
    <col min="8" max="8" width="16.453125" style="25" customWidth="1"/>
    <col min="9" max="16384" width="8.7265625" style="25"/>
  </cols>
  <sheetData>
    <row r="1" spans="1:9" ht="15" customHeight="1" x14ac:dyDescent="0.35"/>
    <row r="2" spans="1:9" ht="15" customHeight="1" x14ac:dyDescent="0.35">
      <c r="A2" s="26"/>
      <c r="B2" s="26"/>
      <c r="C2" s="26"/>
      <c r="D2" s="26"/>
      <c r="E2" s="26"/>
      <c r="F2" s="26"/>
      <c r="G2" s="26"/>
      <c r="H2" s="26"/>
    </row>
    <row r="3" spans="1:9" ht="15.75" customHeight="1" x14ac:dyDescent="0.35">
      <c r="A3" s="26"/>
      <c r="B3" s="176" t="s">
        <v>146</v>
      </c>
      <c r="C3" s="176"/>
      <c r="D3" s="176"/>
      <c r="E3" s="176"/>
      <c r="F3" s="176"/>
      <c r="G3" s="176"/>
      <c r="H3" s="176"/>
    </row>
    <row r="4" spans="1:9" x14ac:dyDescent="0.35">
      <c r="A4" s="26"/>
      <c r="B4" s="27" t="s">
        <v>147</v>
      </c>
      <c r="C4" s="27" t="s">
        <v>148</v>
      </c>
      <c r="D4" s="27" t="s">
        <v>80</v>
      </c>
      <c r="E4" s="27" t="s">
        <v>149</v>
      </c>
      <c r="F4" s="27" t="s">
        <v>156</v>
      </c>
      <c r="G4" s="27" t="s">
        <v>157</v>
      </c>
      <c r="H4" s="27" t="s">
        <v>150</v>
      </c>
    </row>
    <row r="5" spans="1:9" ht="15" customHeight="1" x14ac:dyDescent="0.35">
      <c r="A5" s="26"/>
      <c r="B5" s="29" t="s">
        <v>151</v>
      </c>
      <c r="C5" s="30"/>
      <c r="D5" s="29" t="s">
        <v>152</v>
      </c>
      <c r="E5" s="29">
        <v>1106</v>
      </c>
      <c r="F5" s="31">
        <f>E5*1.6</f>
        <v>1769.6000000000001</v>
      </c>
      <c r="G5" s="31">
        <f>H5/F5</f>
        <v>31532.549728752259</v>
      </c>
      <c r="H5" s="32">
        <v>55800000</v>
      </c>
    </row>
    <row r="6" spans="1:9" x14ac:dyDescent="0.35">
      <c r="A6" s="26"/>
      <c r="B6" s="29" t="s">
        <v>151</v>
      </c>
      <c r="C6" s="33"/>
      <c r="D6" s="29"/>
      <c r="E6" s="29"/>
      <c r="F6" s="31">
        <f t="shared" ref="F6:F11" si="0">E6*1.6</f>
        <v>0</v>
      </c>
      <c r="G6" s="31" t="e">
        <f t="shared" ref="G6:G11" si="1">H6/F6</f>
        <v>#DIV/0!</v>
      </c>
      <c r="H6" s="32"/>
    </row>
    <row r="7" spans="1:9" ht="15" customHeight="1" x14ac:dyDescent="0.35">
      <c r="A7" s="26"/>
      <c r="B7" s="29" t="s">
        <v>151</v>
      </c>
      <c r="C7" s="30"/>
      <c r="D7" s="29"/>
      <c r="E7" s="29"/>
      <c r="F7" s="31">
        <f t="shared" si="0"/>
        <v>0</v>
      </c>
      <c r="G7" s="31" t="e">
        <f t="shared" si="1"/>
        <v>#DIV/0!</v>
      </c>
      <c r="H7" s="32"/>
    </row>
    <row r="8" spans="1:9" x14ac:dyDescent="0.35">
      <c r="A8" s="26"/>
      <c r="B8" s="29" t="s">
        <v>151</v>
      </c>
      <c r="C8" s="33"/>
      <c r="D8" s="29"/>
      <c r="E8" s="29"/>
      <c r="F8" s="31">
        <f t="shared" si="0"/>
        <v>0</v>
      </c>
      <c r="G8" s="31" t="e">
        <f t="shared" si="1"/>
        <v>#DIV/0!</v>
      </c>
      <c r="H8" s="32"/>
    </row>
    <row r="9" spans="1:9" ht="15" customHeight="1" x14ac:dyDescent="0.35">
      <c r="A9" s="26"/>
      <c r="B9" s="29" t="s">
        <v>151</v>
      </c>
      <c r="C9" s="33"/>
      <c r="D9" s="29"/>
      <c r="E9" s="29"/>
      <c r="F9" s="31">
        <f t="shared" si="0"/>
        <v>0</v>
      </c>
      <c r="G9" s="31" t="e">
        <f t="shared" si="1"/>
        <v>#DIV/0!</v>
      </c>
      <c r="H9" s="32"/>
    </row>
    <row r="10" spans="1:9" ht="15" customHeight="1" x14ac:dyDescent="0.35">
      <c r="A10" s="26"/>
      <c r="B10" s="29" t="s">
        <v>153</v>
      </c>
      <c r="C10" s="30"/>
      <c r="D10" s="29"/>
      <c r="E10" s="29"/>
      <c r="F10" s="31">
        <f t="shared" si="0"/>
        <v>0</v>
      </c>
      <c r="G10" s="31" t="e">
        <f t="shared" si="1"/>
        <v>#DIV/0!</v>
      </c>
      <c r="H10" s="32"/>
    </row>
    <row r="11" spans="1:9" ht="15" customHeight="1" x14ac:dyDescent="0.35">
      <c r="A11" s="26"/>
      <c r="B11" s="29" t="s">
        <v>153</v>
      </c>
      <c r="C11" s="30"/>
      <c r="D11" s="29"/>
      <c r="E11" s="29"/>
      <c r="F11" s="31">
        <f t="shared" si="0"/>
        <v>0</v>
      </c>
      <c r="G11" s="31" t="e">
        <f t="shared" si="1"/>
        <v>#DIV/0!</v>
      </c>
      <c r="H11" s="32"/>
    </row>
    <row r="12" spans="1:9" ht="15" customHeight="1" x14ac:dyDescent="0.35">
      <c r="A12" s="26"/>
      <c r="B12" s="34" t="s">
        <v>154</v>
      </c>
      <c r="C12" s="29"/>
      <c r="D12" s="29"/>
      <c r="E12" s="29"/>
      <c r="F12" s="29"/>
      <c r="G12" s="35" t="e">
        <f>AVERAGE(G5:G11)</f>
        <v>#DIV/0!</v>
      </c>
      <c r="H12" s="29"/>
    </row>
    <row r="13" spans="1:9" ht="15" customHeight="1" x14ac:dyDescent="0.35">
      <c r="B13" s="34" t="s">
        <v>155</v>
      </c>
      <c r="C13" s="29"/>
      <c r="D13" s="29"/>
      <c r="E13" s="29"/>
      <c r="F13" s="36"/>
      <c r="G13" s="34"/>
      <c r="H13" s="34"/>
      <c r="I13" s="28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2025-04-04T07:06:47Z</cp:lastPrinted>
  <dcterms:created xsi:type="dcterms:W3CDTF">2019-07-16T09:29:46Z</dcterms:created>
  <dcterms:modified xsi:type="dcterms:W3CDTF">2025-07-15T05:48:16Z</dcterms:modified>
</cp:coreProperties>
</file>