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7" i="1" l="1"/>
  <c r="E185" i="1" l="1"/>
  <c r="E184" i="1"/>
  <c r="E183" i="1"/>
  <c r="E182" i="1"/>
  <c r="E175" i="1"/>
  <c r="E174" i="1"/>
  <c r="E167" i="1"/>
  <c r="E170" i="1"/>
  <c r="E169" i="1"/>
  <c r="E168" i="1"/>
  <c r="E162" i="1"/>
  <c r="E161" i="1"/>
  <c r="E160" i="1"/>
  <c r="E159" i="1"/>
  <c r="G182" i="1" l="1"/>
  <c r="G181" i="1"/>
  <c r="D185" i="1"/>
  <c r="F185" i="1" s="1"/>
  <c r="H185" i="1" s="1"/>
  <c r="D184" i="1"/>
  <c r="F184" i="1" s="1"/>
  <c r="H184" i="1" s="1"/>
  <c r="D183" i="1"/>
  <c r="F183" i="1" s="1"/>
  <c r="H183" i="1" s="1"/>
  <c r="D182" i="1"/>
  <c r="F182" i="1" s="1"/>
  <c r="E181" i="1"/>
  <c r="D181" i="1"/>
  <c r="E180" i="1"/>
  <c r="D180" i="1"/>
  <c r="E178" i="1"/>
  <c r="D178" i="1"/>
  <c r="F178" i="1" s="1"/>
  <c r="H178" i="1" s="1"/>
  <c r="E177" i="1"/>
  <c r="D177" i="1"/>
  <c r="E176" i="1"/>
  <c r="D176" i="1"/>
  <c r="D175" i="1"/>
  <c r="F175" i="1" s="1"/>
  <c r="H175" i="1" s="1"/>
  <c r="D174" i="1"/>
  <c r="F174" i="1" s="1"/>
  <c r="H174" i="1" s="1"/>
  <c r="E173" i="1"/>
  <c r="D173" i="1"/>
  <c r="F173" i="1" s="1"/>
  <c r="H173" i="1" s="1"/>
  <c r="E172" i="1"/>
  <c r="D172" i="1"/>
  <c r="D170" i="1"/>
  <c r="F170" i="1" s="1"/>
  <c r="H170" i="1" s="1"/>
  <c r="D169" i="1"/>
  <c r="F169" i="1" s="1"/>
  <c r="H169" i="1" s="1"/>
  <c r="D168" i="1"/>
  <c r="F168" i="1" s="1"/>
  <c r="H168" i="1" s="1"/>
  <c r="D167" i="1"/>
  <c r="F167" i="1" s="1"/>
  <c r="H167" i="1" s="1"/>
  <c r="E166" i="1"/>
  <c r="D166" i="1"/>
  <c r="E165" i="1"/>
  <c r="D165" i="1"/>
  <c r="E163" i="1"/>
  <c r="D163" i="1"/>
  <c r="D162" i="1"/>
  <c r="F162" i="1" s="1"/>
  <c r="H162" i="1" s="1"/>
  <c r="D161" i="1"/>
  <c r="F161" i="1" s="1"/>
  <c r="H161" i="1" s="1"/>
  <c r="D160" i="1"/>
  <c r="F160" i="1" s="1"/>
  <c r="H160" i="1" s="1"/>
  <c r="D159" i="1"/>
  <c r="F159" i="1" s="1"/>
  <c r="H159" i="1" s="1"/>
  <c r="E158" i="1"/>
  <c r="D158" i="1"/>
  <c r="E157" i="1"/>
  <c r="D157" i="1"/>
  <c r="G155" i="1"/>
  <c r="G154" i="1"/>
  <c r="G153" i="1"/>
  <c r="G152" i="1"/>
  <c r="E155" i="1"/>
  <c r="D155" i="1"/>
  <c r="E154" i="1"/>
  <c r="D154" i="1"/>
  <c r="E153" i="1"/>
  <c r="D153" i="1"/>
  <c r="E152" i="1"/>
  <c r="D152" i="1"/>
  <c r="F152" i="1" s="1"/>
  <c r="H152" i="1" s="1"/>
  <c r="E151" i="1"/>
  <c r="D151" i="1"/>
  <c r="E150" i="1"/>
  <c r="D150" i="1"/>
  <c r="E149" i="1"/>
  <c r="D149" i="1"/>
  <c r="E144" i="1"/>
  <c r="D144" i="1"/>
  <c r="F144" i="1" s="1"/>
  <c r="H144" i="1" s="1"/>
  <c r="E143" i="1"/>
  <c r="D143" i="1"/>
  <c r="F143" i="1" s="1"/>
  <c r="H143" i="1" s="1"/>
  <c r="E142" i="1"/>
  <c r="D142" i="1"/>
  <c r="E141" i="1"/>
  <c r="D141" i="1"/>
  <c r="D136" i="1"/>
  <c r="D135" i="1"/>
  <c r="C117" i="1" s="1"/>
  <c r="D133" i="1"/>
  <c r="F133" i="1" s="1"/>
  <c r="H133" i="1" s="1"/>
  <c r="D132" i="1"/>
  <c r="D131" i="1"/>
  <c r="D130" i="1"/>
  <c r="D129" i="1"/>
  <c r="J128" i="1"/>
  <c r="J180" i="1"/>
  <c r="J175" i="1"/>
  <c r="J172" i="1"/>
  <c r="J167" i="1"/>
  <c r="J163" i="1"/>
  <c r="J160" i="1"/>
  <c r="J141" i="1"/>
  <c r="I180" i="1"/>
  <c r="A180" i="1"/>
  <c r="A181" i="1" s="1"/>
  <c r="A182" i="1" s="1"/>
  <c r="A183" i="1" s="1"/>
  <c r="A184" i="1" s="1"/>
  <c r="A185" i="1" s="1"/>
  <c r="I175" i="1"/>
  <c r="I174" i="1"/>
  <c r="A172" i="1"/>
  <c r="A173" i="1" s="1"/>
  <c r="A174" i="1" s="1"/>
  <c r="A175" i="1" s="1"/>
  <c r="A176" i="1" s="1"/>
  <c r="A177" i="1" s="1"/>
  <c r="A178" i="1" s="1"/>
  <c r="F187" i="1"/>
  <c r="H187" i="1" s="1"/>
  <c r="A188" i="1"/>
  <c r="A189" i="1" s="1"/>
  <c r="A190" i="1" s="1"/>
  <c r="F188" i="1"/>
  <c r="H188" i="1" s="1"/>
  <c r="F189" i="1"/>
  <c r="H189" i="1" s="1"/>
  <c r="F190" i="1"/>
  <c r="H190" i="1" s="1"/>
  <c r="A192" i="1"/>
  <c r="A193" i="1" s="1"/>
  <c r="F192" i="1"/>
  <c r="H192" i="1" s="1"/>
  <c r="F193" i="1"/>
  <c r="H193" i="1" s="1"/>
  <c r="I167" i="1"/>
  <c r="A165" i="1"/>
  <c r="A166" i="1" s="1"/>
  <c r="I152" i="1"/>
  <c r="A149" i="1"/>
  <c r="A150" i="1" s="1"/>
  <c r="A151" i="1" s="1"/>
  <c r="A152" i="1" s="1"/>
  <c r="A153" i="1" s="1"/>
  <c r="A154" i="1" s="1"/>
  <c r="A155" i="1" s="1"/>
  <c r="I143" i="1"/>
  <c r="I141" i="1"/>
  <c r="A141" i="1"/>
  <c r="A142" i="1" s="1"/>
  <c r="A143" i="1" s="1"/>
  <c r="A144" i="1" s="1"/>
  <c r="A145" i="1" s="1"/>
  <c r="A146" i="1" s="1"/>
  <c r="A147" i="1" s="1"/>
  <c r="I135" i="1"/>
  <c r="F136" i="1"/>
  <c r="H136" i="1" s="1"/>
  <c r="A136" i="1"/>
  <c r="I132" i="1"/>
  <c r="I129" i="1"/>
  <c r="E43" i="1"/>
  <c r="F150" i="1" l="1"/>
  <c r="H150" i="1" s="1"/>
  <c r="F154" i="1"/>
  <c r="H154" i="1" s="1"/>
  <c r="F163" i="1"/>
  <c r="H163" i="1" s="1"/>
  <c r="F181" i="1"/>
  <c r="H181" i="1" s="1"/>
  <c r="F141" i="1"/>
  <c r="H141" i="1" s="1"/>
  <c r="F153" i="1"/>
  <c r="H153" i="1" s="1"/>
  <c r="F151" i="1"/>
  <c r="H151" i="1" s="1"/>
  <c r="F158" i="1"/>
  <c r="H158" i="1" s="1"/>
  <c r="F165" i="1"/>
  <c r="H165" i="1" s="1"/>
  <c r="F177" i="1"/>
  <c r="H177" i="1" s="1"/>
  <c r="H182" i="1"/>
  <c r="C121" i="1"/>
  <c r="C122" i="1" s="1"/>
  <c r="F149" i="1"/>
  <c r="H149" i="1" s="1"/>
  <c r="F155" i="1"/>
  <c r="H155" i="1" s="1"/>
  <c r="F172" i="1"/>
  <c r="H172" i="1" s="1"/>
  <c r="F180" i="1"/>
  <c r="H180" i="1" s="1"/>
  <c r="F142" i="1"/>
  <c r="H142" i="1" s="1"/>
  <c r="F157" i="1"/>
  <c r="H157" i="1" s="1"/>
  <c r="F166" i="1"/>
  <c r="H166" i="1" s="1"/>
  <c r="F176" i="1"/>
  <c r="H176" i="1" s="1"/>
  <c r="C116" i="1"/>
  <c r="C118" i="1" s="1"/>
  <c r="F135" i="1"/>
  <c r="B217" i="1"/>
  <c r="A158" i="1"/>
  <c r="G121" i="1" l="1"/>
  <c r="G122" i="1" s="1"/>
  <c r="E121" i="1"/>
  <c r="E122" i="1" s="1"/>
  <c r="H135" i="1"/>
  <c r="G117" i="1" s="1"/>
  <c r="E117" i="1"/>
  <c r="F130" i="1"/>
  <c r="H130" i="1" s="1"/>
  <c r="F131" i="1"/>
  <c r="H131" i="1" s="1"/>
  <c r="F132" i="1"/>
  <c r="H132" i="1" s="1"/>
  <c r="F129" i="1"/>
  <c r="A159" i="1"/>
  <c r="H129" i="1" l="1"/>
  <c r="G116" i="1" s="1"/>
  <c r="G118" i="1" s="1"/>
  <c r="E116" i="1"/>
  <c r="E118" i="1" s="1"/>
  <c r="G58" i="1"/>
  <c r="C58" i="1"/>
  <c r="G56" i="1"/>
  <c r="C56" i="1"/>
  <c r="C54" i="1"/>
  <c r="S33" i="1" l="1"/>
  <c r="F11" i="5" l="1"/>
  <c r="G11" i="5" s="1"/>
  <c r="G10" i="5"/>
  <c r="F10" i="5"/>
  <c r="F9" i="5"/>
  <c r="G9" i="5" s="1"/>
  <c r="G8" i="5"/>
  <c r="F8" i="5"/>
  <c r="F7" i="5"/>
  <c r="G7" i="5" s="1"/>
  <c r="F6" i="5"/>
  <c r="G6" i="5" s="1"/>
  <c r="F5" i="5"/>
  <c r="G5" i="5" s="1"/>
  <c r="G12" i="5" s="1"/>
  <c r="D238" i="1"/>
  <c r="B218" i="1"/>
  <c r="F214" i="1"/>
  <c r="H214" i="1" s="1"/>
  <c r="F213" i="1"/>
  <c r="H213" i="1" s="1"/>
  <c r="F212" i="1"/>
  <c r="H212" i="1" s="1"/>
  <c r="F211" i="1"/>
  <c r="H211" i="1" s="1"/>
  <c r="F210" i="1"/>
  <c r="H210" i="1" s="1"/>
  <c r="F208" i="1"/>
  <c r="H208" i="1" s="1"/>
  <c r="F207" i="1"/>
  <c r="H207" i="1" s="1"/>
  <c r="F206" i="1"/>
  <c r="H206" i="1" s="1"/>
  <c r="F205" i="1"/>
  <c r="H205" i="1" s="1"/>
  <c r="F204" i="1"/>
  <c r="H204" i="1" s="1"/>
  <c r="F202" i="1"/>
  <c r="H202" i="1" s="1"/>
  <c r="F201" i="1"/>
  <c r="H201" i="1" s="1"/>
  <c r="F200" i="1"/>
  <c r="H200" i="1" s="1"/>
  <c r="F199" i="1"/>
  <c r="H199" i="1" s="1"/>
  <c r="F198" i="1"/>
  <c r="H198" i="1" s="1"/>
  <c r="F196" i="1"/>
  <c r="H196" i="1" s="1"/>
  <c r="F195" i="1"/>
  <c r="H195" i="1" s="1"/>
  <c r="F194" i="1"/>
  <c r="H194" i="1" s="1"/>
  <c r="A194" i="1"/>
  <c r="A195" i="1" s="1"/>
  <c r="A196" i="1" s="1"/>
  <c r="A130" i="1"/>
  <c r="A131" i="1" s="1"/>
  <c r="A132" i="1" s="1"/>
  <c r="A133" i="1" s="1"/>
  <c r="G123" i="1"/>
  <c r="E123" i="1"/>
  <c r="C123" i="1"/>
  <c r="F113" i="1"/>
  <c r="C87" i="1"/>
  <c r="C73" i="1"/>
  <c r="D62" i="1"/>
  <c r="C51" i="1"/>
  <c r="C52" i="1" s="1"/>
  <c r="E44" i="1"/>
  <c r="E45" i="1" s="1"/>
  <c r="E31" i="1"/>
  <c r="E28" i="1"/>
  <c r="E26" i="1"/>
  <c r="C16" i="1"/>
  <c r="I15" i="1"/>
  <c r="Z13" i="1"/>
  <c r="E3" i="1"/>
  <c r="A204" i="1"/>
  <c r="H74" i="1"/>
  <c r="A198" i="1"/>
  <c r="A210" i="1"/>
  <c r="H88" i="1"/>
  <c r="J73" i="1" l="1"/>
  <c r="J75" i="1" s="1"/>
  <c r="J76" i="1"/>
  <c r="J77" i="1"/>
  <c r="J78" i="1"/>
  <c r="C77" i="1" s="1"/>
  <c r="J92" i="1"/>
  <c r="E91" i="1"/>
  <c r="D96" i="1"/>
  <c r="D98" i="1"/>
  <c r="D92" i="1"/>
  <c r="J91" i="1"/>
  <c r="D97" i="1"/>
  <c r="J87" i="1"/>
  <c r="J89" i="1" s="1"/>
  <c r="D95" i="1"/>
  <c r="J90" i="1"/>
  <c r="D94" i="1"/>
  <c r="D100" i="1"/>
  <c r="D99" i="1"/>
  <c r="D93" i="1"/>
  <c r="D81" i="1"/>
  <c r="D83" i="1"/>
  <c r="D82" i="1"/>
  <c r="D86" i="1"/>
  <c r="D80" i="1"/>
  <c r="D85" i="1"/>
  <c r="D79" i="1"/>
  <c r="D84" i="1"/>
  <c r="B88" i="1"/>
  <c r="B74" i="1"/>
  <c r="J79" i="1" s="1"/>
  <c r="A211" i="1"/>
  <c r="A199" i="1"/>
  <c r="A205" i="1"/>
  <c r="D91" i="1" l="1"/>
  <c r="I88" i="1" s="1"/>
  <c r="I89" i="1" s="1"/>
  <c r="D77" i="1"/>
  <c r="J98" i="1"/>
  <c r="J95" i="1"/>
  <c r="J97" i="1"/>
  <c r="J96" i="1"/>
  <c r="J93" i="1"/>
  <c r="J94" i="1" s="1"/>
  <c r="J83" i="1"/>
  <c r="J81" i="1"/>
  <c r="J82" i="1"/>
  <c r="J80" i="1"/>
  <c r="J85" i="1" s="1"/>
  <c r="J86" i="1" s="1"/>
  <c r="C78" i="1" s="1"/>
  <c r="J84" i="1"/>
  <c r="A200" i="1"/>
  <c r="A212" i="1"/>
  <c r="A206" i="1"/>
  <c r="G91" i="1" l="1"/>
  <c r="J74" i="1"/>
  <c r="J99" i="1"/>
  <c r="J100" i="1" s="1"/>
  <c r="J88" i="1" s="1"/>
  <c r="I87" i="1" s="1"/>
  <c r="C89" i="1" s="1"/>
  <c r="E77" i="1"/>
  <c r="D78" i="1"/>
  <c r="I74" i="1" s="1"/>
  <c r="G77" i="1"/>
  <c r="D71" i="1" s="1"/>
  <c r="A213" i="1"/>
  <c r="A207" i="1"/>
  <c r="A201" i="1"/>
  <c r="F72" i="1" l="1"/>
  <c r="D72" i="1"/>
  <c r="I75" i="1"/>
  <c r="I73" i="1" s="1"/>
  <c r="C75" i="1" s="1"/>
  <c r="A214" i="1"/>
  <c r="A208" i="1"/>
  <c r="A20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<sst xmlns="http://schemas.openxmlformats.org/spreadsheetml/2006/main" count="618" uniqueCount="367">
  <si>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</si>
  <si>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</si>
  <si>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</si>
  <si>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</si>
  <si>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</si>
  <si>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</si>
  <si>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</si>
  <si>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</si>
  <si>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</si>
  <si>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</si>
  <si>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</si>
  <si>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</si>
  <si>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</si>
  <si>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</si>
  <si>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</si>
  <si>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</si>
  <si>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</si>
  <si>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</si>
  <si>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</si>
  <si>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</si>
  <si>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</si>
  <si>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</si>
  <si>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</si>
  <si>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</si>
  <si>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</si>
  <si>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</si>
  <si>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</si>
  <si>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</si>
  <si>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</si>
  <si>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</si>
  <si>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</si>
  <si>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</si>
  <si>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</si>
  <si>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</si>
  <si>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</si>
  <si>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</si>
  <si>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</si>
  <si>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</si>
  <si>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</si>
  <si>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</si>
  <si>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</si>
  <si>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</si>
  <si>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</si>
  <si>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</si>
  <si>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</si>
  <si>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</si>
  <si>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</si>
  <si>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</si>
  <si>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</si>
  <si>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</si>
  <si>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</si>
  <si>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</si>
  <si>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</si>
  <si>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</si>
  <si>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</si>
  <si>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</si>
  <si>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</si>
  <si>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</si>
  <si>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</si>
  <si>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</si>
  <si>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</si>
  <si>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</si>
  <si>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</si>
  <si>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</si>
  <si>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</si>
  <si>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</si>
  <si>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</si>
  <si>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</si>
  <si>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</si>
  <si>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</si>
  <si>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</si>
  <si>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</si>
  <si>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</si>
  <si>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</si>
  <si>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</si>
  <si>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</si>
  <si>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</si>
  <si>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</si>
  <si>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</si>
  <si>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</si>
  <si>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</si>
  <si>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</si>
  <si>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</si>
  <si>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</si>
  <si>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</si>
  <si>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</si>
  <si>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</si>
  <si>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</si>
  <si>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</si>
  <si>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</si>
  <si>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</si>
  <si>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</si>
  <si>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</si>
  <si>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</si>
  <si>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</si>
  <si>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</si>
  <si>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</si>
  <si>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</si>
  <si>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</si>
  <si>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</si>
  <si>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</si>
  <si>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</si>
  <si>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</si>
  <si>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</si>
  <si>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</si>
  <si>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</si>
  <si>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</si>
  <si>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</si>
  <si>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</si>
  <si>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</si>
  <si>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</si>
  <si>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</si>
  <si>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</si>
  <si>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</si>
  <si>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</si>
  <si>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</si>
  <si>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</si>
  <si>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</si>
  <si>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</si>
  <si>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</si>
  <si>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</si>
  <si>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</si>
  <si>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</si>
  <si>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</si>
  <si>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</si>
  <si>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</si>
  <si>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</si>
  <si>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</si>
  <si>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</si>
  <si>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</si>
  <si>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</si>
  <si>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</si>
  <si>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</si>
  <si>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</si>
  <si>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</si>
  <si>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</si>
  <si>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</si>
  <si>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</si>
  <si>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</si>
  <si>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</si>
  <si>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</si>
  <si>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</si>
  <si>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</si>
  <si>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</si>
  <si>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</si>
  <si>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</si>
  <si>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</si>
  <si>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</si>
  <si>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</si>
  <si>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</si>
  <si>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</si>
  <si>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</si>
  <si>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</si>
  <si>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</si>
  <si>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</si>
  <si>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</si>
  <si>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</si>
  <si>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</si>
  <si>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</si>
  <si>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</si>
  <si>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</si>
  <si>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</si>
  <si>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</si>
  <si>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</si>
  <si>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</si>
  <si>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</si>
  <si>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</si>
  <si>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</si>
  <si>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</si>
  <si>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</si>
  <si>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</si>
  <si>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</si>
  <si>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</si>
  <si>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</si>
  <si>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</si>
  <si>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</si>
  <si>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</si>
  <si>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</si>
  <si>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</si>
  <si>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</si>
  <si>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</si>
  <si>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</si>
  <si>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</si>
  <si>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</si>
  <si>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</si>
  <si>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</si>
  <si>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</si>
  <si>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</si>
  <si>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</si>
  <si>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</si>
  <si>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</si>
  <si>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</si>
  <si>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</si>
  <si>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</si>
  <si>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</si>
  <si>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</si>
  <si>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</si>
  <si>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</si>
  <si>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</si>
  <si>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</si>
  <si>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</si>
  <si>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</si>
  <si>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</si>
  <si>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</si>
  <si>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</si>
  <si>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</si>
  <si>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</si>
  <si>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</si>
  <si>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</si>
  <si>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</si>
  <si>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</si>
  <si>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</si>
  <si>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</si>
  <si>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</si>
  <si>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</si>
  <si>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</si>
  <si>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</si>
  <si>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</si>
  <si>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</si>
  <si>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</si>
  <si>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</si>
  <si>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</si>
  <si>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</si>
  <si>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</si>
  <si>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</si>
  <si>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</si>
  <si>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</si>
  <si>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</si>
  <si>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</si>
  <si>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</si>
  <si>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</si>
  <si>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</si>
  <si>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</si>
  <si>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</si>
  <si>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</si>
  <si>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</si>
  <si>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</si>
  <si>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</si>
  <si>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</si>
  <si>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</si>
  <si>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</si>
  <si>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</si>
  <si>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</si>
  <si>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</si>
  <si>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</si>
  <si>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</si>
  <si>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</si>
  <si>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</si>
  <si>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</si>
  <si>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</si>
  <si>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</si>
  <si>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</si>
  <si>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</si>
  <si>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</si>
  <si>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</si>
  <si>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</si>
  <si>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</si>
  <si>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</si>
  <si>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</si>
  <si>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</si>
  <si>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</si>
  <si>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</si>
  <si>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</si>
  <si>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</si>
  <si>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</si>
  <si>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</si>
  <si>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</si>
  <si>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</si>
  <si>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</si>
  <si>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</si>
  <si>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</si>
  <si>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</si>
  <si>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</si>
  <si>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</si>
  <si>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</si>
  <si>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</si>
  <si>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</si>
  <si>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</si>
  <si>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</si>
  <si>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</si>
  <si>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</si>
  <si>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</si>
  <si>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</si>
  <si>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</si>
  <si>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</si>
  <si>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</si>
  <si>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</si>
  <si>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</si>
  <si>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</si>
  <si>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</si>
  <si>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</si>
  <si>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</si>
  <si>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</si>
  <si>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</si>
  <si>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</si>
  <si>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</si>
  <si>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</si>
  <si>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</si>
  <si>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</si>
  <si>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</si>
  <si>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</si>
  <si>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</si>
  <si>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P52000051367</t>
  </si>
  <si>
    <t xml:space="preserve">Suraj Pandharinath Keni </t>
  </si>
  <si>
    <t>Name of the builder</t>
  </si>
  <si>
    <t>Parshuputra Group</t>
  </si>
  <si>
    <t>Parshu Heritage</t>
  </si>
  <si>
    <t xml:space="preserve">Mr. Suraj Keni 7021124492
</t>
  </si>
  <si>
    <t>Plot No</t>
  </si>
  <si>
    <t>Pushpak</t>
  </si>
  <si>
    <t>Vadghar</t>
  </si>
  <si>
    <t>CIDCO/BP-18148/TPO(NM &amp; K)/2022/11484</t>
  </si>
  <si>
    <t>G + 1st to 7th Floor (Total Builtup Area = 2269.10 Sq.mtrs.)</t>
  </si>
  <si>
    <t xml:space="preserve">G + 1st to 7th Floor
</t>
  </si>
  <si>
    <t>G + 1st to 7th Floor</t>
  </si>
  <si>
    <t>Shop</t>
  </si>
  <si>
    <t>Ground Floor For Commercial, Parking &amp; Lobby</t>
  </si>
  <si>
    <t>1st Floor For Commercial &amp; Residential</t>
  </si>
  <si>
    <t>Office</t>
  </si>
  <si>
    <t>1st Floor For Residential, Commercial, Society Office &amp; Drivers Room</t>
  </si>
  <si>
    <t>Commercial</t>
  </si>
  <si>
    <t>Society Office/ Drivers Room</t>
  </si>
  <si>
    <t>1BHK</t>
  </si>
  <si>
    <t>1RK</t>
  </si>
  <si>
    <t>MP Room</t>
  </si>
  <si>
    <t>2nd Floor For Residential</t>
  </si>
  <si>
    <t>3rd &amp; 4th Floor</t>
  </si>
  <si>
    <t>301 &amp; 401</t>
  </si>
  <si>
    <t>304 &amp; 404</t>
  </si>
  <si>
    <t>305 &amp; 405</t>
  </si>
  <si>
    <t>306 &amp; 406</t>
  </si>
  <si>
    <t>307 &amp; 407</t>
  </si>
  <si>
    <t>5th Floor For Residential</t>
  </si>
  <si>
    <t>2BHK</t>
  </si>
  <si>
    <t>6th Floor</t>
  </si>
  <si>
    <t>Shops</t>
  </si>
  <si>
    <t>Offices</t>
  </si>
  <si>
    <t>Flats</t>
  </si>
  <si>
    <t>Vandana Liberty</t>
  </si>
  <si>
    <t>Internal Road</t>
  </si>
  <si>
    <t>4 KM from Panvel Railway Station</t>
  </si>
  <si>
    <t>Panvel West</t>
  </si>
  <si>
    <t>Plot No. 75 &amp; 76</t>
  </si>
  <si>
    <t>Plot No. 69</t>
  </si>
  <si>
    <t>Plot No. 71</t>
  </si>
  <si>
    <t>20 M W Road</t>
  </si>
  <si>
    <t>Other Building</t>
  </si>
  <si>
    <t>18.9827007, 73.0926224</t>
  </si>
  <si>
    <t>https://maps.app.goo.gl/m9Aqxm3Xm4iaGRQr9</t>
  </si>
  <si>
    <t xml:space="preserve">Vitrified tiles flooring, Granite Kitchen Platform, Decorative Entrance, Landscaping &amp; Garden, etc.
</t>
  </si>
  <si>
    <t>Mr. Roshal 9619372306</t>
  </si>
  <si>
    <t>70 &amp; Sector No.R2</t>
  </si>
  <si>
    <t>Approved Plans, CC, Cost Sheet</t>
  </si>
  <si>
    <r>
      <t xml:space="preserve">Proposed Amenities :                                                                                                                                                                                                                         </t>
    </r>
    <r>
      <rPr>
        <b/>
        <sz val="12"/>
        <rFont val="Times New Roman"/>
        <family val="1"/>
      </rPr>
      <t xml:space="preserve">                                               </t>
    </r>
  </si>
  <si>
    <t>Balcony Area + Chajja Area</t>
  </si>
  <si>
    <t>7th Floor</t>
  </si>
  <si>
    <t>We considered Gross carpet area = Net carpet + Balcony + Chajja Area.</t>
  </si>
  <si>
    <t>Flats - 44, Shops -5, Offices -2</t>
  </si>
  <si>
    <r>
      <t xml:space="preserve">Flat No.
</t>
    </r>
    <r>
      <rPr>
        <b/>
        <sz val="11"/>
        <rFont val="Times New Roman"/>
        <family val="1"/>
      </rPr>
      <t>(Approved Plan)</t>
    </r>
  </si>
  <si>
    <r>
      <t xml:space="preserve">Shop No.
</t>
    </r>
    <r>
      <rPr>
        <b/>
        <sz val="11"/>
        <rFont val="Times New Roman"/>
        <family val="1"/>
      </rPr>
      <t>(Approved Plan)</t>
    </r>
  </si>
  <si>
    <t>Approved Sign is not Visible in my PC but visibl in sachin sir pc</t>
  </si>
  <si>
    <t>rate 6100 by smith  Verbal     06/01/2025</t>
  </si>
  <si>
    <t>Recommended Rates of the Property have been revised on 06/01/2025.</t>
  </si>
  <si>
    <t>Pooja Kawale</t>
  </si>
  <si>
    <t>Mayur Ranvare</t>
  </si>
  <si>
    <t>Completed</t>
  </si>
  <si>
    <t>All work Completed. Please provide 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</si>
</sst>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 numFmtId="169" formatCode="0.0000"/>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5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4" fillId="0" borderId="1" xfId="1" applyFont="1" applyBorder="1" applyAlignment="1" applyProtection="1">
      <alignment horizontal="center" vertical="top"/>
      <protection locked="0"/>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6"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4" fillId="0" borderId="1" xfId="1" applyNumberFormat="1" applyFont="1" applyBorder="1" applyAlignment="1" applyProtection="1">
      <alignment horizontal="center" vertical="top"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68" fontId="6" fillId="0" borderId="0" xfId="1" applyNumberFormat="1" applyFont="1" applyAlignment="1">
      <alignment horizontal="center" vertical="center"/>
    </xf>
    <xf numFmtId="169" fontId="6" fillId="0" borderId="0" xfId="1" applyNumberFormat="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1" fillId="0" borderId="0" xfId="1" applyNumberFormat="1" applyFont="1" applyAlignment="1">
      <alignment horizontal="center" vertical="center"/>
    </xf>
    <xf numFmtId="0" fontId="11" fillId="0" borderId="0" xfId="1" applyFont="1" applyAlignment="1">
      <alignment horizontal="center" vertical="center"/>
    </xf>
    <xf numFmtId="9" fontId="12" fillId="0" borderId="16" xfId="8" applyFont="1" applyFill="1" applyBorder="1" applyAlignment="1" applyProtection="1">
      <alignment horizontal="center" vertical="top" wrapText="1"/>
      <protection locked="0"/>
    </xf>
    <xf numFmtId="0" fontId="11" fillId="0" borderId="0" xfId="0"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22" fillId="2" borderId="15" xfId="0" applyFont="1" applyFill="1" applyBorder="1"/>
    <xf numFmtId="0" fontId="23" fillId="0" borderId="9" xfId="0" applyFont="1" applyBorder="1"/>
    <xf numFmtId="0" fontId="6" fillId="0" borderId="25" xfId="1" applyFont="1" applyBorder="1" applyAlignment="1">
      <alignment horizontal="left" vertical="top" wrapText="1"/>
    </xf>
    <xf numFmtId="0" fontId="6" fillId="0" borderId="0" xfId="1" applyFont="1" applyAlignment="1">
      <alignment horizontal="left" vertical="top" wrapText="1"/>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5" fillId="0" borderId="1"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5" fillId="0" borderId="21"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9" fillId="0" borderId="33" xfId="0" applyNumberFormat="1" applyFont="1" applyBorder="1" applyAlignment="1" applyProtection="1">
      <alignment horizontal="center"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24" fillId="0" borderId="1" xfId="10"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1" fontId="11"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8" xfId="1" applyFont="1" applyFill="1" applyBorder="1" applyAlignment="1" applyProtection="1">
      <alignment horizontal="center" vertical="top"/>
      <protection locked="0"/>
    </xf>
    <xf numFmtId="0" fontId="11" fillId="0" borderId="21" xfId="1" applyFont="1" applyFill="1" applyBorder="1" applyAlignment="1" applyProtection="1">
      <alignment horizontal="center" vertical="top"/>
      <protection locked="0"/>
    </xf>
    <xf numFmtId="0" fontId="11" fillId="0" borderId="9" xfId="1" applyFont="1" applyFill="1" applyBorder="1" applyAlignment="1" applyProtection="1">
      <alignment horizontal="center" vertical="top"/>
      <protection locked="0"/>
    </xf>
    <xf numFmtId="0" fontId="11"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1" fillId="0" borderId="1" xfId="1" applyFont="1" applyFill="1" applyBorder="1" applyAlignment="1" applyProtection="1">
      <alignment horizontal="lef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5"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14" fontId="11" fillId="0" borderId="8"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280147</xdr:colOff>
      <xdr:row>324</xdr:row>
      <xdr:rowOff>123265</xdr:rowOff>
    </xdr:from>
    <xdr:to>
      <xdr:col>7</xdr:col>
      <xdr:colOff>474433</xdr:colOff>
      <xdr:row>340</xdr:row>
      <xdr:rowOff>184870</xdr:rowOff>
    </xdr:to>
    <xdr:pic>
      <xdr:nvPicPr>
        <xdr:cNvPr id="4" name="Picture 3"/>
        <xdr:cNvPicPr>
          <a:picLocks noChangeAspect="1"/>
        </xdr:cNvPicPr>
      </xdr:nvPicPr>
      <xdr:blipFill>
        <a:blip xmlns:r="http://schemas.openxmlformats.org/officeDocument/2006/relationships" r:embed="rId1"/>
        <a:stretch>
          <a:fillRect/>
        </a:stretch>
      </xdr:blipFill>
      <xdr:spPr>
        <a:xfrm>
          <a:off x="280147" y="61576324"/>
          <a:ext cx="5774815" cy="3288899"/>
        </a:xfrm>
        <a:prstGeom prst="rect">
          <a:avLst/>
        </a:prstGeom>
        <a:ln>
          <a:solidFill>
            <a:schemeClr val="tx1"/>
          </a:solidFill>
        </a:ln>
      </xdr:spPr>
    </xdr:pic>
    <xdr:clientData/>
  </xdr:twoCellAnchor>
  <xdr:twoCellAnchor editAs="oneCell">
    <xdr:from>
      <xdr:col>1</xdr:col>
      <xdr:colOff>405944</xdr:colOff>
      <xdr:row>341</xdr:row>
      <xdr:rowOff>146617</xdr:rowOff>
    </xdr:from>
    <xdr:to>
      <xdr:col>6</xdr:col>
      <xdr:colOff>222856</xdr:colOff>
      <xdr:row>361</xdr:row>
      <xdr:rowOff>72500</xdr:rowOff>
    </xdr:to>
    <xdr:pic>
      <xdr:nvPicPr>
        <xdr:cNvPr id="5" name="Picture 4"/>
        <xdr:cNvPicPr>
          <a:picLocks noChangeAspect="1"/>
        </xdr:cNvPicPr>
      </xdr:nvPicPr>
      <xdr:blipFill>
        <a:blip xmlns:r="http://schemas.openxmlformats.org/officeDocument/2006/relationships" r:embed="rId2"/>
        <a:stretch>
          <a:fillRect/>
        </a:stretch>
      </xdr:blipFill>
      <xdr:spPr>
        <a:xfrm>
          <a:off x="1167944" y="65028676"/>
          <a:ext cx="3907059" cy="3960000"/>
        </a:xfrm>
        <a:prstGeom prst="rect">
          <a:avLst/>
        </a:prstGeom>
        <a:ln>
          <a:solidFill>
            <a:schemeClr val="tx1"/>
          </a:solidFill>
        </a:ln>
      </xdr:spPr>
    </xdr:pic>
    <xdr:clientData/>
  </xdr:twoCellAnchor>
  <xdr:twoCellAnchor>
    <xdr:from>
      <xdr:col>2</xdr:col>
      <xdr:colOff>610413</xdr:colOff>
      <xdr:row>347</xdr:row>
      <xdr:rowOff>56670</xdr:rowOff>
    </xdr:from>
    <xdr:to>
      <xdr:col>3</xdr:col>
      <xdr:colOff>610413</xdr:colOff>
      <xdr:row>353</xdr:row>
      <xdr:rowOff>157787</xdr:rowOff>
    </xdr:to>
    <xdr:sp macro="" textlink="">
      <xdr:nvSpPr>
        <xdr:cNvPr id="6" name="Rectangle 5"/>
        <xdr:cNvSpPr/>
      </xdr:nvSpPr>
      <xdr:spPr>
        <a:xfrm rot="825516">
          <a:off x="2168031" y="66148964"/>
          <a:ext cx="851647" cy="1311352"/>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2</xdr:col>
      <xdr:colOff>206500</xdr:colOff>
      <xdr:row>281</xdr:row>
      <xdr:rowOff>56028</xdr:rowOff>
    </xdr:from>
    <xdr:to>
      <xdr:col>5</xdr:col>
      <xdr:colOff>28546</xdr:colOff>
      <xdr:row>300</xdr:row>
      <xdr:rowOff>183616</xdr:rowOff>
    </xdr:to>
    <xdr:pic>
      <xdr:nvPicPr>
        <xdr:cNvPr id="7" name="Picture 6"/>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764118" y="52634028"/>
          <a:ext cx="2376987" cy="3960000"/>
        </a:xfrm>
        <a:prstGeom prst="rect">
          <a:avLst/>
        </a:prstGeom>
        <a:ln>
          <a:solidFill>
            <a:schemeClr val="tx1"/>
          </a:solidFill>
        </a:ln>
      </xdr:spPr>
    </xdr:pic>
    <xdr:clientData/>
  </xdr:twoCellAnchor>
  <xdr:twoCellAnchor editAs="oneCell">
    <xdr:from>
      <xdr:col>1</xdr:col>
      <xdr:colOff>773206</xdr:colOff>
      <xdr:row>301</xdr:row>
      <xdr:rowOff>111543</xdr:rowOff>
    </xdr:from>
    <xdr:to>
      <xdr:col>5</xdr:col>
      <xdr:colOff>397206</xdr:colOff>
      <xdr:row>321</xdr:row>
      <xdr:rowOff>19051</xdr:rowOff>
    </xdr:to>
    <xdr:pic>
      <xdr:nvPicPr>
        <xdr:cNvPr id="8" name="Picture 7"/>
        <xdr:cNvPicPr>
          <a:picLocks noChangeAspect="1"/>
        </xdr:cNvPicPr>
      </xdr:nvPicPr>
      <xdr:blipFill>
        <a:blip xmlns:r="http://schemas.openxmlformats.org/officeDocument/2006/relationships" r:embed="rId4"/>
        <a:stretch>
          <a:fillRect/>
        </a:stretch>
      </xdr:blipFill>
      <xdr:spPr>
        <a:xfrm>
          <a:off x="1573306" y="52454593"/>
          <a:ext cx="3129200" cy="3844508"/>
        </a:xfrm>
        <a:prstGeom prst="rect">
          <a:avLst/>
        </a:prstGeom>
        <a:ln>
          <a:solidFill>
            <a:schemeClr val="tx1"/>
          </a:solidFill>
        </a:ln>
      </xdr:spPr>
    </xdr:pic>
    <xdr:clientData/>
  </xdr:twoCellAnchor>
  <xdr:twoCellAnchor>
    <xdr:from>
      <xdr:col>0</xdr:col>
      <xdr:colOff>635000</xdr:colOff>
      <xdr:row>238</xdr:row>
      <xdr:rowOff>127000</xdr:rowOff>
    </xdr:from>
    <xdr:to>
      <xdr:col>7</xdr:col>
      <xdr:colOff>132205</xdr:colOff>
      <xdr:row>273</xdr:row>
      <xdr:rowOff>177496</xdr:rowOff>
    </xdr:to>
    <xdr:grpSp>
      <xdr:nvGrpSpPr>
        <xdr:cNvPr id="2" name="Group 1"/>
        <xdr:cNvGrpSpPr/>
      </xdr:nvGrpSpPr>
      <xdr:grpSpPr>
        <a:xfrm>
          <a:off x="635000" y="39458900"/>
          <a:ext cx="5351905" cy="6933896"/>
          <a:chOff x="635000" y="39458900"/>
          <a:chExt cx="5351905" cy="6933896"/>
        </a:xfrm>
      </xdr:grpSpPr>
      <xdr:pic>
        <xdr:nvPicPr>
          <xdr:cNvPr id="13" name="Picture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243011" y="44232796"/>
            <a:ext cx="1625063" cy="216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280589" y="41870900"/>
            <a:ext cx="1706315" cy="2268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708621" y="44232796"/>
            <a:ext cx="1625063" cy="21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479191" y="44232796"/>
            <a:ext cx="1618313" cy="216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35000" y="39458900"/>
            <a:ext cx="3520970" cy="4680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280590" y="39458900"/>
            <a:ext cx="1706315" cy="2268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9Aqxm3Xm4iaGRQr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4"/>
  <sheetViews>
    <sheetView tabSelected="1" view="pageBreakPreview" zoomScaleNormal="100" zoomScaleSheetLayoutView="100" zoomScalePageLayoutView="85" workbookViewId="0">
      <selection activeCell="E12" sqref="E12:H12"/>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178" t="s">
        <v>165</v>
      </c>
      <c r="B1" s="178"/>
      <c r="C1" s="178"/>
      <c r="D1" s="178"/>
      <c r="E1" s="178"/>
      <c r="F1" s="178"/>
      <c r="G1" s="178"/>
      <c r="H1" s="178"/>
    </row>
    <row r="2" spans="1:26" ht="16.5" customHeight="1" x14ac:dyDescent="0.35">
      <c r="A2" s="179" t="s">
        <v>0</v>
      </c>
      <c r="B2" s="179"/>
      <c r="C2" s="179"/>
      <c r="D2" s="179"/>
      <c r="E2" s="179"/>
      <c r="F2" s="179"/>
      <c r="G2" s="179"/>
      <c r="H2" s="179"/>
    </row>
    <row r="3" spans="1:26" x14ac:dyDescent="0.35">
      <c r="A3" s="141" t="s">
        <v>1</v>
      </c>
      <c r="B3" s="141"/>
      <c r="C3" s="141"/>
      <c r="D3" s="141"/>
      <c r="E3" s="141" t="str">
        <f ca="1">TEXT(TODAY(),"DD/MM/YYYY")</f>
        <v>12/07/2025</v>
      </c>
      <c r="F3" s="141"/>
      <c r="G3" s="141"/>
      <c r="H3" s="141"/>
      <c r="K3" s="57" t="s">
        <v>236</v>
      </c>
      <c r="L3" s="55" t="s">
        <v>234</v>
      </c>
      <c r="M3" s="55" t="s">
        <v>239</v>
      </c>
      <c r="N3" s="55" t="s">
        <v>237</v>
      </c>
      <c r="O3" s="55" t="s">
        <v>238</v>
      </c>
      <c r="P3" s="55" t="s">
        <v>240</v>
      </c>
    </row>
    <row r="4" spans="1:26" ht="15" customHeight="1" x14ac:dyDescent="0.35">
      <c r="A4" s="141" t="s">
        <v>233</v>
      </c>
      <c r="B4" s="141"/>
      <c r="C4" s="141"/>
      <c r="D4" s="141"/>
      <c r="E4" s="141" t="s">
        <v>234</v>
      </c>
      <c r="F4" s="141"/>
      <c r="G4" s="141"/>
      <c r="H4" s="141"/>
      <c r="K4" s="54" t="s">
        <v>235</v>
      </c>
      <c r="L4" s="55" t="s">
        <v>171</v>
      </c>
      <c r="M4" s="55" t="s">
        <v>244</v>
      </c>
      <c r="N4" s="55" t="s">
        <v>246</v>
      </c>
      <c r="O4" s="55" t="s">
        <v>248</v>
      </c>
      <c r="P4" s="55"/>
    </row>
    <row r="5" spans="1:26" ht="15" customHeight="1" x14ac:dyDescent="0.35">
      <c r="A5" s="141" t="s">
        <v>2</v>
      </c>
      <c r="B5" s="141"/>
      <c r="C5" s="141"/>
      <c r="D5" s="141"/>
      <c r="E5" s="141" t="s">
        <v>242</v>
      </c>
      <c r="F5" s="141"/>
      <c r="G5" s="141"/>
      <c r="H5" s="141"/>
      <c r="K5" s="54"/>
      <c r="L5" s="55" t="s">
        <v>241</v>
      </c>
      <c r="M5" s="55" t="s">
        <v>245</v>
      </c>
      <c r="N5" s="55" t="s">
        <v>247</v>
      </c>
      <c r="O5" s="55" t="s">
        <v>249</v>
      </c>
      <c r="P5" s="55"/>
    </row>
    <row r="6" spans="1:26" x14ac:dyDescent="0.35">
      <c r="A6" s="141" t="s">
        <v>3</v>
      </c>
      <c r="B6" s="141"/>
      <c r="C6" s="141"/>
      <c r="D6" s="141"/>
      <c r="E6" s="180">
        <v>45848</v>
      </c>
      <c r="F6" s="141"/>
      <c r="G6" s="141"/>
      <c r="H6" s="141"/>
      <c r="K6" s="54"/>
      <c r="L6" s="55" t="s">
        <v>242</v>
      </c>
      <c r="M6" s="55"/>
      <c r="N6" s="55"/>
      <c r="O6" s="55" t="s">
        <v>250</v>
      </c>
      <c r="P6" s="55"/>
    </row>
    <row r="7" spans="1:26" ht="16.5" customHeight="1" x14ac:dyDescent="0.35">
      <c r="A7" s="141" t="s">
        <v>304</v>
      </c>
      <c r="B7" s="141"/>
      <c r="C7" s="141"/>
      <c r="D7" s="141"/>
      <c r="E7" s="141" t="s">
        <v>303</v>
      </c>
      <c r="F7" s="141"/>
      <c r="G7" s="141"/>
      <c r="H7" s="141"/>
      <c r="K7" s="54"/>
      <c r="L7" s="55" t="s">
        <v>243</v>
      </c>
      <c r="M7" s="55"/>
      <c r="N7" s="55"/>
      <c r="O7" s="55" t="s">
        <v>250</v>
      </c>
      <c r="P7" s="55"/>
    </row>
    <row r="8" spans="1:26" ht="15" customHeight="1" x14ac:dyDescent="0.35">
      <c r="A8" s="141" t="s">
        <v>4</v>
      </c>
      <c r="B8" s="141"/>
      <c r="C8" s="141"/>
      <c r="D8" s="141"/>
      <c r="E8" s="141" t="s">
        <v>305</v>
      </c>
      <c r="F8" s="141"/>
      <c r="G8" s="141"/>
      <c r="H8" s="141"/>
      <c r="K8" s="54"/>
      <c r="L8" s="55"/>
      <c r="M8" s="55"/>
      <c r="N8" s="55"/>
      <c r="O8" s="55" t="s">
        <v>251</v>
      </c>
      <c r="P8" s="55"/>
    </row>
    <row r="9" spans="1:26" x14ac:dyDescent="0.35">
      <c r="A9" s="141" t="s">
        <v>5</v>
      </c>
      <c r="B9" s="141"/>
      <c r="C9" s="141"/>
      <c r="D9" s="141"/>
      <c r="E9" s="147" t="s">
        <v>306</v>
      </c>
      <c r="F9" s="139"/>
      <c r="G9" s="139"/>
      <c r="H9" s="139"/>
      <c r="I9" s="91" t="s">
        <v>360</v>
      </c>
      <c r="J9" s="92"/>
      <c r="K9" s="54"/>
      <c r="L9" s="55"/>
      <c r="M9" s="55"/>
      <c r="N9" s="55"/>
      <c r="O9" s="55" t="s">
        <v>252</v>
      </c>
      <c r="P9" s="55"/>
    </row>
    <row r="10" spans="1:26" hidden="1" x14ac:dyDescent="0.35">
      <c r="A10" s="141" t="s">
        <v>168</v>
      </c>
      <c r="B10" s="141"/>
      <c r="C10" s="141"/>
      <c r="D10" s="141"/>
      <c r="E10" s="170" t="s">
        <v>307</v>
      </c>
      <c r="F10" s="141"/>
      <c r="G10" s="141"/>
      <c r="H10" s="141"/>
      <c r="I10" s="91"/>
      <c r="J10" s="92"/>
      <c r="K10" s="54"/>
      <c r="L10" s="55"/>
      <c r="M10" s="55"/>
      <c r="N10" s="55"/>
      <c r="O10" s="55"/>
      <c r="P10" s="55"/>
    </row>
    <row r="11" spans="1:26" hidden="1" x14ac:dyDescent="0.35">
      <c r="A11" s="141" t="s">
        <v>169</v>
      </c>
      <c r="B11" s="141"/>
      <c r="C11" s="141"/>
      <c r="D11" s="141"/>
      <c r="E11" s="141" t="s">
        <v>350</v>
      </c>
      <c r="F11" s="141"/>
      <c r="G11" s="141"/>
      <c r="H11" s="141"/>
      <c r="I11" s="91"/>
      <c r="J11" s="92"/>
    </row>
    <row r="12" spans="1:26" x14ac:dyDescent="0.35">
      <c r="A12" s="141" t="s">
        <v>6</v>
      </c>
      <c r="B12" s="141"/>
      <c r="C12" s="141"/>
      <c r="D12" s="141"/>
      <c r="E12" s="141" t="s">
        <v>118</v>
      </c>
      <c r="F12" s="141"/>
      <c r="G12" s="141"/>
      <c r="H12" s="141"/>
      <c r="I12" s="91"/>
      <c r="J12" s="92"/>
    </row>
    <row r="13" spans="1:26" x14ac:dyDescent="0.35">
      <c r="A13" s="141" t="s">
        <v>172</v>
      </c>
      <c r="B13" s="141"/>
      <c r="C13" s="141"/>
      <c r="D13" s="141"/>
      <c r="E13" s="141" t="s">
        <v>27</v>
      </c>
      <c r="F13" s="141"/>
      <c r="G13" s="141"/>
      <c r="H13" s="141"/>
      <c r="S13" s="55" t="s">
        <v>179</v>
      </c>
      <c r="T13" s="55" t="s">
        <v>189</v>
      </c>
      <c r="U13" s="55" t="s">
        <v>173</v>
      </c>
      <c r="V13" s="55" t="s">
        <v>194</v>
      </c>
      <c r="W13" s="55" t="s">
        <v>212</v>
      </c>
      <c r="X13"/>
      <c r="Y13" t="s">
        <v>194</v>
      </c>
      <c r="Z13" t="e">
        <f ca="1">OFFSET($S$13,1,MATCH($G20,$S$13:$W$13,0)-1,15,1)</f>
        <v>#VALUE!</v>
      </c>
    </row>
    <row r="14" spans="1:26" x14ac:dyDescent="0.35">
      <c r="A14" s="141" t="s">
        <v>279</v>
      </c>
      <c r="B14" s="141"/>
      <c r="C14" s="141"/>
      <c r="D14" s="141"/>
      <c r="E14" s="170" t="s">
        <v>352</v>
      </c>
      <c r="F14" s="170"/>
      <c r="G14" s="170"/>
      <c r="H14" s="170"/>
      <c r="S14" s="55" t="s">
        <v>180</v>
      </c>
      <c r="T14" s="55" t="s">
        <v>187</v>
      </c>
      <c r="U14" s="55" t="s">
        <v>209</v>
      </c>
      <c r="V14" s="55" t="s">
        <v>195</v>
      </c>
      <c r="W14" s="55" t="s">
        <v>213</v>
      </c>
      <c r="X14"/>
      <c r="Y14"/>
      <c r="Z14"/>
    </row>
    <row r="15" spans="1:26" x14ac:dyDescent="0.35">
      <c r="A15" s="141" t="s">
        <v>7</v>
      </c>
      <c r="B15" s="141"/>
      <c r="C15" s="141"/>
      <c r="D15" s="141"/>
      <c r="E15" s="170" t="s">
        <v>302</v>
      </c>
      <c r="F15" s="141"/>
      <c r="G15" s="141"/>
      <c r="H15" s="141"/>
      <c r="I15" s="237" t="e">
        <f ca="1">OFFSET($D$5,1,MATCH($J13,$D$5:$H$5,0)-1,15,1)</f>
        <v>#N/A</v>
      </c>
      <c r="J15" s="238"/>
      <c r="K15" s="238"/>
      <c r="L15" s="238"/>
      <c r="M15" s="238"/>
      <c r="N15" s="238"/>
      <c r="O15" s="238"/>
      <c r="P15" s="238"/>
      <c r="S15" s="55" t="s">
        <v>181</v>
      </c>
      <c r="T15" s="55" t="s">
        <v>188</v>
      </c>
      <c r="U15" s="55" t="s">
        <v>210</v>
      </c>
      <c r="V15" s="55" t="s">
        <v>196</v>
      </c>
      <c r="W15" s="55" t="s">
        <v>226</v>
      </c>
      <c r="X15"/>
      <c r="Y15"/>
      <c r="Z15"/>
    </row>
    <row r="16" spans="1:26" ht="37.5" customHeight="1" x14ac:dyDescent="0.35">
      <c r="A16" s="170" t="s">
        <v>8</v>
      </c>
      <c r="B16" s="170"/>
      <c r="C16" s="170" t="str">
        <f>CONCATENATE((IF(OR(E9="",E9="NA"),"",E9)),", ",(IF(OR(A17="",A17="NA"),"",A17)),".",(IF(OR(C17="",C17="NA"),"",C17)),", near ",(IF(OR(C22="",C22="NA"),"",C22)),", ",(IF(OR(C19="",C19="NA"),"",C19)),", ",(IF(OR(C18="",C18="NA"),"",C18)),", ",(IF(OR(G19="",G19="NA"),"",G19)),", ",(IF(OR(C20="",C20="NA"),"",C20)),", ",(IF(OR(C21="",C21="NA"),"",C21)),", ",(IF(OR(G20="",G20="NA"),"",G20))," - ",(IF(OR(G21="",G21="NA"),"",G21)),".")</f>
        <v>Parshu Heritage, Plot No.70 &amp; Sector No.R2, near Vandana Liberty, Internal Road, Vadghar, Pushpak, Panvel West, Panvel, Raigad - 410206.</v>
      </c>
      <c r="D16" s="170"/>
      <c r="E16" s="170"/>
      <c r="F16" s="170"/>
      <c r="G16" s="170"/>
      <c r="H16" s="170"/>
      <c r="S16" s="55" t="s">
        <v>182</v>
      </c>
      <c r="T16" s="55" t="s">
        <v>190</v>
      </c>
      <c r="U16" s="55" t="s">
        <v>211</v>
      </c>
      <c r="V16" s="55" t="s">
        <v>197</v>
      </c>
      <c r="W16" s="55" t="s">
        <v>214</v>
      </c>
      <c r="X16"/>
      <c r="Y16"/>
      <c r="Z16"/>
    </row>
    <row r="17" spans="1:26" x14ac:dyDescent="0.35">
      <c r="A17" s="170" t="s">
        <v>308</v>
      </c>
      <c r="B17" s="170"/>
      <c r="C17" s="130" t="s">
        <v>351</v>
      </c>
      <c r="D17" s="130"/>
      <c r="E17" s="130"/>
      <c r="F17" s="130"/>
      <c r="G17" s="130"/>
      <c r="H17" s="130"/>
      <c r="S17" s="55" t="s">
        <v>183</v>
      </c>
      <c r="T17" s="55" t="s">
        <v>191</v>
      </c>
      <c r="U17" s="55" t="s">
        <v>173</v>
      </c>
      <c r="V17" s="55" t="s">
        <v>198</v>
      </c>
      <c r="W17" s="55" t="s">
        <v>215</v>
      </c>
      <c r="X17"/>
      <c r="Y17"/>
      <c r="Z17"/>
    </row>
    <row r="18" spans="1:26" ht="17.25" customHeight="1" x14ac:dyDescent="0.35">
      <c r="A18" s="170" t="s">
        <v>163</v>
      </c>
      <c r="B18" s="170"/>
      <c r="C18" s="170" t="s">
        <v>310</v>
      </c>
      <c r="D18" s="170"/>
      <c r="E18" s="170"/>
      <c r="F18" s="170"/>
      <c r="G18" s="170"/>
      <c r="H18" s="170"/>
      <c r="S18" s="55" t="s">
        <v>184</v>
      </c>
      <c r="T18" s="55" t="s">
        <v>189</v>
      </c>
      <c r="U18" s="55"/>
      <c r="V18" s="55" t="s">
        <v>199</v>
      </c>
      <c r="W18" s="55" t="s">
        <v>216</v>
      </c>
      <c r="X18"/>
      <c r="Y18"/>
      <c r="Z18"/>
    </row>
    <row r="19" spans="1:26" ht="15.75" customHeight="1" x14ac:dyDescent="0.35">
      <c r="A19" s="170" t="s">
        <v>9</v>
      </c>
      <c r="B19" s="170"/>
      <c r="C19" s="177" t="s">
        <v>339</v>
      </c>
      <c r="D19" s="177"/>
      <c r="E19" s="170" t="s">
        <v>69</v>
      </c>
      <c r="F19" s="170"/>
      <c r="G19" s="170" t="s">
        <v>309</v>
      </c>
      <c r="H19" s="170"/>
      <c r="S19" s="55" t="s">
        <v>185</v>
      </c>
      <c r="T19" s="55" t="s">
        <v>192</v>
      </c>
      <c r="U19" s="55"/>
      <c r="V19" s="55" t="s">
        <v>200</v>
      </c>
      <c r="W19" s="55" t="s">
        <v>217</v>
      </c>
      <c r="X19"/>
      <c r="Y19"/>
      <c r="Z19"/>
    </row>
    <row r="20" spans="1:26" x14ac:dyDescent="0.35">
      <c r="A20" s="141" t="s">
        <v>11</v>
      </c>
      <c r="B20" s="141"/>
      <c r="C20" s="130" t="s">
        <v>341</v>
      </c>
      <c r="D20" s="130"/>
      <c r="E20" s="170" t="s">
        <v>10</v>
      </c>
      <c r="F20" s="170"/>
      <c r="G20" s="176" t="s">
        <v>194</v>
      </c>
      <c r="H20" s="176"/>
      <c r="S20" s="55" t="s">
        <v>186</v>
      </c>
      <c r="T20" s="55" t="s">
        <v>193</v>
      </c>
      <c r="U20" s="55"/>
      <c r="V20" s="55" t="s">
        <v>201</v>
      </c>
      <c r="W20" s="55" t="s">
        <v>218</v>
      </c>
      <c r="X20"/>
      <c r="Y20"/>
      <c r="Z20"/>
    </row>
    <row r="21" spans="1:26" x14ac:dyDescent="0.35">
      <c r="A21" s="141" t="s">
        <v>70</v>
      </c>
      <c r="B21" s="141"/>
      <c r="C21" s="170" t="s">
        <v>196</v>
      </c>
      <c r="D21" s="170"/>
      <c r="E21" s="170" t="s">
        <v>12</v>
      </c>
      <c r="F21" s="170"/>
      <c r="G21" s="170">
        <v>410206</v>
      </c>
      <c r="H21" s="170"/>
      <c r="S21" s="55"/>
      <c r="T21" s="55"/>
      <c r="U21" s="55"/>
      <c r="V21" s="55" t="s">
        <v>202</v>
      </c>
      <c r="W21" s="55" t="s">
        <v>219</v>
      </c>
      <c r="X21"/>
      <c r="Y21"/>
      <c r="Z21"/>
    </row>
    <row r="22" spans="1:26" ht="32.25" customHeight="1" x14ac:dyDescent="0.35">
      <c r="A22" s="141" t="s">
        <v>119</v>
      </c>
      <c r="B22" s="141"/>
      <c r="C22" s="130" t="s">
        <v>338</v>
      </c>
      <c r="D22" s="130"/>
      <c r="E22" s="170" t="s">
        <v>13</v>
      </c>
      <c r="F22" s="170"/>
      <c r="G22" s="130" t="s">
        <v>340</v>
      </c>
      <c r="H22" s="130"/>
      <c r="S22" s="55"/>
      <c r="T22" s="55"/>
      <c r="U22" s="55"/>
      <c r="V22" s="55" t="s">
        <v>203</v>
      </c>
      <c r="W22" s="55" t="s">
        <v>220</v>
      </c>
      <c r="X22"/>
      <c r="Y22"/>
      <c r="Z22"/>
    </row>
    <row r="23" spans="1:26" ht="15" customHeight="1" x14ac:dyDescent="0.35">
      <c r="A23" s="175" t="s">
        <v>72</v>
      </c>
      <c r="B23" s="175"/>
      <c r="C23" s="175"/>
      <c r="D23" s="175"/>
      <c r="E23" s="141" t="s">
        <v>14</v>
      </c>
      <c r="F23" s="141"/>
      <c r="G23" s="141"/>
      <c r="H23" s="141"/>
      <c r="S23" s="55"/>
      <c r="T23" s="55"/>
      <c r="U23" s="55"/>
      <c r="V23" s="55" t="s">
        <v>204</v>
      </c>
      <c r="W23" s="55" t="s">
        <v>221</v>
      </c>
      <c r="X23"/>
      <c r="Y23"/>
      <c r="Z23"/>
    </row>
    <row r="24" spans="1:26" ht="18.75" customHeight="1" x14ac:dyDescent="0.35">
      <c r="A24" s="175"/>
      <c r="B24" s="175"/>
      <c r="C24" s="175"/>
      <c r="D24" s="175"/>
      <c r="E24" s="141"/>
      <c r="F24" s="141"/>
      <c r="G24" s="141"/>
      <c r="H24" s="141"/>
      <c r="S24" s="55"/>
      <c r="T24" s="55"/>
      <c r="U24" s="55"/>
      <c r="V24" s="55" t="s">
        <v>205</v>
      </c>
      <c r="W24" s="55" t="s">
        <v>222</v>
      </c>
      <c r="X24"/>
      <c r="Y24"/>
      <c r="Z24"/>
    </row>
    <row r="25" spans="1:26" ht="15" customHeight="1" x14ac:dyDescent="0.35">
      <c r="A25" s="175" t="s">
        <v>15</v>
      </c>
      <c r="B25" s="175"/>
      <c r="C25" s="175"/>
      <c r="D25" s="175"/>
      <c r="E25" s="170" t="s">
        <v>16</v>
      </c>
      <c r="F25" s="170"/>
      <c r="G25" s="170"/>
      <c r="H25" s="170"/>
      <c r="S25" s="55"/>
      <c r="T25" s="55"/>
      <c r="U25" s="55"/>
      <c r="V25" s="55" t="s">
        <v>206</v>
      </c>
      <c r="W25" s="55" t="s">
        <v>223</v>
      </c>
      <c r="X25"/>
      <c r="Y25"/>
      <c r="Z25"/>
    </row>
    <row r="26" spans="1:26" ht="15" customHeight="1" x14ac:dyDescent="0.35">
      <c r="A26" s="95" t="s">
        <v>17</v>
      </c>
      <c r="B26" s="95"/>
      <c r="C26" s="95"/>
      <c r="D26" s="95"/>
      <c r="E26" s="170" t="str">
        <f>IF(AND(G20="Mumbai"),"Upper Class","Middle Class")</f>
        <v>Middle Class</v>
      </c>
      <c r="F26" s="170"/>
      <c r="G26" s="170"/>
      <c r="H26" s="170"/>
      <c r="S26" s="55"/>
      <c r="T26" s="55"/>
      <c r="U26" s="55"/>
      <c r="V26" s="55" t="s">
        <v>207</v>
      </c>
      <c r="W26" s="55" t="s">
        <v>224</v>
      </c>
      <c r="X26"/>
      <c r="Y26"/>
      <c r="Z26"/>
    </row>
    <row r="27" spans="1:26" x14ac:dyDescent="0.35">
      <c r="A27" s="95" t="s">
        <v>18</v>
      </c>
      <c r="B27" s="95"/>
      <c r="C27" s="95"/>
      <c r="D27" s="95"/>
      <c r="E27" s="170" t="s">
        <v>19</v>
      </c>
      <c r="F27" s="170"/>
      <c r="G27" s="170"/>
      <c r="H27" s="170"/>
      <c r="S27" s="55"/>
      <c r="T27" s="55"/>
      <c r="U27" s="55"/>
      <c r="V27" s="55" t="s">
        <v>208</v>
      </c>
      <c r="W27" s="55" t="s">
        <v>225</v>
      </c>
      <c r="X27"/>
      <c r="Y27"/>
      <c r="Z27"/>
    </row>
    <row r="28" spans="1:26" ht="15.75" customHeight="1" x14ac:dyDescent="0.35">
      <c r="A28" s="95" t="s">
        <v>20</v>
      </c>
      <c r="B28" s="95"/>
      <c r="C28" s="95"/>
      <c r="D28" s="95"/>
      <c r="E28" s="170" t="str">
        <f>IF(AND(G20="Mumbai"),"Developed","Developing")</f>
        <v>Developing</v>
      </c>
      <c r="F28" s="170"/>
      <c r="G28" s="170"/>
      <c r="H28" s="170"/>
    </row>
    <row r="29" spans="1:26" x14ac:dyDescent="0.35">
      <c r="A29" s="95" t="s">
        <v>21</v>
      </c>
      <c r="B29" s="95"/>
      <c r="C29" s="95"/>
      <c r="D29" s="95"/>
      <c r="E29" s="170" t="s">
        <v>22</v>
      </c>
      <c r="F29" s="170"/>
      <c r="G29" s="170"/>
      <c r="H29" s="170"/>
    </row>
    <row r="30" spans="1:26" ht="15.75" customHeight="1" x14ac:dyDescent="0.35">
      <c r="A30" s="95" t="s">
        <v>77</v>
      </c>
      <c r="B30" s="95"/>
      <c r="C30" s="95"/>
      <c r="D30" s="95"/>
      <c r="E30" s="170" t="s">
        <v>78</v>
      </c>
      <c r="F30" s="170"/>
      <c r="G30" s="170"/>
      <c r="H30" s="170"/>
    </row>
    <row r="31" spans="1:26" ht="15" customHeight="1" x14ac:dyDescent="0.35">
      <c r="A31" s="95" t="s">
        <v>29</v>
      </c>
      <c r="B31" s="95"/>
      <c r="C31" s="95"/>
      <c r="D31" s="95"/>
      <c r="E31" s="17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70"/>
      <c r="G31" s="170"/>
      <c r="H31" s="170"/>
    </row>
    <row r="32" spans="1:26" ht="15.75" customHeight="1" x14ac:dyDescent="0.35">
      <c r="A32" s="95" t="s">
        <v>89</v>
      </c>
      <c r="B32" s="95"/>
      <c r="C32" s="95"/>
      <c r="D32" s="95"/>
      <c r="E32" s="170" t="s">
        <v>30</v>
      </c>
      <c r="F32" s="170"/>
      <c r="G32" s="170"/>
      <c r="H32" s="170"/>
    </row>
    <row r="33" spans="1:19" s="22" customFormat="1" x14ac:dyDescent="0.35">
      <c r="A33" s="174" t="s">
        <v>90</v>
      </c>
      <c r="B33" s="174"/>
      <c r="C33" s="171" t="s">
        <v>174</v>
      </c>
      <c r="D33" s="172"/>
      <c r="E33" s="173"/>
      <c r="F33" s="171" t="s">
        <v>28</v>
      </c>
      <c r="G33" s="172"/>
      <c r="H33" s="173"/>
      <c r="S33" s="22" t="e">
        <f ca="1">OFFSET($S$13,1,MATCH($G20,$S$13:$W$13,0)-1,15,1)</f>
        <v>#VALUE!</v>
      </c>
    </row>
    <row r="34" spans="1:19" s="22" customFormat="1" x14ac:dyDescent="0.35">
      <c r="A34" s="151" t="s">
        <v>23</v>
      </c>
      <c r="B34" s="151" t="s">
        <v>27</v>
      </c>
      <c r="C34" s="152" t="s">
        <v>343</v>
      </c>
      <c r="D34" s="153"/>
      <c r="E34" s="154"/>
      <c r="F34" s="167" t="s">
        <v>346</v>
      </c>
      <c r="G34" s="168"/>
      <c r="H34" s="169"/>
    </row>
    <row r="35" spans="1:19" x14ac:dyDescent="0.35">
      <c r="A35" s="151" t="s">
        <v>24</v>
      </c>
      <c r="B35" s="151" t="s">
        <v>27</v>
      </c>
      <c r="C35" s="152" t="s">
        <v>344</v>
      </c>
      <c r="D35" s="153"/>
      <c r="E35" s="154"/>
      <c r="F35" s="167" t="s">
        <v>346</v>
      </c>
      <c r="G35" s="168"/>
      <c r="H35" s="169"/>
    </row>
    <row r="36" spans="1:19" s="22" customFormat="1" x14ac:dyDescent="0.35">
      <c r="A36" s="151" t="s">
        <v>26</v>
      </c>
      <c r="B36" s="151" t="s">
        <v>27</v>
      </c>
      <c r="C36" s="152" t="s">
        <v>342</v>
      </c>
      <c r="D36" s="153"/>
      <c r="E36" s="154"/>
      <c r="F36" s="167" t="s">
        <v>338</v>
      </c>
      <c r="G36" s="168"/>
      <c r="H36" s="169"/>
    </row>
    <row r="37" spans="1:19" x14ac:dyDescent="0.35">
      <c r="A37" s="151" t="s">
        <v>25</v>
      </c>
      <c r="B37" s="151" t="s">
        <v>27</v>
      </c>
      <c r="C37" s="152" t="s">
        <v>345</v>
      </c>
      <c r="D37" s="153"/>
      <c r="E37" s="154"/>
      <c r="F37" s="167" t="s">
        <v>9</v>
      </c>
      <c r="G37" s="168"/>
      <c r="H37" s="169"/>
    </row>
    <row r="38" spans="1:19" x14ac:dyDescent="0.35">
      <c r="A38" s="95" t="s">
        <v>280</v>
      </c>
      <c r="B38" s="95"/>
      <c r="C38" s="95"/>
      <c r="D38" s="95"/>
      <c r="E38" s="95"/>
      <c r="F38" s="95"/>
      <c r="G38" s="95"/>
      <c r="H38" s="95"/>
    </row>
    <row r="39" spans="1:19" ht="15.75" customHeight="1" x14ac:dyDescent="0.35">
      <c r="A39" s="95" t="s">
        <v>166</v>
      </c>
      <c r="B39" s="95"/>
      <c r="C39" s="140" t="s">
        <v>347</v>
      </c>
      <c r="D39" s="140"/>
      <c r="E39" s="140"/>
      <c r="F39" s="140"/>
      <c r="G39" s="140"/>
      <c r="H39" s="140"/>
    </row>
    <row r="40" spans="1:19" x14ac:dyDescent="0.35">
      <c r="A40" s="95" t="s">
        <v>162</v>
      </c>
      <c r="B40" s="95"/>
      <c r="C40" s="129" t="s">
        <v>348</v>
      </c>
      <c r="D40" s="130"/>
      <c r="E40" s="130"/>
      <c r="F40" s="130"/>
      <c r="G40" s="130"/>
      <c r="H40" s="130"/>
    </row>
    <row r="41" spans="1:19" x14ac:dyDescent="0.35">
      <c r="A41" s="156" t="s">
        <v>31</v>
      </c>
      <c r="B41" s="156"/>
      <c r="C41" s="156"/>
      <c r="D41" s="156"/>
      <c r="E41" s="156"/>
      <c r="F41" s="156"/>
      <c r="G41" s="156"/>
      <c r="H41" s="156"/>
    </row>
    <row r="42" spans="1:19" x14ac:dyDescent="0.35">
      <c r="A42" s="95" t="s">
        <v>32</v>
      </c>
      <c r="B42" s="95"/>
      <c r="C42" s="95"/>
      <c r="D42" s="95"/>
      <c r="E42" s="155">
        <v>699.84</v>
      </c>
      <c r="F42" s="155"/>
      <c r="G42" s="155"/>
      <c r="H42" s="155"/>
    </row>
    <row r="43" spans="1:19" x14ac:dyDescent="0.35">
      <c r="A43" s="95" t="s">
        <v>33</v>
      </c>
      <c r="B43" s="95"/>
      <c r="C43" s="95"/>
      <c r="D43" s="95"/>
      <c r="E43" s="159">
        <f>1049.76/E42</f>
        <v>1.5</v>
      </c>
      <c r="F43" s="159"/>
      <c r="G43" s="159"/>
      <c r="H43" s="159"/>
    </row>
    <row r="44" spans="1:19" x14ac:dyDescent="0.35">
      <c r="A44" s="95" t="s">
        <v>34</v>
      </c>
      <c r="B44" s="95"/>
      <c r="C44" s="95"/>
      <c r="D44" s="95"/>
      <c r="E44" s="159">
        <f>E46/E42-E43</f>
        <v>1.7423125285779606</v>
      </c>
      <c r="F44" s="159"/>
      <c r="G44" s="159"/>
      <c r="H44" s="159"/>
    </row>
    <row r="45" spans="1:19" x14ac:dyDescent="0.35">
      <c r="A45" s="95" t="s">
        <v>35</v>
      </c>
      <c r="B45" s="95"/>
      <c r="C45" s="95"/>
      <c r="D45" s="95"/>
      <c r="E45" s="159">
        <f>E43+E44</f>
        <v>3.2423125285779606</v>
      </c>
      <c r="F45" s="159"/>
      <c r="G45" s="159"/>
      <c r="H45" s="159"/>
    </row>
    <row r="46" spans="1:19" x14ac:dyDescent="0.35">
      <c r="A46" s="95" t="s">
        <v>88</v>
      </c>
      <c r="B46" s="95"/>
      <c r="C46" s="95"/>
      <c r="D46" s="95"/>
      <c r="E46" s="160">
        <v>2269.1</v>
      </c>
      <c r="F46" s="160"/>
      <c r="G46" s="160"/>
      <c r="H46" s="160"/>
    </row>
    <row r="47" spans="1:19" x14ac:dyDescent="0.35">
      <c r="A47" s="141" t="s">
        <v>36</v>
      </c>
      <c r="B47" s="141"/>
      <c r="C47" s="141"/>
      <c r="D47" s="141"/>
      <c r="E47" s="141" t="s">
        <v>118</v>
      </c>
      <c r="F47" s="141"/>
      <c r="G47" s="141"/>
      <c r="H47" s="141"/>
    </row>
    <row r="48" spans="1:19" x14ac:dyDescent="0.35">
      <c r="A48" s="139" t="s">
        <v>37</v>
      </c>
      <c r="B48" s="139"/>
      <c r="C48" s="139"/>
      <c r="D48" s="139"/>
      <c r="E48" s="139"/>
      <c r="F48" s="139"/>
      <c r="G48" s="139"/>
      <c r="H48" s="139"/>
    </row>
    <row r="49" spans="1:24" ht="33.75" customHeight="1" x14ac:dyDescent="0.35">
      <c r="A49" s="149" t="s">
        <v>151</v>
      </c>
      <c r="B49" s="150"/>
      <c r="C49" s="164" t="s">
        <v>268</v>
      </c>
      <c r="D49" s="165"/>
      <c r="E49" s="165"/>
      <c r="F49" s="165"/>
      <c r="G49" s="165"/>
      <c r="H49" s="166"/>
      <c r="R49" t="s">
        <v>253</v>
      </c>
      <c r="S49" t="s">
        <v>173</v>
      </c>
      <c r="T49" t="s">
        <v>179</v>
      </c>
      <c r="U49" t="s">
        <v>194</v>
      </c>
      <c r="V49" t="s">
        <v>189</v>
      </c>
    </row>
    <row r="50" spans="1:24" ht="31.5" customHeight="1" x14ac:dyDescent="0.35">
      <c r="A50" s="149" t="s">
        <v>38</v>
      </c>
      <c r="B50" s="150"/>
      <c r="C50" s="149" t="s">
        <v>311</v>
      </c>
      <c r="D50" s="214"/>
      <c r="E50" s="150"/>
      <c r="F50" s="77" t="s">
        <v>39</v>
      </c>
      <c r="G50" s="225">
        <v>45217</v>
      </c>
      <c r="H50" s="150"/>
      <c r="R50"/>
      <c r="S50" t="s">
        <v>254</v>
      </c>
      <c r="T50" t="s">
        <v>259</v>
      </c>
      <c r="U50" t="s">
        <v>270</v>
      </c>
      <c r="V50" t="s">
        <v>275</v>
      </c>
    </row>
    <row r="51" spans="1:24" ht="33" customHeight="1" x14ac:dyDescent="0.35">
      <c r="A51" s="149" t="s">
        <v>40</v>
      </c>
      <c r="B51" s="150"/>
      <c r="C51" s="149" t="str">
        <f>C50</f>
        <v>CIDCO/BP-18148/TPO(NM &amp; K)/2022/11484</v>
      </c>
      <c r="D51" s="214"/>
      <c r="E51" s="150"/>
      <c r="F51" s="77" t="s">
        <v>39</v>
      </c>
      <c r="G51" s="225">
        <v>45217</v>
      </c>
      <c r="H51" s="150"/>
      <c r="R51"/>
      <c r="S51" t="s">
        <v>255</v>
      </c>
      <c r="T51" t="s">
        <v>260</v>
      </c>
      <c r="U51" t="s">
        <v>268</v>
      </c>
      <c r="V51" t="s">
        <v>276</v>
      </c>
    </row>
    <row r="52" spans="1:24" s="23" customFormat="1" ht="30.75" customHeight="1" x14ac:dyDescent="0.35">
      <c r="A52" s="233" t="s">
        <v>155</v>
      </c>
      <c r="B52" s="234"/>
      <c r="C52" s="161" t="str">
        <f>C51</f>
        <v>CIDCO/BP-18148/TPO(NM &amp; K)/2022/11484</v>
      </c>
      <c r="D52" s="162"/>
      <c r="E52" s="163"/>
      <c r="F52" s="18" t="s">
        <v>39</v>
      </c>
      <c r="G52" s="226">
        <v>45217</v>
      </c>
      <c r="H52" s="163"/>
      <c r="R52"/>
      <c r="S52" t="s">
        <v>256</v>
      </c>
      <c r="T52" t="s">
        <v>261</v>
      </c>
      <c r="U52" t="s">
        <v>258</v>
      </c>
      <c r="V52" t="s">
        <v>277</v>
      </c>
    </row>
    <row r="53" spans="1:24" s="23" customFormat="1" x14ac:dyDescent="0.35">
      <c r="A53" s="235"/>
      <c r="B53" s="236"/>
      <c r="C53" s="161" t="s">
        <v>312</v>
      </c>
      <c r="D53" s="162"/>
      <c r="E53" s="162"/>
      <c r="F53" s="162"/>
      <c r="G53" s="162"/>
      <c r="H53" s="163"/>
      <c r="R53"/>
      <c r="S53" t="s">
        <v>257</v>
      </c>
      <c r="T53" t="s">
        <v>264</v>
      </c>
      <c r="U53" t="s">
        <v>271</v>
      </c>
    </row>
    <row r="54" spans="1:24" s="23" customFormat="1" hidden="1" x14ac:dyDescent="0.35">
      <c r="A54" s="229" t="s">
        <v>281</v>
      </c>
      <c r="B54" s="230"/>
      <c r="C54" s="161" t="str">
        <f>C53</f>
        <v>G + 1st to 7th Floor (Total Builtup Area = 2269.10 Sq.mtrs.)</v>
      </c>
      <c r="D54" s="162"/>
      <c r="E54" s="163"/>
      <c r="F54" s="18" t="s">
        <v>39</v>
      </c>
      <c r="G54" s="161"/>
      <c r="H54" s="163"/>
      <c r="R54"/>
      <c r="S54" t="s">
        <v>256</v>
      </c>
      <c r="T54" t="s">
        <v>261</v>
      </c>
      <c r="U54" t="s">
        <v>258</v>
      </c>
      <c r="V54" t="s">
        <v>277</v>
      </c>
    </row>
    <row r="55" spans="1:24" s="23" customFormat="1" ht="32.25" hidden="1" customHeight="1" x14ac:dyDescent="0.35">
      <c r="A55" s="231"/>
      <c r="B55" s="232"/>
      <c r="C55" s="133"/>
      <c r="D55" s="134"/>
      <c r="E55" s="134"/>
      <c r="F55" s="134"/>
      <c r="G55" s="134"/>
      <c r="H55" s="135"/>
      <c r="R55"/>
      <c r="S55" t="s">
        <v>258</v>
      </c>
      <c r="T55" t="s">
        <v>262</v>
      </c>
      <c r="U55" t="s">
        <v>272</v>
      </c>
      <c r="V55" s="21"/>
      <c r="W55" s="21"/>
      <c r="X55" s="21"/>
    </row>
    <row r="56" spans="1:24" s="23" customFormat="1" ht="34.5" hidden="1" customHeight="1" x14ac:dyDescent="0.35">
      <c r="A56" s="229" t="s">
        <v>282</v>
      </c>
      <c r="B56" s="230"/>
      <c r="C56" s="161">
        <f>C55</f>
        <v>0</v>
      </c>
      <c r="D56" s="162"/>
      <c r="E56" s="163"/>
      <c r="F56" s="18" t="s">
        <v>39</v>
      </c>
      <c r="G56" s="161">
        <f>G55</f>
        <v>0</v>
      </c>
      <c r="H56" s="163"/>
      <c r="R56"/>
      <c r="S56" s="21"/>
      <c r="T56" t="s">
        <v>263</v>
      </c>
      <c r="U56" t="s">
        <v>273</v>
      </c>
      <c r="V56" s="21"/>
      <c r="W56" s="21"/>
      <c r="X56" s="21"/>
    </row>
    <row r="57" spans="1:24" s="23" customFormat="1" ht="41.25" hidden="1" customHeight="1" x14ac:dyDescent="0.35">
      <c r="A57" s="231"/>
      <c r="B57" s="232"/>
      <c r="C57" s="161"/>
      <c r="D57" s="162"/>
      <c r="E57" s="162"/>
      <c r="F57" s="162"/>
      <c r="G57" s="162"/>
      <c r="H57" s="163"/>
      <c r="R57"/>
      <c r="S57" s="21"/>
      <c r="T57" t="s">
        <v>265</v>
      </c>
      <c r="U57" t="s">
        <v>274</v>
      </c>
      <c r="V57" s="21"/>
      <c r="W57" s="21"/>
      <c r="X57" s="21"/>
    </row>
    <row r="58" spans="1:24" s="23" customFormat="1" ht="15.75" hidden="1" customHeight="1" x14ac:dyDescent="0.35">
      <c r="A58" s="229" t="s">
        <v>283</v>
      </c>
      <c r="B58" s="230"/>
      <c r="C58" s="161">
        <f>C57</f>
        <v>0</v>
      </c>
      <c r="D58" s="162"/>
      <c r="E58" s="163"/>
      <c r="F58" s="18" t="s">
        <v>39</v>
      </c>
      <c r="G58" s="161">
        <f>G57</f>
        <v>0</v>
      </c>
      <c r="H58" s="163"/>
      <c r="R58"/>
      <c r="S58" s="21"/>
      <c r="T58" t="s">
        <v>266</v>
      </c>
      <c r="U58" s="21" t="s">
        <v>297</v>
      </c>
      <c r="V58" s="21"/>
      <c r="W58" s="21"/>
      <c r="X58" s="21"/>
    </row>
    <row r="59" spans="1:24" s="23" customFormat="1" ht="33.75" hidden="1" customHeight="1" x14ac:dyDescent="0.35">
      <c r="A59" s="231"/>
      <c r="B59" s="232"/>
      <c r="C59" s="161"/>
      <c r="D59" s="162"/>
      <c r="E59" s="162"/>
      <c r="F59" s="162"/>
      <c r="G59" s="162"/>
      <c r="H59" s="163"/>
      <c r="R59"/>
      <c r="S59" s="21"/>
      <c r="T59" t="s">
        <v>267</v>
      </c>
      <c r="U59" s="21"/>
      <c r="V59" s="21"/>
      <c r="W59" s="21"/>
      <c r="X59" s="21"/>
    </row>
    <row r="60" spans="1:24" x14ac:dyDescent="0.35">
      <c r="A60" s="240" t="s">
        <v>41</v>
      </c>
      <c r="B60" s="241"/>
      <c r="C60" s="240" t="s">
        <v>102</v>
      </c>
      <c r="D60" s="242"/>
      <c r="E60" s="241"/>
      <c r="F60" s="45" t="s">
        <v>39</v>
      </c>
      <c r="G60" s="227" t="s">
        <v>27</v>
      </c>
      <c r="H60" s="228"/>
      <c r="R60"/>
      <c r="T60" t="s">
        <v>269</v>
      </c>
    </row>
    <row r="61" spans="1:24" x14ac:dyDescent="0.35">
      <c r="A61" s="199" t="s">
        <v>43</v>
      </c>
      <c r="B61" s="199"/>
      <c r="C61" s="199"/>
      <c r="D61" s="199"/>
      <c r="E61" s="199"/>
      <c r="F61" s="199"/>
      <c r="G61" s="199"/>
      <c r="H61" s="199"/>
      <c r="T61" t="s">
        <v>278</v>
      </c>
    </row>
    <row r="62" spans="1:24" x14ac:dyDescent="0.35">
      <c r="A62" s="175" t="s">
        <v>87</v>
      </c>
      <c r="B62" s="175"/>
      <c r="C62" s="175"/>
      <c r="D62" s="95">
        <f>E46</f>
        <v>2269.1</v>
      </c>
      <c r="E62" s="95"/>
      <c r="F62" s="95"/>
      <c r="G62" s="95"/>
      <c r="H62" s="95"/>
      <c r="R62"/>
    </row>
    <row r="63" spans="1:24" x14ac:dyDescent="0.35">
      <c r="A63" s="170" t="s">
        <v>44</v>
      </c>
      <c r="B63" s="141"/>
      <c r="C63" s="141"/>
      <c r="D63" s="141" t="s">
        <v>357</v>
      </c>
      <c r="E63" s="141"/>
      <c r="F63" s="141"/>
      <c r="G63" s="141"/>
      <c r="H63" s="141"/>
      <c r="I63" s="24"/>
      <c r="R63"/>
    </row>
    <row r="64" spans="1:24" ht="15" customHeight="1" x14ac:dyDescent="0.35">
      <c r="A64" s="144" t="s">
        <v>45</v>
      </c>
      <c r="B64" s="145"/>
      <c r="C64" s="146"/>
      <c r="D64" s="142" t="s">
        <v>313</v>
      </c>
      <c r="E64" s="143"/>
      <c r="F64" s="143"/>
      <c r="G64" s="143"/>
      <c r="H64" s="143"/>
      <c r="R64"/>
    </row>
    <row r="65" spans="1:19" ht="15.75" customHeight="1" x14ac:dyDescent="0.35">
      <c r="A65" s="144" t="s">
        <v>85</v>
      </c>
      <c r="B65" s="145"/>
      <c r="C65" s="145"/>
      <c r="D65" s="211" t="s">
        <v>314</v>
      </c>
      <c r="E65" s="212"/>
      <c r="F65" s="212"/>
      <c r="G65" s="212"/>
      <c r="H65" s="213"/>
      <c r="R65"/>
    </row>
    <row r="66" spans="1:19" ht="15.75" customHeight="1" x14ac:dyDescent="0.35">
      <c r="A66" s="141" t="s">
        <v>42</v>
      </c>
      <c r="B66" s="141"/>
      <c r="C66" s="141"/>
      <c r="D66" s="157" t="s">
        <v>365</v>
      </c>
      <c r="E66" s="157"/>
      <c r="F66" s="157"/>
      <c r="G66" s="157"/>
      <c r="H66" s="157"/>
      <c r="J66" s="25"/>
      <c r="K66" s="24"/>
      <c r="N66" s="24"/>
      <c r="S66"/>
    </row>
    <row r="67" spans="1:19" ht="15.75" customHeight="1" x14ac:dyDescent="0.35">
      <c r="A67" s="141" t="s">
        <v>83</v>
      </c>
      <c r="B67" s="141"/>
      <c r="C67" s="141"/>
      <c r="D67" s="158" t="str">
        <f>(IF(G60="NA","60 Years",IF(G60&lt;&gt;"NA",""&amp;60-ROUNDDOWN((E3-G60)/360,0)&amp;" Years"," ")))</f>
        <v>60 Years</v>
      </c>
      <c r="E67" s="158"/>
      <c r="F67" s="158"/>
      <c r="G67" s="158"/>
      <c r="H67" s="158"/>
      <c r="N67" s="24"/>
      <c r="S67"/>
    </row>
    <row r="68" spans="1:19" ht="15.75" customHeight="1" x14ac:dyDescent="0.35">
      <c r="A68" s="141" t="s">
        <v>84</v>
      </c>
      <c r="B68" s="141"/>
      <c r="C68" s="141"/>
      <c r="D68" s="170" t="s">
        <v>22</v>
      </c>
      <c r="E68" s="170"/>
      <c r="F68" s="170"/>
      <c r="G68" s="170"/>
      <c r="H68" s="170"/>
      <c r="J68" s="26"/>
      <c r="K68" s="26"/>
      <c r="S68"/>
    </row>
    <row r="69" spans="1:19" ht="33.75" customHeight="1" x14ac:dyDescent="0.35">
      <c r="A69" s="141" t="s">
        <v>353</v>
      </c>
      <c r="B69" s="141"/>
      <c r="C69" s="141"/>
      <c r="D69" s="170" t="s">
        <v>349</v>
      </c>
      <c r="E69" s="170"/>
      <c r="F69" s="170"/>
      <c r="G69" s="170"/>
      <c r="H69" s="170"/>
      <c r="S69"/>
    </row>
    <row r="70" spans="1:19" x14ac:dyDescent="0.35">
      <c r="A70" s="175" t="s">
        <v>147</v>
      </c>
      <c r="B70" s="175"/>
      <c r="C70" s="175"/>
      <c r="D70" s="175" t="s">
        <v>27</v>
      </c>
      <c r="E70" s="175"/>
      <c r="F70" s="175"/>
      <c r="G70" s="175"/>
      <c r="H70" s="175"/>
      <c r="I70" s="27"/>
      <c r="J70" s="27"/>
      <c r="K70" s="27"/>
      <c r="L70" s="27"/>
      <c r="M70" s="27"/>
      <c r="N70" s="27"/>
    </row>
    <row r="71" spans="1:19" ht="15.75" customHeight="1" x14ac:dyDescent="0.35">
      <c r="A71" s="95" t="s">
        <v>82</v>
      </c>
      <c r="B71" s="95"/>
      <c r="C71" s="95"/>
      <c r="D71" s="170" t="str">
        <f ca="1">(IF(G77&gt;95%,"Nothing",IF(G77&gt;0%,"Cement, Aggregate, Steel, etc",IF(G77=0%,"Work not yet Started"))))</f>
        <v>Nothing</v>
      </c>
      <c r="E71" s="170"/>
      <c r="F71" s="170"/>
      <c r="G71" s="170"/>
      <c r="H71" s="170"/>
      <c r="J71" s="26"/>
      <c r="S71"/>
    </row>
    <row r="72" spans="1:19" ht="33.75" customHeight="1" thickBot="1" x14ac:dyDescent="0.4">
      <c r="A72" s="175" t="s">
        <v>115</v>
      </c>
      <c r="B72" s="175"/>
      <c r="C72" s="175"/>
      <c r="D72" s="170" t="str">
        <f ca="1">(IF(D71="Nothing","Yes",IF(D71="Cement, Aggregate, Steel, etc","Under Construction",IF(D71="Work not yet Started","Work not yet Started"))))</f>
        <v>Yes</v>
      </c>
      <c r="E72" s="170"/>
      <c r="F72" s="170" t="str">
        <f ca="1">(IF(D71="Nothing","Yes",IF(D71="Cement, Aggregate, Steel, etc","Under Construction",IF(D71="Work not yet Started","Work not yet Started"))))</f>
        <v>Yes</v>
      </c>
      <c r="G72" s="170"/>
      <c r="H72" s="170"/>
      <c r="S72"/>
    </row>
    <row r="73" spans="1:19" ht="15.75" customHeight="1" x14ac:dyDescent="0.35">
      <c r="A73" s="147" t="s">
        <v>137</v>
      </c>
      <c r="B73" s="147"/>
      <c r="C73" s="147" t="str">
        <f>D65</f>
        <v>G + 1st to 7th Floor</v>
      </c>
      <c r="D73" s="147"/>
      <c r="E73" s="147"/>
      <c r="F73" s="147"/>
      <c r="G73" s="147"/>
      <c r="H73" s="147"/>
      <c r="I73" s="89" t="str">
        <f ca="1">IF(D86=100%,"All work Completed. Possession granted to the Building.",IF(D85=100%,"All work Completed, Waiting for OC",I74&amp;""&amp;I75&amp;""&amp;J74&amp;""&amp;J73&amp;" "&amp;J75))</f>
        <v>All work Completed. Possession granted to the Building.</v>
      </c>
      <c r="J73" s="5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53" t="s">
        <v>139</v>
      </c>
      <c r="B74" s="53">
        <f>IF(AND(ISNUMBER(SEARCH("1B",C73))),1,IF(AND(ISNUMBER(SEARCH("2B",C73))),2,IF(AND(ISNUMBER(SEARCH("3B",C73))),3,IF(AND(ISNUMBER(SEARCH("4B",C73))),4,IF(ISNUMBER(SEARCH("5B",C73)),5,0)))))</f>
        <v>0</v>
      </c>
      <c r="C74" s="53" t="s">
        <v>68</v>
      </c>
      <c r="D74" s="53">
        <v>1</v>
      </c>
      <c r="E74" s="53" t="s">
        <v>67</v>
      </c>
      <c r="F74" s="53">
        <v>0</v>
      </c>
      <c r="G74" s="53" t="s">
        <v>76</v>
      </c>
      <c r="H74" s="53">
        <f ca="1">--TRIM(RIGHT(SUBSTITUTE(LEFT(C73,_xlfn.AGGREGATE(16,6,FIND({0,1,2,3,4,5,6,7,8,9},C73,ROW(INDIRECT("1:"&amp;LEN(C73)))),1))," ",REPT(" ",LEN(C73))),LEN(C73)))</f>
        <v>7</v>
      </c>
      <c r="I74" s="90"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 Flooring, Painting, Building common Amenities</v>
      </c>
      <c r="J74" s="5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5">
      <c r="A75" s="139" t="s">
        <v>86</v>
      </c>
      <c r="B75" s="139"/>
      <c r="C75" s="147" t="str">
        <f ca="1">I73</f>
        <v>All work Completed. Possession granted to the Building.</v>
      </c>
      <c r="D75" s="147"/>
      <c r="E75" s="147"/>
      <c r="F75" s="147"/>
      <c r="G75" s="147"/>
      <c r="H75" s="147"/>
      <c r="I75" s="90" t="str">
        <f ca="1">IF(I74&lt;&gt;""," Completed","")</f>
        <v xml:space="preserve"> Completed</v>
      </c>
      <c r="J75" s="52" t="str">
        <f ca="1">IF(J73&lt;&gt;"","Completed","")</f>
        <v/>
      </c>
      <c r="S75"/>
    </row>
    <row r="76" spans="1:19" ht="15.75" customHeight="1" x14ac:dyDescent="0.35">
      <c r="A76" s="136" t="s">
        <v>46</v>
      </c>
      <c r="B76" s="137"/>
      <c r="C76" s="78" t="s">
        <v>136</v>
      </c>
      <c r="D76" s="78" t="s">
        <v>79</v>
      </c>
      <c r="E76" s="137" t="s">
        <v>81</v>
      </c>
      <c r="F76" s="137"/>
      <c r="G76" s="137" t="s">
        <v>80</v>
      </c>
      <c r="H76" s="181"/>
      <c r="I76" s="13" t="s">
        <v>138</v>
      </c>
      <c r="J76" s="28">
        <f ca="1">H74*25%</f>
        <v>1.75</v>
      </c>
      <c r="S76"/>
    </row>
    <row r="77" spans="1:19" x14ac:dyDescent="0.35">
      <c r="A77" s="136" t="s">
        <v>125</v>
      </c>
      <c r="B77" s="137"/>
      <c r="C77" s="78">
        <f ca="1">J78</f>
        <v>7</v>
      </c>
      <c r="D77" s="79">
        <f ca="1">((100/H74)*C77)/100</f>
        <v>1</v>
      </c>
      <c r="E77" s="182">
        <f ca="1">(((C78/H74*10)+(40/(D74+F74+H74)*C79)+(7.5/(H74)*C80)+(7.5/(H74)*C81)+(10/H74*C82)+(10/H74*C83)+(5/H74*C84)+(5/H74*C85)+(5/H74*C86))/100)</f>
        <v>1</v>
      </c>
      <c r="F77" s="183"/>
      <c r="G77" s="182">
        <f ca="1">((((C77/H74)*20)+((C78/H74)*25)+(30/(H74+F74+D74)*C79)+(5/H74*C80)+(5/H74*C81)+(5/H74*C82)+(5/H74*C83)+(0/H74*C84)+(0/H74*C85)+(5/H74*C86))/100)</f>
        <v>1</v>
      </c>
      <c r="H77" s="188"/>
      <c r="I77" s="13" t="s">
        <v>97</v>
      </c>
      <c r="J77" s="29">
        <f ca="1">H74*50%</f>
        <v>3.5</v>
      </c>
    </row>
    <row r="78" spans="1:19" x14ac:dyDescent="0.35">
      <c r="A78" s="136" t="s">
        <v>47</v>
      </c>
      <c r="B78" s="137"/>
      <c r="C78" s="78">
        <f ca="1">J86</f>
        <v>7</v>
      </c>
      <c r="D78" s="79">
        <f ca="1">((100/H74)*C78)/100</f>
        <v>1</v>
      </c>
      <c r="E78" s="184"/>
      <c r="F78" s="185"/>
      <c r="G78" s="184"/>
      <c r="H78" s="189"/>
      <c r="I78" s="13" t="s">
        <v>98</v>
      </c>
      <c r="J78" s="29">
        <f ca="1">H74</f>
        <v>7</v>
      </c>
      <c r="S78"/>
    </row>
    <row r="79" spans="1:19" ht="15.75" customHeight="1" x14ac:dyDescent="0.35">
      <c r="A79" s="136" t="s">
        <v>126</v>
      </c>
      <c r="B79" s="137"/>
      <c r="C79" s="78">
        <v>8</v>
      </c>
      <c r="D79" s="79">
        <f ca="1">((100/(D74+F74+H74))*C79)/100</f>
        <v>1</v>
      </c>
      <c r="E79" s="184"/>
      <c r="F79" s="185"/>
      <c r="G79" s="184"/>
      <c r="H79" s="189"/>
      <c r="I79" s="13" t="s">
        <v>99</v>
      </c>
      <c r="J79" s="30">
        <f ca="1">(IF(B74&gt;1,(H74/(B74+2)),H74/4))</f>
        <v>1.75</v>
      </c>
      <c r="S79"/>
    </row>
    <row r="80" spans="1:19" ht="15.75" customHeight="1" x14ac:dyDescent="0.35">
      <c r="A80" s="136" t="s">
        <v>133</v>
      </c>
      <c r="B80" s="137" t="s">
        <v>127</v>
      </c>
      <c r="C80" s="78">
        <v>7</v>
      </c>
      <c r="D80" s="79">
        <f ca="1">((100/H74)*C80)/100</f>
        <v>1</v>
      </c>
      <c r="E80" s="184"/>
      <c r="F80" s="185"/>
      <c r="G80" s="184"/>
      <c r="H80" s="189"/>
      <c r="I80" s="13" t="s">
        <v>100</v>
      </c>
      <c r="J80" s="30">
        <f ca="1">(IF(B74&gt;1,(H74/(B74+2)+J79),H74/4+J79))</f>
        <v>3.5</v>
      </c>
    </row>
    <row r="81" spans="1:10" ht="15.75" customHeight="1" x14ac:dyDescent="0.35">
      <c r="A81" s="136" t="s">
        <v>134</v>
      </c>
      <c r="B81" s="137" t="s">
        <v>127</v>
      </c>
      <c r="C81" s="78">
        <v>7</v>
      </c>
      <c r="D81" s="79">
        <f ca="1">((100/H74)*C81)/100</f>
        <v>1</v>
      </c>
      <c r="E81" s="184"/>
      <c r="F81" s="185"/>
      <c r="G81" s="184"/>
      <c r="H81" s="189"/>
      <c r="I81" s="13" t="s">
        <v>145</v>
      </c>
      <c r="J81" s="30">
        <f>(IF(B74&gt;1,(H74/(B74+2)+J80),0))</f>
        <v>0</v>
      </c>
    </row>
    <row r="82" spans="1:10" ht="15" customHeight="1" x14ac:dyDescent="0.35">
      <c r="A82" s="136" t="s">
        <v>132</v>
      </c>
      <c r="B82" s="137" t="s">
        <v>129</v>
      </c>
      <c r="C82" s="78">
        <v>7</v>
      </c>
      <c r="D82" s="79">
        <f ca="1">((100/(H74))*C82)/100</f>
        <v>1</v>
      </c>
      <c r="E82" s="184"/>
      <c r="F82" s="185"/>
      <c r="G82" s="184"/>
      <c r="H82" s="189"/>
      <c r="I82" s="13" t="s">
        <v>140</v>
      </c>
      <c r="J82" s="30">
        <f>(IF(B74&gt;2,(H74/(B74+2)+J81),0))</f>
        <v>0</v>
      </c>
    </row>
    <row r="83" spans="1:10" ht="15.75" customHeight="1" x14ac:dyDescent="0.35">
      <c r="A83" s="136" t="s">
        <v>128</v>
      </c>
      <c r="B83" s="137" t="s">
        <v>128</v>
      </c>
      <c r="C83" s="78">
        <v>7</v>
      </c>
      <c r="D83" s="79">
        <f ca="1">((100/H74)*C83)/100</f>
        <v>1</v>
      </c>
      <c r="E83" s="184"/>
      <c r="F83" s="185"/>
      <c r="G83" s="184"/>
      <c r="H83" s="189"/>
      <c r="I83" s="13" t="s">
        <v>141</v>
      </c>
      <c r="J83" s="31">
        <f>(IF(B74&gt;3,(H74/(B74+2)+J82),0))</f>
        <v>0</v>
      </c>
    </row>
    <row r="84" spans="1:10" ht="15.75" customHeight="1" x14ac:dyDescent="0.35">
      <c r="A84" s="136" t="s">
        <v>135</v>
      </c>
      <c r="B84" s="137"/>
      <c r="C84" s="88">
        <v>7</v>
      </c>
      <c r="D84" s="79">
        <f ca="1">((100/H74)*C84)/100</f>
        <v>1</v>
      </c>
      <c r="E84" s="184"/>
      <c r="F84" s="185"/>
      <c r="G84" s="184"/>
      <c r="H84" s="189"/>
      <c r="I84" s="13" t="s">
        <v>142</v>
      </c>
      <c r="J84" s="30">
        <f>(IF(B74&gt;4,(H74/(B74+2)+J83),0))</f>
        <v>0</v>
      </c>
    </row>
    <row r="85" spans="1:10" ht="15.75" customHeight="1" x14ac:dyDescent="0.35">
      <c r="A85" s="136" t="s">
        <v>130</v>
      </c>
      <c r="B85" s="137" t="s">
        <v>130</v>
      </c>
      <c r="C85" s="88">
        <v>7</v>
      </c>
      <c r="D85" s="79">
        <f ca="1">((100/(H74))*C85)/100</f>
        <v>1</v>
      </c>
      <c r="E85" s="184"/>
      <c r="F85" s="185"/>
      <c r="G85" s="184"/>
      <c r="H85" s="189"/>
      <c r="I85" s="13" t="s">
        <v>146</v>
      </c>
      <c r="J85" s="30">
        <f ca="1">(IF(B74=1,(H74/(B74+3)+J80),IF(B74=0,(H74/4+J80),IF(B74&gt;1,0))))</f>
        <v>5.25</v>
      </c>
    </row>
    <row r="86" spans="1:10" ht="16" thickBot="1" x14ac:dyDescent="0.4">
      <c r="A86" s="191" t="s">
        <v>131</v>
      </c>
      <c r="B86" s="192"/>
      <c r="C86" s="80">
        <v>7</v>
      </c>
      <c r="D86" s="81">
        <f ca="1">((100/(H74))*C86)/100</f>
        <v>1</v>
      </c>
      <c r="E86" s="186"/>
      <c r="F86" s="187"/>
      <c r="G86" s="186"/>
      <c r="H86" s="190"/>
      <c r="I86" s="15" t="s">
        <v>101</v>
      </c>
      <c r="J86" s="32">
        <f ca="1">(IF(B74&gt;1.5,(H74/(B74+2)+J80+MAX(0,J81-J80)+MAX(0,J82-J81)+MAX(0,J83-J82)+MAX(0,J84-J83)+MAX(0,J85-J84)),IF(B74=1,(H74/(B74+3)+J85),IF(B74=0,H74/4+J85))))</f>
        <v>7</v>
      </c>
    </row>
    <row r="87" spans="1:10" ht="15.75" hidden="1" customHeight="1" x14ac:dyDescent="0.35">
      <c r="A87" s="243" t="s">
        <v>137</v>
      </c>
      <c r="B87" s="244"/>
      <c r="C87" s="245" t="e">
        <f>#REF!</f>
        <v>#REF!</v>
      </c>
      <c r="D87" s="246"/>
      <c r="E87" s="246"/>
      <c r="F87" s="246"/>
      <c r="G87" s="246"/>
      <c r="H87" s="247"/>
      <c r="I87" s="49" t="e">
        <f ca="1">IF(D100=100%,"All work Completed. Possession granted to the Building.",IF(D99=100%,"All work Completed, Waiting for OC",I88&amp;""&amp;I89&amp;""&amp;J88&amp;""&amp;J87&amp;" "&amp;J89))</f>
        <v>#REF!</v>
      </c>
      <c r="J87" s="50"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row>
    <row r="88" spans="1:10" hidden="1" x14ac:dyDescent="0.35">
      <c r="A88" s="16" t="s">
        <v>139</v>
      </c>
      <c r="B88" s="53">
        <f>IF(AND(ISNUMBER(SEARCH("1B",C87))),1,IF(AND(ISNUMBER(SEARCH("2B",C87))),2,IF(AND(ISNUMBER(SEARCH("3B",C87))),3,IF(AND(ISNUMBER(SEARCH("4B",C87))),4,IF(ISNUMBER(SEARCH("5B",C87)),5,0)))))</f>
        <v>0</v>
      </c>
      <c r="C88" s="47" t="s">
        <v>68</v>
      </c>
      <c r="D88" s="47">
        <v>1</v>
      </c>
      <c r="E88" s="47" t="s">
        <v>67</v>
      </c>
      <c r="F88" s="14">
        <v>0</v>
      </c>
      <c r="G88" s="48" t="s">
        <v>76</v>
      </c>
      <c r="H88" s="17" t="e">
        <f ca="1">--TRIM(RIGHT(SUBSTITUTE(LEFT(C87,_xlfn.AGGREGATE(16,6,FIND({0,1,2,3,4,5,6,7,8,9},C87,ROW(INDIRECT("1:"&amp;LEN(C87)))),1))," ",REPT(" ",LEN(C87))),LEN(C87)))</f>
        <v>#REF!</v>
      </c>
      <c r="I88" s="51" t="e">
        <f ca="1">IF(D91=100%,"Excavation","")&amp;IF(D92=100%,", Plinth","")&amp;IF(D93=100%,", RCC Slab","")&amp;IF(D94=100%,", Brickwork","")&amp;IF(D95=100%,", Internal Plaster","")&amp;IF(D96=100%,", External Plaster","")&amp;IF(D97=100%,", Flooring","")&amp;IF(D98=100%,", Painting","")&amp;IF(D99=100%,", Building common Amenities","")</f>
        <v>#REF!</v>
      </c>
      <c r="J88" s="52" t="str">
        <f>(IF(C91=0,"Work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Work not yet Started.</v>
      </c>
    </row>
    <row r="89" spans="1:10" hidden="1" x14ac:dyDescent="0.35">
      <c r="A89" s="138" t="s">
        <v>86</v>
      </c>
      <c r="B89" s="139"/>
      <c r="C89" s="147" t="e">
        <f ca="1">(IF($G$60="NA",I87,"All work Completed. OC Received."))</f>
        <v>#REF!</v>
      </c>
      <c r="D89" s="147"/>
      <c r="E89" s="147"/>
      <c r="F89" s="147"/>
      <c r="G89" s="147"/>
      <c r="H89" s="148"/>
      <c r="I89" s="51" t="e">
        <f ca="1">IF(I88&lt;&gt;""," Completed","")</f>
        <v>#REF!</v>
      </c>
      <c r="J89" s="52" t="e">
        <f ca="1">IF(J87&lt;&gt;"","Completed","")</f>
        <v>#REF!</v>
      </c>
    </row>
    <row r="90" spans="1:10" ht="15.75" hidden="1" customHeight="1" x14ac:dyDescent="0.35">
      <c r="A90" s="107" t="s">
        <v>46</v>
      </c>
      <c r="B90" s="108"/>
      <c r="C90" s="43" t="s">
        <v>136</v>
      </c>
      <c r="D90" s="43" t="s">
        <v>79</v>
      </c>
      <c r="E90" s="108" t="s">
        <v>81</v>
      </c>
      <c r="F90" s="108"/>
      <c r="G90" s="108" t="s">
        <v>80</v>
      </c>
      <c r="H90" s="201"/>
      <c r="I90" s="13" t="s">
        <v>138</v>
      </c>
      <c r="J90" s="28" t="e">
        <f ca="1">H88*25%</f>
        <v>#REF!</v>
      </c>
    </row>
    <row r="91" spans="1:10" hidden="1" x14ac:dyDescent="0.35">
      <c r="A91" s="107" t="s">
        <v>125</v>
      </c>
      <c r="B91" s="108"/>
      <c r="C91" s="63">
        <v>0</v>
      </c>
      <c r="D91" s="19" t="e">
        <f ca="1">((100/H88)*C91)/100</f>
        <v>#REF!</v>
      </c>
      <c r="E91" s="202" t="e">
        <f ca="1">(((C92/H88*10)+(40/(D88+F88+H88)*C93)+(7.5/(H88)*C94)+(7.5/(H88)*C95)+(10/H88*C96)+(10/H88*C97)+(5/H88*C98)+(5/H88*C99)+(5/H88*C100))/100)</f>
        <v>#REF!</v>
      </c>
      <c r="F91" s="203"/>
      <c r="G91" s="202" t="e">
        <f ca="1">((((C91/H88)*20)+((C92/H88)*25)+(30/(H88+F88+D88)*C93)+(5/H88*C94)+(5/H88*C95)+(5/H88*C96)+(5/H88*C97)+(0/H88*C98)+(0/H88*C99)+(5/H88*C100))/100)</f>
        <v>#REF!</v>
      </c>
      <c r="H91" s="208"/>
      <c r="I91" s="13" t="s">
        <v>97</v>
      </c>
      <c r="J91" s="29" t="e">
        <f ca="1">H88*50%</f>
        <v>#REF!</v>
      </c>
    </row>
    <row r="92" spans="1:10" hidden="1" x14ac:dyDescent="0.35">
      <c r="A92" s="107" t="s">
        <v>47</v>
      </c>
      <c r="B92" s="108"/>
      <c r="C92" s="64">
        <v>0</v>
      </c>
      <c r="D92" s="19" t="e">
        <f ca="1">((100/H88)*C92)/100</f>
        <v>#REF!</v>
      </c>
      <c r="E92" s="204"/>
      <c r="F92" s="205"/>
      <c r="G92" s="204"/>
      <c r="H92" s="209"/>
      <c r="I92" s="13" t="s">
        <v>98</v>
      </c>
      <c r="J92" s="29" t="e">
        <f ca="1">H88</f>
        <v>#REF!</v>
      </c>
    </row>
    <row r="93" spans="1:10" ht="15.75" hidden="1" customHeight="1" x14ac:dyDescent="0.35">
      <c r="A93" s="107" t="s">
        <v>126</v>
      </c>
      <c r="B93" s="108"/>
      <c r="C93" s="43">
        <v>0</v>
      </c>
      <c r="D93" s="19" t="e">
        <f ca="1">((100/(D88+F88+H88))*C93)/100</f>
        <v>#REF!</v>
      </c>
      <c r="E93" s="204"/>
      <c r="F93" s="205"/>
      <c r="G93" s="204"/>
      <c r="H93" s="209"/>
      <c r="I93" s="13" t="s">
        <v>99</v>
      </c>
      <c r="J93" s="30" t="e">
        <f ca="1">(IF(B88&gt;1,(H88/(B88+2)),H88/4))</f>
        <v>#REF!</v>
      </c>
    </row>
    <row r="94" spans="1:10" ht="15.75" hidden="1" customHeight="1" x14ac:dyDescent="0.35">
      <c r="A94" s="107" t="s">
        <v>133</v>
      </c>
      <c r="B94" s="108" t="s">
        <v>127</v>
      </c>
      <c r="C94" s="62">
        <v>0</v>
      </c>
      <c r="D94" s="19" t="e">
        <f ca="1">((100/H88)*C94)/100</f>
        <v>#REF!</v>
      </c>
      <c r="E94" s="204"/>
      <c r="F94" s="205"/>
      <c r="G94" s="204"/>
      <c r="H94" s="209"/>
      <c r="I94" s="13" t="s">
        <v>100</v>
      </c>
      <c r="J94" s="30" t="e">
        <f ca="1">(IF(B88&gt;1,(H88/(B88+2)+J93),H88/4+J93))</f>
        <v>#REF!</v>
      </c>
    </row>
    <row r="95" spans="1:10" ht="15.75" hidden="1" customHeight="1" x14ac:dyDescent="0.35">
      <c r="A95" s="107" t="s">
        <v>134</v>
      </c>
      <c r="B95" s="108" t="s">
        <v>127</v>
      </c>
      <c r="C95" s="62">
        <v>0</v>
      </c>
      <c r="D95" s="19" t="e">
        <f ca="1">((100/H88)*C95)/100</f>
        <v>#REF!</v>
      </c>
      <c r="E95" s="204"/>
      <c r="F95" s="205"/>
      <c r="G95" s="204"/>
      <c r="H95" s="209"/>
      <c r="I95" s="13" t="s">
        <v>145</v>
      </c>
      <c r="J95" s="30">
        <f>(IF(B88&gt;1,(H88/(B88+2)+J94),0))</f>
        <v>0</v>
      </c>
    </row>
    <row r="96" spans="1:10" ht="15" hidden="1" customHeight="1" x14ac:dyDescent="0.35">
      <c r="A96" s="107" t="s">
        <v>132</v>
      </c>
      <c r="B96" s="108" t="s">
        <v>129</v>
      </c>
      <c r="C96" s="62">
        <v>0</v>
      </c>
      <c r="D96" s="19" t="e">
        <f ca="1">((100/(H88))*C96)/100</f>
        <v>#REF!</v>
      </c>
      <c r="E96" s="204"/>
      <c r="F96" s="205"/>
      <c r="G96" s="204"/>
      <c r="H96" s="209"/>
      <c r="I96" s="13" t="s">
        <v>140</v>
      </c>
      <c r="J96" s="30">
        <f>(IF(B88&gt;2,(H88/(B88+2)+J95),0))</f>
        <v>0</v>
      </c>
    </row>
    <row r="97" spans="1:22" ht="15.75" hidden="1" customHeight="1" x14ac:dyDescent="0.35">
      <c r="A97" s="107" t="s">
        <v>128</v>
      </c>
      <c r="B97" s="108" t="s">
        <v>128</v>
      </c>
      <c r="C97" s="62">
        <v>0</v>
      </c>
      <c r="D97" s="19" t="e">
        <f ca="1">((100/H88)*C97)/100</f>
        <v>#REF!</v>
      </c>
      <c r="E97" s="204"/>
      <c r="F97" s="205"/>
      <c r="G97" s="204"/>
      <c r="H97" s="209"/>
      <c r="I97" s="13" t="s">
        <v>141</v>
      </c>
      <c r="J97" s="31">
        <f>(IF(B88&gt;3,(H88/(B88+2)+J96),0))</f>
        <v>0</v>
      </c>
    </row>
    <row r="98" spans="1:22" ht="15.75" hidden="1" customHeight="1" x14ac:dyDescent="0.35">
      <c r="A98" s="107" t="s">
        <v>135</v>
      </c>
      <c r="B98" s="108"/>
      <c r="C98" s="43">
        <v>0</v>
      </c>
      <c r="D98" s="19" t="e">
        <f ca="1">((100/H88)*C98)/100</f>
        <v>#REF!</v>
      </c>
      <c r="E98" s="204"/>
      <c r="F98" s="205"/>
      <c r="G98" s="204"/>
      <c r="H98" s="209"/>
      <c r="I98" s="13" t="s">
        <v>142</v>
      </c>
      <c r="J98" s="30">
        <f>(IF(B88&gt;4,(H88/(B88+2)+J97),0))</f>
        <v>0</v>
      </c>
    </row>
    <row r="99" spans="1:22" ht="15.75" hidden="1" customHeight="1" x14ac:dyDescent="0.35">
      <c r="A99" s="107" t="s">
        <v>130</v>
      </c>
      <c r="B99" s="108" t="s">
        <v>130</v>
      </c>
      <c r="C99" s="43">
        <v>0</v>
      </c>
      <c r="D99" s="19" t="e">
        <f ca="1">((100/(H88))*C99)/100</f>
        <v>#REF!</v>
      </c>
      <c r="E99" s="204"/>
      <c r="F99" s="205"/>
      <c r="G99" s="204"/>
      <c r="H99" s="209"/>
      <c r="I99" s="13" t="s">
        <v>146</v>
      </c>
      <c r="J99" s="30" t="e">
        <f ca="1">(IF(B88=1,(H88/(B88+3)+J94),IF(B88=0,(H88/4+J94),IF(B88&gt;1,0))))</f>
        <v>#REF!</v>
      </c>
    </row>
    <row r="100" spans="1:22" ht="16" hidden="1" thickBot="1" x14ac:dyDescent="0.4">
      <c r="A100" s="96" t="s">
        <v>131</v>
      </c>
      <c r="B100" s="97"/>
      <c r="C100" s="44">
        <v>0</v>
      </c>
      <c r="D100" s="20" t="e">
        <f ca="1">((100/(H88))*C100)/100</f>
        <v>#REF!</v>
      </c>
      <c r="E100" s="206"/>
      <c r="F100" s="207"/>
      <c r="G100" s="206"/>
      <c r="H100" s="210"/>
      <c r="I100" s="15" t="s">
        <v>101</v>
      </c>
      <c r="J100" s="32" t="e">
        <f ca="1">(IF(B88&gt;1.5,(H88/(B88+2)+J94+MAX(0,J95-J94)+MAX(0,J96-J95)+MAX(0,J97-J96)+MAX(0,J98-J97)+MAX(0,J99-J98)),IF(B88=1,(H88/(B88+3)+J99),IF(B88=0,H88/4+J99))))</f>
        <v>#REF!</v>
      </c>
    </row>
    <row r="101" spans="1:22" x14ac:dyDescent="0.35">
      <c r="A101" s="112" t="s">
        <v>157</v>
      </c>
      <c r="B101" s="112"/>
      <c r="C101" s="112"/>
      <c r="D101" s="112"/>
      <c r="E101" s="112"/>
      <c r="F101" s="115" t="s">
        <v>161</v>
      </c>
      <c r="G101" s="115"/>
      <c r="H101" s="115"/>
      <c r="R101" t="s">
        <v>253</v>
      </c>
      <c r="S101" t="s">
        <v>173</v>
      </c>
      <c r="T101" t="s">
        <v>179</v>
      </c>
      <c r="U101" t="s">
        <v>194</v>
      </c>
      <c r="V101" t="s">
        <v>189</v>
      </c>
    </row>
    <row r="102" spans="1:22" x14ac:dyDescent="0.35">
      <c r="A102" s="95" t="s">
        <v>159</v>
      </c>
      <c r="B102" s="95"/>
      <c r="C102" s="95"/>
      <c r="D102" s="95"/>
      <c r="E102" s="95"/>
      <c r="F102" s="109">
        <v>6100</v>
      </c>
      <c r="G102" s="109"/>
      <c r="H102" s="109"/>
      <c r="I102" s="21" t="s">
        <v>361</v>
      </c>
      <c r="R102"/>
      <c r="S102">
        <v>800000</v>
      </c>
      <c r="T102">
        <v>150000</v>
      </c>
      <c r="U102">
        <v>100000</v>
      </c>
      <c r="V102">
        <v>100000</v>
      </c>
    </row>
    <row r="103" spans="1:22" x14ac:dyDescent="0.35">
      <c r="A103" s="95" t="s">
        <v>158</v>
      </c>
      <c r="B103" s="95"/>
      <c r="C103" s="95"/>
      <c r="D103" s="95"/>
      <c r="E103" s="95"/>
      <c r="F103" s="109">
        <v>11500</v>
      </c>
      <c r="G103" s="109"/>
      <c r="H103" s="109"/>
      <c r="R103"/>
      <c r="S103">
        <v>900000</v>
      </c>
      <c r="T103">
        <v>200000</v>
      </c>
      <c r="U103">
        <v>150000</v>
      </c>
      <c r="V103">
        <v>150000</v>
      </c>
    </row>
    <row r="104" spans="1:22" x14ac:dyDescent="0.35">
      <c r="A104" s="95" t="s">
        <v>160</v>
      </c>
      <c r="B104" s="95"/>
      <c r="C104" s="95"/>
      <c r="D104" s="95"/>
      <c r="E104" s="95"/>
      <c r="F104" s="109">
        <v>8500</v>
      </c>
      <c r="G104" s="109"/>
      <c r="H104" s="109"/>
      <c r="R104"/>
      <c r="S104">
        <v>1000000</v>
      </c>
      <c r="T104">
        <v>250000</v>
      </c>
      <c r="U104">
        <v>200000</v>
      </c>
      <c r="V104">
        <v>200000</v>
      </c>
    </row>
    <row r="105" spans="1:22" s="33" customFormat="1" hidden="1" x14ac:dyDescent="0.35">
      <c r="A105" s="95" t="s">
        <v>176</v>
      </c>
      <c r="B105" s="95"/>
      <c r="C105" s="95"/>
      <c r="D105" s="95"/>
      <c r="E105" s="95"/>
      <c r="F105" s="109"/>
      <c r="G105" s="109"/>
      <c r="H105" s="109"/>
      <c r="R105"/>
      <c r="S105">
        <v>1100000</v>
      </c>
      <c r="T105">
        <v>300000</v>
      </c>
      <c r="U105">
        <v>250000</v>
      </c>
      <c r="V105" s="23">
        <v>250000</v>
      </c>
    </row>
    <row r="106" spans="1:22" s="33" customFormat="1" x14ac:dyDescent="0.35">
      <c r="A106" s="95" t="s">
        <v>91</v>
      </c>
      <c r="B106" s="95"/>
      <c r="C106" s="95"/>
      <c r="D106" s="95"/>
      <c r="E106" s="95"/>
      <c r="F106" s="109">
        <v>200000</v>
      </c>
      <c r="G106" s="109"/>
      <c r="H106" s="109"/>
      <c r="R106"/>
      <c r="S106">
        <v>1200000</v>
      </c>
      <c r="T106">
        <v>350000</v>
      </c>
      <c r="U106">
        <v>300000</v>
      </c>
      <c r="V106">
        <v>300000</v>
      </c>
    </row>
    <row r="107" spans="1:22" s="33" customFormat="1" hidden="1" x14ac:dyDescent="0.35">
      <c r="A107" s="95" t="s">
        <v>92</v>
      </c>
      <c r="B107" s="95"/>
      <c r="C107" s="95"/>
      <c r="D107" s="95"/>
      <c r="E107" s="95"/>
      <c r="F107" s="109"/>
      <c r="G107" s="109"/>
      <c r="H107" s="109"/>
      <c r="R107"/>
      <c r="S107">
        <v>1300000</v>
      </c>
      <c r="T107">
        <v>400000</v>
      </c>
      <c r="U107">
        <v>350000</v>
      </c>
      <c r="V107" s="23">
        <v>400000</v>
      </c>
    </row>
    <row r="108" spans="1:22" s="33" customFormat="1" hidden="1" x14ac:dyDescent="0.35">
      <c r="A108" s="95" t="s">
        <v>93</v>
      </c>
      <c r="B108" s="95"/>
      <c r="C108" s="95"/>
      <c r="D108" s="95"/>
      <c r="E108" s="95"/>
      <c r="F108" s="109"/>
      <c r="G108" s="109"/>
      <c r="H108" s="109"/>
      <c r="R108"/>
      <c r="S108">
        <v>1400000</v>
      </c>
      <c r="T108">
        <v>500000</v>
      </c>
      <c r="U108">
        <v>400000</v>
      </c>
      <c r="V108"/>
    </row>
    <row r="109" spans="1:22" s="33" customFormat="1" hidden="1" x14ac:dyDescent="0.35">
      <c r="A109" s="95" t="s">
        <v>94</v>
      </c>
      <c r="B109" s="95"/>
      <c r="C109" s="95"/>
      <c r="D109" s="95"/>
      <c r="E109" s="95"/>
      <c r="F109" s="109"/>
      <c r="G109" s="109"/>
      <c r="H109" s="109"/>
      <c r="R109"/>
      <c r="S109">
        <v>1500000</v>
      </c>
      <c r="T109">
        <v>600000</v>
      </c>
      <c r="U109">
        <v>500000</v>
      </c>
      <c r="V109" s="23"/>
    </row>
    <row r="110" spans="1:22" s="33" customFormat="1" x14ac:dyDescent="0.35">
      <c r="A110" s="95" t="s">
        <v>95</v>
      </c>
      <c r="B110" s="95"/>
      <c r="C110" s="95"/>
      <c r="D110" s="95"/>
      <c r="E110" s="95"/>
      <c r="F110" s="109">
        <v>50000</v>
      </c>
      <c r="G110" s="109"/>
      <c r="H110" s="109"/>
      <c r="R110"/>
      <c r="S110">
        <v>1600000</v>
      </c>
      <c r="T110">
        <v>700000</v>
      </c>
      <c r="U110">
        <v>600000</v>
      </c>
      <c r="V110"/>
    </row>
    <row r="111" spans="1:22" s="33" customFormat="1" hidden="1" x14ac:dyDescent="0.35">
      <c r="A111" s="95" t="s">
        <v>96</v>
      </c>
      <c r="B111" s="95"/>
      <c r="C111" s="95"/>
      <c r="D111" s="95"/>
      <c r="E111" s="95"/>
      <c r="F111" s="109"/>
      <c r="G111" s="109"/>
      <c r="H111" s="109"/>
      <c r="R111"/>
      <c r="S111">
        <v>1700000</v>
      </c>
      <c r="T111">
        <v>800000</v>
      </c>
      <c r="U111"/>
      <c r="V111" s="23"/>
    </row>
    <row r="112" spans="1:22" x14ac:dyDescent="0.35">
      <c r="A112" s="95" t="s">
        <v>48</v>
      </c>
      <c r="B112" s="95"/>
      <c r="C112" s="95"/>
      <c r="D112" s="95"/>
      <c r="E112" s="95"/>
      <c r="F112" s="109">
        <v>250000</v>
      </c>
      <c r="G112" s="109"/>
      <c r="H112" s="109"/>
      <c r="R112"/>
      <c r="S112">
        <v>1800000</v>
      </c>
      <c r="T112">
        <v>900000</v>
      </c>
      <c r="U112"/>
    </row>
    <row r="113" spans="1:22" s="34" customFormat="1" x14ac:dyDescent="0.35">
      <c r="A113" s="156" t="s">
        <v>49</v>
      </c>
      <c r="B113" s="156"/>
      <c r="C113" s="156"/>
      <c r="D113" s="156"/>
      <c r="E113" s="156"/>
      <c r="F113" s="109">
        <f>F102*0.8</f>
        <v>4880</v>
      </c>
      <c r="G113" s="109"/>
      <c r="H113" s="109"/>
      <c r="R113" s="21"/>
      <c r="S113" s="21"/>
      <c r="T113">
        <v>1000000</v>
      </c>
      <c r="U113"/>
      <c r="V113" s="21"/>
    </row>
    <row r="114" spans="1:22" s="35" customFormat="1" ht="15.75" customHeight="1" x14ac:dyDescent="0.35">
      <c r="A114" s="103" t="s">
        <v>71</v>
      </c>
      <c r="B114" s="103"/>
      <c r="C114" s="103"/>
      <c r="D114" s="103"/>
      <c r="E114" s="103"/>
      <c r="F114" s="103"/>
      <c r="G114" s="103"/>
      <c r="H114" s="103"/>
      <c r="R114"/>
      <c r="S114" s="21"/>
      <c r="T114"/>
      <c r="U114"/>
      <c r="V114" s="21"/>
    </row>
    <row r="115" spans="1:22" s="35" customFormat="1" ht="15.75" customHeight="1" x14ac:dyDescent="0.35">
      <c r="A115" s="200" t="s">
        <v>50</v>
      </c>
      <c r="B115" s="200"/>
      <c r="C115" s="105" t="s">
        <v>74</v>
      </c>
      <c r="D115" s="105"/>
      <c r="E115" s="117" t="s">
        <v>51</v>
      </c>
      <c r="F115" s="117"/>
      <c r="G115" s="200" t="s">
        <v>52</v>
      </c>
      <c r="H115" s="200"/>
      <c r="R115"/>
      <c r="S115" s="21"/>
      <c r="T115"/>
      <c r="U115" s="21"/>
      <c r="V115" s="21"/>
    </row>
    <row r="116" spans="1:22" s="35" customFormat="1" x14ac:dyDescent="0.35">
      <c r="A116" s="198" t="s">
        <v>335</v>
      </c>
      <c r="B116" s="198"/>
      <c r="C116" s="101">
        <f>COUNT(D129:D133)</f>
        <v>5</v>
      </c>
      <c r="D116" s="102"/>
      <c r="E116" s="101">
        <f t="shared" ref="E116" si="0">SUM(F129:F133)</f>
        <v>1349.3965679999999</v>
      </c>
      <c r="F116" s="102"/>
      <c r="G116" s="101">
        <f t="shared" ref="G116" si="1">SUM(H129:H133)</f>
        <v>2024.0948520000002</v>
      </c>
      <c r="H116" s="102"/>
      <c r="R116"/>
      <c r="S116" s="21"/>
      <c r="T116"/>
      <c r="U116" s="21"/>
      <c r="V116" s="21"/>
    </row>
    <row r="117" spans="1:22" s="35" customFormat="1" x14ac:dyDescent="0.35">
      <c r="A117" s="198" t="s">
        <v>336</v>
      </c>
      <c r="B117" s="198"/>
      <c r="C117" s="101">
        <f>COUNT(D135:D136)</f>
        <v>2</v>
      </c>
      <c r="D117" s="102"/>
      <c r="E117" s="101">
        <f t="shared" ref="E117" si="2">SUM(F135:F136)</f>
        <v>1122.329988</v>
      </c>
      <c r="F117" s="102"/>
      <c r="G117" s="101">
        <f t="shared" ref="G117" si="3">SUM(H135:H136)</f>
        <v>1683.4949819999997</v>
      </c>
      <c r="H117" s="102"/>
      <c r="R117"/>
      <c r="S117" s="21"/>
      <c r="T117"/>
      <c r="U117" s="21"/>
      <c r="V117" s="21"/>
    </row>
    <row r="118" spans="1:22" s="35" customFormat="1" x14ac:dyDescent="0.35">
      <c r="A118" s="103" t="s">
        <v>150</v>
      </c>
      <c r="B118" s="103"/>
      <c r="C118" s="104">
        <f>SUM(C116:D117)</f>
        <v>7</v>
      </c>
      <c r="D118" s="105"/>
      <c r="E118" s="104">
        <f t="shared" ref="E118" si="4">SUM(E116:F117)</f>
        <v>2471.7265559999996</v>
      </c>
      <c r="F118" s="105"/>
      <c r="G118" s="104">
        <f t="shared" ref="G118" si="5">SUM(G116:H117)</f>
        <v>3707.5898339999999</v>
      </c>
      <c r="H118" s="105"/>
      <c r="R118"/>
      <c r="S118" s="21"/>
      <c r="T118"/>
      <c r="U118" s="21"/>
      <c r="V118" s="21"/>
    </row>
    <row r="119" spans="1:22" s="35" customFormat="1" x14ac:dyDescent="0.35">
      <c r="A119" s="103" t="s">
        <v>66</v>
      </c>
      <c r="B119" s="103"/>
      <c r="C119" s="103"/>
      <c r="D119" s="103"/>
      <c r="E119" s="103"/>
      <c r="F119" s="103"/>
      <c r="G119" s="103"/>
      <c r="H119" s="103"/>
      <c r="T119"/>
    </row>
    <row r="120" spans="1:22" s="35" customFormat="1" ht="15.75" customHeight="1" x14ac:dyDescent="0.35">
      <c r="A120" s="200" t="s">
        <v>50</v>
      </c>
      <c r="B120" s="200"/>
      <c r="C120" s="105" t="s">
        <v>74</v>
      </c>
      <c r="D120" s="105"/>
      <c r="E120" s="117" t="s">
        <v>51</v>
      </c>
      <c r="F120" s="117"/>
      <c r="G120" s="200" t="s">
        <v>52</v>
      </c>
      <c r="H120" s="200"/>
      <c r="T120"/>
    </row>
    <row r="121" spans="1:22" s="35" customFormat="1" x14ac:dyDescent="0.35">
      <c r="A121" s="198" t="s">
        <v>337</v>
      </c>
      <c r="B121" s="198"/>
      <c r="C121" s="101">
        <f>COUNT(D141:D144)+COUNT(D149:D155)+COUNT(D157:D163)*2+COUNT(D165:D170)+COUNT(D172:D178)+COUNT(D180:D181)+COUNT(D182:D185)</f>
        <v>44</v>
      </c>
      <c r="D121" s="101"/>
      <c r="E121" s="101">
        <f>SUM(F141:F144)+SUM(F149:F155)+SUM(F157:F163)*2+SUM(F165:F170)+SUM(F172:F178)+SUM(F180:F181)+SUM(F182:F185)</f>
        <v>16772.809248000001</v>
      </c>
      <c r="F121" s="101"/>
      <c r="G121" s="101">
        <f>SUM(H141:H144)+SUM(H149:H155)+SUM(H157:H163)*2+SUM(H165:H170)+SUM(H172:H178)+SUM(H180:H181)+SUM(H182:H185)</f>
        <v>25634.740482000005</v>
      </c>
      <c r="H121" s="101"/>
      <c r="T121"/>
    </row>
    <row r="122" spans="1:22" s="35" customFormat="1" ht="16" thickBot="1" x14ac:dyDescent="0.4">
      <c r="A122" s="98" t="s">
        <v>150</v>
      </c>
      <c r="B122" s="98"/>
      <c r="C122" s="99">
        <f>SUM(C121)</f>
        <v>44</v>
      </c>
      <c r="D122" s="100"/>
      <c r="E122" s="99">
        <f t="shared" ref="E122" si="6">SUM(E121)</f>
        <v>16772.809248000001</v>
      </c>
      <c r="F122" s="100"/>
      <c r="G122" s="99">
        <f t="shared" ref="G122" si="7">SUM(G121)</f>
        <v>25634.740482000005</v>
      </c>
      <c r="H122" s="100"/>
      <c r="T122"/>
    </row>
    <row r="123" spans="1:22" s="35" customFormat="1" ht="16" thickBot="1" x14ac:dyDescent="0.4">
      <c r="A123" s="222" t="s">
        <v>167</v>
      </c>
      <c r="B123" s="223"/>
      <c r="C123" s="224">
        <f>C118+C122</f>
        <v>51</v>
      </c>
      <c r="D123" s="224"/>
      <c r="E123" s="120">
        <f>E118+E122</f>
        <v>19244.535803999999</v>
      </c>
      <c r="F123" s="120"/>
      <c r="G123" s="131">
        <f>G118+G122</f>
        <v>29342.330316000003</v>
      </c>
      <c r="H123" s="132"/>
      <c r="T123"/>
    </row>
    <row r="124" spans="1:22" s="34" customFormat="1" x14ac:dyDescent="0.35">
      <c r="A124" s="115" t="s">
        <v>53</v>
      </c>
      <c r="B124" s="115"/>
      <c r="C124" s="115"/>
      <c r="D124" s="115"/>
      <c r="E124" s="115"/>
      <c r="F124" s="115"/>
      <c r="G124" s="115"/>
      <c r="H124" s="115"/>
      <c r="T124" s="35"/>
    </row>
    <row r="125" spans="1:22" s="23" customFormat="1" x14ac:dyDescent="0.35">
      <c r="A125" s="239" t="s">
        <v>175</v>
      </c>
      <c r="B125" s="239"/>
      <c r="C125" s="239"/>
      <c r="D125" s="239"/>
      <c r="E125" s="239"/>
      <c r="F125" s="239"/>
      <c r="G125" s="239"/>
      <c r="H125" s="239"/>
      <c r="T125" s="86"/>
    </row>
    <row r="126" spans="1:22" s="23" customFormat="1" ht="47.25" customHeight="1" x14ac:dyDescent="0.35">
      <c r="A126" s="110" t="s">
        <v>359</v>
      </c>
      <c r="B126" s="110" t="s">
        <v>177</v>
      </c>
      <c r="C126" s="110" t="s">
        <v>54</v>
      </c>
      <c r="D126" s="110" t="s">
        <v>232</v>
      </c>
      <c r="E126" s="113" t="s">
        <v>156</v>
      </c>
      <c r="F126" s="110" t="s">
        <v>55</v>
      </c>
      <c r="G126" s="113" t="s">
        <v>56</v>
      </c>
      <c r="H126" s="82" t="s">
        <v>148</v>
      </c>
      <c r="T126" s="86"/>
    </row>
    <row r="127" spans="1:22" s="84" customFormat="1" x14ac:dyDescent="0.35">
      <c r="A127" s="111"/>
      <c r="B127" s="111"/>
      <c r="C127" s="111"/>
      <c r="D127" s="111"/>
      <c r="E127" s="114"/>
      <c r="F127" s="111"/>
      <c r="G127" s="114"/>
      <c r="H127" s="85">
        <v>0.5</v>
      </c>
      <c r="T127" s="86"/>
    </row>
    <row r="128" spans="1:22" s="37" customFormat="1" x14ac:dyDescent="0.35">
      <c r="A128" s="127" t="s">
        <v>316</v>
      </c>
      <c r="B128" s="127"/>
      <c r="C128" s="127"/>
      <c r="D128" s="127"/>
      <c r="E128" s="127"/>
      <c r="F128" s="127"/>
      <c r="G128" s="127"/>
      <c r="H128" s="127"/>
      <c r="J128" s="75">
        <f>10.764</f>
        <v>10.763999999999999</v>
      </c>
      <c r="T128" s="35"/>
    </row>
    <row r="129" spans="1:20" s="37" customFormat="1" ht="15.75" customHeight="1" x14ac:dyDescent="0.35">
      <c r="A129" s="106">
        <v>1</v>
      </c>
      <c r="B129" s="106"/>
      <c r="C129" s="87" t="s">
        <v>315</v>
      </c>
      <c r="D129" s="75">
        <f>(16.963)*(10.764)</f>
        <v>182.589732</v>
      </c>
      <c r="E129" s="87">
        <v>0</v>
      </c>
      <c r="F129" s="87">
        <f>D129+(IF(E129&lt;201,E129,IF(E129&lt;301,E129/2,E129/3)))</f>
        <v>182.589732</v>
      </c>
      <c r="G129" s="65">
        <v>0</v>
      </c>
      <c r="H129" s="87">
        <f>(F129+(IF(G129&lt;101,G129,IF(G129&lt;201,G129/2,IF(G129&lt;=301,G129/3,G129/4)))))*(($H$127)+1)</f>
        <v>273.88459799999998</v>
      </c>
      <c r="I129" s="36">
        <f>2.95*5.75</f>
        <v>16.962500000000002</v>
      </c>
      <c r="L129" s="128"/>
      <c r="M129" s="128"/>
      <c r="N129" s="36"/>
      <c r="T129" s="35"/>
    </row>
    <row r="130" spans="1:20" s="37" customFormat="1" ht="15.75" customHeight="1" x14ac:dyDescent="0.35">
      <c r="A130" s="106">
        <f>A129+1</f>
        <v>2</v>
      </c>
      <c r="B130" s="106"/>
      <c r="C130" s="87" t="s">
        <v>315</v>
      </c>
      <c r="D130" s="75">
        <f>(33.375)*(10.764)</f>
        <v>359.24849999999998</v>
      </c>
      <c r="E130" s="87">
        <v>0</v>
      </c>
      <c r="F130" s="87">
        <f t="shared" ref="F130:F132" si="8">D130+(IF(E130&lt;201,E130,IF(E130&lt;301,E130/2,E130/3)))</f>
        <v>359.24849999999998</v>
      </c>
      <c r="G130" s="87">
        <v>0</v>
      </c>
      <c r="H130" s="87">
        <f t="shared" ref="H130:H132" si="9">(F130+(IF(G130&lt;101,G130,IF(G130&lt;201,G130/2,IF(G130&lt;=301,G130/3,G130/4)))))*(($H$127)+1)</f>
        <v>538.87275</v>
      </c>
      <c r="I130" s="36"/>
      <c r="L130" s="128"/>
      <c r="M130" s="128"/>
      <c r="N130" s="36"/>
      <c r="T130" s="34"/>
    </row>
    <row r="131" spans="1:20" s="37" customFormat="1" ht="15.75" customHeight="1" x14ac:dyDescent="0.35">
      <c r="A131" s="106">
        <f>A130+1</f>
        <v>3</v>
      </c>
      <c r="B131" s="106"/>
      <c r="C131" s="87" t="s">
        <v>315</v>
      </c>
      <c r="D131" s="75">
        <f>(25.38)*(10.764)</f>
        <v>273.19031999999999</v>
      </c>
      <c r="E131" s="87">
        <v>0</v>
      </c>
      <c r="F131" s="87">
        <f t="shared" si="8"/>
        <v>273.19031999999999</v>
      </c>
      <c r="G131" s="87">
        <v>0</v>
      </c>
      <c r="H131" s="87">
        <f t="shared" si="9"/>
        <v>409.78548000000001</v>
      </c>
      <c r="I131" s="36"/>
      <c r="L131" s="128"/>
      <c r="M131" s="128"/>
      <c r="N131" s="36"/>
      <c r="T131" s="21"/>
    </row>
    <row r="132" spans="1:20" s="37" customFormat="1" ht="15.75" customHeight="1" x14ac:dyDescent="0.35">
      <c r="A132" s="106">
        <f>A131+1</f>
        <v>4</v>
      </c>
      <c r="B132" s="106"/>
      <c r="C132" s="87" t="s">
        <v>315</v>
      </c>
      <c r="D132" s="75">
        <f>(23.38)*(10.764)</f>
        <v>251.66231999999997</v>
      </c>
      <c r="E132" s="87">
        <v>0</v>
      </c>
      <c r="F132" s="87">
        <f t="shared" si="8"/>
        <v>251.66231999999997</v>
      </c>
      <c r="G132" s="87">
        <v>0</v>
      </c>
      <c r="H132" s="87">
        <f t="shared" si="9"/>
        <v>377.49347999999998</v>
      </c>
      <c r="I132" s="36">
        <f>2.7*8.4</f>
        <v>22.680000000000003</v>
      </c>
      <c r="L132" s="128"/>
      <c r="M132" s="128"/>
      <c r="N132" s="36"/>
      <c r="T132" s="21"/>
    </row>
    <row r="133" spans="1:20" s="71" customFormat="1" ht="15.75" customHeight="1" x14ac:dyDescent="0.35">
      <c r="A133" s="106">
        <f>A132+1</f>
        <v>5</v>
      </c>
      <c r="B133" s="106"/>
      <c r="C133" s="87" t="s">
        <v>315</v>
      </c>
      <c r="D133" s="75">
        <f>(26.264)*(10.764)</f>
        <v>282.70569599999999</v>
      </c>
      <c r="E133" s="87">
        <v>0</v>
      </c>
      <c r="F133" s="87">
        <f t="shared" ref="F133" si="10">D133+(IF(E133&lt;201,E133,IF(E133&lt;301,E133/2,E133/3)))</f>
        <v>282.70569599999999</v>
      </c>
      <c r="G133" s="87">
        <v>0</v>
      </c>
      <c r="H133" s="87">
        <f t="shared" ref="H133" si="11">(F133+(IF(G133&lt;101,G133,IF(G133&lt;201,G133/2,IF(G133&lt;=301,G133/3,G133/4)))))*(($H$127)+1)</f>
        <v>424.05854399999998</v>
      </c>
      <c r="I133" s="36"/>
      <c r="L133" s="128"/>
      <c r="M133" s="128"/>
      <c r="N133" s="36"/>
      <c r="T133" s="21"/>
    </row>
    <row r="134" spans="1:20" s="71" customFormat="1" x14ac:dyDescent="0.35">
      <c r="A134" s="127" t="s">
        <v>317</v>
      </c>
      <c r="B134" s="127"/>
      <c r="C134" s="127"/>
      <c r="D134" s="127"/>
      <c r="E134" s="127"/>
      <c r="F134" s="127"/>
      <c r="G134" s="127"/>
      <c r="H134" s="127"/>
      <c r="J134" s="36"/>
      <c r="T134" s="35"/>
    </row>
    <row r="135" spans="1:20" s="71" customFormat="1" ht="15.75" customHeight="1" x14ac:dyDescent="0.35">
      <c r="A135" s="93">
        <v>1</v>
      </c>
      <c r="B135" s="94"/>
      <c r="C135" s="70" t="s">
        <v>318</v>
      </c>
      <c r="D135" s="75">
        <f>(42.55)*(10.764)</f>
        <v>458.00819999999993</v>
      </c>
      <c r="E135" s="70">
        <v>0</v>
      </c>
      <c r="F135" s="70">
        <f>D135+(IF(E135&lt;201,E135,IF(E135&lt;301,E135/2,E135/3)))</f>
        <v>458.00819999999993</v>
      </c>
      <c r="G135" s="65">
        <v>0</v>
      </c>
      <c r="H135" s="70">
        <f>(F135+(IF(G135&lt;101,G135,IF(G135&lt;201,G135/2,IF(G135&lt;=301,G135/3,G135/4)))))*(($H$127)+1)</f>
        <v>687.01229999999987</v>
      </c>
      <c r="I135" s="36">
        <f>6.75*5.6+1.9*2.4</f>
        <v>42.36</v>
      </c>
      <c r="L135" s="128"/>
      <c r="M135" s="128"/>
      <c r="N135" s="36"/>
      <c r="T135" s="35"/>
    </row>
    <row r="136" spans="1:20" s="71" customFormat="1" ht="15.75" customHeight="1" x14ac:dyDescent="0.35">
      <c r="A136" s="93">
        <f>A135+1</f>
        <v>2</v>
      </c>
      <c r="B136" s="94"/>
      <c r="C136" s="70" t="s">
        <v>318</v>
      </c>
      <c r="D136" s="75">
        <f>(61.717)*(10.764)</f>
        <v>664.32178799999997</v>
      </c>
      <c r="E136" s="70">
        <v>0</v>
      </c>
      <c r="F136" s="70">
        <f t="shared" ref="F136" si="12">D136+(IF(E136&lt;201,E136,IF(E136&lt;301,E136/2,E136/3)))</f>
        <v>664.32178799999997</v>
      </c>
      <c r="G136" s="70">
        <v>0</v>
      </c>
      <c r="H136" s="70">
        <f t="shared" ref="H136" si="13">(F136+(IF(G136&lt;101,G136,IF(G136&lt;201,G136/2,IF(G136&lt;=301,G136/3,G136/4)))))*(($H$127)+1)</f>
        <v>996.48268199999995</v>
      </c>
      <c r="I136" s="73"/>
      <c r="L136" s="128"/>
      <c r="M136" s="128"/>
      <c r="N136" s="36"/>
      <c r="T136" s="34"/>
    </row>
    <row r="137" spans="1:20" s="37" customFormat="1" x14ac:dyDescent="0.35">
      <c r="A137" s="93"/>
      <c r="B137" s="116"/>
      <c r="C137" s="116"/>
      <c r="D137" s="116"/>
      <c r="E137" s="116"/>
      <c r="F137" s="116"/>
      <c r="G137" s="116"/>
      <c r="H137" s="94"/>
      <c r="I137" s="36"/>
      <c r="N137" s="36"/>
    </row>
    <row r="138" spans="1:20" s="23" customFormat="1" ht="47.25" customHeight="1" x14ac:dyDescent="0.35">
      <c r="A138" s="118" t="s">
        <v>358</v>
      </c>
      <c r="B138" s="110" t="s">
        <v>178</v>
      </c>
      <c r="C138" s="110" t="s">
        <v>54</v>
      </c>
      <c r="D138" s="110" t="s">
        <v>232</v>
      </c>
      <c r="E138" s="110" t="s">
        <v>354</v>
      </c>
      <c r="F138" s="110" t="s">
        <v>55</v>
      </c>
      <c r="G138" s="113" t="s">
        <v>56</v>
      </c>
      <c r="H138" s="82" t="s">
        <v>148</v>
      </c>
      <c r="I138" s="83"/>
      <c r="T138" s="84"/>
    </row>
    <row r="139" spans="1:20" s="84" customFormat="1" x14ac:dyDescent="0.35">
      <c r="A139" s="119"/>
      <c r="B139" s="111"/>
      <c r="C139" s="111"/>
      <c r="D139" s="111"/>
      <c r="E139" s="111"/>
      <c r="F139" s="111"/>
      <c r="G139" s="114"/>
      <c r="H139" s="85">
        <v>0.5</v>
      </c>
      <c r="I139" s="83"/>
    </row>
    <row r="140" spans="1:20" s="71" customFormat="1" x14ac:dyDescent="0.35">
      <c r="A140" s="127" t="s">
        <v>319</v>
      </c>
      <c r="B140" s="127"/>
      <c r="C140" s="127"/>
      <c r="D140" s="127"/>
      <c r="E140" s="127"/>
      <c r="F140" s="127"/>
      <c r="G140" s="127"/>
      <c r="H140" s="127"/>
      <c r="I140" s="36"/>
      <c r="L140" s="128"/>
      <c r="M140" s="128"/>
    </row>
    <row r="141" spans="1:20" s="71" customFormat="1" x14ac:dyDescent="0.35">
      <c r="A141" s="106">
        <f>LEFT(A140,SUM(LEN(A140)-LEN(SUBSTITUTE(A140,{"0","1","2","3","4","5","6","7","8","9"},""))))*100+1</f>
        <v>101</v>
      </c>
      <c r="B141" s="106"/>
      <c r="C141" s="70" t="s">
        <v>322</v>
      </c>
      <c r="D141" s="75">
        <f>(29.28)*(10.764)</f>
        <v>315.16991999999999</v>
      </c>
      <c r="E141" s="75">
        <f>(10.68)*(10.764)</f>
        <v>114.95951999999998</v>
      </c>
      <c r="F141" s="70">
        <f>D141+E141</f>
        <v>430.12943999999999</v>
      </c>
      <c r="G141" s="70">
        <v>0</v>
      </c>
      <c r="H141" s="70">
        <f>F141*(($H$139)+1)+(IF(G141&lt;101,G141,IF(G141&lt;201,G141/2,IF(G141&lt;=301,G141/3,G141/4))))</f>
        <v>645.19416000000001</v>
      </c>
      <c r="I141" s="36">
        <f>(3.95*2.7+2.15*2.2+3*2.7+0.9*1.2+1.25*1.2+0.9*2.3)</f>
        <v>28.145000000000003</v>
      </c>
      <c r="J141" s="36">
        <f>1*(2.88+3.25+2.15+2.25)</f>
        <v>10.53</v>
      </c>
      <c r="N141" s="36"/>
    </row>
    <row r="142" spans="1:20" s="71" customFormat="1" x14ac:dyDescent="0.35">
      <c r="A142" s="106">
        <f t="shared" ref="A142:A147" si="14">A141+1</f>
        <v>102</v>
      </c>
      <c r="B142" s="106"/>
      <c r="C142" s="70" t="s">
        <v>322</v>
      </c>
      <c r="D142" s="75">
        <f>(29.28)*(10.764)</f>
        <v>315.16991999999999</v>
      </c>
      <c r="E142" s="75">
        <f>(10.4)*(10.764)</f>
        <v>111.9456</v>
      </c>
      <c r="F142" s="70">
        <f>D142+E142</f>
        <v>427.11552</v>
      </c>
      <c r="G142" s="70">
        <v>0</v>
      </c>
      <c r="H142" s="70">
        <f>F142*(($H$139)+1)+(IF(G142&lt;101,G142,IF(G142&lt;201,G142/2,IF(G142&lt;=301,G142/3,G142/4))))</f>
        <v>640.67327999999998</v>
      </c>
      <c r="I142" s="36"/>
      <c r="N142" s="36"/>
    </row>
    <row r="143" spans="1:20" s="71" customFormat="1" x14ac:dyDescent="0.35">
      <c r="A143" s="106">
        <f t="shared" si="14"/>
        <v>103</v>
      </c>
      <c r="B143" s="106"/>
      <c r="C143" s="70" t="s">
        <v>323</v>
      </c>
      <c r="D143" s="75">
        <f>(18.725)*(10.764)</f>
        <v>201.55590000000001</v>
      </c>
      <c r="E143" s="75">
        <f>0*(10.764)</f>
        <v>0</v>
      </c>
      <c r="F143" s="70">
        <f>D143+E143</f>
        <v>201.55590000000001</v>
      </c>
      <c r="G143" s="70">
        <v>0</v>
      </c>
      <c r="H143" s="70">
        <f>F143*(($H$139)+1)+(IF(G143&lt;101,G143,IF(G143&lt;201,G143/2,IF(G143&lt;=301,G143/3,G143/4))))</f>
        <v>302.33384999999998</v>
      </c>
      <c r="I143" s="36">
        <f>(4.05*2.7+2.1*1.8+1.2*1.4+0.9*1.2+0.9*0.9)</f>
        <v>18.285</v>
      </c>
      <c r="N143" s="36"/>
    </row>
    <row r="144" spans="1:20" s="71" customFormat="1" x14ac:dyDescent="0.35">
      <c r="A144" s="106">
        <f t="shared" si="14"/>
        <v>104</v>
      </c>
      <c r="B144" s="106"/>
      <c r="C144" s="70" t="s">
        <v>324</v>
      </c>
      <c r="D144" s="75">
        <f>(22.263)*(10.764)</f>
        <v>239.63893200000001</v>
      </c>
      <c r="E144" s="75">
        <f>0*(10.764)</f>
        <v>0</v>
      </c>
      <c r="F144" s="70">
        <f>D144+E144</f>
        <v>239.63893200000001</v>
      </c>
      <c r="G144" s="70">
        <v>0</v>
      </c>
      <c r="H144" s="70">
        <f>F144*(($H$139)+1)+(IF(G144&lt;101,G144,IF(G144&lt;201,G144/2,IF(G144&lt;=301,G144/3,G144/4))))</f>
        <v>359.45839799999999</v>
      </c>
      <c r="I144" s="36"/>
      <c r="N144" s="36"/>
    </row>
    <row r="145" spans="1:14" s="71" customFormat="1" x14ac:dyDescent="0.35">
      <c r="A145" s="106">
        <f t="shared" si="14"/>
        <v>105</v>
      </c>
      <c r="B145" s="106"/>
      <c r="C145" s="121" t="s">
        <v>320</v>
      </c>
      <c r="D145" s="122"/>
      <c r="E145" s="122"/>
      <c r="F145" s="122"/>
      <c r="G145" s="122"/>
      <c r="H145" s="123"/>
      <c r="I145" s="36"/>
      <c r="N145" s="36"/>
    </row>
    <row r="146" spans="1:14" s="71" customFormat="1" x14ac:dyDescent="0.35">
      <c r="A146" s="106">
        <f t="shared" si="14"/>
        <v>106</v>
      </c>
      <c r="B146" s="106"/>
      <c r="C146" s="124"/>
      <c r="D146" s="125"/>
      <c r="E146" s="125"/>
      <c r="F146" s="125"/>
      <c r="G146" s="125"/>
      <c r="H146" s="126"/>
      <c r="I146" s="36"/>
      <c r="N146" s="36"/>
    </row>
    <row r="147" spans="1:14" s="71" customFormat="1" x14ac:dyDescent="0.35">
      <c r="A147" s="106">
        <f t="shared" si="14"/>
        <v>107</v>
      </c>
      <c r="B147" s="106"/>
      <c r="C147" s="93" t="s">
        <v>321</v>
      </c>
      <c r="D147" s="116"/>
      <c r="E147" s="116"/>
      <c r="F147" s="116"/>
      <c r="G147" s="116"/>
      <c r="H147" s="94"/>
      <c r="I147" s="36"/>
      <c r="N147" s="36"/>
    </row>
    <row r="148" spans="1:14" s="71" customFormat="1" x14ac:dyDescent="0.35">
      <c r="A148" s="127" t="s">
        <v>325</v>
      </c>
      <c r="B148" s="127"/>
      <c r="C148" s="127"/>
      <c r="D148" s="127"/>
      <c r="E148" s="127"/>
      <c r="F148" s="127"/>
      <c r="G148" s="127"/>
      <c r="H148" s="127"/>
      <c r="I148" s="36"/>
      <c r="L148" s="128"/>
      <c r="M148" s="128"/>
    </row>
    <row r="149" spans="1:14" s="71" customFormat="1" x14ac:dyDescent="0.35">
      <c r="A149" s="106">
        <f>LEFT(A148,SUM(LEN(A148)-LEN(SUBSTITUTE(A148,{"0","1","2","3","4","5","6","7","8","9"},""))))*100+1</f>
        <v>201</v>
      </c>
      <c r="B149" s="106"/>
      <c r="C149" s="70" t="s">
        <v>322</v>
      </c>
      <c r="D149" s="75">
        <f>(29.28)*(10.764)</f>
        <v>315.16991999999999</v>
      </c>
      <c r="E149" s="75">
        <f>(10.68)*(10.764)</f>
        <v>114.95951999999998</v>
      </c>
      <c r="F149" s="70">
        <f t="shared" ref="F149:F155" si="15">D149+E149</f>
        <v>430.12943999999999</v>
      </c>
      <c r="G149" s="74">
        <v>0</v>
      </c>
      <c r="H149" s="70">
        <f t="shared" ref="H149:H155" si="16">F149*(($H$139)+1)+(IF(G149&lt;101,G149,IF(G149&lt;201,G149/2,IF(G149&lt;=301,G149/3,G149/4))))</f>
        <v>645.19416000000001</v>
      </c>
      <c r="I149" s="36"/>
      <c r="N149" s="36"/>
    </row>
    <row r="150" spans="1:14" s="71" customFormat="1" x14ac:dyDescent="0.35">
      <c r="A150" s="106">
        <f t="shared" ref="A150:A155" si="17">A149+1</f>
        <v>202</v>
      </c>
      <c r="B150" s="106"/>
      <c r="C150" s="70" t="s">
        <v>322</v>
      </c>
      <c r="D150" s="75">
        <f>(29.28)*(10.764)</f>
        <v>315.16991999999999</v>
      </c>
      <c r="E150" s="75">
        <f>(10.4)*(10.764)</f>
        <v>111.9456</v>
      </c>
      <c r="F150" s="70">
        <f t="shared" si="15"/>
        <v>427.11552</v>
      </c>
      <c r="G150" s="74">
        <v>0</v>
      </c>
      <c r="H150" s="70">
        <f t="shared" si="16"/>
        <v>640.67327999999998</v>
      </c>
      <c r="I150" s="36"/>
      <c r="N150" s="36"/>
    </row>
    <row r="151" spans="1:14" s="71" customFormat="1" x14ac:dyDescent="0.35">
      <c r="A151" s="106">
        <f t="shared" si="17"/>
        <v>203</v>
      </c>
      <c r="B151" s="106"/>
      <c r="C151" s="70" t="s">
        <v>323</v>
      </c>
      <c r="D151" s="75">
        <f>(18.725)*(10.764)</f>
        <v>201.55590000000001</v>
      </c>
      <c r="E151" s="75">
        <f>0*(10.764)</f>
        <v>0</v>
      </c>
      <c r="F151" s="70">
        <f t="shared" si="15"/>
        <v>201.55590000000001</v>
      </c>
      <c r="G151" s="74">
        <v>0</v>
      </c>
      <c r="H151" s="70">
        <f t="shared" si="16"/>
        <v>302.33384999999998</v>
      </c>
      <c r="I151" s="36"/>
      <c r="N151" s="36"/>
    </row>
    <row r="152" spans="1:14" s="71" customFormat="1" x14ac:dyDescent="0.35">
      <c r="A152" s="106">
        <f t="shared" si="17"/>
        <v>204</v>
      </c>
      <c r="B152" s="106"/>
      <c r="C152" s="70" t="s">
        <v>322</v>
      </c>
      <c r="D152" s="75">
        <f>(29.985)*(10.764)</f>
        <v>322.75853999999998</v>
      </c>
      <c r="E152" s="75">
        <f>0*(10.764)</f>
        <v>0</v>
      </c>
      <c r="F152" s="70">
        <f t="shared" si="15"/>
        <v>322.75853999999998</v>
      </c>
      <c r="G152" s="75">
        <f>(2.47*2.5+1.3*2.7)*(10.764)</f>
        <v>104.24934</v>
      </c>
      <c r="H152" s="70">
        <f t="shared" si="16"/>
        <v>536.26247999999998</v>
      </c>
      <c r="I152" s="36">
        <f>(4.05*2.7+2.1*2.15+3*2.7+1.05*0.9+1.3*1.2+1*0.9+0.9*2.1)</f>
        <v>28.844999999999999</v>
      </c>
      <c r="J152" s="72"/>
      <c r="N152" s="36"/>
    </row>
    <row r="153" spans="1:14" s="71" customFormat="1" x14ac:dyDescent="0.35">
      <c r="A153" s="106">
        <f t="shared" si="17"/>
        <v>205</v>
      </c>
      <c r="B153" s="106"/>
      <c r="C153" s="70" t="s">
        <v>322</v>
      </c>
      <c r="D153" s="75">
        <f>(29.826)*(10.764)</f>
        <v>321.04706399999998</v>
      </c>
      <c r="E153" s="75">
        <f>0*(10.764)</f>
        <v>0</v>
      </c>
      <c r="F153" s="70">
        <f t="shared" si="15"/>
        <v>321.04706399999998</v>
      </c>
      <c r="G153" s="75">
        <f>(1*(2.7+3.07+2.8))*(10.764)</f>
        <v>92.247479999999996</v>
      </c>
      <c r="H153" s="70">
        <f t="shared" si="16"/>
        <v>573.81807600000002</v>
      </c>
      <c r="I153" s="36"/>
      <c r="N153" s="36"/>
    </row>
    <row r="154" spans="1:14" s="71" customFormat="1" x14ac:dyDescent="0.35">
      <c r="A154" s="106">
        <f t="shared" si="17"/>
        <v>206</v>
      </c>
      <c r="B154" s="106"/>
      <c r="C154" s="70" t="s">
        <v>322</v>
      </c>
      <c r="D154" s="75">
        <f>(29.6)*(10.764)</f>
        <v>318.61439999999999</v>
      </c>
      <c r="E154" s="75">
        <f>0*(10.764)</f>
        <v>0</v>
      </c>
      <c r="F154" s="70">
        <f t="shared" si="15"/>
        <v>318.61439999999999</v>
      </c>
      <c r="G154" s="75">
        <f>(1*4+1.7*3)*(10.764)</f>
        <v>97.952399999999997</v>
      </c>
      <c r="H154" s="70">
        <f t="shared" si="16"/>
        <v>575.87400000000002</v>
      </c>
      <c r="I154" s="36"/>
      <c r="N154" s="36"/>
    </row>
    <row r="155" spans="1:14" s="71" customFormat="1" x14ac:dyDescent="0.35">
      <c r="A155" s="106">
        <f t="shared" si="17"/>
        <v>207</v>
      </c>
      <c r="B155" s="106"/>
      <c r="C155" s="70" t="s">
        <v>322</v>
      </c>
      <c r="D155" s="75">
        <f>(29.495)*(10.764)</f>
        <v>317.48417999999998</v>
      </c>
      <c r="E155" s="75">
        <f>0*(10.764)</f>
        <v>0</v>
      </c>
      <c r="F155" s="70">
        <f t="shared" si="15"/>
        <v>317.48417999999998</v>
      </c>
      <c r="G155" s="75">
        <f>(2.4*2.5+1.2*2.2+4.7*1.8)*(10.764)</f>
        <v>184.06440000000001</v>
      </c>
      <c r="H155" s="70">
        <f t="shared" si="16"/>
        <v>568.25846999999999</v>
      </c>
      <c r="I155" s="36"/>
      <c r="N155" s="36"/>
    </row>
    <row r="156" spans="1:14" s="71" customFormat="1" x14ac:dyDescent="0.35">
      <c r="A156" s="195" t="s">
        <v>326</v>
      </c>
      <c r="B156" s="196"/>
      <c r="C156" s="196"/>
      <c r="D156" s="196"/>
      <c r="E156" s="196"/>
      <c r="F156" s="196"/>
      <c r="G156" s="196"/>
      <c r="H156" s="197"/>
      <c r="I156" s="36"/>
    </row>
    <row r="157" spans="1:14" s="71" customFormat="1" ht="15.75" customHeight="1" x14ac:dyDescent="0.35">
      <c r="A157" s="93" t="s">
        <v>327</v>
      </c>
      <c r="B157" s="94"/>
      <c r="C157" s="70" t="s">
        <v>322</v>
      </c>
      <c r="D157" s="75">
        <f>(29.28)*(10.764)</f>
        <v>315.16991999999999</v>
      </c>
      <c r="E157" s="75">
        <f>(10.68)*(10.764)</f>
        <v>114.95951999999998</v>
      </c>
      <c r="F157" s="70">
        <f t="shared" ref="F157:F163" si="18">D157+E157</f>
        <v>430.12943999999999</v>
      </c>
      <c r="G157" s="70">
        <v>0</v>
      </c>
      <c r="H157" s="70">
        <f t="shared" ref="H157:H163" si="19">F157*(($H$139)+1)+(IF(G157&lt;101,G157,IF(G157&lt;201,G157/2,IF(G157&lt;=301,G157/3,G157/4))))</f>
        <v>645.19416000000001</v>
      </c>
      <c r="I157" s="36"/>
    </row>
    <row r="158" spans="1:14" s="71" customFormat="1" ht="15.75" customHeight="1" x14ac:dyDescent="0.35">
      <c r="A158" s="93"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&amp;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302 &amp; 402</v>
      </c>
      <c r="B158" s="94"/>
      <c r="C158" s="70" t="s">
        <v>322</v>
      </c>
      <c r="D158" s="75">
        <f>(29.28)*(10.764)</f>
        <v>315.16991999999999</v>
      </c>
      <c r="E158" s="75">
        <f>(10.4)*(10.764)</f>
        <v>111.9456</v>
      </c>
      <c r="F158" s="70">
        <f t="shared" si="18"/>
        <v>427.11552</v>
      </c>
      <c r="G158" s="70">
        <v>0</v>
      </c>
      <c r="H158" s="70">
        <f t="shared" si="19"/>
        <v>640.67327999999998</v>
      </c>
      <c r="I158" s="36"/>
    </row>
    <row r="159" spans="1:14" s="71" customFormat="1" ht="15.75" customHeight="1" x14ac:dyDescent="0.35">
      <c r="A159" s="93"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&amp;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303 &amp; 403</v>
      </c>
      <c r="B159" s="94"/>
      <c r="C159" s="70" t="s">
        <v>323</v>
      </c>
      <c r="D159" s="75">
        <f>(18.725)*(10.764)</f>
        <v>201.55590000000001</v>
      </c>
      <c r="E159" s="75">
        <f>(1.8+1.4+2.2)*0.75*(10.764)</f>
        <v>43.594200000000008</v>
      </c>
      <c r="F159" s="70">
        <f t="shared" si="18"/>
        <v>245.15010000000001</v>
      </c>
      <c r="G159" s="70">
        <v>0</v>
      </c>
      <c r="H159" s="70">
        <f t="shared" si="19"/>
        <v>367.72514999999999</v>
      </c>
      <c r="I159" s="36"/>
    </row>
    <row r="160" spans="1:14" s="71" customFormat="1" ht="15.75" customHeight="1" x14ac:dyDescent="0.35">
      <c r="A160" s="93" t="s">
        <v>328</v>
      </c>
      <c r="B160" s="94"/>
      <c r="C160" s="70" t="s">
        <v>322</v>
      </c>
      <c r="D160" s="75">
        <f>(29.985)*(10.764)</f>
        <v>322.75853999999998</v>
      </c>
      <c r="E160" s="75">
        <f>(3.5+(2.7+2.15)*0.75)*(10.764)</f>
        <v>76.82804999999999</v>
      </c>
      <c r="F160" s="70">
        <f t="shared" si="18"/>
        <v>399.58659</v>
      </c>
      <c r="G160" s="70">
        <v>0</v>
      </c>
      <c r="H160" s="70">
        <f t="shared" si="19"/>
        <v>599.37988500000006</v>
      </c>
      <c r="I160" s="36"/>
      <c r="J160" s="36">
        <f>2.8*1.25</f>
        <v>3.5</v>
      </c>
    </row>
    <row r="161" spans="1:14" s="71" customFormat="1" ht="15.75" customHeight="1" x14ac:dyDescent="0.35">
      <c r="A161" s="93" t="s">
        <v>329</v>
      </c>
      <c r="B161" s="94"/>
      <c r="C161" s="70" t="s">
        <v>322</v>
      </c>
      <c r="D161" s="75">
        <f>(29.826)*(10.764)</f>
        <v>321.04706399999998</v>
      </c>
      <c r="E161" s="75">
        <f>(5.869+(2.15)*0.75)*(10.764)</f>
        <v>80.530865999999989</v>
      </c>
      <c r="F161" s="70">
        <f t="shared" si="18"/>
        <v>401.57792999999998</v>
      </c>
      <c r="G161" s="70">
        <v>0</v>
      </c>
      <c r="H161" s="70">
        <f t="shared" si="19"/>
        <v>602.366895</v>
      </c>
      <c r="I161" s="36"/>
      <c r="J161" s="36"/>
    </row>
    <row r="162" spans="1:14" s="71" customFormat="1" ht="15.75" customHeight="1" x14ac:dyDescent="0.35">
      <c r="A162" s="93" t="s">
        <v>330</v>
      </c>
      <c r="B162" s="94"/>
      <c r="C162" s="70" t="s">
        <v>322</v>
      </c>
      <c r="D162" s="75">
        <f>(29.6)*(10.764)</f>
        <v>318.61439999999999</v>
      </c>
      <c r="E162" s="75">
        <f>(7.279+(2.75)*0.75)*(10.764)</f>
        <v>100.55190599999999</v>
      </c>
      <c r="F162" s="70">
        <f t="shared" si="18"/>
        <v>419.16630599999996</v>
      </c>
      <c r="G162" s="70">
        <v>0</v>
      </c>
      <c r="H162" s="70">
        <f t="shared" si="19"/>
        <v>628.74945899999989</v>
      </c>
      <c r="I162" s="36"/>
    </row>
    <row r="163" spans="1:14" s="71" customFormat="1" ht="15.75" customHeight="1" x14ac:dyDescent="0.35">
      <c r="A163" s="93" t="s">
        <v>331</v>
      </c>
      <c r="B163" s="94"/>
      <c r="C163" s="70" t="s">
        <v>322</v>
      </c>
      <c r="D163" s="75">
        <f>(29.495)*(10.764)</f>
        <v>317.48417999999998</v>
      </c>
      <c r="E163" s="75">
        <f>(7.52)*(10.764)</f>
        <v>80.945279999999997</v>
      </c>
      <c r="F163" s="70">
        <f t="shared" si="18"/>
        <v>398.42945999999995</v>
      </c>
      <c r="G163" s="70">
        <v>0</v>
      </c>
      <c r="H163" s="70">
        <f t="shared" si="19"/>
        <v>597.64418999999998</v>
      </c>
      <c r="I163" s="36"/>
      <c r="J163" s="36">
        <f>1*(2.8+2+2.7)</f>
        <v>7.5</v>
      </c>
    </row>
    <row r="164" spans="1:14" s="71" customFormat="1" x14ac:dyDescent="0.35">
      <c r="A164" s="127" t="s">
        <v>332</v>
      </c>
      <c r="B164" s="127"/>
      <c r="C164" s="127"/>
      <c r="D164" s="127"/>
      <c r="E164" s="127"/>
      <c r="F164" s="127"/>
      <c r="G164" s="127"/>
      <c r="H164" s="127"/>
      <c r="I164" s="36"/>
      <c r="L164" s="128"/>
      <c r="M164" s="128"/>
    </row>
    <row r="165" spans="1:14" s="71" customFormat="1" x14ac:dyDescent="0.35">
      <c r="A165" s="106">
        <f>LEFT(A164,SUM(LEN(A164)-LEN(SUBSTITUTE(A164,{"0","1","2","3","4","5","6","7","8","9"},""))))*100+1</f>
        <v>501</v>
      </c>
      <c r="B165" s="106"/>
      <c r="C165" s="87" t="s">
        <v>322</v>
      </c>
      <c r="D165" s="75">
        <f>(29.28)*(10.764)</f>
        <v>315.16991999999999</v>
      </c>
      <c r="E165" s="75">
        <f>(10.68)*(10.764)</f>
        <v>114.95951999999998</v>
      </c>
      <c r="F165" s="87">
        <f t="shared" ref="F165:F170" si="20">D165+E165</f>
        <v>430.12943999999999</v>
      </c>
      <c r="G165" s="74">
        <v>0</v>
      </c>
      <c r="H165" s="87">
        <f t="shared" ref="H165:H170" si="21">F165*(($H$139)+1)+(IF(G165&lt;101,G165,IF(G165&lt;201,G165/2,IF(G165&lt;=301,G165/3,G165/4))))</f>
        <v>645.19416000000001</v>
      </c>
      <c r="I165" s="36"/>
      <c r="N165" s="36"/>
    </row>
    <row r="166" spans="1:14" s="71" customFormat="1" x14ac:dyDescent="0.35">
      <c r="A166" s="106">
        <f>A165+1</f>
        <v>502</v>
      </c>
      <c r="B166" s="106"/>
      <c r="C166" s="87" t="s">
        <v>322</v>
      </c>
      <c r="D166" s="75">
        <f>(29.28)*(10.764)</f>
        <v>315.16991999999999</v>
      </c>
      <c r="E166" s="75">
        <f>(10.4)*(10.764)</f>
        <v>111.9456</v>
      </c>
      <c r="F166" s="87">
        <f t="shared" si="20"/>
        <v>427.11552</v>
      </c>
      <c r="G166" s="74">
        <v>0</v>
      </c>
      <c r="H166" s="87">
        <f t="shared" si="21"/>
        <v>640.67327999999998</v>
      </c>
      <c r="I166" s="36"/>
      <c r="N166" s="36"/>
    </row>
    <row r="167" spans="1:14" s="71" customFormat="1" x14ac:dyDescent="0.35">
      <c r="A167" s="106">
        <v>503</v>
      </c>
      <c r="B167" s="106"/>
      <c r="C167" s="87" t="s">
        <v>333</v>
      </c>
      <c r="D167" s="75">
        <f>(50.667)*(10.764)</f>
        <v>545.37958800000001</v>
      </c>
      <c r="E167" s="75">
        <f>(6.109+(3.3+4.5)*0.75)*(10.764)</f>
        <v>128.726676</v>
      </c>
      <c r="F167" s="87">
        <f t="shared" si="20"/>
        <v>674.10626400000001</v>
      </c>
      <c r="G167" s="74">
        <v>0</v>
      </c>
      <c r="H167" s="87">
        <f t="shared" si="21"/>
        <v>1011.159396</v>
      </c>
      <c r="I167" s="36">
        <f>(4.05*4.25+2.785*2.15+3.1*3.3+3*2.7+1.9*1.2+2.15*1.15+1*2.1+1.8*0.7)</f>
        <v>49.642749999999999</v>
      </c>
      <c r="J167" s="36">
        <f>2.45*1.065+2.8*1.25</f>
        <v>6.1092499999999994</v>
      </c>
      <c r="N167" s="36"/>
    </row>
    <row r="168" spans="1:14" s="71" customFormat="1" x14ac:dyDescent="0.35">
      <c r="A168" s="106">
        <v>504</v>
      </c>
      <c r="B168" s="106"/>
      <c r="C168" s="87" t="s">
        <v>322</v>
      </c>
      <c r="D168" s="75">
        <f>(29.826)*(10.764)</f>
        <v>321.04706399999998</v>
      </c>
      <c r="E168" s="75">
        <f>(5.869+(2.15)*0.75)*(10.764)</f>
        <v>80.530865999999989</v>
      </c>
      <c r="F168" s="87">
        <f t="shared" si="20"/>
        <v>401.57792999999998</v>
      </c>
      <c r="G168" s="74">
        <v>0</v>
      </c>
      <c r="H168" s="87">
        <f t="shared" si="21"/>
        <v>602.366895</v>
      </c>
      <c r="I168" s="36"/>
      <c r="N168" s="36"/>
    </row>
    <row r="169" spans="1:14" s="71" customFormat="1" x14ac:dyDescent="0.35">
      <c r="A169" s="106">
        <v>505</v>
      </c>
      <c r="B169" s="106"/>
      <c r="C169" s="87" t="s">
        <v>322</v>
      </c>
      <c r="D169" s="75">
        <f>(29.6)*(10.764)</f>
        <v>318.61439999999999</v>
      </c>
      <c r="E169" s="75">
        <f>(7.279+(2.75)*0.75)*(10.764)</f>
        <v>100.55190599999999</v>
      </c>
      <c r="F169" s="87">
        <f t="shared" si="20"/>
        <v>419.16630599999996</v>
      </c>
      <c r="G169" s="74">
        <v>0</v>
      </c>
      <c r="H169" s="87">
        <f t="shared" si="21"/>
        <v>628.74945899999989</v>
      </c>
      <c r="I169" s="36"/>
      <c r="N169" s="36"/>
    </row>
    <row r="170" spans="1:14" s="71" customFormat="1" x14ac:dyDescent="0.35">
      <c r="A170" s="106">
        <v>506</v>
      </c>
      <c r="B170" s="106"/>
      <c r="C170" s="87" t="s">
        <v>322</v>
      </c>
      <c r="D170" s="75">
        <f>(29.495)*(10.764)</f>
        <v>317.48417999999998</v>
      </c>
      <c r="E170" s="75">
        <f>(7.52)*(10.764)</f>
        <v>80.945279999999997</v>
      </c>
      <c r="F170" s="87">
        <f t="shared" si="20"/>
        <v>398.42945999999995</v>
      </c>
      <c r="G170" s="74">
        <v>0</v>
      </c>
      <c r="H170" s="87">
        <f t="shared" si="21"/>
        <v>597.64418999999998</v>
      </c>
      <c r="I170" s="36"/>
      <c r="N170" s="36"/>
    </row>
    <row r="171" spans="1:14" s="71" customFormat="1" x14ac:dyDescent="0.35">
      <c r="A171" s="127" t="s">
        <v>334</v>
      </c>
      <c r="B171" s="127"/>
      <c r="C171" s="127"/>
      <c r="D171" s="127"/>
      <c r="E171" s="127"/>
      <c r="F171" s="127"/>
      <c r="G171" s="127"/>
      <c r="H171" s="127"/>
      <c r="I171" s="36"/>
      <c r="L171" s="128"/>
      <c r="M171" s="128"/>
    </row>
    <row r="172" spans="1:14" s="71" customFormat="1" x14ac:dyDescent="0.35">
      <c r="A172" s="106">
        <f>LEFT(A171,SUM(LEN(A171)-LEN(SUBSTITUTE(A171,{"0","1","2","3","4","5","6","7","8","9"},""))))*100+1</f>
        <v>601</v>
      </c>
      <c r="B172" s="106"/>
      <c r="C172" s="87" t="s">
        <v>322</v>
      </c>
      <c r="D172" s="75">
        <f>(29.28)*(10.764)</f>
        <v>315.16991999999999</v>
      </c>
      <c r="E172" s="75">
        <f>(7.431)*(10.764)</f>
        <v>79.987284000000002</v>
      </c>
      <c r="F172" s="87">
        <f t="shared" ref="F172:F178" si="22">D172+E172</f>
        <v>395.15720399999998</v>
      </c>
      <c r="G172" s="74">
        <v>0</v>
      </c>
      <c r="H172" s="87">
        <f t="shared" ref="H172:H178" si="23">F172*(($H$139)+1)+(IF(G172&lt;101,G172,IF(G172&lt;201,G172/2,IF(G172&lt;=301,G172/3,G172/4))))</f>
        <v>592.73580599999991</v>
      </c>
      <c r="I172" s="36"/>
      <c r="J172" s="36">
        <f>1*(2.88+2.25+2.15)</f>
        <v>7.2799999999999994</v>
      </c>
      <c r="N172" s="36"/>
    </row>
    <row r="173" spans="1:14" s="71" customFormat="1" x14ac:dyDescent="0.35">
      <c r="A173" s="106">
        <f t="shared" ref="A173:A178" si="24">A172+1</f>
        <v>602</v>
      </c>
      <c r="B173" s="106"/>
      <c r="C173" s="87" t="s">
        <v>322</v>
      </c>
      <c r="D173" s="75">
        <f>(29.28)*(10.764)</f>
        <v>315.16991999999999</v>
      </c>
      <c r="E173" s="75">
        <f>(7.151)*(10.764)</f>
        <v>76.973363999999989</v>
      </c>
      <c r="F173" s="87">
        <f t="shared" si="22"/>
        <v>392.14328399999999</v>
      </c>
      <c r="G173" s="74">
        <v>0</v>
      </c>
      <c r="H173" s="87">
        <f t="shared" si="23"/>
        <v>588.21492599999999</v>
      </c>
      <c r="I173" s="36"/>
      <c r="N173" s="36"/>
    </row>
    <row r="174" spans="1:14" s="71" customFormat="1" x14ac:dyDescent="0.35">
      <c r="A174" s="106">
        <f t="shared" si="24"/>
        <v>603</v>
      </c>
      <c r="B174" s="106"/>
      <c r="C174" s="87" t="s">
        <v>323</v>
      </c>
      <c r="D174" s="75">
        <f>(20.174)*(10.764)</f>
        <v>217.15293599999998</v>
      </c>
      <c r="E174" s="75">
        <f>(1.8+1.4+2.2)*0.75*(10.764)</f>
        <v>43.594200000000008</v>
      </c>
      <c r="F174" s="87">
        <f t="shared" si="22"/>
        <v>260.74713600000001</v>
      </c>
      <c r="G174" s="74">
        <v>0</v>
      </c>
      <c r="H174" s="87">
        <f t="shared" si="23"/>
        <v>391.12070400000005</v>
      </c>
      <c r="I174" s="36">
        <f>(4.05*2.7+2.1*1.8+1*1.35+1.2*1.4+0.9*1.2+0.9*0.9)</f>
        <v>19.635000000000002</v>
      </c>
      <c r="N174" s="36"/>
    </row>
    <row r="175" spans="1:14" s="71" customFormat="1" x14ac:dyDescent="0.35">
      <c r="A175" s="106">
        <f t="shared" si="24"/>
        <v>604</v>
      </c>
      <c r="B175" s="106"/>
      <c r="C175" s="87" t="s">
        <v>322</v>
      </c>
      <c r="D175" s="75">
        <f>(28.83)*(10.764)</f>
        <v>310.32611999999995</v>
      </c>
      <c r="E175" s="75">
        <f>(6.771+2.7*0.75)*(10.764)</f>
        <v>94.680143999999984</v>
      </c>
      <c r="F175" s="87">
        <f t="shared" si="22"/>
        <v>405.00626399999993</v>
      </c>
      <c r="G175" s="74">
        <v>0</v>
      </c>
      <c r="H175" s="87">
        <f t="shared" si="23"/>
        <v>607.50939599999992</v>
      </c>
      <c r="I175" s="36">
        <f>(4.05*2.7+2.2*2.15+3*2.7+1.9*1.2+0.9*2.2)</f>
        <v>28.025000000000002</v>
      </c>
      <c r="J175" s="36">
        <f>(2.45*1.335+2.8*1.25)</f>
        <v>6.7707499999999996</v>
      </c>
      <c r="N175" s="36"/>
    </row>
    <row r="176" spans="1:14" s="71" customFormat="1" x14ac:dyDescent="0.35">
      <c r="A176" s="106">
        <f t="shared" si="24"/>
        <v>605</v>
      </c>
      <c r="B176" s="106"/>
      <c r="C176" s="87" t="s">
        <v>322</v>
      </c>
      <c r="D176" s="75">
        <f>(29.826)*(10.764)</f>
        <v>321.04706399999998</v>
      </c>
      <c r="E176" s="75">
        <f>(5.869)*(10.764)</f>
        <v>63.173915999999991</v>
      </c>
      <c r="F176" s="87">
        <f t="shared" si="22"/>
        <v>384.22097999999994</v>
      </c>
      <c r="G176" s="74">
        <v>0</v>
      </c>
      <c r="H176" s="87">
        <f t="shared" si="23"/>
        <v>576.33146999999985</v>
      </c>
      <c r="I176" s="36"/>
      <c r="N176" s="36"/>
    </row>
    <row r="177" spans="1:20" s="71" customFormat="1" x14ac:dyDescent="0.35">
      <c r="A177" s="106">
        <f t="shared" si="24"/>
        <v>606</v>
      </c>
      <c r="B177" s="106"/>
      <c r="C177" s="70" t="s">
        <v>322</v>
      </c>
      <c r="D177" s="75">
        <f>(29.6)*(10.764)</f>
        <v>318.61439999999999</v>
      </c>
      <c r="E177" s="75">
        <f>(7.279)*(10.764)</f>
        <v>78.351155999999989</v>
      </c>
      <c r="F177" s="70">
        <f t="shared" si="22"/>
        <v>396.96555599999999</v>
      </c>
      <c r="G177" s="74">
        <v>0</v>
      </c>
      <c r="H177" s="70">
        <f t="shared" si="23"/>
        <v>595.44833399999993</v>
      </c>
      <c r="I177" s="36"/>
      <c r="N177" s="36"/>
    </row>
    <row r="178" spans="1:20" s="71" customFormat="1" x14ac:dyDescent="0.35">
      <c r="A178" s="106">
        <f t="shared" si="24"/>
        <v>607</v>
      </c>
      <c r="B178" s="106"/>
      <c r="C178" s="70" t="s">
        <v>322</v>
      </c>
      <c r="D178" s="75">
        <f>(29.495)*(10.764)</f>
        <v>317.48417999999998</v>
      </c>
      <c r="E178" s="75">
        <f>(7.52)*(10.764)</f>
        <v>80.945279999999997</v>
      </c>
      <c r="F178" s="70">
        <f t="shared" si="22"/>
        <v>398.42945999999995</v>
      </c>
      <c r="G178" s="74">
        <v>0</v>
      </c>
      <c r="H178" s="70">
        <f t="shared" si="23"/>
        <v>597.64418999999998</v>
      </c>
      <c r="I178" s="36"/>
      <c r="N178" s="36"/>
    </row>
    <row r="179" spans="1:20" s="71" customFormat="1" x14ac:dyDescent="0.35">
      <c r="A179" s="127" t="s">
        <v>355</v>
      </c>
      <c r="B179" s="127"/>
      <c r="C179" s="127"/>
      <c r="D179" s="127"/>
      <c r="E179" s="127"/>
      <c r="F179" s="127"/>
      <c r="G179" s="127"/>
      <c r="H179" s="127"/>
      <c r="I179" s="36"/>
      <c r="L179" s="128"/>
      <c r="M179" s="128"/>
    </row>
    <row r="180" spans="1:20" s="71" customFormat="1" x14ac:dyDescent="0.35">
      <c r="A180" s="106">
        <f>LEFT(A179,SUM(LEN(A179)-LEN(SUBSTITUTE(A179,{"0","1","2","3","4","5","6","7","8","9"},""))))*100+1</f>
        <v>701</v>
      </c>
      <c r="B180" s="106"/>
      <c r="C180" s="70" t="s">
        <v>322</v>
      </c>
      <c r="D180" s="75">
        <f>(29.77)*(10.764)</f>
        <v>320.44427999999999</v>
      </c>
      <c r="E180" s="75">
        <f>8.457*(10.764)</f>
        <v>91.031148000000002</v>
      </c>
      <c r="F180" s="70">
        <f t="shared" ref="F180:F185" si="25">D180+E180</f>
        <v>411.47542799999997</v>
      </c>
      <c r="G180" s="74">
        <v>0</v>
      </c>
      <c r="H180" s="70">
        <f t="shared" ref="H180:H185" si="26">F180*(($H$139)+1)+(IF(G180&lt;101,G180,IF(G180&lt;201,G180/2,IF(G180&lt;=301,G180/3,G180/4))))</f>
        <v>617.21314199999995</v>
      </c>
      <c r="I180" s="36">
        <f>(3.95*2.7+1.85*2.25+3*2.7+1.2*0.9*1.2*1.55+3.3*0.9)</f>
        <v>27.906300000000002</v>
      </c>
      <c r="J180" s="36">
        <f>1*(2.88+1.8)+1.35*1.3+1.2*1.65</f>
        <v>8.4149999999999991</v>
      </c>
      <c r="N180" s="36"/>
    </row>
    <row r="181" spans="1:20" s="71" customFormat="1" x14ac:dyDescent="0.35">
      <c r="A181" s="106">
        <f>A180+1</f>
        <v>702</v>
      </c>
      <c r="B181" s="106"/>
      <c r="C181" s="70" t="s">
        <v>322</v>
      </c>
      <c r="D181" s="75">
        <f>(29.93)*(10.764)</f>
        <v>322.16651999999999</v>
      </c>
      <c r="E181" s="75">
        <f>(8.126)*(10.764)</f>
        <v>87.468263999999991</v>
      </c>
      <c r="F181" s="70">
        <f t="shared" si="25"/>
        <v>409.63478399999997</v>
      </c>
      <c r="G181" s="75">
        <f>(3*2.4+1.1*0.65)*(10.764)</f>
        <v>85.197059999999979</v>
      </c>
      <c r="H181" s="70">
        <f t="shared" si="26"/>
        <v>699.64923599999997</v>
      </c>
      <c r="I181" s="36"/>
      <c r="N181" s="36"/>
    </row>
    <row r="182" spans="1:20" s="71" customFormat="1" x14ac:dyDescent="0.35">
      <c r="A182" s="106">
        <f>A181+1</f>
        <v>703</v>
      </c>
      <c r="B182" s="106"/>
      <c r="C182" s="70" t="s">
        <v>322</v>
      </c>
      <c r="D182" s="75">
        <f>(28.078)*(10.764)</f>
        <v>302.23159199999998</v>
      </c>
      <c r="E182" s="75">
        <f>(2.7+2.15+2.7)*0.75*(10.764)</f>
        <v>60.951149999999991</v>
      </c>
      <c r="F182" s="70">
        <f t="shared" si="25"/>
        <v>363.18274199999996</v>
      </c>
      <c r="G182" s="75">
        <f>(4*2.6)*(10.764)</f>
        <v>111.9456</v>
      </c>
      <c r="H182" s="70">
        <f t="shared" si="26"/>
        <v>600.74691299999995</v>
      </c>
      <c r="I182" s="36"/>
      <c r="N182" s="36"/>
    </row>
    <row r="183" spans="1:20" s="71" customFormat="1" x14ac:dyDescent="0.35">
      <c r="A183" s="106">
        <f>A182+1</f>
        <v>704</v>
      </c>
      <c r="B183" s="106"/>
      <c r="C183" s="70" t="s">
        <v>322</v>
      </c>
      <c r="D183" s="75">
        <f>(29.826)*(10.764)</f>
        <v>321.04706399999998</v>
      </c>
      <c r="E183" s="75">
        <f>(2.7+2.15+2.7)*0.75*(10.764)</f>
        <v>60.951149999999991</v>
      </c>
      <c r="F183" s="70">
        <f t="shared" si="25"/>
        <v>381.99821399999996</v>
      </c>
      <c r="G183" s="74">
        <v>0</v>
      </c>
      <c r="H183" s="70">
        <f t="shared" si="26"/>
        <v>572.99732099999994</v>
      </c>
      <c r="I183" s="36"/>
      <c r="N183" s="36"/>
    </row>
    <row r="184" spans="1:20" s="71" customFormat="1" x14ac:dyDescent="0.35">
      <c r="A184" s="106">
        <f>A183+1</f>
        <v>705</v>
      </c>
      <c r="B184" s="106"/>
      <c r="C184" s="70" t="s">
        <v>322</v>
      </c>
      <c r="D184" s="75">
        <f>(29.6)*(10.764)</f>
        <v>318.61439999999999</v>
      </c>
      <c r="E184" s="75">
        <f>(2.7+2.75+2.2)*0.75*(10.764)</f>
        <v>61.758450000000003</v>
      </c>
      <c r="F184" s="70">
        <f t="shared" si="25"/>
        <v>380.37284999999997</v>
      </c>
      <c r="G184" s="74">
        <v>0</v>
      </c>
      <c r="H184" s="70">
        <f t="shared" si="26"/>
        <v>570.55927499999996</v>
      </c>
      <c r="I184" s="36"/>
      <c r="N184" s="36"/>
    </row>
    <row r="185" spans="1:20" s="71" customFormat="1" x14ac:dyDescent="0.35">
      <c r="A185" s="106">
        <f>A184+1</f>
        <v>706</v>
      </c>
      <c r="B185" s="106"/>
      <c r="C185" s="70" t="s">
        <v>322</v>
      </c>
      <c r="D185" s="75">
        <f>(28.332)*(10.764)</f>
        <v>304.96564799999999</v>
      </c>
      <c r="E185" s="75">
        <f>(2.7+1.85+2.7)*0.75*(10.764)</f>
        <v>58.529250000000005</v>
      </c>
      <c r="F185" s="70">
        <f t="shared" si="25"/>
        <v>363.49489799999998</v>
      </c>
      <c r="G185" s="74">
        <v>0</v>
      </c>
      <c r="H185" s="70">
        <f t="shared" si="26"/>
        <v>545.242347</v>
      </c>
      <c r="I185" s="36"/>
      <c r="N185" s="36"/>
    </row>
    <row r="186" spans="1:20" s="71" customFormat="1" ht="15.75" hidden="1" customHeight="1" x14ac:dyDescent="0.35">
      <c r="A186" s="195" t="s">
        <v>116</v>
      </c>
      <c r="B186" s="196"/>
      <c r="C186" s="196"/>
      <c r="D186" s="196"/>
      <c r="E186" s="196"/>
      <c r="F186" s="196"/>
      <c r="G186" s="196"/>
      <c r="H186" s="197"/>
      <c r="J186" s="36"/>
    </row>
    <row r="187" spans="1:20" s="71" customFormat="1" ht="15.75" hidden="1" customHeight="1" x14ac:dyDescent="0.35">
      <c r="A187" s="93">
        <v>1</v>
      </c>
      <c r="B187" s="94"/>
      <c r="C187" s="70"/>
      <c r="D187" s="70"/>
      <c r="E187" s="70">
        <v>0</v>
      </c>
      <c r="F187" s="70">
        <f>D187+E187</f>
        <v>0</v>
      </c>
      <c r="G187" s="70">
        <v>0</v>
      </c>
      <c r="H187" s="70">
        <f>F187*(($H$139)+1)+(IF(G187&lt;101,G187,IF(G187&lt;201,G187/2,IF(G187&lt;=301,G187/3,G187/4))))</f>
        <v>0</v>
      </c>
      <c r="I187" s="36"/>
      <c r="L187" s="128"/>
      <c r="M187" s="128"/>
      <c r="N187" s="36"/>
    </row>
    <row r="188" spans="1:20" s="71" customFormat="1" ht="15.75" hidden="1" customHeight="1" x14ac:dyDescent="0.35">
      <c r="A188" s="93">
        <f>A187+1</f>
        <v>2</v>
      </c>
      <c r="B188" s="94"/>
      <c r="C188" s="70"/>
      <c r="D188" s="70"/>
      <c r="E188" s="70">
        <v>0</v>
      </c>
      <c r="F188" s="70">
        <f>D188+E188</f>
        <v>0</v>
      </c>
      <c r="G188" s="70">
        <v>0</v>
      </c>
      <c r="H188" s="70">
        <f>F188*(($H$139)+1)+(IF(G188&lt;101,G188,IF(G188&lt;201,G188/2,IF(G188&lt;=301,G188/3,G188/4))))</f>
        <v>0</v>
      </c>
      <c r="I188" s="36"/>
      <c r="L188" s="128"/>
      <c r="M188" s="128"/>
      <c r="N188" s="36"/>
    </row>
    <row r="189" spans="1:20" s="71" customFormat="1" ht="15.75" hidden="1" customHeight="1" x14ac:dyDescent="0.35">
      <c r="A189" s="93">
        <f>A188+1</f>
        <v>3</v>
      </c>
      <c r="B189" s="94"/>
      <c r="C189" s="70"/>
      <c r="D189" s="70"/>
      <c r="E189" s="70">
        <v>0</v>
      </c>
      <c r="F189" s="70">
        <f>D189+E189</f>
        <v>0</v>
      </c>
      <c r="G189" s="70">
        <v>0</v>
      </c>
      <c r="H189" s="70">
        <f>F189*(($H$139)+1)+(IF(G189&lt;101,G189,IF(G189&lt;201,G189/2,IF(G189&lt;=301,G189/3,G189/4))))</f>
        <v>0</v>
      </c>
      <c r="I189" s="36"/>
      <c r="L189" s="128"/>
      <c r="M189" s="128"/>
      <c r="N189" s="36"/>
    </row>
    <row r="190" spans="1:20" s="71" customFormat="1" ht="15.75" hidden="1" customHeight="1" x14ac:dyDescent="0.35">
      <c r="A190" s="93">
        <f>A189+1</f>
        <v>4</v>
      </c>
      <c r="B190" s="94"/>
      <c r="C190" s="70"/>
      <c r="D190" s="70"/>
      <c r="E190" s="70">
        <v>0</v>
      </c>
      <c r="F190" s="70">
        <f>D190+E190</f>
        <v>0</v>
      </c>
      <c r="G190" s="70">
        <v>0</v>
      </c>
      <c r="H190" s="70">
        <f>F190*(($H$139)+1)+(IF(G190&lt;101,G190,IF(G190&lt;201,G190/2,IF(G190&lt;=301,G190/3,G190/4))))</f>
        <v>0</v>
      </c>
      <c r="I190" s="36"/>
      <c r="L190" s="128"/>
      <c r="M190" s="128"/>
      <c r="N190" s="36"/>
      <c r="T190" s="21"/>
    </row>
    <row r="191" spans="1:20" s="71" customFormat="1" hidden="1" x14ac:dyDescent="0.35">
      <c r="A191" s="195" t="s">
        <v>117</v>
      </c>
      <c r="B191" s="196"/>
      <c r="C191" s="196"/>
      <c r="D191" s="196"/>
      <c r="E191" s="196"/>
      <c r="F191" s="196"/>
      <c r="G191" s="196"/>
      <c r="H191" s="197"/>
      <c r="I191" s="36"/>
      <c r="L191" s="128"/>
      <c r="M191" s="128"/>
    </row>
    <row r="192" spans="1:20" s="71" customFormat="1" hidden="1" x14ac:dyDescent="0.35">
      <c r="A192" s="93">
        <f>LEFT(A191,SUM(LEN(A191)-LEN(SUBSTITUTE(A191,{"0","1","2","3","4","5","6","7","8","9"},""))))*100+1</f>
        <v>201</v>
      </c>
      <c r="B192" s="94"/>
      <c r="C192" s="70"/>
      <c r="D192" s="70"/>
      <c r="E192" s="70">
        <v>0</v>
      </c>
      <c r="F192" s="70">
        <f>D192+E192</f>
        <v>0</v>
      </c>
      <c r="G192" s="70">
        <v>0</v>
      </c>
      <c r="H192" s="70">
        <f>F192*(($H$139)+1)+(IF(G192&lt;101,G192,IF(G192&lt;201,G192/2,IF(G192&lt;=301,G192/3,G192/4))))</f>
        <v>0</v>
      </c>
      <c r="I192" s="36"/>
      <c r="N192" s="36"/>
    </row>
    <row r="193" spans="1:14" s="71" customFormat="1" hidden="1" x14ac:dyDescent="0.35">
      <c r="A193" s="93">
        <f>A192+1</f>
        <v>202</v>
      </c>
      <c r="B193" s="94"/>
      <c r="C193" s="70"/>
      <c r="D193" s="70"/>
      <c r="E193" s="70">
        <v>0</v>
      </c>
      <c r="F193" s="70">
        <f>D193+E193</f>
        <v>0</v>
      </c>
      <c r="G193" s="70">
        <v>0</v>
      </c>
      <c r="H193" s="70">
        <f>F193*(($H$139)+1)+(IF(G193&lt;101,G193,IF(G193&lt;201,G193/2,IF(G193&lt;=301,G193/3,G193/4))))</f>
        <v>0</v>
      </c>
      <c r="I193" s="36"/>
      <c r="N193" s="36"/>
    </row>
    <row r="194" spans="1:14" s="37" customFormat="1" hidden="1" x14ac:dyDescent="0.35">
      <c r="A194" s="106">
        <f>A193+1</f>
        <v>203</v>
      </c>
      <c r="B194" s="106"/>
      <c r="C194" s="42"/>
      <c r="D194" s="42"/>
      <c r="E194" s="56">
        <v>0</v>
      </c>
      <c r="F194" s="56">
        <f>D194+E194</f>
        <v>0</v>
      </c>
      <c r="G194" s="56">
        <v>0</v>
      </c>
      <c r="H194" s="56">
        <f>F194*(($H$139)+1)+(IF(G194&lt;101,G194,IF(G194&lt;201,G194/2,IF(G194&lt;=301,G194/3,G194/4))))</f>
        <v>0</v>
      </c>
      <c r="I194" s="36"/>
      <c r="N194" s="36"/>
    </row>
    <row r="195" spans="1:14" s="37" customFormat="1" hidden="1" x14ac:dyDescent="0.35">
      <c r="A195" s="106">
        <f>A194+1</f>
        <v>204</v>
      </c>
      <c r="B195" s="106"/>
      <c r="C195" s="42"/>
      <c r="D195" s="42"/>
      <c r="E195" s="56">
        <v>0</v>
      </c>
      <c r="F195" s="56">
        <f>D195+E195</f>
        <v>0</v>
      </c>
      <c r="G195" s="56">
        <v>0</v>
      </c>
      <c r="H195" s="56">
        <f>F195*(($H$139)+1)+(IF(G195&lt;101,G195,IF(G195&lt;201,G195/2,IF(G195&lt;=301,G195/3,G195/4))))</f>
        <v>0</v>
      </c>
      <c r="I195" s="36"/>
      <c r="N195" s="36"/>
    </row>
    <row r="196" spans="1:14" s="37" customFormat="1" hidden="1" x14ac:dyDescent="0.35">
      <c r="A196" s="106">
        <f>A195+1</f>
        <v>205</v>
      </c>
      <c r="B196" s="106"/>
      <c r="C196" s="42"/>
      <c r="D196" s="42"/>
      <c r="E196" s="56">
        <v>0</v>
      </c>
      <c r="F196" s="56">
        <f>D196+E196</f>
        <v>0</v>
      </c>
      <c r="G196" s="56">
        <v>0</v>
      </c>
      <c r="H196" s="56">
        <f>F196*(($H$139)+1)+(IF(G196&lt;101,G196,IF(G196&lt;201,G196/2,IF(G196&lt;=301,G196/3,G196/4))))</f>
        <v>0</v>
      </c>
      <c r="I196" s="36"/>
      <c r="N196" s="36"/>
    </row>
    <row r="197" spans="1:14" s="37" customFormat="1" ht="15.75" hidden="1" customHeight="1" x14ac:dyDescent="0.35">
      <c r="A197" s="195" t="s">
        <v>149</v>
      </c>
      <c r="B197" s="196"/>
      <c r="C197" s="196"/>
      <c r="D197" s="196"/>
      <c r="E197" s="196"/>
      <c r="F197" s="196"/>
      <c r="G197" s="196"/>
      <c r="H197" s="197"/>
      <c r="I197" s="36"/>
    </row>
    <row r="198" spans="1:14" s="37" customFormat="1" ht="15.75" hidden="1" customHeight="1" x14ac:dyDescent="0.35">
      <c r="A198" s="93"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10^ROW(INDIRECT("1:"&amp;LEN((LEFT(A197,SUM(LEN(A197)-LEN(SUBSTITUTE(A197,{"0","1","2"},""))))))))/10))*100+1&amp;""&amp;"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",LEN(A197))),LEN(A197)))))))/10))*100+1</f>
        <v>301 ,.., 1501</v>
      </c>
      <c r="B198" s="94"/>
      <c r="C198" s="42"/>
      <c r="D198" s="42"/>
      <c r="E198" s="56">
        <v>0</v>
      </c>
      <c r="F198" s="56">
        <f>D198+E198</f>
        <v>0</v>
      </c>
      <c r="G198" s="56">
        <v>0</v>
      </c>
      <c r="H198" s="56">
        <f>F198*(($H$139)+1)+(IF(G198&lt;101,G198,IF(G198&lt;201,G198/2,IF(G198&lt;=301,G198/3,G198/4))))</f>
        <v>0</v>
      </c>
      <c r="I198" s="36"/>
    </row>
    <row r="199" spans="1:14" s="37" customFormat="1" ht="15.75" hidden="1" customHeight="1" x14ac:dyDescent="0.35">
      <c r="A199" s="93"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10^ROW(INDIRECT("1:"&amp;LEN((LEFT(A198,SUM(LEN(A198)-LEN(SUBSTITUTE(A198,{"0","1","2"},""))))))))/10))*1+1&amp;""&amp;" ,..,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",LEN(A198))),LEN(A198)))))))/10))*1+1</f>
        <v>302 ,.., 1502</v>
      </c>
      <c r="B199" s="94"/>
      <c r="C199" s="42"/>
      <c r="D199" s="42"/>
      <c r="E199" s="56">
        <v>0</v>
      </c>
      <c r="F199" s="56">
        <f>D199+E199</f>
        <v>0</v>
      </c>
      <c r="G199" s="56">
        <v>0</v>
      </c>
      <c r="H199" s="56">
        <f>F199*(($H$139)+1)+(IF(G199&lt;101,G199,IF(G199&lt;201,G199/2,IF(G199&lt;=301,G199/3,G199/4))))</f>
        <v>0</v>
      </c>
      <c r="I199" s="36"/>
    </row>
    <row r="200" spans="1:14" s="37" customFormat="1" ht="15.75" hidden="1" customHeight="1" x14ac:dyDescent="0.35">
      <c r="A200" s="93"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303 ,.., 1503</v>
      </c>
      <c r="B200" s="94"/>
      <c r="C200" s="42"/>
      <c r="D200" s="42"/>
      <c r="E200" s="56">
        <v>0</v>
      </c>
      <c r="F200" s="56">
        <f>D200+E200</f>
        <v>0</v>
      </c>
      <c r="G200" s="56">
        <v>0</v>
      </c>
      <c r="H200" s="56">
        <f>F200*(($H$139)+1)+(IF(G200&lt;101,G200,IF(G200&lt;201,G200/2,IF(G200&lt;=301,G200/3,G200/4))))</f>
        <v>0</v>
      </c>
      <c r="I200" s="36"/>
    </row>
    <row r="201" spans="1:14" s="37" customFormat="1" ht="15.75" hidden="1" customHeight="1" x14ac:dyDescent="0.35">
      <c r="A201" s="93"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304 ,.., 1504</v>
      </c>
      <c r="B201" s="94"/>
      <c r="C201" s="42"/>
      <c r="D201" s="42"/>
      <c r="E201" s="56">
        <v>0</v>
      </c>
      <c r="F201" s="56">
        <f>D201+E201</f>
        <v>0</v>
      </c>
      <c r="G201" s="56">
        <v>0</v>
      </c>
      <c r="H201" s="56">
        <f>F201*(($H$139)+1)+(IF(G201&lt;101,G201,IF(G201&lt;201,G201/2,IF(G201&lt;=301,G201/3,G201/4))))</f>
        <v>0</v>
      </c>
      <c r="I201" s="36"/>
    </row>
    <row r="202" spans="1:14" s="37" customFormat="1" ht="15.75" hidden="1" customHeight="1" x14ac:dyDescent="0.35">
      <c r="A202" s="93"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305 ,.., 1505</v>
      </c>
      <c r="B202" s="94"/>
      <c r="C202" s="42"/>
      <c r="D202" s="42"/>
      <c r="E202" s="56">
        <v>0</v>
      </c>
      <c r="F202" s="56">
        <f>D202+E202</f>
        <v>0</v>
      </c>
      <c r="G202" s="56">
        <v>0</v>
      </c>
      <c r="H202" s="56">
        <f>F202*(($H$139)+1)+(IF(G202&lt;101,G202,IF(G202&lt;201,G202/2,IF(G202&lt;=301,G202/3,G202/4))))</f>
        <v>0</v>
      </c>
      <c r="I202" s="36"/>
    </row>
    <row r="203" spans="1:14" s="37" customFormat="1" hidden="1" x14ac:dyDescent="0.35">
      <c r="A203" s="195" t="s">
        <v>143</v>
      </c>
      <c r="B203" s="196"/>
      <c r="C203" s="196"/>
      <c r="D203" s="196"/>
      <c r="E203" s="196"/>
      <c r="F203" s="196"/>
      <c r="G203" s="196"/>
      <c r="H203" s="197"/>
      <c r="I203" s="36"/>
    </row>
    <row r="204" spans="1:14" s="37" customFormat="1" ht="15.75" hidden="1" customHeight="1" x14ac:dyDescent="0.35">
      <c r="A204" s="93"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10^ROW(INDIRECT("1:"&amp;LEN((LEFT(A203,SUM(LEN(A203)-LEN(SUBSTITUTE(A203,{"0","1","2"},""))))))))/10))*100+1&amp;""&amp;"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",LEN(A203))),LEN(A203)))))))/10))*100+1</f>
        <v>201 to 501</v>
      </c>
      <c r="B204" s="94"/>
      <c r="C204" s="42"/>
      <c r="D204" s="42"/>
      <c r="E204" s="56">
        <v>0</v>
      </c>
      <c r="F204" s="56">
        <f>D204+E204</f>
        <v>0</v>
      </c>
      <c r="G204" s="56">
        <v>0</v>
      </c>
      <c r="H204" s="56">
        <f>F204*(($H$139)+1)+(IF(G204&lt;101,G204,IF(G204&lt;201,G204/2,IF(G204&lt;=301,G204/3,G204/4))))</f>
        <v>0</v>
      </c>
      <c r="I204" s="36"/>
    </row>
    <row r="205" spans="1:14" s="37" customFormat="1" ht="15.75" hidden="1" customHeight="1" x14ac:dyDescent="0.35">
      <c r="A205" s="93"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10^ROW(INDIRECT("1:"&amp;LEN((LEFT(A204,SUM(LEN(A204)-LEN(SUBSTITUTE(A204,{"0","1","2"},""))))))))/10))*1+1&amp;""&amp;" to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",LEN(A204))),LEN(A204)))))))/10))*1+1</f>
        <v>202 to 502</v>
      </c>
      <c r="B205" s="94"/>
      <c r="C205" s="42"/>
      <c r="D205" s="42"/>
      <c r="E205" s="56">
        <v>0</v>
      </c>
      <c r="F205" s="56">
        <f>D205+E205</f>
        <v>0</v>
      </c>
      <c r="G205" s="56">
        <v>0</v>
      </c>
      <c r="H205" s="56">
        <f>F205*(($H$139)+1)+(IF(G205&lt;101,G205,IF(G205&lt;201,G205/2,IF(G205&lt;=301,G205/3,G205/4))))</f>
        <v>0</v>
      </c>
      <c r="I205" s="36"/>
    </row>
    <row r="206" spans="1:14" s="37" customFormat="1" ht="15.75" hidden="1" customHeight="1" x14ac:dyDescent="0.35">
      <c r="A206" s="93"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to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203 to 503</v>
      </c>
      <c r="B206" s="94"/>
      <c r="C206" s="42"/>
      <c r="D206" s="42"/>
      <c r="E206" s="56">
        <v>0</v>
      </c>
      <c r="F206" s="56">
        <f>D206+E206</f>
        <v>0</v>
      </c>
      <c r="G206" s="56">
        <v>0</v>
      </c>
      <c r="H206" s="56">
        <f>F206*(($H$139)+1)+(IF(G206&lt;101,G206,IF(G206&lt;201,G206/2,IF(G206&lt;=301,G206/3,G206/4))))</f>
        <v>0</v>
      </c>
      <c r="I206" s="36"/>
    </row>
    <row r="207" spans="1:14" s="37" customFormat="1" ht="15.75" hidden="1" customHeight="1" x14ac:dyDescent="0.35">
      <c r="A207" s="93"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to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204 to 504</v>
      </c>
      <c r="B207" s="94"/>
      <c r="C207" s="42"/>
      <c r="D207" s="42"/>
      <c r="E207" s="56">
        <v>0</v>
      </c>
      <c r="F207" s="56">
        <f>D207+E207</f>
        <v>0</v>
      </c>
      <c r="G207" s="56">
        <v>0</v>
      </c>
      <c r="H207" s="56">
        <f>F207*(($H$139)+1)+(IF(G207&lt;101,G207,IF(G207&lt;201,G207/2,IF(G207&lt;=301,G207/3,G207/4))))</f>
        <v>0</v>
      </c>
      <c r="I207" s="36"/>
    </row>
    <row r="208" spans="1:14" s="37" customFormat="1" ht="15.75" hidden="1" customHeight="1" x14ac:dyDescent="0.35">
      <c r="A208" s="93"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to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205 to 505</v>
      </c>
      <c r="B208" s="94"/>
      <c r="C208" s="42"/>
      <c r="D208" s="42"/>
      <c r="E208" s="56">
        <v>0</v>
      </c>
      <c r="F208" s="56">
        <f>D208+E208</f>
        <v>0</v>
      </c>
      <c r="G208" s="56">
        <v>0</v>
      </c>
      <c r="H208" s="56">
        <f>F208*(($H$139)+1)+(IF(G208&lt;101,G208,IF(G208&lt;201,G208/2,IF(G208&lt;=301,G208/3,G208/4))))</f>
        <v>0</v>
      </c>
      <c r="I208" s="36"/>
    </row>
    <row r="209" spans="1:20" s="37" customFormat="1" hidden="1" x14ac:dyDescent="0.35">
      <c r="A209" s="195" t="s">
        <v>144</v>
      </c>
      <c r="B209" s="196"/>
      <c r="C209" s="196"/>
      <c r="D209" s="196"/>
      <c r="E209" s="196"/>
      <c r="F209" s="196"/>
      <c r="G209" s="196"/>
      <c r="H209" s="197"/>
      <c r="I209" s="36"/>
    </row>
    <row r="210" spans="1:20" s="37" customFormat="1" ht="15.75" hidden="1" customHeight="1" x14ac:dyDescent="0.35">
      <c r="A210" s="93"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10^ROW(INDIRECT("1:"&amp;LEN((LEFT(A209,SUM(LEN(A209)-LEN(SUBSTITUTE(A209,{"0","1","2"},""))))))))/10))*100+1&amp;""&amp;"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",LEN(A209))),LEN(A209)))))))/10))*100+1</f>
        <v>201 &amp; 501</v>
      </c>
      <c r="B210" s="94"/>
      <c r="C210" s="42"/>
      <c r="D210" s="42"/>
      <c r="E210" s="56">
        <v>0</v>
      </c>
      <c r="F210" s="56">
        <f>D210+E210</f>
        <v>0</v>
      </c>
      <c r="G210" s="56">
        <v>0</v>
      </c>
      <c r="H210" s="56">
        <f>F210*(($H$139)+1)+(IF(G210&lt;101,G210,IF(G210&lt;201,G210/2,IF(G210&lt;=301,G210/3,G210/4))))</f>
        <v>0</v>
      </c>
      <c r="I210" s="36"/>
    </row>
    <row r="211" spans="1:20" s="37" customFormat="1" ht="15.75" hidden="1" customHeight="1" x14ac:dyDescent="0.35">
      <c r="A211" s="93" t="str">
        <f ca="1">(SUMPRODUCT(MID(0&amp;(LEFT(A210,SUM(LEN(A210)-LEN(SUBSTITUTE(A210,{"0","1","2"},""))))), LARGE(INDEX(ISNUMBER(--MID((LEFT(A210,SUM(LEN(A210)-LEN(SUBSTITUTE(A210,{"0","1","2"},""))))), ROW(INDIRECT("1:"&amp;LEN((LEFT(A210,SUM(LEN(A210)-LEN(SUBSTITUTE(A210,{"0","1","2"},"")))))))), 1)) * ROW(INDIRECT("1:"&amp;LEN((LEFT(A210,SUM(LEN(A210)-LEN(SUBSTITUTE(A210,{"0","1","2"},"")))))))), 0), ROW(INDIRECT("1:"&amp;LEN((LEFT(A210,SUM(LEN(A210)-LEN(SUBSTITUTE(A210,{"0","1","2"},"")))))))))+1, 1) * 10^ROW(INDIRECT("1:"&amp;LEN((LEFT(A210,SUM(LEN(A210)-LEN(SUBSTITUTE(A210,{"0","1","2"},""))))))))/10))*1+1&amp;""&amp;" &amp; "&amp;""&amp;(SUMPRODUCT(MID(0&amp;(--TRIM(RIGHT(SUBSTITUTE(LEFT(A210,_xlfn.AGGREGATE(16,6,FIND({0,1,2,3,4,5,6,7,8,9},A210,ROW(INDIRECT("1:"&amp;LEN(A210)))),1))," ",REPT(" ",LEN(A210))),LEN(A210)))), LARGE(INDEX(ISNUMBER(--MID((--TRIM(RIGHT(SUBSTITUTE(LEFT(A210,_xlfn.AGGREGATE(16,6,FIND({0,1,2,3,4,5,6,7,8,9},A210,ROW(INDIRECT("1:"&amp;LEN(A210)))),1))," ",REPT(" ",LEN(A210))),LEN(A210)))), ROW(INDIRECT("1:"&amp;LEN((--TRIM(RIGHT(SUBSTITUTE(LEFT(A210,_xlfn.AGGREGATE(16,6,FIND({0,1,2,3,4,5,6,7,8,9},A210,ROW(INDIRECT("1:"&amp;LEN(A210)))),1))," ",REPT(" ",LEN(A210))),LEN(A210))))))), 1)) * ROW(INDIRECT("1:"&amp;LEN((--TRIM(RIGHT(SUBSTITUTE(LEFT(A210,_xlfn.AGGREGATE(16,6,FIND({0,1,2,3,4,5,6,7,8,9},A210,ROW(INDIRECT("1:"&amp;LEN(A210)))),1))," ",REPT(" ",LEN(A210))),LEN(A210))))))), 0), ROW(INDIRECT("1:"&amp;LEN((--TRIM(RIGHT(SUBSTITUTE(LEFT(A210,_xlfn.AGGREGATE(16,6,FIND({0,1,2,3,4,5,6,7,8,9},A210,ROW(INDIRECT("1:"&amp;LEN(A210)))),1))," ",REPT(" ",LEN(A210))),LEN(A210))))))))+1, 1) * 10^ROW(INDIRECT("1:"&amp;LEN((--TRIM(RIGHT(SUBSTITUTE(LEFT(A210,_xlfn.AGGREGATE(16,6,FIND({0,1,2,3,4,5,6,7,8,9},A210,ROW(INDIRECT("1:"&amp;LEN(A210)))),1))," ",REPT(" ",LEN(A210))),LEN(A210)))))))/10))*1+1</f>
        <v>202 &amp; 502</v>
      </c>
      <c r="B211" s="94"/>
      <c r="C211" s="42"/>
      <c r="D211" s="42"/>
      <c r="E211" s="56">
        <v>0</v>
      </c>
      <c r="F211" s="56">
        <f>D211+E211</f>
        <v>0</v>
      </c>
      <c r="G211" s="56">
        <v>0</v>
      </c>
      <c r="H211" s="56">
        <f>F211*(($H$139)+1)+(IF(G211&lt;101,G211,IF(G211&lt;201,G211/2,IF(G211&lt;=301,G211/3,G211/4))))</f>
        <v>0</v>
      </c>
      <c r="I211" s="36"/>
    </row>
    <row r="212" spans="1:20" s="37" customFormat="1" ht="15.75" hidden="1" customHeight="1" x14ac:dyDescent="0.35">
      <c r="A212" s="93" t="str">
        <f ca="1">(SUMPRODUCT(MID(0&amp;(LEFT(A211,SUM(LEN(A211)-LEN(SUBSTITUTE(A211,{"0","1","2"},""))))), LARGE(INDEX(ISNUMBER(--MID((LEFT(A211,SUM(LEN(A211)-LEN(SUBSTITUTE(A211,{"0","1","2"},""))))), ROW(INDIRECT("1:"&amp;LEN((LEFT(A211,SUM(LEN(A211)-LEN(SUBSTITUTE(A211,{"0","1","2"},"")))))))), 1)) * ROW(INDIRECT("1:"&amp;LEN((LEFT(A211,SUM(LEN(A211)-LEN(SUBSTITUTE(A211,{"0","1","2"},"")))))))), 0), ROW(INDIRECT("1:"&amp;LEN((LEFT(A211,SUM(LEN(A211)-LEN(SUBSTITUTE(A211,{"0","1","2"},"")))))))))+1, 1) * 10^ROW(INDIRECT("1:"&amp;LEN((LEFT(A211,SUM(LEN(A211)-LEN(SUBSTITUTE(A211,{"0","1","2"},""))))))))/10))*1+1&amp;""&amp;" &amp; "&amp;""&amp;(SUMPRODUCT(MID(0&amp;(--TRIM(RIGHT(SUBSTITUTE(LEFT(A211,_xlfn.AGGREGATE(16,6,FIND({0,1,2,3,4,5,6,7,8,9},A211,ROW(INDIRECT("1:"&amp;LEN(A211)))),1))," ",REPT(" ",LEN(A211))),LEN(A211)))), LARGE(INDEX(ISNUMBER(--MID((--TRIM(RIGHT(SUBSTITUTE(LEFT(A211,_xlfn.AGGREGATE(16,6,FIND({0,1,2,3,4,5,6,7,8,9},A211,ROW(INDIRECT("1:"&amp;LEN(A211)))),1))," ",REPT(" ",LEN(A211))),LEN(A211)))), ROW(INDIRECT("1:"&amp;LEN((--TRIM(RIGHT(SUBSTITUTE(LEFT(A211,_xlfn.AGGREGATE(16,6,FIND({0,1,2,3,4,5,6,7,8,9},A211,ROW(INDIRECT("1:"&amp;LEN(A211)))),1))," ",REPT(" ",LEN(A211))),LEN(A211))))))), 1)) * ROW(INDIRECT("1:"&amp;LEN((--TRIM(RIGHT(SUBSTITUTE(LEFT(A211,_xlfn.AGGREGATE(16,6,FIND({0,1,2,3,4,5,6,7,8,9},A211,ROW(INDIRECT("1:"&amp;LEN(A211)))),1))," ",REPT(" ",LEN(A211))),LEN(A211))))))), 0), ROW(INDIRECT("1:"&amp;LEN((--TRIM(RIGHT(SUBSTITUTE(LEFT(A211,_xlfn.AGGREGATE(16,6,FIND({0,1,2,3,4,5,6,7,8,9},A211,ROW(INDIRECT("1:"&amp;LEN(A211)))),1))," ",REPT(" ",LEN(A211))),LEN(A211))))))))+1, 1) * 10^ROW(INDIRECT("1:"&amp;LEN((--TRIM(RIGHT(SUBSTITUTE(LEFT(A211,_xlfn.AGGREGATE(16,6,FIND({0,1,2,3,4,5,6,7,8,9},A211,ROW(INDIRECT("1:"&amp;LEN(A211)))),1))," ",REPT(" ",LEN(A211))),LEN(A211)))))))/10))*1+1</f>
        <v>203 &amp; 503</v>
      </c>
      <c r="B212" s="94"/>
      <c r="C212" s="42"/>
      <c r="D212" s="42"/>
      <c r="E212" s="56">
        <v>0</v>
      </c>
      <c r="F212" s="56">
        <f>D212+E212</f>
        <v>0</v>
      </c>
      <c r="G212" s="56">
        <v>0</v>
      </c>
      <c r="H212" s="56">
        <f>F212*(($H$139)+1)+(IF(G212&lt;101,G212,IF(G212&lt;201,G212/2,IF(G212&lt;=301,G212/3,G212/4))))</f>
        <v>0</v>
      </c>
      <c r="I212" s="36"/>
    </row>
    <row r="213" spans="1:20" s="37" customFormat="1" ht="15.75" hidden="1" customHeight="1" x14ac:dyDescent="0.35">
      <c r="A213" s="93" t="str">
        <f ca="1">(SUMPRODUCT(MID(0&amp;(LEFT(A212,SUM(LEN(A212)-LEN(SUBSTITUTE(A212,{"0","1","2"},""))))), LARGE(INDEX(ISNUMBER(--MID((LEFT(A212,SUM(LEN(A212)-LEN(SUBSTITUTE(A212,{"0","1","2"},""))))), ROW(INDIRECT("1:"&amp;LEN((LEFT(A212,SUM(LEN(A212)-LEN(SUBSTITUTE(A212,{"0","1","2"},"")))))))), 1)) * ROW(INDIRECT("1:"&amp;LEN((LEFT(A212,SUM(LEN(A212)-LEN(SUBSTITUTE(A212,{"0","1","2"},"")))))))), 0), ROW(INDIRECT("1:"&amp;LEN((LEFT(A212,SUM(LEN(A212)-LEN(SUBSTITUTE(A212,{"0","1","2"},"")))))))))+1, 1) * 10^ROW(INDIRECT("1:"&amp;LEN((LEFT(A212,SUM(LEN(A212)-LEN(SUBSTITUTE(A212,{"0","1","2"},""))))))))/10))*1+1&amp;""&amp;" &amp; "&amp;""&amp;(SUMPRODUCT(MID(0&amp;(--TRIM(RIGHT(SUBSTITUTE(LEFT(A212,_xlfn.AGGREGATE(16,6,FIND({0,1,2,3,4,5,6,7,8,9},A212,ROW(INDIRECT("1:"&amp;LEN(A212)))),1))," ",REPT(" ",LEN(A212))),LEN(A212)))), LARGE(INDEX(ISNUMBER(--MID((--TRIM(RIGHT(SUBSTITUTE(LEFT(A212,_xlfn.AGGREGATE(16,6,FIND({0,1,2,3,4,5,6,7,8,9},A212,ROW(INDIRECT("1:"&amp;LEN(A212)))),1))," ",REPT(" ",LEN(A212))),LEN(A212)))), ROW(INDIRECT("1:"&amp;LEN((--TRIM(RIGHT(SUBSTITUTE(LEFT(A212,_xlfn.AGGREGATE(16,6,FIND({0,1,2,3,4,5,6,7,8,9},A212,ROW(INDIRECT("1:"&amp;LEN(A212)))),1))," ",REPT(" ",LEN(A212))),LEN(A212))))))), 1)) * ROW(INDIRECT("1:"&amp;LEN((--TRIM(RIGHT(SUBSTITUTE(LEFT(A212,_xlfn.AGGREGATE(16,6,FIND({0,1,2,3,4,5,6,7,8,9},A212,ROW(INDIRECT("1:"&amp;LEN(A212)))),1))," ",REPT(" ",LEN(A212))),LEN(A212))))))), 0), ROW(INDIRECT("1:"&amp;LEN((--TRIM(RIGHT(SUBSTITUTE(LEFT(A212,_xlfn.AGGREGATE(16,6,FIND({0,1,2,3,4,5,6,7,8,9},A212,ROW(INDIRECT("1:"&amp;LEN(A212)))),1))," ",REPT(" ",LEN(A212))),LEN(A212))))))))+1, 1) * 10^ROW(INDIRECT("1:"&amp;LEN((--TRIM(RIGHT(SUBSTITUTE(LEFT(A212,_xlfn.AGGREGATE(16,6,FIND({0,1,2,3,4,5,6,7,8,9},A212,ROW(INDIRECT("1:"&amp;LEN(A212)))),1))," ",REPT(" ",LEN(A212))),LEN(A212)))))))/10))*1+1</f>
        <v>204 &amp; 504</v>
      </c>
      <c r="B213" s="94"/>
      <c r="C213" s="42"/>
      <c r="D213" s="42"/>
      <c r="E213" s="56">
        <v>0</v>
      </c>
      <c r="F213" s="56">
        <f>D213+E213</f>
        <v>0</v>
      </c>
      <c r="G213" s="56">
        <v>0</v>
      </c>
      <c r="H213" s="56">
        <f>F213*(($H$139)+1)+(IF(G213&lt;101,G213,IF(G213&lt;201,G213/2,IF(G213&lt;=301,G213/3,G213/4))))</f>
        <v>0</v>
      </c>
      <c r="I213" s="36"/>
    </row>
    <row r="214" spans="1:20" s="37" customFormat="1" ht="15.75" hidden="1" customHeight="1" x14ac:dyDescent="0.35">
      <c r="A214" s="93" t="str">
        <f ca="1">(SUMPRODUCT(MID(0&amp;(LEFT(A213,SUM(LEN(A213)-LEN(SUBSTITUTE(A213,{"0","1","2"},""))))), LARGE(INDEX(ISNUMBER(--MID((LEFT(A213,SUM(LEN(A213)-LEN(SUBSTITUTE(A213,{"0","1","2"},""))))), ROW(INDIRECT("1:"&amp;LEN((LEFT(A213,SUM(LEN(A213)-LEN(SUBSTITUTE(A213,{"0","1","2"},"")))))))), 1)) * ROW(INDIRECT("1:"&amp;LEN((LEFT(A213,SUM(LEN(A213)-LEN(SUBSTITUTE(A213,{"0","1","2"},"")))))))), 0), ROW(INDIRECT("1:"&amp;LEN((LEFT(A213,SUM(LEN(A213)-LEN(SUBSTITUTE(A213,{"0","1","2"},"")))))))))+1, 1) * 10^ROW(INDIRECT("1:"&amp;LEN((LEFT(A213,SUM(LEN(A213)-LEN(SUBSTITUTE(A213,{"0","1","2"},""))))))))/10))*1+1&amp;""&amp;" &amp; "&amp;""&amp;(SUMPRODUCT(MID(0&amp;(--TRIM(RIGHT(SUBSTITUTE(LEFT(A213,_xlfn.AGGREGATE(16,6,FIND({0,1,2,3,4,5,6,7,8,9},A213,ROW(INDIRECT("1:"&amp;LEN(A213)))),1))," ",REPT(" ",LEN(A213))),LEN(A213)))), LARGE(INDEX(ISNUMBER(--MID((--TRIM(RIGHT(SUBSTITUTE(LEFT(A213,_xlfn.AGGREGATE(16,6,FIND({0,1,2,3,4,5,6,7,8,9},A213,ROW(INDIRECT("1:"&amp;LEN(A213)))),1))," ",REPT(" ",LEN(A213))),LEN(A213)))), ROW(INDIRECT("1:"&amp;LEN((--TRIM(RIGHT(SUBSTITUTE(LEFT(A213,_xlfn.AGGREGATE(16,6,FIND({0,1,2,3,4,5,6,7,8,9},A213,ROW(INDIRECT("1:"&amp;LEN(A213)))),1))," ",REPT(" ",LEN(A213))),LEN(A213))))))), 1)) * ROW(INDIRECT("1:"&amp;LEN((--TRIM(RIGHT(SUBSTITUTE(LEFT(A213,_xlfn.AGGREGATE(16,6,FIND({0,1,2,3,4,5,6,7,8,9},A213,ROW(INDIRECT("1:"&amp;LEN(A213)))),1))," ",REPT(" ",LEN(A213))),LEN(A213))))))), 0), ROW(INDIRECT("1:"&amp;LEN((--TRIM(RIGHT(SUBSTITUTE(LEFT(A213,_xlfn.AGGREGATE(16,6,FIND({0,1,2,3,4,5,6,7,8,9},A213,ROW(INDIRECT("1:"&amp;LEN(A213)))),1))," ",REPT(" ",LEN(A213))),LEN(A213))))))))+1, 1) * 10^ROW(INDIRECT("1:"&amp;LEN((--TRIM(RIGHT(SUBSTITUTE(LEFT(A213,_xlfn.AGGREGATE(16,6,FIND({0,1,2,3,4,5,6,7,8,9},A213,ROW(INDIRECT("1:"&amp;LEN(A213)))),1))," ",REPT(" ",LEN(A213))),LEN(A213)))))))/10))*1+1</f>
        <v>205 &amp; 505</v>
      </c>
      <c r="B214" s="94"/>
      <c r="C214" s="42"/>
      <c r="D214" s="42"/>
      <c r="E214" s="56">
        <v>0</v>
      </c>
      <c r="F214" s="56">
        <f>D214+E214</f>
        <v>0</v>
      </c>
      <c r="G214" s="56">
        <v>0</v>
      </c>
      <c r="H214" s="56">
        <f>F214*(($H$139)+1)+(IF(G214&lt;101,G214,IF(G214&lt;201,G214/2,IF(G214&lt;=301,G214/3,G214/4))))</f>
        <v>0</v>
      </c>
      <c r="I214" s="36"/>
    </row>
    <row r="215" spans="1:20" s="35" customFormat="1" x14ac:dyDescent="0.35">
      <c r="A215" s="248" t="s">
        <v>64</v>
      </c>
      <c r="B215" s="248"/>
      <c r="C215" s="248"/>
      <c r="D215" s="248"/>
      <c r="E215" s="248"/>
      <c r="F215" s="248"/>
      <c r="G215" s="248"/>
      <c r="H215" s="248"/>
      <c r="T215" s="37"/>
    </row>
    <row r="216" spans="1:20" s="35" customFormat="1" x14ac:dyDescent="0.35">
      <c r="A216" s="46" t="s">
        <v>153</v>
      </c>
      <c r="B216" s="219" t="s">
        <v>366</v>
      </c>
      <c r="C216" s="220"/>
      <c r="D216" s="220"/>
      <c r="E216" s="220"/>
      <c r="F216" s="220"/>
      <c r="G216" s="220"/>
      <c r="H216" s="221"/>
      <c r="T216" s="37"/>
    </row>
    <row r="217" spans="1:20" s="35" customFormat="1" x14ac:dyDescent="0.35">
      <c r="A217" s="46" t="s">
        <v>153</v>
      </c>
      <c r="B217" s="219" t="str">
        <f>(IF(H138="Saleable area Loading :","We have considered Saleable area of Flats as per our Calculation.","We considered Saleable area of Flat as per Builder area Sheet."))</f>
        <v>We have considered Saleable area of Flats as per our Calculation.</v>
      </c>
      <c r="C217" s="220"/>
      <c r="D217" s="220"/>
      <c r="E217" s="220"/>
      <c r="F217" s="220"/>
      <c r="G217" s="220"/>
      <c r="H217" s="221"/>
      <c r="T217" s="37"/>
    </row>
    <row r="218" spans="1:20" s="35" customFormat="1" x14ac:dyDescent="0.35">
      <c r="A218" s="46" t="s">
        <v>153</v>
      </c>
      <c r="B218" s="219" t="str">
        <f>(IF(H126="Saleable area Loading :","We have considered Saleable area of Commercial as per our Calculation.","We considered Saleable area of Commercial as per Builder area Sheet."))</f>
        <v>We have considered Saleable area of Commercial as per our Calculation.</v>
      </c>
      <c r="C218" s="220"/>
      <c r="D218" s="220"/>
      <c r="E218" s="220"/>
      <c r="F218" s="220"/>
      <c r="G218" s="220"/>
      <c r="H218" s="221"/>
      <c r="T218" s="37"/>
    </row>
    <row r="219" spans="1:20" s="35" customFormat="1" x14ac:dyDescent="0.35">
      <c r="A219" s="46" t="s">
        <v>153</v>
      </c>
      <c r="B219" s="216" t="s">
        <v>120</v>
      </c>
      <c r="C219" s="217"/>
      <c r="D219" s="217"/>
      <c r="E219" s="217"/>
      <c r="F219" s="217"/>
      <c r="G219" s="217"/>
      <c r="H219" s="218"/>
      <c r="T219" s="37"/>
    </row>
    <row r="220" spans="1:20" s="35" customFormat="1" x14ac:dyDescent="0.35">
      <c r="A220" s="46" t="s">
        <v>153</v>
      </c>
      <c r="B220" s="216" t="s">
        <v>356</v>
      </c>
      <c r="C220" s="217"/>
      <c r="D220" s="217"/>
      <c r="E220" s="217"/>
      <c r="F220" s="217"/>
      <c r="G220" s="217"/>
      <c r="H220" s="218"/>
      <c r="T220" s="37"/>
    </row>
    <row r="221" spans="1:20" s="35" customFormat="1" x14ac:dyDescent="0.35">
      <c r="A221" s="46" t="s">
        <v>153</v>
      </c>
      <c r="B221" s="216" t="s">
        <v>152</v>
      </c>
      <c r="C221" s="217"/>
      <c r="D221" s="217"/>
      <c r="E221" s="217"/>
      <c r="F221" s="217"/>
      <c r="G221" s="217"/>
      <c r="H221" s="218"/>
    </row>
    <row r="222" spans="1:20" s="35" customFormat="1" x14ac:dyDescent="0.35">
      <c r="A222" s="46" t="s">
        <v>153</v>
      </c>
      <c r="B222" s="216" t="s">
        <v>121</v>
      </c>
      <c r="C222" s="217"/>
      <c r="D222" s="217"/>
      <c r="E222" s="217"/>
      <c r="F222" s="217"/>
      <c r="G222" s="217"/>
      <c r="H222" s="218"/>
    </row>
    <row r="223" spans="1:20" s="35" customFormat="1" ht="34.5" customHeight="1" x14ac:dyDescent="0.35">
      <c r="A223" s="46" t="s">
        <v>153</v>
      </c>
      <c r="B223" s="216" t="s">
        <v>154</v>
      </c>
      <c r="C223" s="217"/>
      <c r="D223" s="217"/>
      <c r="E223" s="217"/>
      <c r="F223" s="217"/>
      <c r="G223" s="217"/>
      <c r="H223" s="218"/>
    </row>
    <row r="224" spans="1:20" s="35" customFormat="1" x14ac:dyDescent="0.35">
      <c r="A224" s="46" t="s">
        <v>153</v>
      </c>
      <c r="B224" s="216" t="s">
        <v>122</v>
      </c>
      <c r="C224" s="217"/>
      <c r="D224" s="217"/>
      <c r="E224" s="217"/>
      <c r="F224" s="217"/>
      <c r="G224" s="217"/>
      <c r="H224" s="218"/>
    </row>
    <row r="225" spans="1:20" s="35" customFormat="1" x14ac:dyDescent="0.35">
      <c r="A225" s="76" t="s">
        <v>153</v>
      </c>
      <c r="B225" s="216" t="s">
        <v>362</v>
      </c>
      <c r="C225" s="217"/>
      <c r="D225" s="217"/>
      <c r="E225" s="217"/>
      <c r="F225" s="217"/>
      <c r="G225" s="217"/>
      <c r="H225" s="218"/>
    </row>
    <row r="226" spans="1:20" x14ac:dyDescent="0.35">
      <c r="A226" s="199" t="s">
        <v>57</v>
      </c>
      <c r="B226" s="199"/>
      <c r="C226" s="199"/>
      <c r="D226" s="199"/>
      <c r="E226" s="199"/>
      <c r="F226" s="199"/>
      <c r="G226" s="199"/>
      <c r="H226" s="199"/>
      <c r="T226" s="35"/>
    </row>
    <row r="227" spans="1:20" x14ac:dyDescent="0.35">
      <c r="A227" s="95" t="s">
        <v>58</v>
      </c>
      <c r="B227" s="95"/>
      <c r="C227" s="95"/>
      <c r="D227" s="95"/>
      <c r="E227" s="95"/>
      <c r="F227" s="95"/>
      <c r="G227" s="95"/>
      <c r="H227" s="95"/>
      <c r="T227" s="35"/>
    </row>
    <row r="228" spans="1:20" ht="15.75" customHeight="1" x14ac:dyDescent="0.35">
      <c r="A228" s="215" t="s">
        <v>59</v>
      </c>
      <c r="B228" s="215"/>
      <c r="C228" s="215"/>
      <c r="D228" s="215"/>
      <c r="E228" s="215"/>
      <c r="F228" s="215"/>
      <c r="G228" s="215"/>
      <c r="H228" s="215"/>
      <c r="T228" s="35"/>
    </row>
    <row r="229" spans="1:20" x14ac:dyDescent="0.35">
      <c r="A229" s="95" t="s">
        <v>60</v>
      </c>
      <c r="B229" s="95"/>
      <c r="C229" s="95"/>
      <c r="D229" s="95"/>
      <c r="E229" s="95"/>
      <c r="F229" s="95"/>
      <c r="G229" s="95"/>
      <c r="H229" s="95"/>
      <c r="T229" s="35"/>
    </row>
    <row r="230" spans="1:20" x14ac:dyDescent="0.35">
      <c r="A230" s="95" t="s">
        <v>61</v>
      </c>
      <c r="B230" s="95"/>
      <c r="C230" s="95"/>
      <c r="D230" s="95"/>
      <c r="E230" s="95"/>
      <c r="F230" s="95"/>
      <c r="G230" s="95"/>
      <c r="H230" s="95"/>
      <c r="T230" s="35"/>
    </row>
    <row r="231" spans="1:20" x14ac:dyDescent="0.35">
      <c r="A231" s="141" t="s">
        <v>123</v>
      </c>
      <c r="B231" s="141"/>
      <c r="C231" s="141"/>
      <c r="D231" s="141"/>
      <c r="E231" s="141"/>
      <c r="F231" s="141"/>
      <c r="G231" s="141"/>
      <c r="H231" s="141"/>
      <c r="T231" s="35"/>
    </row>
    <row r="232" spans="1:20" ht="34" customHeight="1" x14ac:dyDescent="0.35">
      <c r="A232" s="170" t="s">
        <v>124</v>
      </c>
      <c r="B232" s="170"/>
      <c r="C232" s="170"/>
      <c r="D232" s="170"/>
      <c r="E232" s="170"/>
      <c r="F232" s="170"/>
      <c r="G232" s="170"/>
      <c r="H232" s="170"/>
    </row>
    <row r="233" spans="1:20" x14ac:dyDescent="0.35">
      <c r="A233" s="194" t="s">
        <v>73</v>
      </c>
      <c r="B233" s="194"/>
      <c r="C233" s="194" t="s">
        <v>364</v>
      </c>
      <c r="D233" s="194"/>
      <c r="E233" s="194" t="s">
        <v>103</v>
      </c>
      <c r="F233" s="194"/>
      <c r="G233" s="194" t="s">
        <v>363</v>
      </c>
      <c r="H233" s="194"/>
    </row>
    <row r="234" spans="1:20" x14ac:dyDescent="0.35">
      <c r="A234" s="193" t="s">
        <v>75</v>
      </c>
      <c r="B234" s="193"/>
      <c r="C234" s="193"/>
      <c r="D234" s="193"/>
      <c r="E234" s="193"/>
      <c r="F234" s="193"/>
      <c r="G234" s="193"/>
      <c r="H234" s="193"/>
    </row>
    <row r="235" spans="1:20" x14ac:dyDescent="0.35">
      <c r="A235" s="193"/>
      <c r="B235" s="193"/>
      <c r="C235" s="193"/>
      <c r="D235" s="193"/>
      <c r="E235" s="193"/>
      <c r="F235" s="193"/>
      <c r="G235" s="193"/>
      <c r="H235" s="193"/>
    </row>
    <row r="236" spans="1:20" x14ac:dyDescent="0.35">
      <c r="A236" s="193"/>
      <c r="B236" s="193"/>
      <c r="C236" s="193"/>
      <c r="D236" s="193"/>
      <c r="E236" s="193"/>
      <c r="F236" s="193"/>
      <c r="G236" s="193"/>
      <c r="H236" s="193"/>
    </row>
    <row r="237" spans="1:20" x14ac:dyDescent="0.35">
      <c r="A237" s="193"/>
      <c r="B237" s="193"/>
      <c r="C237" s="193"/>
      <c r="D237" s="193"/>
      <c r="E237" s="193"/>
      <c r="F237" s="193"/>
      <c r="G237" s="193"/>
      <c r="H237" s="193"/>
    </row>
    <row r="238" spans="1:20" x14ac:dyDescent="0.35">
      <c r="A238" s="38" t="s">
        <v>62</v>
      </c>
      <c r="B238" s="39"/>
      <c r="C238" s="39"/>
      <c r="D238" s="38" t="str">
        <f>E9</f>
        <v>Parshu Heritage</v>
      </c>
      <c r="F238" s="39"/>
      <c r="G238" s="39"/>
      <c r="H238" s="39"/>
    </row>
    <row r="239" spans="1:20" x14ac:dyDescent="0.35">
      <c r="A239" s="39"/>
      <c r="B239" s="39"/>
      <c r="C239" s="39"/>
      <c r="D239" s="39"/>
      <c r="E239" s="39"/>
      <c r="F239" s="39"/>
      <c r="G239" s="39"/>
      <c r="H239" s="39"/>
    </row>
    <row r="240" spans="1:20" x14ac:dyDescent="0.35">
      <c r="A240" s="39"/>
      <c r="B240" s="39"/>
      <c r="C240" s="39"/>
      <c r="D240" s="39"/>
      <c r="E240" s="39"/>
      <c r="F240" s="39"/>
      <c r="G240" s="39"/>
      <c r="H240" s="39"/>
    </row>
    <row r="241" ht="15" customHeight="1" x14ac:dyDescent="0.35"/>
    <row r="281" spans="1:1" x14ac:dyDescent="0.35">
      <c r="A281" s="41" t="s">
        <v>164</v>
      </c>
    </row>
    <row r="324" spans="1:1" x14ac:dyDescent="0.35">
      <c r="A324" s="41" t="s">
        <v>63</v>
      </c>
    </row>
  </sheetData>
  <mergeCells count="395">
    <mergeCell ref="A179:H179"/>
    <mergeCell ref="L179:M179"/>
    <mergeCell ref="A180:B180"/>
    <mergeCell ref="A181:B181"/>
    <mergeCell ref="A182:B182"/>
    <mergeCell ref="A183:B183"/>
    <mergeCell ref="A184:B184"/>
    <mergeCell ref="A185:B185"/>
    <mergeCell ref="B225:H225"/>
    <mergeCell ref="A198:B198"/>
    <mergeCell ref="A208:B208"/>
    <mergeCell ref="A203:H203"/>
    <mergeCell ref="A197:H197"/>
    <mergeCell ref="B221:H221"/>
    <mergeCell ref="A205:B205"/>
    <mergeCell ref="A211:B211"/>
    <mergeCell ref="A214:B214"/>
    <mergeCell ref="A213:B213"/>
    <mergeCell ref="B216:H216"/>
    <mergeCell ref="B217:H217"/>
    <mergeCell ref="B219:H219"/>
    <mergeCell ref="B220:H220"/>
    <mergeCell ref="A215:H215"/>
    <mergeCell ref="B223:H223"/>
    <mergeCell ref="A176:B176"/>
    <mergeCell ref="A171:H171"/>
    <mergeCell ref="L171:M171"/>
    <mergeCell ref="A172:B172"/>
    <mergeCell ref="A173:B173"/>
    <mergeCell ref="A174:B174"/>
    <mergeCell ref="A175:B175"/>
    <mergeCell ref="A177:B177"/>
    <mergeCell ref="A178:B178"/>
    <mergeCell ref="A166:B166"/>
    <mergeCell ref="A167:B167"/>
    <mergeCell ref="A168:B168"/>
    <mergeCell ref="A169:B169"/>
    <mergeCell ref="A170:B170"/>
    <mergeCell ref="A156:H156"/>
    <mergeCell ref="A157:B157"/>
    <mergeCell ref="A158:B158"/>
    <mergeCell ref="A159:B159"/>
    <mergeCell ref="A160:B160"/>
    <mergeCell ref="A161:B161"/>
    <mergeCell ref="A162:B162"/>
    <mergeCell ref="A163:B163"/>
    <mergeCell ref="A164:H164"/>
    <mergeCell ref="L148:M148"/>
    <mergeCell ref="A149:B149"/>
    <mergeCell ref="A150:B150"/>
    <mergeCell ref="A151:B151"/>
    <mergeCell ref="A152:B152"/>
    <mergeCell ref="A153:B153"/>
    <mergeCell ref="A154:B154"/>
    <mergeCell ref="A155:B155"/>
    <mergeCell ref="L164:M164"/>
    <mergeCell ref="L133:M133"/>
    <mergeCell ref="A134:H134"/>
    <mergeCell ref="A135:B135"/>
    <mergeCell ref="L135:M135"/>
    <mergeCell ref="A136:B136"/>
    <mergeCell ref="L136:M136"/>
    <mergeCell ref="A140:H140"/>
    <mergeCell ref="L140:M140"/>
    <mergeCell ref="A141:B141"/>
    <mergeCell ref="A65:C65"/>
    <mergeCell ref="I15:P15"/>
    <mergeCell ref="F111:H111"/>
    <mergeCell ref="F109:H109"/>
    <mergeCell ref="A199:B199"/>
    <mergeCell ref="A125:H125"/>
    <mergeCell ref="G115:H115"/>
    <mergeCell ref="A110:E110"/>
    <mergeCell ref="A130:B130"/>
    <mergeCell ref="A60:B60"/>
    <mergeCell ref="C60:E60"/>
    <mergeCell ref="D62:H62"/>
    <mergeCell ref="F110:H110"/>
    <mergeCell ref="E115:F115"/>
    <mergeCell ref="A115:B115"/>
    <mergeCell ref="A117:B117"/>
    <mergeCell ref="C120:D120"/>
    <mergeCell ref="D70:H70"/>
    <mergeCell ref="A71:C71"/>
    <mergeCell ref="E43:H43"/>
    <mergeCell ref="A43:D43"/>
    <mergeCell ref="A87:B87"/>
    <mergeCell ref="C87:H87"/>
    <mergeCell ref="A82:B82"/>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A50:B50"/>
    <mergeCell ref="A231:H231"/>
    <mergeCell ref="A228:H228"/>
    <mergeCell ref="A192:B192"/>
    <mergeCell ref="A120:B120"/>
    <mergeCell ref="D138:D139"/>
    <mergeCell ref="E138:E139"/>
    <mergeCell ref="A95:B95"/>
    <mergeCell ref="A96:B96"/>
    <mergeCell ref="A97:B97"/>
    <mergeCell ref="F102:H102"/>
    <mergeCell ref="G116:H116"/>
    <mergeCell ref="F108:H108"/>
    <mergeCell ref="C115:D115"/>
    <mergeCell ref="C122:D122"/>
    <mergeCell ref="A186:H186"/>
    <mergeCell ref="A201:B201"/>
    <mergeCell ref="B224:H224"/>
    <mergeCell ref="B222:H222"/>
    <mergeCell ref="B218:H218"/>
    <mergeCell ref="A212:B212"/>
    <mergeCell ref="A209:H209"/>
    <mergeCell ref="A210:B210"/>
    <mergeCell ref="A129:B129"/>
    <mergeCell ref="A123:B123"/>
    <mergeCell ref="E90:F90"/>
    <mergeCell ref="G90:H90"/>
    <mergeCell ref="A107:E107"/>
    <mergeCell ref="F107:H107"/>
    <mergeCell ref="A109:E109"/>
    <mergeCell ref="F104:H104"/>
    <mergeCell ref="A108:E108"/>
    <mergeCell ref="E91:F100"/>
    <mergeCell ref="A98:B98"/>
    <mergeCell ref="A99:B99"/>
    <mergeCell ref="A90:B90"/>
    <mergeCell ref="G91:H100"/>
    <mergeCell ref="A92:B92"/>
    <mergeCell ref="A93:B93"/>
    <mergeCell ref="F105:H105"/>
    <mergeCell ref="A234:H237"/>
    <mergeCell ref="A233:B233"/>
    <mergeCell ref="E233:F233"/>
    <mergeCell ref="C233:D233"/>
    <mergeCell ref="G233:H233"/>
    <mergeCell ref="A114:H114"/>
    <mergeCell ref="A112:E112"/>
    <mergeCell ref="F112:H112"/>
    <mergeCell ref="A113:E113"/>
    <mergeCell ref="F113:H113"/>
    <mergeCell ref="A191:H191"/>
    <mergeCell ref="A121:B121"/>
    <mergeCell ref="A200:B200"/>
    <mergeCell ref="A116:B116"/>
    <mergeCell ref="A229:H229"/>
    <mergeCell ref="A119:H119"/>
    <mergeCell ref="A232:H232"/>
    <mergeCell ref="A230:H230"/>
    <mergeCell ref="A226:H226"/>
    <mergeCell ref="G120:H120"/>
    <mergeCell ref="A202:B202"/>
    <mergeCell ref="C126:C127"/>
    <mergeCell ref="B138:B139"/>
    <mergeCell ref="A227:H227"/>
    <mergeCell ref="A75:B75"/>
    <mergeCell ref="A73:B73"/>
    <mergeCell ref="C73:H73"/>
    <mergeCell ref="A81:B81"/>
    <mergeCell ref="A68:C68"/>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85:B85"/>
    <mergeCell ref="A86:B86"/>
    <mergeCell ref="A79:B7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C49:H49"/>
    <mergeCell ref="F37:H37"/>
    <mergeCell ref="C53:H53"/>
    <mergeCell ref="C52:E52"/>
    <mergeCell ref="D65:H65"/>
    <mergeCell ref="C51:E51"/>
    <mergeCell ref="C50:E50"/>
    <mergeCell ref="A89:B89"/>
    <mergeCell ref="A39:B39"/>
    <mergeCell ref="C39:H39"/>
    <mergeCell ref="A46:D46"/>
    <mergeCell ref="L132:M132"/>
    <mergeCell ref="L131:M131"/>
    <mergeCell ref="L130:M130"/>
    <mergeCell ref="L129:M129"/>
    <mergeCell ref="A84:B84"/>
    <mergeCell ref="C121:D121"/>
    <mergeCell ref="E121:F121"/>
    <mergeCell ref="G121:H121"/>
    <mergeCell ref="A102:E102"/>
    <mergeCell ref="A128:H128"/>
    <mergeCell ref="E126:E127"/>
    <mergeCell ref="A91:B91"/>
    <mergeCell ref="A47:D47"/>
    <mergeCell ref="A48:H48"/>
    <mergeCell ref="D64:H64"/>
    <mergeCell ref="A64:C64"/>
    <mergeCell ref="A83:B83"/>
    <mergeCell ref="C89:H89"/>
    <mergeCell ref="A45:D45"/>
    <mergeCell ref="A49:B49"/>
    <mergeCell ref="L191:M191"/>
    <mergeCell ref="A196:B196"/>
    <mergeCell ref="A193:B193"/>
    <mergeCell ref="A194:B194"/>
    <mergeCell ref="A204:B204"/>
    <mergeCell ref="A40:B40"/>
    <mergeCell ref="C40:H40"/>
    <mergeCell ref="F126:F127"/>
    <mergeCell ref="C116:D116"/>
    <mergeCell ref="E116:F116"/>
    <mergeCell ref="B126:B127"/>
    <mergeCell ref="A126:A127"/>
    <mergeCell ref="C138:C139"/>
    <mergeCell ref="G138:G139"/>
    <mergeCell ref="L190:M190"/>
    <mergeCell ref="L187:M187"/>
    <mergeCell ref="A188:B188"/>
    <mergeCell ref="G123:H123"/>
    <mergeCell ref="L188:M188"/>
    <mergeCell ref="A189:B189"/>
    <mergeCell ref="L189:M189"/>
    <mergeCell ref="C55:H55"/>
    <mergeCell ref="A190:B190"/>
    <mergeCell ref="A76:B76"/>
    <mergeCell ref="G126:G127"/>
    <mergeCell ref="F101:H101"/>
    <mergeCell ref="F106:H106"/>
    <mergeCell ref="A187:B187"/>
    <mergeCell ref="A132:B132"/>
    <mergeCell ref="A131:B131"/>
    <mergeCell ref="A137:H137"/>
    <mergeCell ref="E120:F120"/>
    <mergeCell ref="A124:H124"/>
    <mergeCell ref="A138:A139"/>
    <mergeCell ref="F138:F139"/>
    <mergeCell ref="E123:F123"/>
    <mergeCell ref="A133:B133"/>
    <mergeCell ref="A142:B142"/>
    <mergeCell ref="A143:B143"/>
    <mergeCell ref="A144:B144"/>
    <mergeCell ref="A145:B145"/>
    <mergeCell ref="A146:B146"/>
    <mergeCell ref="A147:B147"/>
    <mergeCell ref="C145:H146"/>
    <mergeCell ref="C147:H147"/>
    <mergeCell ref="A148:H148"/>
    <mergeCell ref="A165:B165"/>
    <mergeCell ref="C123:D123"/>
    <mergeCell ref="I9:J12"/>
    <mergeCell ref="A207:B207"/>
    <mergeCell ref="A106:E106"/>
    <mergeCell ref="A100:B100"/>
    <mergeCell ref="A122:B122"/>
    <mergeCell ref="E122:F122"/>
    <mergeCell ref="A111:E111"/>
    <mergeCell ref="G122:H122"/>
    <mergeCell ref="C117:D117"/>
    <mergeCell ref="E117:F117"/>
    <mergeCell ref="G117:H117"/>
    <mergeCell ref="A118:B118"/>
    <mergeCell ref="C118:D118"/>
    <mergeCell ref="E118:F118"/>
    <mergeCell ref="G118:H118"/>
    <mergeCell ref="A206:B206"/>
    <mergeCell ref="A195:B195"/>
    <mergeCell ref="A94:B94"/>
    <mergeCell ref="F103:H103"/>
    <mergeCell ref="A103:E103"/>
    <mergeCell ref="D126:D127"/>
    <mergeCell ref="A105:E105"/>
    <mergeCell ref="A104:E104"/>
    <mergeCell ref="A101:E101"/>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6:E127">
      <formula1>"Attached Loft area,Attached Otla area,Attached Mezzanine area"</formula1>
    </dataValidation>
    <dataValidation type="list" allowBlank="1" showInputMessage="1" showErrorMessage="1" sqref="G233:H233">
      <formula1>"Kunal Kadam,Pranita Mhatre,Shruti Fule,Pooja Kawale,Neha Dhokale,Shruti Tathare, Hitakshi Mhatre, Sachin Sawant"</formula1>
    </dataValidation>
    <dataValidation type="list" allowBlank="1" showInputMessage="1" showErrorMessage="1" sqref="F101:H101">
      <formula1>"On Saleable Area,On Builtup Area,On Carpet Area,On Plot Area"</formula1>
    </dataValidation>
    <dataValidation type="list" allowBlank="1" showInputMessage="1" showErrorMessage="1" sqref="F112:H112">
      <formula1>OFFSET($S$101,1,MATCH($G20,$S$101:$W$101,0)-1,15,1)</formula1>
    </dataValidation>
    <dataValidation type="list" allowBlank="1" showInputMessage="1" showErrorMessage="1" sqref="B126:B127">
      <formula1>"Shop No. (Sale Plan),Sale / Rehab,Sale / Mhada"</formula1>
    </dataValidation>
    <dataValidation type="list" allowBlank="1" showInputMessage="1" showErrorMessage="1" sqref="B138:B13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8:E139">
      <formula1>"Fungible area,Balcony Area + Chajja Area,Chajja Area,Cornice Area,AP Area,WS Area"</formula1>
    </dataValidation>
    <dataValidation type="list" allowBlank="1" showInputMessage="1" showErrorMessage="1" sqref="H127 H13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26 H138">
      <formula1>"Saleable area Loading :,Builder Saleable Area"</formula1>
    </dataValidation>
    <dataValidation type="list" allowBlank="1" showInputMessage="1" showErrorMessage="1" sqref="D126:D127 D138:D139">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37" max="16383" man="1"/>
    <brk id="280" max="16383" man="1"/>
    <brk id="32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9" t="s">
        <v>104</v>
      </c>
      <c r="C3" s="249"/>
      <c r="D3" s="249"/>
      <c r="E3" s="249"/>
      <c r="F3" s="249"/>
      <c r="G3" s="249"/>
      <c r="H3" s="249"/>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4"/>
      <c r="C4" s="54" t="s">
        <v>10</v>
      </c>
      <c r="D4" s="55" t="s">
        <v>179</v>
      </c>
      <c r="E4" s="55" t="s">
        <v>189</v>
      </c>
      <c r="F4" s="55" t="s">
        <v>173</v>
      </c>
      <c r="G4" s="55" t="s">
        <v>194</v>
      </c>
      <c r="H4" s="55" t="s">
        <v>212</v>
      </c>
      <c r="J4" t="s">
        <v>194</v>
      </c>
      <c r="K4" t="s">
        <v>210</v>
      </c>
    </row>
    <row r="5" spans="2:11" x14ac:dyDescent="0.35">
      <c r="B5" s="54"/>
      <c r="C5" s="54"/>
      <c r="D5" s="55" t="s">
        <v>180</v>
      </c>
      <c r="E5" s="55" t="s">
        <v>187</v>
      </c>
      <c r="F5" s="55" t="s">
        <v>209</v>
      </c>
      <c r="G5" s="55" t="s">
        <v>195</v>
      </c>
      <c r="H5" s="55" t="s">
        <v>213</v>
      </c>
    </row>
    <row r="6" spans="2:11" x14ac:dyDescent="0.35">
      <c r="B6" s="54"/>
      <c r="C6" s="54"/>
      <c r="D6" s="55" t="s">
        <v>181</v>
      </c>
      <c r="E6" s="55" t="s">
        <v>188</v>
      </c>
      <c r="F6" s="55" t="s">
        <v>210</v>
      </c>
      <c r="G6" s="55" t="s">
        <v>196</v>
      </c>
      <c r="H6" s="55" t="s">
        <v>226</v>
      </c>
    </row>
    <row r="7" spans="2:11" x14ac:dyDescent="0.35">
      <c r="B7" s="54"/>
      <c r="C7" s="54"/>
      <c r="D7" s="55" t="s">
        <v>182</v>
      </c>
      <c r="E7" s="55" t="s">
        <v>190</v>
      </c>
      <c r="F7" s="55" t="s">
        <v>211</v>
      </c>
      <c r="G7" s="55" t="s">
        <v>197</v>
      </c>
      <c r="H7" s="55" t="s">
        <v>214</v>
      </c>
    </row>
    <row r="8" spans="2:11" x14ac:dyDescent="0.35">
      <c r="B8" s="54"/>
      <c r="C8" s="54"/>
      <c r="D8" s="55" t="s">
        <v>183</v>
      </c>
      <c r="E8" s="55" t="s">
        <v>191</v>
      </c>
      <c r="F8" s="55"/>
      <c r="G8" s="55" t="s">
        <v>198</v>
      </c>
      <c r="H8" s="55" t="s">
        <v>215</v>
      </c>
    </row>
    <row r="9" spans="2:11" x14ac:dyDescent="0.35">
      <c r="B9" s="54"/>
      <c r="C9" s="54"/>
      <c r="D9" s="55" t="s">
        <v>184</v>
      </c>
      <c r="E9" s="55" t="s">
        <v>189</v>
      </c>
      <c r="F9" s="55"/>
      <c r="G9" s="55" t="s">
        <v>199</v>
      </c>
      <c r="H9" s="55" t="s">
        <v>216</v>
      </c>
    </row>
    <row r="10" spans="2:11" x14ac:dyDescent="0.35">
      <c r="B10" s="54"/>
      <c r="C10" s="54"/>
      <c r="D10" s="55" t="s">
        <v>185</v>
      </c>
      <c r="E10" s="55" t="s">
        <v>192</v>
      </c>
      <c r="F10" s="55"/>
      <c r="G10" s="55" t="s">
        <v>200</v>
      </c>
      <c r="H10" s="55" t="s">
        <v>217</v>
      </c>
    </row>
    <row r="11" spans="2:11" x14ac:dyDescent="0.35">
      <c r="B11" s="54"/>
      <c r="C11" s="54"/>
      <c r="D11" s="55" t="s">
        <v>186</v>
      </c>
      <c r="E11" s="55" t="s">
        <v>193</v>
      </c>
      <c r="F11" s="55"/>
      <c r="G11" s="55" t="s">
        <v>201</v>
      </c>
      <c r="H11" s="55" t="s">
        <v>218</v>
      </c>
    </row>
    <row r="12" spans="2:11" x14ac:dyDescent="0.35">
      <c r="B12" s="54"/>
      <c r="C12" s="54"/>
      <c r="D12" s="55"/>
      <c r="E12" s="55"/>
      <c r="F12" s="55"/>
      <c r="G12" s="55" t="s">
        <v>202</v>
      </c>
      <c r="H12" s="55" t="s">
        <v>219</v>
      </c>
    </row>
    <row r="13" spans="2:11" x14ac:dyDescent="0.35">
      <c r="B13" s="54"/>
      <c r="C13" s="54"/>
      <c r="D13" s="55"/>
      <c r="E13" s="55"/>
      <c r="F13" s="55"/>
      <c r="G13" s="55" t="s">
        <v>203</v>
      </c>
      <c r="H13" s="55" t="s">
        <v>220</v>
      </c>
    </row>
    <row r="14" spans="2:11" x14ac:dyDescent="0.35">
      <c r="B14" s="54"/>
      <c r="C14" s="54"/>
      <c r="D14" s="55"/>
      <c r="E14" s="55"/>
      <c r="F14" s="55"/>
      <c r="G14" s="55" t="s">
        <v>204</v>
      </c>
      <c r="H14" s="55" t="s">
        <v>221</v>
      </c>
    </row>
    <row r="15" spans="2:11" x14ac:dyDescent="0.35">
      <c r="B15" s="54"/>
      <c r="C15" s="54"/>
      <c r="D15" s="55"/>
      <c r="E15" s="55"/>
      <c r="F15" s="55"/>
      <c r="G15" s="55" t="s">
        <v>205</v>
      </c>
      <c r="H15" s="55" t="s">
        <v>222</v>
      </c>
    </row>
    <row r="16" spans="2:11" x14ac:dyDescent="0.35">
      <c r="B16" s="54"/>
      <c r="C16" s="54"/>
      <c r="D16" s="55"/>
      <c r="E16" s="55"/>
      <c r="F16" s="55"/>
      <c r="G16" s="55" t="s">
        <v>206</v>
      </c>
      <c r="H16" s="55" t="s">
        <v>223</v>
      </c>
    </row>
    <row r="17" spans="2:8" x14ac:dyDescent="0.35">
      <c r="B17" s="54"/>
      <c r="C17" s="54"/>
      <c r="D17" s="55"/>
      <c r="E17" s="55"/>
      <c r="F17" s="55"/>
      <c r="G17" s="55" t="s">
        <v>207</v>
      </c>
      <c r="H17" s="55" t="s">
        <v>224</v>
      </c>
    </row>
    <row r="18" spans="2:8" x14ac:dyDescent="0.35">
      <c r="B18" s="54"/>
      <c r="C18" s="54"/>
      <c r="D18" s="55"/>
      <c r="E18" s="55"/>
      <c r="F18" s="55"/>
      <c r="G18" s="55" t="s">
        <v>208</v>
      </c>
      <c r="H18" s="55"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57" t="s">
        <v>236</v>
      </c>
      <c r="D34" s="55" t="s">
        <v>234</v>
      </c>
      <c r="E34" s="55" t="s">
        <v>239</v>
      </c>
      <c r="F34" s="55" t="s">
        <v>237</v>
      </c>
      <c r="G34" s="55" t="s">
        <v>238</v>
      </c>
      <c r="H34" s="55" t="s">
        <v>240</v>
      </c>
      <c r="J34" t="s">
        <v>194</v>
      </c>
      <c r="K34" t="s">
        <v>210</v>
      </c>
    </row>
    <row r="35" spans="3:11" x14ac:dyDescent="0.35">
      <c r="C35" s="54" t="s">
        <v>235</v>
      </c>
      <c r="D35" s="55" t="s">
        <v>171</v>
      </c>
      <c r="E35" s="55" t="s">
        <v>244</v>
      </c>
      <c r="F35" s="55" t="s">
        <v>246</v>
      </c>
      <c r="G35" s="55" t="s">
        <v>248</v>
      </c>
      <c r="H35" s="55"/>
    </row>
    <row r="36" spans="3:11" x14ac:dyDescent="0.35">
      <c r="C36" s="54"/>
      <c r="D36" s="55" t="s">
        <v>241</v>
      </c>
      <c r="E36" s="55" t="s">
        <v>245</v>
      </c>
      <c r="F36" s="55" t="s">
        <v>247</v>
      </c>
      <c r="G36" s="55" t="s">
        <v>249</v>
      </c>
      <c r="H36" s="55"/>
    </row>
    <row r="37" spans="3:11" x14ac:dyDescent="0.35">
      <c r="C37" s="54"/>
      <c r="D37" s="55" t="s">
        <v>242</v>
      </c>
      <c r="E37" s="55"/>
      <c r="F37" s="55"/>
      <c r="G37" s="55" t="s">
        <v>250</v>
      </c>
      <c r="H37" s="55"/>
    </row>
    <row r="38" spans="3:11" x14ac:dyDescent="0.35">
      <c r="C38" s="54"/>
      <c r="D38" s="55" t="s">
        <v>243</v>
      </c>
      <c r="E38" s="55"/>
      <c r="F38" s="55"/>
      <c r="G38" s="55" t="s">
        <v>250</v>
      </c>
      <c r="H38" s="55"/>
    </row>
    <row r="39" spans="3:11" x14ac:dyDescent="0.35">
      <c r="C39" s="54"/>
      <c r="D39" s="55"/>
      <c r="E39" s="55"/>
      <c r="F39" s="55"/>
      <c r="G39" s="55" t="s">
        <v>251</v>
      </c>
      <c r="H39" s="55"/>
    </row>
    <row r="40" spans="3:11" x14ac:dyDescent="0.35">
      <c r="C40" s="54"/>
      <c r="D40" s="55"/>
      <c r="E40" s="55"/>
      <c r="F40" s="55"/>
      <c r="G40" s="55" t="s">
        <v>252</v>
      </c>
      <c r="H40" s="55"/>
    </row>
    <row r="41" spans="3:11" x14ac:dyDescent="0.35">
      <c r="C41" s="54"/>
      <c r="D41" s="55"/>
      <c r="E41" s="55"/>
      <c r="F41" s="55"/>
      <c r="G41" s="55"/>
      <c r="H41" s="55"/>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8">
        <v>1</v>
      </c>
      <c r="C2" s="61" t="s">
        <v>284</v>
      </c>
    </row>
    <row r="3" spans="2:3" x14ac:dyDescent="0.35">
      <c r="B3" s="58">
        <v>2</v>
      </c>
      <c r="C3" s="59" t="s">
        <v>285</v>
      </c>
    </row>
    <row r="4" spans="2:3" x14ac:dyDescent="0.35">
      <c r="B4" s="58">
        <v>3</v>
      </c>
      <c r="C4" s="60" t="s">
        <v>286</v>
      </c>
    </row>
    <row r="5" spans="2:3" x14ac:dyDescent="0.35">
      <c r="B5" s="58">
        <v>4</v>
      </c>
      <c r="C5" s="59" t="s">
        <v>287</v>
      </c>
    </row>
    <row r="6" spans="2:3" x14ac:dyDescent="0.35">
      <c r="B6" s="58">
        <v>5</v>
      </c>
      <c r="C6" s="60" t="s">
        <v>288</v>
      </c>
    </row>
    <row r="7" spans="2:3" ht="29" x14ac:dyDescent="0.35">
      <c r="B7" s="58">
        <v>6</v>
      </c>
      <c r="C7" s="59" t="s">
        <v>289</v>
      </c>
    </row>
    <row r="8" spans="2:3" ht="72.5" x14ac:dyDescent="0.35">
      <c r="B8" s="58">
        <v>7</v>
      </c>
      <c r="C8" s="59" t="s">
        <v>290</v>
      </c>
    </row>
    <row r="9" spans="2:3" x14ac:dyDescent="0.35">
      <c r="B9" s="58">
        <v>8</v>
      </c>
      <c r="C9" s="60" t="s">
        <v>291</v>
      </c>
    </row>
    <row r="10" spans="2:3" x14ac:dyDescent="0.35">
      <c r="B10" s="58">
        <v>9</v>
      </c>
      <c r="C10" s="60" t="s">
        <v>292</v>
      </c>
    </row>
    <row r="11" spans="2:3" x14ac:dyDescent="0.35">
      <c r="B11" s="58">
        <v>10</v>
      </c>
      <c r="C11" s="60" t="s">
        <v>293</v>
      </c>
    </row>
    <row r="12" spans="2:3" x14ac:dyDescent="0.35">
      <c r="B12" s="58">
        <v>11</v>
      </c>
      <c r="C12" s="60" t="s">
        <v>294</v>
      </c>
    </row>
    <row r="13" spans="2:3" x14ac:dyDescent="0.35">
      <c r="B13" s="58">
        <v>12</v>
      </c>
      <c r="C13" s="60" t="s">
        <v>295</v>
      </c>
    </row>
    <row r="14" spans="2:3" x14ac:dyDescent="0.35">
      <c r="B14" s="58">
        <v>13</v>
      </c>
      <c r="C14" s="60" t="s">
        <v>296</v>
      </c>
    </row>
    <row r="15" spans="2:3" x14ac:dyDescent="0.35">
      <c r="B15" s="58">
        <v>14</v>
      </c>
      <c r="C15" s="60" t="s">
        <v>286</v>
      </c>
    </row>
    <row r="16" spans="2:3" x14ac:dyDescent="0.35">
      <c r="B16" s="58">
        <v>15</v>
      </c>
      <c r="C16" s="60" t="s">
        <v>298</v>
      </c>
    </row>
    <row r="17" spans="2:3" ht="31.5" customHeight="1" x14ac:dyDescent="0.35">
      <c r="B17" s="66">
        <v>16</v>
      </c>
      <c r="C17" s="68" t="s">
        <v>299</v>
      </c>
    </row>
    <row r="18" spans="2:3" x14ac:dyDescent="0.35">
      <c r="B18" s="67">
        <v>17</v>
      </c>
      <c r="C18" s="68" t="s">
        <v>300</v>
      </c>
    </row>
    <row r="19" spans="2:3" x14ac:dyDescent="0.35">
      <c r="B19" s="66">
        <v>18</v>
      </c>
      <c r="C19" s="58" t="s">
        <v>301</v>
      </c>
    </row>
    <row r="20" spans="2:3" x14ac:dyDescent="0.35">
      <c r="B20" s="67">
        <v>19</v>
      </c>
      <c r="C20" s="58"/>
    </row>
    <row r="21" spans="2:3" x14ac:dyDescent="0.35">
      <c r="B21" s="69">
        <v>20</v>
      </c>
      <c r="C21" s="58"/>
    </row>
    <row r="22" spans="2:3" x14ac:dyDescent="0.35">
      <c r="B22" s="58"/>
      <c r="C22" s="58"/>
    </row>
    <row r="23" spans="2:3" x14ac:dyDescent="0.35">
      <c r="B23" s="58"/>
      <c r="C23" s="58"/>
    </row>
    <row r="24" spans="2:3" x14ac:dyDescent="0.35">
      <c r="B24" s="58"/>
      <c r="C24" s="58"/>
    </row>
    <row r="25" spans="2:3" x14ac:dyDescent="0.35">
      <c r="B25" s="58"/>
      <c r="C25" s="58"/>
    </row>
    <row r="26" spans="2:3" x14ac:dyDescent="0.35">
      <c r="B26" s="58"/>
      <c r="C26" s="5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2025-01-06T11:58:59Z</cp:lastPrinted>
  <dcterms:created xsi:type="dcterms:W3CDTF">2019-07-16T09:29:46Z</dcterms:created>
  <dcterms:modified xsi:type="dcterms:W3CDTF">2025-07-12T17:53:31Z</dcterms:modified>
</cp:coreProperties>
</file>