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July 2025\15-07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Report!$A$1:$H$409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24" i="1" l="1"/>
  <c r="J123" i="1"/>
  <c r="J122" i="1"/>
  <c r="J121" i="1"/>
  <c r="C85" i="1" l="1"/>
  <c r="J96" i="1"/>
  <c r="J95" i="1"/>
  <c r="J94" i="1"/>
  <c r="J93" i="1"/>
  <c r="K243" i="1" l="1"/>
  <c r="K226" i="1"/>
  <c r="K209" i="1"/>
  <c r="K161" i="1" l="1"/>
  <c r="K162" i="1"/>
  <c r="K163" i="1"/>
  <c r="K164" i="1"/>
  <c r="K165" i="1"/>
  <c r="K166" i="1"/>
  <c r="K167" i="1"/>
  <c r="K160" i="1"/>
  <c r="I214" i="1" l="1"/>
  <c r="I215" i="1"/>
  <c r="I216" i="1"/>
  <c r="I217" i="1"/>
  <c r="I218" i="1"/>
  <c r="I219" i="1"/>
  <c r="I220" i="1"/>
  <c r="I221" i="1"/>
  <c r="I222" i="1"/>
  <c r="I223" i="1"/>
  <c r="I224" i="1"/>
  <c r="I225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13" i="1"/>
  <c r="I207" i="1"/>
  <c r="K168" i="1"/>
  <c r="K181" i="1"/>
  <c r="K182" i="1"/>
  <c r="K190" i="1"/>
  <c r="K191" i="1"/>
  <c r="K192" i="1"/>
  <c r="K193" i="1"/>
  <c r="K194" i="1"/>
  <c r="K195" i="1"/>
  <c r="K202" i="1"/>
  <c r="K210" i="1"/>
  <c r="K211" i="1"/>
  <c r="K212" i="1"/>
  <c r="K219" i="1"/>
  <c r="K227" i="1"/>
  <c r="K228" i="1"/>
  <c r="K229" i="1"/>
  <c r="K236" i="1"/>
  <c r="K244" i="1"/>
  <c r="K245" i="1"/>
  <c r="K246" i="1"/>
  <c r="K253" i="1"/>
  <c r="N259" i="1" l="1"/>
  <c r="A259" i="1" s="1"/>
  <c r="N258" i="1"/>
  <c r="A258" i="1" s="1"/>
  <c r="N257" i="1"/>
  <c r="A257" i="1" s="1"/>
  <c r="N256" i="1"/>
  <c r="A256" i="1" s="1"/>
  <c r="N255" i="1"/>
  <c r="A255" i="1" s="1"/>
  <c r="N254" i="1"/>
  <c r="A254" i="1" s="1"/>
  <c r="N242" i="1"/>
  <c r="A242" i="1" s="1"/>
  <c r="N241" i="1"/>
  <c r="A241" i="1" s="1"/>
  <c r="N240" i="1"/>
  <c r="A240" i="1" s="1"/>
  <c r="N239" i="1"/>
  <c r="A239" i="1" s="1"/>
  <c r="N238" i="1"/>
  <c r="A238" i="1" s="1"/>
  <c r="N237" i="1"/>
  <c r="A237" i="1" s="1"/>
  <c r="N225" i="1"/>
  <c r="A225" i="1" s="1"/>
  <c r="N224" i="1"/>
  <c r="A224" i="1" s="1"/>
  <c r="N223" i="1"/>
  <c r="A223" i="1" s="1"/>
  <c r="N222" i="1"/>
  <c r="A222" i="1" s="1"/>
  <c r="N221" i="1"/>
  <c r="A221" i="1" s="1"/>
  <c r="N220" i="1"/>
  <c r="A220" i="1" s="1"/>
  <c r="N218" i="1"/>
  <c r="N217" i="1"/>
  <c r="N216" i="1"/>
  <c r="N215" i="1"/>
  <c r="N214" i="1"/>
  <c r="N213" i="1"/>
  <c r="N204" i="1"/>
  <c r="A204" i="1" s="1"/>
  <c r="N205" i="1"/>
  <c r="A205" i="1" s="1"/>
  <c r="N206" i="1"/>
  <c r="A206" i="1" s="1"/>
  <c r="N207" i="1"/>
  <c r="A207" i="1" s="1"/>
  <c r="N208" i="1"/>
  <c r="A208" i="1" s="1"/>
  <c r="N203" i="1"/>
  <c r="A203" i="1" s="1"/>
  <c r="G148" i="1"/>
  <c r="G149" i="1"/>
  <c r="G150" i="1"/>
  <c r="G151" i="1"/>
  <c r="G142" i="1"/>
  <c r="G143" i="1"/>
  <c r="G144" i="1"/>
  <c r="D240" i="1"/>
  <c r="K240" i="1" s="1"/>
  <c r="D233" i="1"/>
  <c r="K233" i="1" s="1"/>
  <c r="I196" i="1"/>
  <c r="I166" i="1"/>
  <c r="G51" i="1"/>
  <c r="G52" i="1" s="1"/>
  <c r="C51" i="1"/>
  <c r="C7" i="5" l="1"/>
  <c r="H5" i="5"/>
  <c r="H3" i="5"/>
  <c r="C16" i="1"/>
  <c r="G169" i="1"/>
  <c r="G152" i="1"/>
  <c r="G145" i="1"/>
  <c r="D259" i="1"/>
  <c r="K259" i="1" s="1"/>
  <c r="D258" i="1"/>
  <c r="K258" i="1" s="1"/>
  <c r="D257" i="1"/>
  <c r="K257" i="1" s="1"/>
  <c r="D256" i="1"/>
  <c r="K256" i="1" s="1"/>
  <c r="D255" i="1"/>
  <c r="K255" i="1" s="1"/>
  <c r="D254" i="1"/>
  <c r="K254" i="1" s="1"/>
  <c r="D252" i="1"/>
  <c r="K252" i="1" s="1"/>
  <c r="D251" i="1"/>
  <c r="K251" i="1" s="1"/>
  <c r="D250" i="1"/>
  <c r="K250" i="1" s="1"/>
  <c r="D249" i="1"/>
  <c r="K249" i="1" s="1"/>
  <c r="E248" i="1"/>
  <c r="D248" i="1"/>
  <c r="K248" i="1" s="1"/>
  <c r="D247" i="1"/>
  <c r="D242" i="1"/>
  <c r="K242" i="1" s="1"/>
  <c r="D241" i="1"/>
  <c r="K241" i="1" s="1"/>
  <c r="D239" i="1"/>
  <c r="K239" i="1" s="1"/>
  <c r="D238" i="1"/>
  <c r="K238" i="1" s="1"/>
  <c r="D237" i="1"/>
  <c r="K237" i="1" s="1"/>
  <c r="D235" i="1"/>
  <c r="K235" i="1" s="1"/>
  <c r="D234" i="1"/>
  <c r="K234" i="1" s="1"/>
  <c r="E233" i="1"/>
  <c r="E232" i="1"/>
  <c r="D232" i="1"/>
  <c r="K232" i="1" s="1"/>
  <c r="E231" i="1"/>
  <c r="D231" i="1"/>
  <c r="K231" i="1" s="1"/>
  <c r="D230" i="1"/>
  <c r="D225" i="1"/>
  <c r="K225" i="1" s="1"/>
  <c r="D224" i="1"/>
  <c r="K224" i="1" s="1"/>
  <c r="D223" i="1"/>
  <c r="K223" i="1" s="1"/>
  <c r="D222" i="1"/>
  <c r="K222" i="1" s="1"/>
  <c r="D221" i="1"/>
  <c r="K221" i="1" s="1"/>
  <c r="D220" i="1"/>
  <c r="K220" i="1" s="1"/>
  <c r="D218" i="1"/>
  <c r="K218" i="1" s="1"/>
  <c r="E217" i="1"/>
  <c r="D217" i="1"/>
  <c r="K217" i="1" s="1"/>
  <c r="E216" i="1"/>
  <c r="D216" i="1"/>
  <c r="K216" i="1" s="1"/>
  <c r="E215" i="1"/>
  <c r="D215" i="1"/>
  <c r="K215" i="1" s="1"/>
  <c r="E214" i="1"/>
  <c r="D214" i="1"/>
  <c r="K214" i="1" s="1"/>
  <c r="D213" i="1"/>
  <c r="D208" i="1"/>
  <c r="K208" i="1" s="1"/>
  <c r="D207" i="1"/>
  <c r="K207" i="1" s="1"/>
  <c r="D206" i="1"/>
  <c r="K206" i="1" s="1"/>
  <c r="D205" i="1"/>
  <c r="K205" i="1" s="1"/>
  <c r="D204" i="1"/>
  <c r="K204" i="1" s="1"/>
  <c r="D203" i="1"/>
  <c r="K203" i="1" s="1"/>
  <c r="D201" i="1"/>
  <c r="K201" i="1" s="1"/>
  <c r="E200" i="1"/>
  <c r="D200" i="1"/>
  <c r="K200" i="1" s="1"/>
  <c r="E199" i="1"/>
  <c r="D199" i="1"/>
  <c r="K199" i="1" s="1"/>
  <c r="D198" i="1"/>
  <c r="K198" i="1" s="1"/>
  <c r="D197" i="1"/>
  <c r="K197" i="1" s="1"/>
  <c r="D196" i="1"/>
  <c r="D189" i="1"/>
  <c r="K189" i="1" s="1"/>
  <c r="D188" i="1"/>
  <c r="K188" i="1" s="1"/>
  <c r="D187" i="1"/>
  <c r="K187" i="1" s="1"/>
  <c r="D186" i="1"/>
  <c r="K186" i="1" s="1"/>
  <c r="D185" i="1"/>
  <c r="K185" i="1" s="1"/>
  <c r="D184" i="1"/>
  <c r="K184" i="1" s="1"/>
  <c r="D183" i="1"/>
  <c r="D180" i="1"/>
  <c r="K180" i="1" s="1"/>
  <c r="D179" i="1"/>
  <c r="K179" i="1" s="1"/>
  <c r="D178" i="1"/>
  <c r="K178" i="1" s="1"/>
  <c r="D177" i="1"/>
  <c r="K177" i="1" s="1"/>
  <c r="D176" i="1"/>
  <c r="K176" i="1" s="1"/>
  <c r="D175" i="1"/>
  <c r="K175" i="1" s="1"/>
  <c r="D174" i="1"/>
  <c r="K174" i="1" s="1"/>
  <c r="D173" i="1"/>
  <c r="K173" i="1" s="1"/>
  <c r="D172" i="1"/>
  <c r="K172" i="1" s="1"/>
  <c r="D171" i="1"/>
  <c r="K171" i="1" s="1"/>
  <c r="D170" i="1"/>
  <c r="K170" i="1" s="1"/>
  <c r="D169" i="1"/>
  <c r="D166" i="1"/>
  <c r="D165" i="1"/>
  <c r="D164" i="1"/>
  <c r="D163" i="1"/>
  <c r="D162" i="1"/>
  <c r="D161" i="1"/>
  <c r="D160" i="1"/>
  <c r="G254" i="1"/>
  <c r="A248" i="1"/>
  <c r="A249" i="1" s="1"/>
  <c r="A250" i="1" s="1"/>
  <c r="A251" i="1" s="1"/>
  <c r="A252" i="1" s="1"/>
  <c r="G247" i="1"/>
  <c r="G237" i="1"/>
  <c r="A231" i="1"/>
  <c r="A232" i="1" s="1"/>
  <c r="A233" i="1" s="1"/>
  <c r="A234" i="1" s="1"/>
  <c r="A235" i="1" s="1"/>
  <c r="G230" i="1"/>
  <c r="I183" i="1"/>
  <c r="G183" i="1"/>
  <c r="A184" i="1"/>
  <c r="A185" i="1" s="1"/>
  <c r="A186" i="1" s="1"/>
  <c r="A187" i="1" s="1"/>
  <c r="A188" i="1" s="1"/>
  <c r="A189" i="1" s="1"/>
  <c r="G220" i="1"/>
  <c r="A214" i="1"/>
  <c r="A215" i="1" s="1"/>
  <c r="A216" i="1" s="1"/>
  <c r="A217" i="1" s="1"/>
  <c r="A218" i="1" s="1"/>
  <c r="G213" i="1"/>
  <c r="I203" i="1"/>
  <c r="G203" i="1"/>
  <c r="G196" i="1"/>
  <c r="I161" i="1"/>
  <c r="I162" i="1"/>
  <c r="G160" i="1"/>
  <c r="K196" i="1" l="1"/>
  <c r="C148" i="1"/>
  <c r="E148" i="1"/>
  <c r="G153" i="1"/>
  <c r="K183" i="1"/>
  <c r="C144" i="1"/>
  <c r="E144" i="1"/>
  <c r="K247" i="1"/>
  <c r="C151" i="1"/>
  <c r="E151" i="1"/>
  <c r="K169" i="1"/>
  <c r="E143" i="1"/>
  <c r="C143" i="1"/>
  <c r="E142" i="1"/>
  <c r="C142" i="1"/>
  <c r="K213" i="1"/>
  <c r="C149" i="1"/>
  <c r="E149" i="1"/>
  <c r="K230" i="1"/>
  <c r="C150" i="1"/>
  <c r="E150" i="1"/>
  <c r="H6" i="5"/>
  <c r="A170" i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E152" i="1" l="1"/>
  <c r="C145" i="1"/>
  <c r="C152" i="1"/>
  <c r="C153" i="1" s="1"/>
  <c r="E145" i="1"/>
  <c r="E31" i="1"/>
  <c r="E153" i="1" l="1"/>
  <c r="A197" i="1"/>
  <c r="A198" i="1" s="1"/>
  <c r="A199" i="1" s="1"/>
  <c r="A200" i="1" s="1"/>
  <c r="A201" i="1" s="1"/>
  <c r="F139" i="1" l="1"/>
  <c r="B262" i="1" l="1"/>
  <c r="B263" i="1" l="1"/>
  <c r="D281" i="1" l="1"/>
  <c r="A161" i="1"/>
  <c r="A162" i="1" s="1"/>
  <c r="A163" i="1" s="1"/>
  <c r="A164" i="1" s="1"/>
  <c r="A165" i="1" s="1"/>
  <c r="A166" i="1" s="1"/>
  <c r="J110" i="1"/>
  <c r="J109" i="1"/>
  <c r="J108" i="1"/>
  <c r="J107" i="1"/>
  <c r="J82" i="1"/>
  <c r="J81" i="1"/>
  <c r="J80" i="1"/>
  <c r="J79" i="1"/>
  <c r="C71" i="1"/>
  <c r="D58" i="1"/>
  <c r="E44" i="1"/>
  <c r="E45" i="1" s="1"/>
  <c r="E28" i="1"/>
  <c r="E26" i="1"/>
  <c r="E7" i="1"/>
  <c r="E3" i="1"/>
  <c r="H100" i="1"/>
  <c r="H72" i="1"/>
  <c r="D65" i="1" l="1"/>
  <c r="D110" i="1"/>
  <c r="D111" i="1"/>
  <c r="D112" i="1"/>
  <c r="D106" i="1"/>
  <c r="D107" i="1"/>
  <c r="D108" i="1"/>
  <c r="D109" i="1"/>
  <c r="J99" i="1"/>
  <c r="J101" i="1" s="1"/>
  <c r="D84" i="1"/>
  <c r="D82" i="1"/>
  <c r="D81" i="1"/>
  <c r="D80" i="1"/>
  <c r="D78" i="1"/>
  <c r="J71" i="1"/>
  <c r="D83" i="1"/>
  <c r="D79" i="1"/>
  <c r="J75" i="1"/>
  <c r="J76" i="1"/>
  <c r="C75" i="1" s="1"/>
  <c r="J74" i="1"/>
  <c r="J77" i="1"/>
  <c r="J78" i="1" s="1"/>
  <c r="J83" i="1" s="1"/>
  <c r="J84" i="1" s="1"/>
  <c r="C76" i="1" s="1"/>
  <c r="J105" i="1"/>
  <c r="J103" i="1"/>
  <c r="J104" i="1"/>
  <c r="C103" i="1" s="1"/>
  <c r="J102" i="1"/>
  <c r="J106" i="1" l="1"/>
  <c r="J111" i="1" s="1"/>
  <c r="J112" i="1" s="1"/>
  <c r="C104" i="1"/>
  <c r="D104" i="1" s="1"/>
  <c r="D105" i="1"/>
  <c r="D77" i="1"/>
  <c r="J73" i="1"/>
  <c r="E75" i="1"/>
  <c r="D76" i="1"/>
  <c r="G75" i="1"/>
  <c r="D69" i="1" s="1"/>
  <c r="D70" i="1" s="1"/>
  <c r="D75" i="1"/>
  <c r="D103" i="1"/>
  <c r="H86" i="1"/>
  <c r="H114" i="1"/>
  <c r="E103" i="1" l="1"/>
  <c r="J100" i="1"/>
  <c r="G103" i="1"/>
  <c r="J118" i="1"/>
  <c r="C117" i="1" s="1"/>
  <c r="D117" i="1" s="1"/>
  <c r="D126" i="1"/>
  <c r="D122" i="1"/>
  <c r="J117" i="1"/>
  <c r="D125" i="1"/>
  <c r="D121" i="1"/>
  <c r="D119" i="1"/>
  <c r="D124" i="1"/>
  <c r="D120" i="1"/>
  <c r="J113" i="1"/>
  <c r="J115" i="1" s="1"/>
  <c r="J119" i="1"/>
  <c r="J116" i="1"/>
  <c r="D123" i="1"/>
  <c r="J90" i="1"/>
  <c r="C89" i="1" s="1"/>
  <c r="J88" i="1"/>
  <c r="D97" i="1"/>
  <c r="D95" i="1"/>
  <c r="D98" i="1"/>
  <c r="D94" i="1"/>
  <c r="D93" i="1"/>
  <c r="J91" i="1"/>
  <c r="J92" i="1" s="1"/>
  <c r="J97" i="1" s="1"/>
  <c r="J98" i="1" s="1"/>
  <c r="C90" i="1" s="1"/>
  <c r="J85" i="1"/>
  <c r="J87" i="1" s="1"/>
  <c r="J89" i="1"/>
  <c r="D96" i="1"/>
  <c r="D92" i="1"/>
  <c r="D91" i="1"/>
  <c r="I72" i="1"/>
  <c r="J72" i="1"/>
  <c r="I100" i="1"/>
  <c r="F70" i="1"/>
  <c r="J120" i="1" l="1"/>
  <c r="E89" i="1"/>
  <c r="D90" i="1"/>
  <c r="G89" i="1"/>
  <c r="D89" i="1"/>
  <c r="I73" i="1"/>
  <c r="I71" i="1" s="1"/>
  <c r="C73" i="1" s="1"/>
  <c r="I101" i="1"/>
  <c r="I99" i="1" s="1"/>
  <c r="C101" i="1" s="1"/>
  <c r="J125" i="1" l="1"/>
  <c r="J126" i="1" s="1"/>
  <c r="C118" i="1"/>
  <c r="I86" i="1"/>
  <c r="I87" i="1" s="1"/>
  <c r="J86" i="1"/>
  <c r="G117" i="1" l="1"/>
  <c r="E117" i="1"/>
  <c r="J114" i="1"/>
  <c r="D118" i="1"/>
  <c r="I114" i="1" s="1"/>
  <c r="I85" i="1"/>
  <c r="C87" i="1" s="1"/>
  <c r="I115" i="1" l="1"/>
  <c r="I113" i="1" s="1"/>
  <c r="C115" i="1" s="1"/>
</calcChain>
</file>

<file path=xl/sharedStrings.xml><?xml version="1.0" encoding="utf-8"?>
<sst xmlns="http://schemas.openxmlformats.org/spreadsheetml/2006/main" count="492" uniqueCount="247">
  <si>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</si>
  <si>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</si>
  <si>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</si>
  <si>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</si>
  <si>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</si>
  <si>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</si>
  <si>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</si>
  <si>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</si>
  <si>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</si>
  <si>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</si>
  <si>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</si>
  <si>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</si>
  <si>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</si>
  <si>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</si>
  <si>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</si>
  <si>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</si>
  <si>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</si>
  <si>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</si>
  <si>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</si>
  <si>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</si>
  <si>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</si>
  <si>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</si>
  <si>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</si>
  <si>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</si>
  <si>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</si>
  <si>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</si>
  <si>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</si>
  <si>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</si>
  <si>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</si>
  <si>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</si>
  <si>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</si>
  <si>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</si>
  <si>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</si>
  <si>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</si>
  <si>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</si>
  <si>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</si>
  <si>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</si>
  <si>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</si>
  <si>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</si>
  <si>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</si>
  <si>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</si>
  <si>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</si>
  <si>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</si>
  <si>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</si>
  <si>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</si>
  <si>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</si>
  <si>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</si>
  <si>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</si>
  <si>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</si>
  <si>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</si>
  <si>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</si>
  <si>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</si>
  <si>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</si>
  <si>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</si>
  <si>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</si>
  <si>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</si>
  <si>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</si>
  <si>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</si>
  <si>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</si>
  <si>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</si>
  <si>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</si>
  <si>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</si>
  <si>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</si>
  <si>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</si>
  <si>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</si>
  <si>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</si>
  <si>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</si>
  <si>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</si>
  <si>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</si>
  <si>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</si>
  <si>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</si>
  <si>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</si>
  <si>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</si>
  <si>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</si>
  <si>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</si>
  <si>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</si>
  <si>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</si>
  <si>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</si>
  <si>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</si>
  <si>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</si>
  <si>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</si>
  <si>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</si>
  <si>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</si>
  <si>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</si>
  <si>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</si>
  <si>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</si>
  <si>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</si>
  <si>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</si>
  <si>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</si>
  <si>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</si>
  <si>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</si>
  <si>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</si>
  <si>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</si>
  <si>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</si>
  <si>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</si>
  <si>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Gas Connection Charges</t>
  </si>
  <si>
    <t>Water, Electricity, Drainages, Sewerage Connection</t>
  </si>
  <si>
    <t>Society Formation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</si>
  <si>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</si>
  <si>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</si>
  <si>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</si>
  <si>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</si>
  <si>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</si>
  <si>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</si>
  <si>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</si>
  <si>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Average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</si>
  <si>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</si>
  <si>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</si>
  <si>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</si>
  <si>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</si>
  <si>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</si>
  <si>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</si>
  <si>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</si>
  <si>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</si>
  <si>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</si>
  <si>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</si>
  <si>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</si>
  <si>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</si>
  <si>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</si>
  <si>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</si>
  <si>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</si>
  <si>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</si>
  <si>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</si>
  <si>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</si>
  <si>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</si>
  <si>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</si>
  <si>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</si>
  <si>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</si>
  <si>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</si>
  <si>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</si>
  <si>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</si>
  <si>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</si>
  <si>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</si>
  <si>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</si>
  <si>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</si>
  <si>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</si>
  <si>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</si>
  <si>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</si>
  <si>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</si>
  <si>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</si>
  <si>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</si>
  <si>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</si>
  <si>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</si>
  <si>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</si>
  <si>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</si>
  <si>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</si>
  <si>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</si>
  <si>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</si>
  <si>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On Saleable Area</t>
  </si>
  <si>
    <t>Location Link</t>
  </si>
  <si>
    <t>Locality</t>
  </si>
  <si>
    <t>Provided Contact Details ( Name &amp; Contact No.)</t>
  </si>
  <si>
    <t>Site Person - Contact Details ( Name &amp; Contact No.)</t>
  </si>
  <si>
    <t>Axis Sanpada</t>
  </si>
  <si>
    <t>Kricon Homes LLP</t>
  </si>
  <si>
    <t>Kricon Palacia</t>
  </si>
  <si>
    <t>P52000045277</t>
  </si>
  <si>
    <t>Gut No.</t>
  </si>
  <si>
    <t>87C</t>
  </si>
  <si>
    <t>Karade Khurd</t>
  </si>
  <si>
    <t>Raigad</t>
  </si>
  <si>
    <t>Panvel</t>
  </si>
  <si>
    <t>https://goo.gl/maps/ftenVd9D5rg1WoBW8</t>
  </si>
  <si>
    <t>Savaroli-Kharpada Road</t>
  </si>
  <si>
    <t>Open Plot</t>
  </si>
  <si>
    <t>Vinayak Greens Apartment Complex</t>
  </si>
  <si>
    <t>5.4KM from Rasayani Railway Station</t>
  </si>
  <si>
    <t>District Collector, Raigad</t>
  </si>
  <si>
    <t>As per RERA - 31/03/2026</t>
  </si>
  <si>
    <t>Vitrified tiles flooring, Kitchen Platform, Decorative Entrance</t>
  </si>
  <si>
    <t>Wing A</t>
  </si>
  <si>
    <t>Ground Floor for Commercial, Parking &amp; Meter Room</t>
  </si>
  <si>
    <t>Shop</t>
  </si>
  <si>
    <t>1st Floor for Residential</t>
  </si>
  <si>
    <t>1BHK</t>
  </si>
  <si>
    <t>2BHK</t>
  </si>
  <si>
    <t>2nd to 7th Floor</t>
  </si>
  <si>
    <t>Wing B</t>
  </si>
  <si>
    <t>Ground Floor for Commercial, Parking &amp; Drivers Room</t>
  </si>
  <si>
    <t>Wing C</t>
  </si>
  <si>
    <t>Ground Floor for Commercial, Parking &amp; Amenities</t>
  </si>
  <si>
    <t>Wing D</t>
  </si>
  <si>
    <t>Ground Floor for Parking &amp; Amenities</t>
  </si>
  <si>
    <t>We considered Gross carpet area = Net carpet + Balcony + C.B Area.</t>
  </si>
  <si>
    <t>Flats - 168, Shops - 26</t>
  </si>
  <si>
    <t>Club Membership</t>
  </si>
  <si>
    <t>Water, MSEB, Development Charges</t>
  </si>
  <si>
    <t>Other Charges</t>
  </si>
  <si>
    <t>As per Cost Sheet</t>
  </si>
  <si>
    <t>As per Inspection Sheet</t>
  </si>
  <si>
    <t>As per MIS</t>
  </si>
  <si>
    <t>As per Online</t>
  </si>
  <si>
    <t>-</t>
  </si>
  <si>
    <t>Approved Plans, CC, Builder Saleable Area, Cost Sheet</t>
  </si>
  <si>
    <t>For Flats</t>
  </si>
  <si>
    <t>For Shops</t>
  </si>
  <si>
    <t>As per Magic bricks</t>
  </si>
  <si>
    <t>For 1 BHK</t>
  </si>
  <si>
    <t>Rate</t>
  </si>
  <si>
    <t>410 Sq ft</t>
  </si>
  <si>
    <t>For 2 BHK</t>
  </si>
  <si>
    <t>625 Sq ft</t>
  </si>
  <si>
    <t>4 Wings</t>
  </si>
  <si>
    <t>MS/LNA.1(B)/T.N.15240/S.R.11/2021</t>
  </si>
  <si>
    <t>MS/LNA-1/T.N.15240/SR/11/2021</t>
  </si>
  <si>
    <t>Documentation Charges</t>
  </si>
  <si>
    <t>Layout Plan :</t>
  </si>
  <si>
    <t>Building No.1</t>
  </si>
  <si>
    <r>
      <t xml:space="preserve">Flat No.
</t>
    </r>
    <r>
      <rPr>
        <b/>
        <sz val="11"/>
        <rFont val="Times New Roman"/>
        <family val="1"/>
      </rPr>
      <t>(Approved Plan)</t>
    </r>
  </si>
  <si>
    <t>NAVI/WEST/B/012821/523310</t>
  </si>
  <si>
    <t>Valid Upto Dated</t>
  </si>
  <si>
    <t>Permissible Top Elevation in mtrs Above Mean Sea Level (AMSL) = 49.32 M</t>
  </si>
  <si>
    <t xml:space="preserve">Builder Saleable Area </t>
  </si>
  <si>
    <t>Other statutory permissions
(Airport NOC)</t>
  </si>
  <si>
    <t>Building No. 1</t>
  </si>
  <si>
    <t>Building No. 1 (Wing A, B, C &amp; D)</t>
  </si>
  <si>
    <t xml:space="preserve">Builder
Saleable area </t>
  </si>
  <si>
    <t>rate sheet</t>
  </si>
  <si>
    <t>cost sheet</t>
  </si>
  <si>
    <t xml:space="preserve">flat </t>
  </si>
  <si>
    <t>shop</t>
  </si>
  <si>
    <t>market</t>
  </si>
  <si>
    <t>Name / No of the Building (As per Approved Plan)</t>
  </si>
  <si>
    <t>Name / No of the Building (As per CC &amp; RERA)</t>
  </si>
  <si>
    <t>Building No. 1 - A Wing
Building No. 2 - B Wing
Building No. 3 - C Wing
Building No. 4 - D Wing</t>
  </si>
  <si>
    <t>Wing A to D = G/St + 1st to 7th Floor</t>
  </si>
  <si>
    <t>Wing A to D = Gr/Stilt + 1st to 7th Floor</t>
  </si>
  <si>
    <t>Wing C &amp; D = Gr/Stilt + 1st to 7th Floor</t>
  </si>
  <si>
    <t>Building No.4</t>
  </si>
  <si>
    <t>Building No.3</t>
  </si>
  <si>
    <t>Building No.2</t>
  </si>
  <si>
    <t>Name of the Project (As per Rera)</t>
  </si>
  <si>
    <t>Name of the Project (As per Builder)</t>
  </si>
  <si>
    <t>Palacia</t>
  </si>
  <si>
    <t>Latitude, Longitude</t>
  </si>
  <si>
    <t>18.872376, 73.161758</t>
  </si>
  <si>
    <t>Grand Total</t>
  </si>
  <si>
    <t>Office No. 1031, Wing J, Akshar Business Park, Plot No. 03 Sector 25, Near APMC Market, 
Vashi, Navi Mumbai, Maharashtra 400703 TEL: 022-46090378/79/8
E mail : vsjcapf@gmail.com. Web site : www.vsjadon.com</t>
  </si>
  <si>
    <t>Wing A = Gr/Stilt + 1st to 7th Floor</t>
  </si>
  <si>
    <t>Wing B = Gr/Stilt + 1st to 7th Floor</t>
  </si>
  <si>
    <t>Nitesh patil</t>
  </si>
  <si>
    <t>Wing C = Gr/Stilt + 1st to 7th Floor</t>
  </si>
  <si>
    <t>Wing D = Gr/Stilt + 1st to 7th Floor</t>
  </si>
  <si>
    <t>Pooja</t>
  </si>
  <si>
    <t>Mr. Kisan : 9929433631</t>
  </si>
  <si>
    <t>A B = 80 %</t>
  </si>
  <si>
    <t>Wing A &amp; B = Work is same as last visit (06/04/2025) but construction work is in process at the time of visit.
Wing C &amp; D = Construction work is in process at the time of visit.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</si>
</sst>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 * #,##0_ ;_ * \-#,##0_ ;_ * &quot;-&quot;??_ ;_ @_ "/>
  </numFmts>
  <fonts count="2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1"/>
      <color indexed="8"/>
      <name val="Calibri"/>
      <family val="2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17" fillId="0" borderId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220">
    <xf numFmtId="0" fontId="0" fillId="0" borderId="0" xfId="0"/>
    <xf numFmtId="0" fontId="5" fillId="0" borderId="0" xfId="4"/>
    <xf numFmtId="0" fontId="5" fillId="0" borderId="1" xfId="4" applyFont="1" applyBorder="1" applyAlignment="1">
      <alignment horizontal="center" vertical="center"/>
    </xf>
    <xf numFmtId="0" fontId="16" fillId="0" borderId="0" xfId="0" applyFont="1" applyFill="1" applyBorder="1" applyProtection="1">
      <protection hidden="1"/>
    </xf>
    <xf numFmtId="0" fontId="16" fillId="0" borderId="10" xfId="0" applyFont="1" applyFill="1" applyBorder="1" applyProtection="1">
      <protection hidden="1"/>
    </xf>
    <xf numFmtId="0" fontId="11" fillId="0" borderId="3" xfId="1" applyFont="1" applyFill="1" applyBorder="1" applyAlignment="1" applyProtection="1">
      <alignment horizontal="center" vertical="top"/>
      <protection locked="0"/>
    </xf>
    <xf numFmtId="0" fontId="11" fillId="0" borderId="4" xfId="1" applyFont="1" applyFill="1" applyBorder="1" applyAlignment="1" applyProtection="1">
      <alignment horizontal="center" vertical="top"/>
      <protection locked="0"/>
    </xf>
    <xf numFmtId="0" fontId="6" fillId="0" borderId="1" xfId="1" applyFont="1" applyFill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 applyFill="1"/>
    <xf numFmtId="0" fontId="14" fillId="0" borderId="0" xfId="1" applyFont="1" applyFill="1"/>
    <xf numFmtId="0" fontId="11" fillId="0" borderId="0" xfId="1" applyFont="1" applyFill="1"/>
    <xf numFmtId="1" fontId="7" fillId="0" borderId="0" xfId="1" applyNumberFormat="1" applyFont="1" applyFill="1"/>
    <xf numFmtId="0" fontId="7" fillId="0" borderId="0" xfId="1" applyNumberFormat="1" applyFont="1" applyFill="1"/>
    <xf numFmtId="14" fontId="7" fillId="0" borderId="0" xfId="1" applyNumberFormat="1" applyFont="1" applyFill="1"/>
    <xf numFmtId="0" fontId="7" fillId="0" borderId="0" xfId="1" applyFont="1" applyFill="1" applyProtection="1">
      <protection hidden="1"/>
    </xf>
    <xf numFmtId="0" fontId="20" fillId="0" borderId="0" xfId="1" applyFont="1" applyFill="1"/>
    <xf numFmtId="0" fontId="7" fillId="0" borderId="9" xfId="1" applyFont="1" applyFill="1" applyBorder="1"/>
    <xf numFmtId="0" fontId="16" fillId="0" borderId="9" xfId="0" applyNumberFormat="1" applyFont="1" applyFill="1" applyBorder="1" applyProtection="1">
      <protection hidden="1"/>
    </xf>
    <xf numFmtId="1" fontId="0" fillId="0" borderId="9" xfId="0" applyNumberFormat="1" applyFill="1" applyBorder="1"/>
    <xf numFmtId="1" fontId="0" fillId="0" borderId="9" xfId="0" applyNumberFormat="1" applyFill="1" applyBorder="1" applyAlignment="1">
      <alignment horizontal="right"/>
    </xf>
    <xf numFmtId="1" fontId="0" fillId="0" borderId="11" xfId="0" applyNumberFormat="1" applyFill="1" applyBorder="1"/>
    <xf numFmtId="0" fontId="15" fillId="0" borderId="0" xfId="1" applyFont="1" applyFill="1"/>
    <xf numFmtId="0" fontId="6" fillId="0" borderId="0" xfId="2" applyFont="1" applyFill="1"/>
    <xf numFmtId="0" fontId="7" fillId="0" borderId="0" xfId="0" applyFont="1" applyFill="1" applyAlignment="1">
      <alignment horizontal="center" vertical="center"/>
    </xf>
    <xf numFmtId="1" fontId="7" fillId="0" borderId="0" xfId="1" applyNumberFormat="1" applyFont="1" applyFill="1" applyAlignment="1">
      <alignment horizontal="center" vertical="center"/>
    </xf>
    <xf numFmtId="0" fontId="8" fillId="0" borderId="0" xfId="1" applyFont="1" applyFill="1" applyBorder="1" applyAlignment="1" applyProtection="1">
      <alignment vertical="top"/>
      <protection locked="0"/>
    </xf>
    <xf numFmtId="0" fontId="8" fillId="0" borderId="0" xfId="1" applyFont="1" applyFill="1" applyBorder="1" applyAlignment="1" applyProtection="1">
      <alignment vertical="top" wrapText="1"/>
      <protection locked="0"/>
    </xf>
    <xf numFmtId="0" fontId="7" fillId="0" borderId="0" xfId="1" applyFont="1" applyFill="1" applyProtection="1">
      <protection locked="0"/>
    </xf>
    <xf numFmtId="0" fontId="9" fillId="0" borderId="0" xfId="1" applyFont="1" applyFill="1" applyProtection="1"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0" fontId="7" fillId="0" borderId="0" xfId="1" applyFont="1" applyFill="1" applyAlignment="1">
      <alignment horizontal="center" vertical="center"/>
    </xf>
    <xf numFmtId="0" fontId="21" fillId="2" borderId="29" xfId="0" applyFont="1" applyFill="1" applyBorder="1"/>
    <xf numFmtId="0" fontId="22" fillId="0" borderId="30" xfId="0" applyFont="1" applyFill="1" applyBorder="1"/>
    <xf numFmtId="0" fontId="22" fillId="0" borderId="1" xfId="0" applyFont="1" applyFill="1" applyBorder="1"/>
    <xf numFmtId="0" fontId="22" fillId="0" borderId="4" xfId="0" applyFont="1" applyFill="1" applyBorder="1"/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0" fontId="11" fillId="0" borderId="1" xfId="1" applyFont="1" applyFill="1" applyBorder="1" applyAlignment="1" applyProtection="1">
      <alignment horizontal="center" vertical="top"/>
      <protection locked="0"/>
    </xf>
    <xf numFmtId="1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Alignment="1">
      <alignment horizontal="center" vertical="center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9" fontId="11" fillId="0" borderId="1" xfId="8" applyFont="1" applyFill="1" applyBorder="1" applyAlignment="1" applyProtection="1">
      <alignment horizontal="center" vertical="top" wrapText="1"/>
      <protection locked="0"/>
    </xf>
    <xf numFmtId="9" fontId="11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1" xfId="1" applyFont="1" applyFill="1" applyBorder="1" applyAlignment="1">
      <alignment horizontal="center" vertical="center"/>
    </xf>
    <xf numFmtId="164" fontId="7" fillId="0" borderId="0" xfId="1" applyNumberFormat="1" applyFont="1" applyFill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center"/>
    </xf>
    <xf numFmtId="0" fontId="5" fillId="0" borderId="0" xfId="4" applyFont="1" applyBorder="1" applyAlignment="1"/>
    <xf numFmtId="0" fontId="24" fillId="0" borderId="1" xfId="4" applyFont="1" applyBorder="1" applyAlignment="1">
      <alignment horizontal="center" vertical="center"/>
    </xf>
    <xf numFmtId="0" fontId="24" fillId="3" borderId="1" xfId="4" applyFont="1" applyFill="1" applyBorder="1" applyAlignment="1">
      <alignment horizontal="center" vertical="center"/>
    </xf>
    <xf numFmtId="0" fontId="5" fillId="0" borderId="1" xfId="4" applyFont="1" applyBorder="1" applyAlignment="1"/>
    <xf numFmtId="1" fontId="5" fillId="0" borderId="1" xfId="4" applyNumberFormat="1" applyFont="1" applyBorder="1" applyAlignment="1">
      <alignment horizontal="center" vertical="center"/>
    </xf>
    <xf numFmtId="1" fontId="24" fillId="0" borderId="1" xfId="4" applyNumberFormat="1" applyFont="1" applyBorder="1" applyAlignment="1">
      <alignment horizontal="center" vertical="center"/>
    </xf>
    <xf numFmtId="1" fontId="24" fillId="3" borderId="1" xfId="4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1" fillId="0" borderId="1" xfId="1" applyNumberFormat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1" fontId="12" fillId="0" borderId="16" xfId="1" applyNumberFormat="1" applyFont="1" applyFill="1" applyBorder="1" applyAlignment="1" applyProtection="1">
      <alignment horizontal="center" vertical="top" wrapText="1"/>
      <protection locked="0"/>
    </xf>
    <xf numFmtId="1" fontId="12" fillId="0" borderId="2" xfId="1" applyNumberFormat="1" applyFont="1" applyFill="1" applyBorder="1" applyAlignment="1" applyProtection="1">
      <alignment horizontal="center" vertical="top" wrapText="1"/>
      <protection locked="0"/>
    </xf>
    <xf numFmtId="1" fontId="25" fillId="0" borderId="2" xfId="1" applyNumberFormat="1" applyFont="1" applyFill="1" applyBorder="1" applyAlignment="1" applyProtection="1">
      <alignment horizontal="center" vertical="top" wrapText="1"/>
      <protection locked="0"/>
    </xf>
    <xf numFmtId="0" fontId="11" fillId="0" borderId="1" xfId="1" applyFont="1" applyFill="1" applyBorder="1" applyAlignment="1" applyProtection="1">
      <alignment vertical="top" wrapText="1"/>
      <protection locked="0"/>
    </xf>
    <xf numFmtId="0" fontId="7" fillId="0" borderId="0" xfId="1" applyFont="1" applyFill="1" applyAlignment="1">
      <alignment vertical="center"/>
    </xf>
    <xf numFmtId="0" fontId="7" fillId="0" borderId="0" xfId="1" applyFont="1" applyFill="1" applyAlignment="1">
      <alignment horizontal="center" vertical="center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0" fontId="11" fillId="0" borderId="1" xfId="1" applyFont="1" applyFill="1" applyBorder="1" applyAlignment="1" applyProtection="1">
      <alignment horizontal="center" vertical="top"/>
      <protection locked="0"/>
    </xf>
    <xf numFmtId="0" fontId="7" fillId="0" borderId="6" xfId="1" applyFont="1" applyFill="1" applyBorder="1" applyAlignment="1" applyProtection="1">
      <alignment horizontal="center" vertical="top" wrapText="1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0" fontId="11" fillId="0" borderId="6" xfId="1" applyFont="1" applyFill="1" applyBorder="1" applyAlignment="1" applyProtection="1">
      <alignment horizontal="center" vertical="top" wrapText="1"/>
      <protection locked="0"/>
    </xf>
    <xf numFmtId="1" fontId="11" fillId="0" borderId="1" xfId="1" applyNumberFormat="1" applyFont="1" applyFill="1" applyBorder="1" applyAlignment="1" applyProtection="1">
      <alignment horizontal="center" vertical="top" wrapText="1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0" fontId="11" fillId="0" borderId="1" xfId="1" applyFont="1" applyFill="1" applyBorder="1" applyAlignment="1" applyProtection="1">
      <alignment horizontal="center" vertical="top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0" fontId="11" fillId="0" borderId="1" xfId="1" applyFont="1" applyFill="1" applyBorder="1" applyAlignment="1" applyProtection="1">
      <alignment horizontal="center" vertical="top"/>
      <protection locked="0"/>
    </xf>
    <xf numFmtId="0" fontId="21" fillId="2" borderId="14" xfId="0" applyFont="1" applyFill="1" applyBorder="1"/>
    <xf numFmtId="0" fontId="22" fillId="0" borderId="8" xfId="0" applyFont="1" applyFill="1" applyBorder="1"/>
    <xf numFmtId="1" fontId="8" fillId="0" borderId="1" xfId="1" applyNumberFormat="1" applyFont="1" applyFill="1" applyBorder="1" applyAlignment="1" applyProtection="1">
      <alignment horizontal="center" vertical="top" wrapText="1"/>
      <protection locked="0"/>
    </xf>
    <xf numFmtId="1" fontId="4" fillId="0" borderId="1" xfId="1" applyNumberFormat="1" applyFont="1" applyFill="1" applyBorder="1" applyAlignment="1" applyProtection="1">
      <alignment horizontal="center" vertical="top" wrapText="1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9" fillId="0" borderId="1" xfId="0" applyNumberFormat="1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1" fontId="12" fillId="0" borderId="7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1" applyFont="1" applyFill="1" applyBorder="1" applyAlignment="1" applyProtection="1">
      <alignment horizontal="left" vertical="top" wrapText="1"/>
      <protection locked="0"/>
    </xf>
    <xf numFmtId="164" fontId="6" fillId="0" borderId="1" xfId="1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vertical="top"/>
      <protection locked="0"/>
    </xf>
    <xf numFmtId="1" fontId="12" fillId="0" borderId="16" xfId="1" applyNumberFormat="1" applyFont="1" applyFill="1" applyBorder="1" applyAlignment="1" applyProtection="1">
      <alignment horizontal="center" vertical="top" wrapText="1"/>
      <protection locked="0"/>
    </xf>
    <xf numFmtId="1" fontId="12" fillId="0" borderId="17" xfId="1" applyNumberFormat="1" applyFont="1" applyFill="1" applyBorder="1" applyAlignment="1" applyProtection="1">
      <alignment horizontal="center" vertical="top" wrapText="1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0" fontId="8" fillId="0" borderId="21" xfId="1" applyFont="1" applyFill="1" applyBorder="1" applyAlignment="1" applyProtection="1">
      <alignment horizontal="left" vertical="top" wrapText="1"/>
      <protection locked="0"/>
    </xf>
    <xf numFmtId="0" fontId="8" fillId="0" borderId="14" xfId="1" applyFont="1" applyFill="1" applyBorder="1" applyAlignment="1" applyProtection="1">
      <alignment horizontal="left" vertical="top" wrapText="1"/>
      <protection locked="0"/>
    </xf>
    <xf numFmtId="0" fontId="8" fillId="0" borderId="12" xfId="1" applyFont="1" applyFill="1" applyBorder="1" applyAlignment="1" applyProtection="1">
      <alignment horizontal="left" vertical="top" wrapText="1"/>
      <protection locked="0"/>
    </xf>
    <xf numFmtId="0" fontId="8" fillId="0" borderId="13" xfId="1" applyFont="1" applyFill="1" applyBorder="1" applyAlignment="1" applyProtection="1">
      <alignment horizontal="left" vertical="top" wrapText="1"/>
      <protection locked="0"/>
    </xf>
    <xf numFmtId="0" fontId="8" fillId="0" borderId="22" xfId="1" applyFont="1" applyFill="1" applyBorder="1" applyAlignment="1" applyProtection="1">
      <alignment horizontal="left" vertical="top" wrapText="1"/>
      <protection locked="0"/>
    </xf>
    <xf numFmtId="0" fontId="7" fillId="0" borderId="3" xfId="1" applyFont="1" applyFill="1" applyBorder="1" applyAlignment="1" applyProtection="1">
      <alignment horizontal="center" vertical="top" wrapText="1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166" fontId="11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Fill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0" fontId="6" fillId="0" borderId="7" xfId="1" applyFont="1" applyFill="1" applyBorder="1" applyAlignment="1" applyProtection="1">
      <alignment horizontal="left" vertical="top" wrapText="1"/>
      <protection locked="0"/>
    </xf>
    <xf numFmtId="0" fontId="6" fillId="0" borderId="8" xfId="1" applyFont="1" applyFill="1" applyBorder="1" applyAlignment="1" applyProtection="1">
      <alignment horizontal="left" vertical="top" wrapText="1"/>
      <protection locked="0"/>
    </xf>
    <xf numFmtId="0" fontId="6" fillId="0" borderId="20" xfId="1" applyFont="1" applyFill="1" applyBorder="1" applyAlignment="1" applyProtection="1">
      <alignment horizontal="left" vertical="top" wrapText="1"/>
      <protection locked="0"/>
    </xf>
    <xf numFmtId="0" fontId="11" fillId="0" borderId="16" xfId="1" applyFont="1" applyFill="1" applyBorder="1" applyAlignment="1" applyProtection="1">
      <alignment horizontal="left" vertical="top" wrapText="1"/>
      <protection locked="0"/>
    </xf>
    <xf numFmtId="0" fontId="11" fillId="0" borderId="17" xfId="1" applyFont="1" applyFill="1" applyBorder="1" applyAlignment="1" applyProtection="1">
      <alignment horizontal="left" vertical="top" wrapText="1"/>
      <protection locked="0"/>
    </xf>
    <xf numFmtId="0" fontId="11" fillId="0" borderId="18" xfId="1" applyFont="1" applyFill="1" applyBorder="1" applyAlignment="1" applyProtection="1">
      <alignment horizontal="left" vertical="top" wrapText="1"/>
      <protection locked="0"/>
    </xf>
    <xf numFmtId="0" fontId="11" fillId="0" borderId="19" xfId="1" applyFont="1" applyFill="1" applyBorder="1" applyAlignment="1" applyProtection="1">
      <alignment horizontal="left" vertical="top" wrapText="1"/>
      <protection locked="0"/>
    </xf>
    <xf numFmtId="0" fontId="7" fillId="0" borderId="1" xfId="1" applyFont="1" applyFill="1" applyBorder="1" applyAlignment="1" applyProtection="1">
      <alignment horizontal="left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7" xfId="1" applyFont="1" applyFill="1" applyBorder="1" applyAlignment="1" applyProtection="1">
      <alignment horizontal="left" vertical="top" wrapText="1"/>
      <protection locked="0"/>
    </xf>
    <xf numFmtId="0" fontId="11" fillId="0" borderId="20" xfId="1" applyFont="1" applyFill="1" applyBorder="1" applyAlignment="1" applyProtection="1">
      <alignment horizontal="left" vertical="top" wrapText="1"/>
      <protection locked="0"/>
    </xf>
    <xf numFmtId="14" fontId="6" fillId="0" borderId="7" xfId="1" applyNumberFormat="1" applyFont="1" applyFill="1" applyBorder="1" applyAlignment="1" applyProtection="1">
      <alignment horizontal="left" vertical="top" wrapText="1"/>
      <protection locked="0"/>
    </xf>
    <xf numFmtId="1" fontId="12" fillId="0" borderId="7" xfId="0" applyNumberFormat="1" applyFont="1" applyFill="1" applyBorder="1" applyAlignment="1" applyProtection="1">
      <alignment vertical="top" wrapText="1"/>
      <protection locked="0"/>
    </xf>
    <xf numFmtId="1" fontId="12" fillId="0" borderId="20" xfId="0" applyNumberFormat="1" applyFont="1" applyFill="1" applyBorder="1" applyAlignment="1" applyProtection="1">
      <alignment vertical="top" wrapText="1"/>
      <protection locked="0"/>
    </xf>
    <xf numFmtId="1" fontId="12" fillId="0" borderId="8" xfId="0" applyNumberFormat="1" applyFont="1" applyFill="1" applyBorder="1" applyAlignment="1" applyProtection="1">
      <alignment vertical="top" wrapText="1"/>
      <protection locked="0"/>
    </xf>
    <xf numFmtId="1" fontId="12" fillId="0" borderId="1" xfId="0" applyNumberFormat="1" applyFont="1" applyFill="1" applyBorder="1" applyAlignment="1" applyProtection="1">
      <alignment horizontal="left" vertical="top" wrapText="1"/>
      <protection locked="0"/>
    </xf>
    <xf numFmtId="0" fontId="11" fillId="0" borderId="1" xfId="1" applyFont="1" applyFill="1" applyBorder="1" applyAlignment="1" applyProtection="1">
      <alignment horizontal="left" vertical="top"/>
      <protection locked="0"/>
    </xf>
    <xf numFmtId="0" fontId="8" fillId="0" borderId="7" xfId="1" applyFont="1" applyFill="1" applyBorder="1" applyAlignment="1" applyProtection="1">
      <alignment horizontal="left" vertical="top" wrapText="1"/>
      <protection locked="0"/>
    </xf>
    <xf numFmtId="0" fontId="8" fillId="0" borderId="8" xfId="1" applyFont="1" applyFill="1" applyBorder="1" applyAlignment="1" applyProtection="1">
      <alignment horizontal="left" vertical="top" wrapText="1"/>
      <protection locked="0"/>
    </xf>
    <xf numFmtId="0" fontId="8" fillId="0" borderId="20" xfId="1" applyFont="1" applyFill="1" applyBorder="1" applyAlignment="1" applyProtection="1">
      <alignment horizontal="left" vertical="top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8" fillId="0" borderId="7" xfId="1" applyFont="1" applyFill="1" applyBorder="1" applyAlignment="1" applyProtection="1">
      <alignment horizontal="left" vertical="top"/>
      <protection locked="0"/>
    </xf>
    <xf numFmtId="0" fontId="8" fillId="0" borderId="8" xfId="1" applyFont="1" applyFill="1" applyBorder="1" applyAlignment="1" applyProtection="1">
      <alignment horizontal="left" vertical="top"/>
      <protection locked="0"/>
    </xf>
    <xf numFmtId="14" fontId="11" fillId="0" borderId="7" xfId="1" applyNumberFormat="1" applyFont="1" applyFill="1" applyBorder="1" applyAlignment="1" applyProtection="1">
      <alignment horizontal="left" vertical="top" wrapText="1"/>
      <protection locked="0"/>
    </xf>
    <xf numFmtId="0" fontId="11" fillId="0" borderId="8" xfId="1" applyFont="1" applyFill="1" applyBorder="1" applyAlignment="1" applyProtection="1">
      <alignment horizontal="left" vertical="top" wrapText="1"/>
      <protection locked="0"/>
    </xf>
    <xf numFmtId="1" fontId="9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1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vertical="top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1" fontId="11" fillId="0" borderId="7" xfId="1" applyNumberFormat="1" applyFont="1" applyFill="1" applyBorder="1" applyAlignment="1" applyProtection="1">
      <alignment horizontal="center" vertical="center" wrapText="1"/>
      <protection locked="0"/>
    </xf>
    <xf numFmtId="1" fontId="11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1" fillId="0" borderId="20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5" xfId="1" applyFont="1" applyFill="1" applyBorder="1" applyAlignment="1" applyProtection="1">
      <alignment horizontal="left" vertical="top"/>
      <protection locked="0"/>
    </xf>
    <xf numFmtId="166" fontId="14" fillId="0" borderId="1" xfId="9" applyNumberFormat="1" applyFont="1" applyFill="1" applyBorder="1" applyAlignment="1" applyProtection="1">
      <alignment horizontal="left" vertical="top"/>
      <protection locked="0"/>
    </xf>
    <xf numFmtId="0" fontId="12" fillId="0" borderId="3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12" fillId="0" borderId="4" xfId="1" applyFont="1" applyFill="1" applyBorder="1" applyAlignment="1" applyProtection="1">
      <alignment horizontal="left" vertical="top" wrapText="1"/>
      <protection locked="0"/>
    </xf>
    <xf numFmtId="0" fontId="7" fillId="0" borderId="4" xfId="1" applyFont="1" applyFill="1" applyBorder="1" applyAlignment="1" applyProtection="1">
      <alignment horizontal="center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0" fontId="10" fillId="0" borderId="1" xfId="1" applyFont="1" applyFill="1" applyBorder="1" applyAlignment="1" applyProtection="1">
      <alignment horizontal="center" vertical="top" wrapText="1"/>
      <protection locked="0"/>
    </xf>
    <xf numFmtId="14" fontId="11" fillId="0" borderId="1" xfId="1" applyNumberFormat="1" applyFont="1" applyFill="1" applyBorder="1" applyAlignment="1" applyProtection="1">
      <alignment horizontal="left" vertical="top"/>
      <protection locked="0"/>
    </xf>
    <xf numFmtId="0" fontId="11" fillId="0" borderId="1" xfId="1" applyFont="1" applyFill="1" applyBorder="1" applyAlignment="1" applyProtection="1">
      <alignment horizontal="left"/>
      <protection locked="0"/>
    </xf>
    <xf numFmtId="0" fontId="11" fillId="0" borderId="1" xfId="1" applyFont="1" applyFill="1" applyBorder="1" applyAlignment="1" applyProtection="1">
      <alignment horizontal="center"/>
      <protection locked="0"/>
    </xf>
    <xf numFmtId="0" fontId="11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center"/>
      <protection locked="0"/>
    </xf>
    <xf numFmtId="2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11" fillId="0" borderId="2" xfId="1" applyFont="1" applyFill="1" applyBorder="1" applyAlignment="1" applyProtection="1">
      <alignment horizontal="left" vertical="top" wrapText="1"/>
      <protection locked="0"/>
    </xf>
    <xf numFmtId="0" fontId="11" fillId="0" borderId="2" xfId="1" applyFont="1" applyFill="1" applyBorder="1" applyAlignment="1" applyProtection="1">
      <alignment horizontal="left" vertical="top"/>
      <protection locked="0"/>
    </xf>
    <xf numFmtId="0" fontId="11" fillId="0" borderId="23" xfId="1" applyFont="1" applyFill="1" applyBorder="1" applyAlignment="1" applyProtection="1">
      <alignment horizontal="left" vertical="top" wrapText="1"/>
      <protection locked="0"/>
    </xf>
    <xf numFmtId="0" fontId="6" fillId="0" borderId="16" xfId="1" applyFont="1" applyFill="1" applyBorder="1" applyAlignment="1" applyProtection="1">
      <alignment horizontal="left" vertical="top" wrapText="1"/>
      <protection locked="0"/>
    </xf>
    <xf numFmtId="0" fontId="6" fillId="0" borderId="17" xfId="1" applyFont="1" applyFill="1" applyBorder="1" applyAlignment="1" applyProtection="1">
      <alignment horizontal="left" vertical="top" wrapText="1"/>
      <protection locked="0"/>
    </xf>
    <xf numFmtId="0" fontId="6" fillId="0" borderId="18" xfId="1" applyFont="1" applyFill="1" applyBorder="1" applyAlignment="1" applyProtection="1">
      <alignment horizontal="left" vertical="top" wrapText="1"/>
      <protection locked="0"/>
    </xf>
    <xf numFmtId="0" fontId="6" fillId="0" borderId="19" xfId="1" applyFont="1" applyFill="1" applyBorder="1" applyAlignment="1" applyProtection="1">
      <alignment horizontal="left" vertical="top" wrapText="1"/>
      <protection locked="0"/>
    </xf>
    <xf numFmtId="0" fontId="23" fillId="0" borderId="1" xfId="10" applyFill="1" applyBorder="1" applyAlignment="1" applyProtection="1">
      <alignment horizontal="left" vertical="center" wrapText="1"/>
      <protection locked="0"/>
    </xf>
    <xf numFmtId="0" fontId="11" fillId="0" borderId="1" xfId="1" applyFont="1" applyFill="1" applyBorder="1" applyAlignment="1" applyProtection="1">
      <alignment horizontal="left" vertical="center" wrapText="1"/>
      <protection locked="0"/>
    </xf>
    <xf numFmtId="2" fontId="6" fillId="0" borderId="1" xfId="1" applyNumberFormat="1" applyFont="1" applyFill="1" applyBorder="1" applyAlignment="1" applyProtection="1">
      <alignment horizontal="left" vertical="top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Fill="1" applyBorder="1" applyAlignment="1" applyProtection="1">
      <alignment horizontal="center" vertical="top" wrapText="1"/>
      <protection locked="0"/>
    </xf>
    <xf numFmtId="0" fontId="7" fillId="0" borderId="6" xfId="1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11" fillId="0" borderId="4" xfId="1" applyFont="1" applyFill="1" applyBorder="1" applyAlignment="1" applyProtection="1">
      <alignment horizontal="center" vertical="top" wrapText="1"/>
      <protection locked="0"/>
    </xf>
    <xf numFmtId="0" fontId="7" fillId="0" borderId="0" xfId="1" applyFont="1" applyFill="1" applyAlignment="1">
      <alignment horizontal="center" vertical="center"/>
    </xf>
    <xf numFmtId="1" fontId="8" fillId="0" borderId="1" xfId="1" applyNumberFormat="1" applyFont="1" applyFill="1" applyBorder="1" applyAlignment="1" applyProtection="1">
      <alignment horizontal="center" vertical="top" wrapText="1"/>
      <protection locked="0"/>
    </xf>
    <xf numFmtId="9" fontId="11" fillId="0" borderId="1" xfId="8" applyFont="1" applyFill="1" applyBorder="1" applyAlignment="1" applyProtection="1">
      <alignment horizontal="center" vertical="center" wrapText="1"/>
      <protection locked="0"/>
    </xf>
    <xf numFmtId="0" fontId="8" fillId="0" borderId="15" xfId="1" applyFont="1" applyFill="1" applyBorder="1" applyAlignment="1" applyProtection="1">
      <alignment horizontal="center" vertical="top"/>
      <protection locked="0"/>
    </xf>
    <xf numFmtId="0" fontId="11" fillId="0" borderId="3" xfId="1" applyFont="1" applyFill="1" applyBorder="1" applyAlignment="1" applyProtection="1">
      <alignment horizontal="center" vertical="top" wrapText="1"/>
      <protection locked="0"/>
    </xf>
    <xf numFmtId="0" fontId="12" fillId="0" borderId="7" xfId="1" applyFont="1" applyFill="1" applyBorder="1" applyAlignment="1" applyProtection="1">
      <alignment horizontal="left" vertical="top"/>
      <protection locked="0"/>
    </xf>
    <xf numFmtId="0" fontId="12" fillId="0" borderId="20" xfId="1" applyFont="1" applyFill="1" applyBorder="1" applyAlignment="1" applyProtection="1">
      <alignment horizontal="left" vertical="top"/>
      <protection locked="0"/>
    </xf>
    <xf numFmtId="0" fontId="12" fillId="0" borderId="8" xfId="1" applyFont="1" applyFill="1" applyBorder="1" applyAlignment="1" applyProtection="1">
      <alignment horizontal="left" vertical="top"/>
      <protection locked="0"/>
    </xf>
    <xf numFmtId="1" fontId="11" fillId="0" borderId="16" xfId="1" applyNumberFormat="1" applyFont="1" applyFill="1" applyBorder="1" applyAlignment="1" applyProtection="1">
      <alignment horizontal="center" vertical="center" wrapText="1"/>
      <protection locked="0"/>
    </xf>
    <xf numFmtId="1" fontId="11" fillId="0" borderId="17" xfId="1" applyNumberFormat="1" applyFont="1" applyFill="1" applyBorder="1" applyAlignment="1" applyProtection="1">
      <alignment horizontal="center" vertical="center" wrapText="1"/>
      <protection locked="0"/>
    </xf>
    <xf numFmtId="1" fontId="11" fillId="0" borderId="24" xfId="1" applyNumberFormat="1" applyFont="1" applyFill="1" applyBorder="1" applyAlignment="1" applyProtection="1">
      <alignment horizontal="center" vertical="center" wrapText="1"/>
      <protection locked="0"/>
    </xf>
    <xf numFmtId="1" fontId="11" fillId="0" borderId="25" xfId="1" applyNumberFormat="1" applyFont="1" applyFill="1" applyBorder="1" applyAlignment="1" applyProtection="1">
      <alignment horizontal="center" vertical="center" wrapText="1"/>
      <protection locked="0"/>
    </xf>
    <xf numFmtId="1" fontId="11" fillId="0" borderId="18" xfId="1" applyNumberFormat="1" applyFont="1" applyFill="1" applyBorder="1" applyAlignment="1" applyProtection="1">
      <alignment horizontal="center" vertical="center" wrapText="1"/>
      <protection locked="0"/>
    </xf>
    <xf numFmtId="1" fontId="11" fillId="0" borderId="1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3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left" vertical="top" wrapText="1"/>
      <protection locked="0"/>
    </xf>
    <xf numFmtId="9" fontId="11" fillId="0" borderId="16" xfId="8" applyFont="1" applyFill="1" applyBorder="1" applyAlignment="1" applyProtection="1">
      <alignment horizontal="center" vertical="center" wrapText="1"/>
      <protection locked="0"/>
    </xf>
    <xf numFmtId="9" fontId="11" fillId="0" borderId="17" xfId="8" applyFont="1" applyFill="1" applyBorder="1" applyAlignment="1" applyProtection="1">
      <alignment horizontal="center" vertical="center" wrapText="1"/>
      <protection locked="0"/>
    </xf>
    <xf numFmtId="9" fontId="11" fillId="0" borderId="24" xfId="8" applyFont="1" applyFill="1" applyBorder="1" applyAlignment="1" applyProtection="1">
      <alignment horizontal="center" vertical="center" wrapText="1"/>
      <protection locked="0"/>
    </xf>
    <xf numFmtId="9" fontId="11" fillId="0" borderId="25" xfId="8" applyFont="1" applyFill="1" applyBorder="1" applyAlignment="1" applyProtection="1">
      <alignment horizontal="center" vertical="center" wrapText="1"/>
      <protection locked="0"/>
    </xf>
    <xf numFmtId="9" fontId="11" fillId="0" borderId="27" xfId="8" applyFont="1" applyFill="1" applyBorder="1" applyAlignment="1" applyProtection="1">
      <alignment horizontal="center" vertical="center" wrapText="1"/>
      <protection locked="0"/>
    </xf>
    <xf numFmtId="9" fontId="11" fillId="0" borderId="28" xfId="8" applyFont="1" applyFill="1" applyBorder="1" applyAlignment="1" applyProtection="1">
      <alignment horizontal="center" vertical="center" wrapText="1"/>
      <protection locked="0"/>
    </xf>
    <xf numFmtId="9" fontId="11" fillId="0" borderId="26" xfId="8" applyFont="1" applyFill="1" applyBorder="1" applyAlignment="1" applyProtection="1">
      <alignment horizontal="center" vertical="center" wrapText="1"/>
      <protection locked="0"/>
    </xf>
    <xf numFmtId="9" fontId="11" fillId="0" borderId="9" xfId="8" applyFont="1" applyFill="1" applyBorder="1" applyAlignment="1" applyProtection="1">
      <alignment horizontal="center" vertical="center" wrapText="1"/>
      <protection locked="0"/>
    </xf>
    <xf numFmtId="9" fontId="11" fillId="0" borderId="11" xfId="8" applyFont="1" applyFill="1" applyBorder="1" applyAlignment="1" applyProtection="1">
      <alignment horizontal="center" vertical="center" wrapText="1"/>
      <protection locked="0"/>
    </xf>
    <xf numFmtId="0" fontId="11" fillId="0" borderId="5" xfId="1" applyFont="1" applyFill="1" applyBorder="1" applyAlignment="1" applyProtection="1">
      <alignment horizontal="center" vertical="top" wrapText="1"/>
      <protection locked="0"/>
    </xf>
    <xf numFmtId="0" fontId="11" fillId="0" borderId="6" xfId="1" applyFont="1" applyFill="1" applyBorder="1" applyAlignment="1" applyProtection="1">
      <alignment horizontal="center" vertical="top" wrapText="1"/>
      <protection locked="0"/>
    </xf>
    <xf numFmtId="0" fontId="24" fillId="4" borderId="1" xfId="4" applyFont="1" applyFill="1" applyBorder="1" applyAlignment="1">
      <alignment horizontal="center"/>
    </xf>
    <xf numFmtId="0" fontId="24" fillId="0" borderId="1" xfId="4" applyFont="1" applyBorder="1" applyAlignment="1">
      <alignment horizontal="center"/>
    </xf>
    <xf numFmtId="0" fontId="5" fillId="0" borderId="2" xfId="4" applyFont="1" applyBorder="1" applyAlignment="1">
      <alignment horizontal="center" vertical="center"/>
    </xf>
    <xf numFmtId="0" fontId="5" fillId="0" borderId="15" xfId="4" applyFont="1" applyBorder="1" applyAlignment="1">
      <alignment horizontal="center" vertical="center"/>
    </xf>
    <xf numFmtId="0" fontId="12" fillId="0" borderId="32" xfId="1" applyFont="1" applyFill="1" applyBorder="1" applyAlignment="1" applyProtection="1">
      <alignment horizontal="left" vertical="top" wrapText="1"/>
      <protection locked="0"/>
    </xf>
    <xf numFmtId="0" fontId="12" fillId="0" borderId="19" xfId="1" applyFont="1" applyFill="1" applyBorder="1" applyAlignment="1" applyProtection="1">
      <alignment horizontal="left" vertical="top" wrapText="1"/>
      <protection locked="0"/>
    </xf>
    <xf numFmtId="0" fontId="12" fillId="0" borderId="18" xfId="1" applyFont="1" applyFill="1" applyBorder="1" applyAlignment="1" applyProtection="1">
      <alignment horizontal="left" vertical="top" wrapText="1"/>
      <protection locked="0"/>
    </xf>
    <xf numFmtId="0" fontId="12" fillId="0" borderId="33" xfId="1" applyFont="1" applyFill="1" applyBorder="1" applyAlignment="1" applyProtection="1">
      <alignment horizontal="left" vertical="top" wrapText="1"/>
      <protection locked="0"/>
    </xf>
    <xf numFmtId="0" fontId="12" fillId="0" borderId="34" xfId="1" applyFont="1" applyFill="1" applyBorder="1" applyAlignment="1" applyProtection="1">
      <alignment horizontal="left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2.png"/><Relationship Id="rId18" Type="http://schemas.microsoft.com/office/2007/relationships/hdphoto" Target="../media/hdphoto4.wdp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1.png"/><Relationship Id="rId17" Type="http://schemas.openxmlformats.org/officeDocument/2006/relationships/image" Target="../media/image14.png"/><Relationship Id="rId2" Type="http://schemas.openxmlformats.org/officeDocument/2006/relationships/image" Target="../media/image2.png"/><Relationship Id="rId16" Type="http://schemas.microsoft.com/office/2007/relationships/hdphoto" Target="../media/hdphoto3.wdp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microsoft.com/office/2007/relationships/hdphoto" Target="../media/hdphoto1.wdp"/><Relationship Id="rId5" Type="http://schemas.openxmlformats.org/officeDocument/2006/relationships/image" Target="../media/image5.png"/><Relationship Id="rId15" Type="http://schemas.openxmlformats.org/officeDocument/2006/relationships/image" Target="../media/image13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microsoft.com/office/2007/relationships/hdphoto" Target="../media/hdphoto2.wdp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0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112861</xdr:colOff>
      <xdr:row>367</xdr:row>
      <xdr:rowOff>12988</xdr:rowOff>
    </xdr:from>
    <xdr:to>
      <xdr:col>7</xdr:col>
      <xdr:colOff>5070</xdr:colOff>
      <xdr:row>387</xdr:row>
      <xdr:rowOff>97806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32011" y="67935763"/>
          <a:ext cx="5188109" cy="408531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69265</xdr:colOff>
      <xdr:row>388</xdr:row>
      <xdr:rowOff>26371</xdr:rowOff>
    </xdr:from>
    <xdr:to>
      <xdr:col>7</xdr:col>
      <xdr:colOff>71698</xdr:colOff>
      <xdr:row>408</xdr:row>
      <xdr:rowOff>1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9365" y="78817171"/>
          <a:ext cx="5177683" cy="391063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251113</xdr:colOff>
      <xdr:row>394</xdr:row>
      <xdr:rowOff>173181</xdr:rowOff>
    </xdr:from>
    <xdr:to>
      <xdr:col>3</xdr:col>
      <xdr:colOff>943839</xdr:colOff>
      <xdr:row>400</xdr:row>
      <xdr:rowOff>17317</xdr:rowOff>
    </xdr:to>
    <xdr:sp macro="" textlink="">
      <xdr:nvSpPr>
        <xdr:cNvPr id="4" name="Rounded Rectangle 3"/>
        <xdr:cNvSpPr/>
      </xdr:nvSpPr>
      <xdr:spPr>
        <a:xfrm>
          <a:off x="1809749" y="67081976"/>
          <a:ext cx="1541317" cy="1039091"/>
        </a:xfrm>
        <a:prstGeom prst="roundRect">
          <a:avLst/>
        </a:prstGeom>
        <a:noFill/>
        <a:ln w="571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1</xdr:col>
      <xdr:colOff>375804</xdr:colOff>
      <xdr:row>389</xdr:row>
      <xdr:rowOff>176646</xdr:rowOff>
    </xdr:from>
    <xdr:ext cx="671915" cy="295850"/>
    <xdr:sp macro="" textlink="">
      <xdr:nvSpPr>
        <xdr:cNvPr id="5" name="TextBox 4"/>
        <xdr:cNvSpPr txBox="1"/>
      </xdr:nvSpPr>
      <xdr:spPr>
        <a:xfrm>
          <a:off x="1194954" y="72499971"/>
          <a:ext cx="671915" cy="2958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300" b="1"/>
            <a:t>Palacia</a:t>
          </a:r>
        </a:p>
      </xdr:txBody>
    </xdr:sp>
    <xdr:clientData/>
  </xdr:oneCellAnchor>
  <xdr:twoCellAnchor>
    <xdr:from>
      <xdr:col>1</xdr:col>
      <xdr:colOff>730826</xdr:colOff>
      <xdr:row>391</xdr:row>
      <xdr:rowOff>174048</xdr:rowOff>
    </xdr:from>
    <xdr:to>
      <xdr:col>2</xdr:col>
      <xdr:colOff>219940</xdr:colOff>
      <xdr:row>394</xdr:row>
      <xdr:rowOff>113434</xdr:rowOff>
    </xdr:to>
    <xdr:cxnSp macro="">
      <xdr:nvCxnSpPr>
        <xdr:cNvPr id="7" name="Straight Arrow Connector 6"/>
        <xdr:cNvCxnSpPr/>
      </xdr:nvCxnSpPr>
      <xdr:spPr>
        <a:xfrm>
          <a:off x="1549976" y="72897423"/>
          <a:ext cx="346364" cy="539461"/>
        </a:xfrm>
        <a:prstGeom prst="straightConnector1">
          <a:avLst/>
        </a:prstGeom>
        <a:ln w="57150">
          <a:solidFill>
            <a:schemeClr val="bg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155862</xdr:colOff>
      <xdr:row>324</xdr:row>
      <xdr:rowOff>199157</xdr:rowOff>
    </xdr:from>
    <xdr:to>
      <xdr:col>7</xdr:col>
      <xdr:colOff>696869</xdr:colOff>
      <xdr:row>342</xdr:row>
      <xdr:rowOff>142294</xdr:rowOff>
    </xdr:to>
    <xdr:pic>
      <xdr:nvPicPr>
        <xdr:cNvPr id="12" name="Picture 11"/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5862" y="52967657"/>
          <a:ext cx="6230030" cy="3528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501786</xdr:colOff>
      <xdr:row>344</xdr:row>
      <xdr:rowOff>127840</xdr:rowOff>
    </xdr:from>
    <xdr:to>
      <xdr:col>5</xdr:col>
      <xdr:colOff>702037</xdr:colOff>
      <xdr:row>363</xdr:row>
      <xdr:rowOff>123817</xdr:rowOff>
    </xdr:to>
    <xdr:pic>
      <xdr:nvPicPr>
        <xdr:cNvPr id="13" name="Picture 12"/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60422" y="56879522"/>
          <a:ext cx="2772001" cy="37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4</xdr:col>
      <xdr:colOff>257175</xdr:colOff>
      <xdr:row>327</xdr:row>
      <xdr:rowOff>95250</xdr:rowOff>
    </xdr:from>
    <xdr:ext cx="596574" cy="264560"/>
    <xdr:sp macro="" textlink="">
      <xdr:nvSpPr>
        <xdr:cNvPr id="8" name="TextBox 7"/>
        <xdr:cNvSpPr txBox="1"/>
      </xdr:nvSpPr>
      <xdr:spPr>
        <a:xfrm>
          <a:off x="3857625" y="59817000"/>
          <a:ext cx="596574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Wing A</a:t>
          </a:r>
        </a:p>
      </xdr:txBody>
    </xdr:sp>
    <xdr:clientData/>
  </xdr:oneCellAnchor>
  <xdr:oneCellAnchor>
    <xdr:from>
      <xdr:col>4</xdr:col>
      <xdr:colOff>228600</xdr:colOff>
      <xdr:row>334</xdr:row>
      <xdr:rowOff>190500</xdr:rowOff>
    </xdr:from>
    <xdr:ext cx="591700" cy="264560"/>
    <xdr:sp macro="" textlink="">
      <xdr:nvSpPr>
        <xdr:cNvPr id="38" name="TextBox 37"/>
        <xdr:cNvSpPr txBox="1"/>
      </xdr:nvSpPr>
      <xdr:spPr>
        <a:xfrm>
          <a:off x="3829050" y="61312425"/>
          <a:ext cx="591700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Wing B</a:t>
          </a:r>
        </a:p>
      </xdr:txBody>
    </xdr:sp>
    <xdr:clientData/>
  </xdr:oneCellAnchor>
  <xdr:oneCellAnchor>
    <xdr:from>
      <xdr:col>1</xdr:col>
      <xdr:colOff>133350</xdr:colOff>
      <xdr:row>334</xdr:row>
      <xdr:rowOff>142875</xdr:rowOff>
    </xdr:from>
    <xdr:ext cx="590162" cy="264560"/>
    <xdr:sp macro="" textlink="">
      <xdr:nvSpPr>
        <xdr:cNvPr id="39" name="TextBox 38"/>
        <xdr:cNvSpPr txBox="1"/>
      </xdr:nvSpPr>
      <xdr:spPr>
        <a:xfrm>
          <a:off x="952500" y="61264800"/>
          <a:ext cx="590162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Wing C</a:t>
          </a:r>
        </a:p>
      </xdr:txBody>
    </xdr:sp>
    <xdr:clientData/>
  </xdr:oneCellAnchor>
  <xdr:oneCellAnchor>
    <xdr:from>
      <xdr:col>1</xdr:col>
      <xdr:colOff>180975</xdr:colOff>
      <xdr:row>327</xdr:row>
      <xdr:rowOff>47625</xdr:rowOff>
    </xdr:from>
    <xdr:ext cx="601768" cy="264560"/>
    <xdr:sp macro="" textlink="">
      <xdr:nvSpPr>
        <xdr:cNvPr id="40" name="TextBox 39"/>
        <xdr:cNvSpPr txBox="1"/>
      </xdr:nvSpPr>
      <xdr:spPr>
        <a:xfrm>
          <a:off x="1000125" y="59769375"/>
          <a:ext cx="601768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Wing D</a:t>
          </a:r>
        </a:p>
      </xdr:txBody>
    </xdr:sp>
    <xdr:clientData/>
  </xdr:oneCellAnchor>
  <xdr:oneCellAnchor>
    <xdr:from>
      <xdr:col>10</xdr:col>
      <xdr:colOff>422697</xdr:colOff>
      <xdr:row>281</xdr:row>
      <xdr:rowOff>95249</xdr:rowOff>
    </xdr:from>
    <xdr:ext cx="600677" cy="264560"/>
    <xdr:sp macro="" textlink="">
      <xdr:nvSpPr>
        <xdr:cNvPr id="76" name="TextBox 75"/>
        <xdr:cNvSpPr txBox="1"/>
      </xdr:nvSpPr>
      <xdr:spPr>
        <a:xfrm>
          <a:off x="8865311" y="56058954"/>
          <a:ext cx="600677" cy="26456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Wing B</a:t>
          </a:r>
        </a:p>
      </xdr:txBody>
    </xdr:sp>
    <xdr:clientData/>
  </xdr:oneCellAnchor>
  <xdr:twoCellAnchor>
    <xdr:from>
      <xdr:col>8</xdr:col>
      <xdr:colOff>733224</xdr:colOff>
      <xdr:row>281</xdr:row>
      <xdr:rowOff>38100</xdr:rowOff>
    </xdr:from>
    <xdr:to>
      <xdr:col>10</xdr:col>
      <xdr:colOff>63229</xdr:colOff>
      <xdr:row>282</xdr:row>
      <xdr:rowOff>121455</xdr:rowOff>
    </xdr:to>
    <xdr:sp macro="" textlink="">
      <xdr:nvSpPr>
        <xdr:cNvPr id="48" name="Rectangle 47"/>
        <xdr:cNvSpPr/>
      </xdr:nvSpPr>
      <xdr:spPr>
        <a:xfrm>
          <a:off x="7578524" y="58166000"/>
          <a:ext cx="1349305" cy="280205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Wing A &amp; B</a:t>
          </a:r>
          <a:endParaRPr lang="en-IN" sz="1200" b="0" cap="none" spc="0">
            <a:ln w="0"/>
            <a:solidFill>
              <a:sysClr val="windowText" lastClr="00000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twoCellAnchor>
  <xdr:twoCellAnchor>
    <xdr:from>
      <xdr:col>0</xdr:col>
      <xdr:colOff>40052</xdr:colOff>
      <xdr:row>281</xdr:row>
      <xdr:rowOff>69850</xdr:rowOff>
    </xdr:from>
    <xdr:to>
      <xdr:col>7</xdr:col>
      <xdr:colOff>836929</xdr:colOff>
      <xdr:row>321</xdr:row>
      <xdr:rowOff>20922</xdr:rowOff>
    </xdr:to>
    <xdr:grpSp>
      <xdr:nvGrpSpPr>
        <xdr:cNvPr id="6" name="Group 5"/>
        <xdr:cNvGrpSpPr/>
      </xdr:nvGrpSpPr>
      <xdr:grpSpPr>
        <a:xfrm>
          <a:off x="40052" y="58007250"/>
          <a:ext cx="6772227" cy="7818722"/>
          <a:chOff x="40052" y="58197750"/>
          <a:chExt cx="6772227" cy="7818722"/>
        </a:xfrm>
      </xdr:grpSpPr>
      <xdr:pic>
        <xdr:nvPicPr>
          <xdr:cNvPr id="29" name="Picture 28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56392" y="64536558"/>
            <a:ext cx="1348125" cy="147804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9550" y="58197750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30452" y="62746172"/>
            <a:ext cx="2204935" cy="1656000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  <xdr:pic>
        <xdr:nvPicPr>
          <xdr:cNvPr id="34" name="Picture 33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21734" y="64536872"/>
            <a:ext cx="1108159" cy="14796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70061" y="58197750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BEBA8EAE-BF5A-486C-A8C5-ECC9F3942E4B}">
                <a14:imgProps xmlns:a14="http://schemas.microsoft.com/office/drawing/2010/main">
                  <a14:imgLayer r:embed="rId11">
                    <a14:imgEffect>
                      <a14:brightnessContrast bright="40000" contrast="-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0071" y="60462436"/>
            <a:ext cx="2876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07344" y="62746172"/>
            <a:ext cx="2204935" cy="1656000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  <xdr:pic>
        <xdr:nvPicPr>
          <xdr:cNvPr id="41" name="Picture 40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BEBA8EAE-BF5A-486C-A8C5-ECC9F3942E4B}">
                <a14:imgProps xmlns:a14="http://schemas.microsoft.com/office/drawing/2010/main">
                  <a14:imgLayer r:embed="rId14">
                    <a14:imgEffect>
                      <a14:brightnessContrast bright="40000" contrast="-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0052" y="62742086"/>
            <a:ext cx="2204933" cy="165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BEBA8EAE-BF5A-486C-A8C5-ECC9F3942E4B}">
                <a14:imgProps xmlns:a14="http://schemas.microsoft.com/office/drawing/2010/main">
                  <a14:imgLayer r:embed="rId16">
                    <a14:imgEffect>
                      <a14:brightnessContrast bright="40000" contrast="-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30572" y="58197750"/>
            <a:ext cx="2876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3" name="Rectangle 42"/>
          <xdr:cNvSpPr/>
        </xdr:nvSpPr>
        <xdr:spPr>
          <a:xfrm>
            <a:off x="279400" y="58293000"/>
            <a:ext cx="990599" cy="280205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 A &amp; B</a:t>
            </a:r>
            <a:endParaRPr lang="en-IN" sz="12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sp macro="" textlink="">
        <xdr:nvSpPr>
          <xdr:cNvPr id="51" name="Rectangle 50"/>
          <xdr:cNvSpPr/>
        </xdr:nvSpPr>
        <xdr:spPr>
          <a:xfrm>
            <a:off x="2338361" y="58343800"/>
            <a:ext cx="1349305" cy="280205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 A &amp; B</a:t>
            </a:r>
            <a:endParaRPr lang="en-IN" sz="12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sp macro="" textlink="">
        <xdr:nvSpPr>
          <xdr:cNvPr id="55" name="Rectangle 54"/>
          <xdr:cNvSpPr/>
        </xdr:nvSpPr>
        <xdr:spPr>
          <a:xfrm>
            <a:off x="4752923" y="59842400"/>
            <a:ext cx="752528" cy="285750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 C</a:t>
            </a:r>
            <a:endParaRPr lang="en-IN" sz="12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sp macro="" textlink="">
        <xdr:nvSpPr>
          <xdr:cNvPr id="56" name="Rectangle 55"/>
          <xdr:cNvSpPr/>
        </xdr:nvSpPr>
        <xdr:spPr>
          <a:xfrm>
            <a:off x="1444321" y="61986436"/>
            <a:ext cx="752528" cy="285750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 C</a:t>
            </a:r>
            <a:endParaRPr lang="en-IN" sz="12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pic>
        <xdr:nvPicPr>
          <xdr:cNvPr id="57" name="Picture 56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BEBA8EAE-BF5A-486C-A8C5-ECC9F3942E4B}">
                <a14:imgProps xmlns:a14="http://schemas.microsoft.com/office/drawing/2010/main">
                  <a14:imgLayer r:embed="rId18">
                    <a14:imgEffect>
                      <a14:brightnessContrast bright="40000" contrast="-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48049" y="60477400"/>
            <a:ext cx="2859440" cy="2160000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  <xdr:sp macro="" textlink="">
        <xdr:nvSpPr>
          <xdr:cNvPr id="58" name="Rectangle 57"/>
          <xdr:cNvSpPr/>
        </xdr:nvSpPr>
        <xdr:spPr>
          <a:xfrm>
            <a:off x="4597399" y="61893450"/>
            <a:ext cx="752528" cy="285750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 D</a:t>
            </a:r>
            <a:endParaRPr lang="en-IN" sz="12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7</xdr:col>
      <xdr:colOff>545250</xdr:colOff>
      <xdr:row>32</xdr:row>
      <xdr:rowOff>171000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1025" y="2676525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</xdr:colOff>
      <xdr:row>36</xdr:row>
      <xdr:rowOff>15815</xdr:rowOff>
    </xdr:from>
    <xdr:to>
      <xdr:col>7</xdr:col>
      <xdr:colOff>545251</xdr:colOff>
      <xdr:row>54</xdr:row>
      <xdr:rowOff>186815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1026" y="6883340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213146</xdr:colOff>
      <xdr:row>35</xdr:row>
      <xdr:rowOff>65417</xdr:rowOff>
    </xdr:from>
    <xdr:to>
      <xdr:col>19</xdr:col>
      <xdr:colOff>224996</xdr:colOff>
      <xdr:row>54</xdr:row>
      <xdr:rowOff>45917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52121" y="6742442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213146</xdr:colOff>
      <xdr:row>15</xdr:row>
      <xdr:rowOff>7907</xdr:rowOff>
    </xdr:from>
    <xdr:to>
      <xdr:col>19</xdr:col>
      <xdr:colOff>224996</xdr:colOff>
      <xdr:row>33</xdr:row>
      <xdr:rowOff>178907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52121" y="2874932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ftenVd9D5rg1WoBW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367"/>
  <sheetViews>
    <sheetView tabSelected="1" view="pageBreakPreview" zoomScaleNormal="100" zoomScaleSheetLayoutView="100" workbookViewId="0">
      <selection activeCell="E10" sqref="E10:H10"/>
    </sheetView>
  </sheetViews>
  <sheetFormatPr defaultColWidth="9.1796875" defaultRowHeight="15.5" x14ac:dyDescent="0.35"/>
  <cols>
    <col min="1" max="1" width="11.453125" style="29" customWidth="1"/>
    <col min="2" max="2" width="12" style="29" customWidth="1"/>
    <col min="3" max="3" width="12.7265625" style="29" customWidth="1"/>
    <col min="4" max="4" width="14.1796875" style="29" customWidth="1"/>
    <col min="5" max="7" width="11.7265625" style="29" customWidth="1"/>
    <col min="8" max="8" width="12.453125" style="29" customWidth="1"/>
    <col min="9" max="9" width="17.453125" style="10" customWidth="1"/>
    <col min="10" max="10" width="11.453125" style="10" customWidth="1"/>
    <col min="11" max="11" width="10.54296875" style="10" bestFit="1" customWidth="1"/>
    <col min="12" max="12" width="10.54296875" style="10" customWidth="1"/>
    <col min="13" max="13" width="11.81640625" style="10" customWidth="1"/>
    <col min="14" max="14" width="12.54296875" style="10" customWidth="1"/>
    <col min="15" max="15" width="9.81640625" style="10" customWidth="1"/>
    <col min="16" max="16" width="11.7265625" style="10" customWidth="1"/>
    <col min="17" max="247" width="9.1796875" style="10"/>
    <col min="248" max="248" width="8.7265625" style="10" customWidth="1"/>
    <col min="249" max="249" width="9.81640625" style="10" customWidth="1"/>
    <col min="250" max="250" width="14.453125" style="10" customWidth="1"/>
    <col min="251" max="251" width="7.26953125" style="10" customWidth="1"/>
    <col min="252" max="252" width="5.54296875" style="10" customWidth="1"/>
    <col min="253" max="253" width="9" style="10" customWidth="1"/>
    <col min="254" max="255" width="9.81640625" style="10" customWidth="1"/>
    <col min="256" max="256" width="11.1796875" style="10" customWidth="1"/>
    <col min="257" max="257" width="2.81640625" style="10" customWidth="1"/>
    <col min="258" max="258" width="3.54296875" style="10" customWidth="1"/>
    <col min="259" max="503" width="9.1796875" style="10"/>
    <col min="504" max="504" width="8.7265625" style="10" customWidth="1"/>
    <col min="505" max="505" width="9.81640625" style="10" customWidth="1"/>
    <col min="506" max="506" width="14.453125" style="10" customWidth="1"/>
    <col min="507" max="507" width="7.26953125" style="10" customWidth="1"/>
    <col min="508" max="508" width="5.54296875" style="10" customWidth="1"/>
    <col min="509" max="509" width="9" style="10" customWidth="1"/>
    <col min="510" max="511" width="9.81640625" style="10" customWidth="1"/>
    <col min="512" max="512" width="11.1796875" style="10" customWidth="1"/>
    <col min="513" max="513" width="2.81640625" style="10" customWidth="1"/>
    <col min="514" max="514" width="3.54296875" style="10" customWidth="1"/>
    <col min="515" max="759" width="9.1796875" style="10"/>
    <col min="760" max="760" width="8.7265625" style="10" customWidth="1"/>
    <col min="761" max="761" width="9.81640625" style="10" customWidth="1"/>
    <col min="762" max="762" width="14.453125" style="10" customWidth="1"/>
    <col min="763" max="763" width="7.26953125" style="10" customWidth="1"/>
    <col min="764" max="764" width="5.54296875" style="10" customWidth="1"/>
    <col min="765" max="765" width="9" style="10" customWidth="1"/>
    <col min="766" max="767" width="9.81640625" style="10" customWidth="1"/>
    <col min="768" max="768" width="11.1796875" style="10" customWidth="1"/>
    <col min="769" max="769" width="2.81640625" style="10" customWidth="1"/>
    <col min="770" max="770" width="3.54296875" style="10" customWidth="1"/>
    <col min="771" max="1015" width="9.1796875" style="10"/>
    <col min="1016" max="1016" width="8.7265625" style="10" customWidth="1"/>
    <col min="1017" max="1017" width="9.81640625" style="10" customWidth="1"/>
    <col min="1018" max="1018" width="14.453125" style="10" customWidth="1"/>
    <col min="1019" max="1019" width="7.26953125" style="10" customWidth="1"/>
    <col min="1020" max="1020" width="5.54296875" style="10" customWidth="1"/>
    <col min="1021" max="1021" width="9" style="10" customWidth="1"/>
    <col min="1022" max="1023" width="9.81640625" style="10" customWidth="1"/>
    <col min="1024" max="1024" width="11.1796875" style="10" customWidth="1"/>
    <col min="1025" max="1025" width="2.81640625" style="10" customWidth="1"/>
    <col min="1026" max="1026" width="3.54296875" style="10" customWidth="1"/>
    <col min="1027" max="1271" width="9.1796875" style="10"/>
    <col min="1272" max="1272" width="8.7265625" style="10" customWidth="1"/>
    <col min="1273" max="1273" width="9.81640625" style="10" customWidth="1"/>
    <col min="1274" max="1274" width="14.453125" style="10" customWidth="1"/>
    <col min="1275" max="1275" width="7.26953125" style="10" customWidth="1"/>
    <col min="1276" max="1276" width="5.54296875" style="10" customWidth="1"/>
    <col min="1277" max="1277" width="9" style="10" customWidth="1"/>
    <col min="1278" max="1279" width="9.81640625" style="10" customWidth="1"/>
    <col min="1280" max="1280" width="11.1796875" style="10" customWidth="1"/>
    <col min="1281" max="1281" width="2.81640625" style="10" customWidth="1"/>
    <col min="1282" max="1282" width="3.54296875" style="10" customWidth="1"/>
    <col min="1283" max="1527" width="9.1796875" style="10"/>
    <col min="1528" max="1528" width="8.7265625" style="10" customWidth="1"/>
    <col min="1529" max="1529" width="9.81640625" style="10" customWidth="1"/>
    <col min="1530" max="1530" width="14.453125" style="10" customWidth="1"/>
    <col min="1531" max="1531" width="7.26953125" style="10" customWidth="1"/>
    <col min="1532" max="1532" width="5.54296875" style="10" customWidth="1"/>
    <col min="1533" max="1533" width="9" style="10" customWidth="1"/>
    <col min="1534" max="1535" width="9.81640625" style="10" customWidth="1"/>
    <col min="1536" max="1536" width="11.1796875" style="10" customWidth="1"/>
    <col min="1537" max="1537" width="2.81640625" style="10" customWidth="1"/>
    <col min="1538" max="1538" width="3.54296875" style="10" customWidth="1"/>
    <col min="1539" max="1783" width="9.1796875" style="10"/>
    <col min="1784" max="1784" width="8.7265625" style="10" customWidth="1"/>
    <col min="1785" max="1785" width="9.81640625" style="10" customWidth="1"/>
    <col min="1786" max="1786" width="14.453125" style="10" customWidth="1"/>
    <col min="1787" max="1787" width="7.26953125" style="10" customWidth="1"/>
    <col min="1788" max="1788" width="5.54296875" style="10" customWidth="1"/>
    <col min="1789" max="1789" width="9" style="10" customWidth="1"/>
    <col min="1790" max="1791" width="9.81640625" style="10" customWidth="1"/>
    <col min="1792" max="1792" width="11.1796875" style="10" customWidth="1"/>
    <col min="1793" max="1793" width="2.81640625" style="10" customWidth="1"/>
    <col min="1794" max="1794" width="3.54296875" style="10" customWidth="1"/>
    <col min="1795" max="2039" width="9.1796875" style="10"/>
    <col min="2040" max="2040" width="8.7265625" style="10" customWidth="1"/>
    <col min="2041" max="2041" width="9.81640625" style="10" customWidth="1"/>
    <col min="2042" max="2042" width="14.453125" style="10" customWidth="1"/>
    <col min="2043" max="2043" width="7.26953125" style="10" customWidth="1"/>
    <col min="2044" max="2044" width="5.54296875" style="10" customWidth="1"/>
    <col min="2045" max="2045" width="9" style="10" customWidth="1"/>
    <col min="2046" max="2047" width="9.81640625" style="10" customWidth="1"/>
    <col min="2048" max="2048" width="11.1796875" style="10" customWidth="1"/>
    <col min="2049" max="2049" width="2.81640625" style="10" customWidth="1"/>
    <col min="2050" max="2050" width="3.54296875" style="10" customWidth="1"/>
    <col min="2051" max="2295" width="9.1796875" style="10"/>
    <col min="2296" max="2296" width="8.7265625" style="10" customWidth="1"/>
    <col min="2297" max="2297" width="9.81640625" style="10" customWidth="1"/>
    <col min="2298" max="2298" width="14.453125" style="10" customWidth="1"/>
    <col min="2299" max="2299" width="7.26953125" style="10" customWidth="1"/>
    <col min="2300" max="2300" width="5.54296875" style="10" customWidth="1"/>
    <col min="2301" max="2301" width="9" style="10" customWidth="1"/>
    <col min="2302" max="2303" width="9.81640625" style="10" customWidth="1"/>
    <col min="2304" max="2304" width="11.1796875" style="10" customWidth="1"/>
    <col min="2305" max="2305" width="2.81640625" style="10" customWidth="1"/>
    <col min="2306" max="2306" width="3.54296875" style="10" customWidth="1"/>
    <col min="2307" max="2551" width="9.1796875" style="10"/>
    <col min="2552" max="2552" width="8.7265625" style="10" customWidth="1"/>
    <col min="2553" max="2553" width="9.81640625" style="10" customWidth="1"/>
    <col min="2554" max="2554" width="14.453125" style="10" customWidth="1"/>
    <col min="2555" max="2555" width="7.26953125" style="10" customWidth="1"/>
    <col min="2556" max="2556" width="5.54296875" style="10" customWidth="1"/>
    <col min="2557" max="2557" width="9" style="10" customWidth="1"/>
    <col min="2558" max="2559" width="9.81640625" style="10" customWidth="1"/>
    <col min="2560" max="2560" width="11.1796875" style="10" customWidth="1"/>
    <col min="2561" max="2561" width="2.81640625" style="10" customWidth="1"/>
    <col min="2562" max="2562" width="3.54296875" style="10" customWidth="1"/>
    <col min="2563" max="2807" width="9.1796875" style="10"/>
    <col min="2808" max="2808" width="8.7265625" style="10" customWidth="1"/>
    <col min="2809" max="2809" width="9.81640625" style="10" customWidth="1"/>
    <col min="2810" max="2810" width="14.453125" style="10" customWidth="1"/>
    <col min="2811" max="2811" width="7.26953125" style="10" customWidth="1"/>
    <col min="2812" max="2812" width="5.54296875" style="10" customWidth="1"/>
    <col min="2813" max="2813" width="9" style="10" customWidth="1"/>
    <col min="2814" max="2815" width="9.81640625" style="10" customWidth="1"/>
    <col min="2816" max="2816" width="11.1796875" style="10" customWidth="1"/>
    <col min="2817" max="2817" width="2.81640625" style="10" customWidth="1"/>
    <col min="2818" max="2818" width="3.54296875" style="10" customWidth="1"/>
    <col min="2819" max="3063" width="9.1796875" style="10"/>
    <col min="3064" max="3064" width="8.7265625" style="10" customWidth="1"/>
    <col min="3065" max="3065" width="9.81640625" style="10" customWidth="1"/>
    <col min="3066" max="3066" width="14.453125" style="10" customWidth="1"/>
    <col min="3067" max="3067" width="7.26953125" style="10" customWidth="1"/>
    <col min="3068" max="3068" width="5.54296875" style="10" customWidth="1"/>
    <col min="3069" max="3069" width="9" style="10" customWidth="1"/>
    <col min="3070" max="3071" width="9.81640625" style="10" customWidth="1"/>
    <col min="3072" max="3072" width="11.1796875" style="10" customWidth="1"/>
    <col min="3073" max="3073" width="2.81640625" style="10" customWidth="1"/>
    <col min="3074" max="3074" width="3.54296875" style="10" customWidth="1"/>
    <col min="3075" max="3319" width="9.1796875" style="10"/>
    <col min="3320" max="3320" width="8.7265625" style="10" customWidth="1"/>
    <col min="3321" max="3321" width="9.81640625" style="10" customWidth="1"/>
    <col min="3322" max="3322" width="14.453125" style="10" customWidth="1"/>
    <col min="3323" max="3323" width="7.26953125" style="10" customWidth="1"/>
    <col min="3324" max="3324" width="5.54296875" style="10" customWidth="1"/>
    <col min="3325" max="3325" width="9" style="10" customWidth="1"/>
    <col min="3326" max="3327" width="9.81640625" style="10" customWidth="1"/>
    <col min="3328" max="3328" width="11.1796875" style="10" customWidth="1"/>
    <col min="3329" max="3329" width="2.81640625" style="10" customWidth="1"/>
    <col min="3330" max="3330" width="3.54296875" style="10" customWidth="1"/>
    <col min="3331" max="3575" width="9.1796875" style="10"/>
    <col min="3576" max="3576" width="8.7265625" style="10" customWidth="1"/>
    <col min="3577" max="3577" width="9.81640625" style="10" customWidth="1"/>
    <col min="3578" max="3578" width="14.453125" style="10" customWidth="1"/>
    <col min="3579" max="3579" width="7.26953125" style="10" customWidth="1"/>
    <col min="3580" max="3580" width="5.54296875" style="10" customWidth="1"/>
    <col min="3581" max="3581" width="9" style="10" customWidth="1"/>
    <col min="3582" max="3583" width="9.81640625" style="10" customWidth="1"/>
    <col min="3584" max="3584" width="11.1796875" style="10" customWidth="1"/>
    <col min="3585" max="3585" width="2.81640625" style="10" customWidth="1"/>
    <col min="3586" max="3586" width="3.54296875" style="10" customWidth="1"/>
    <col min="3587" max="3831" width="9.1796875" style="10"/>
    <col min="3832" max="3832" width="8.7265625" style="10" customWidth="1"/>
    <col min="3833" max="3833" width="9.81640625" style="10" customWidth="1"/>
    <col min="3834" max="3834" width="14.453125" style="10" customWidth="1"/>
    <col min="3835" max="3835" width="7.26953125" style="10" customWidth="1"/>
    <col min="3836" max="3836" width="5.54296875" style="10" customWidth="1"/>
    <col min="3837" max="3837" width="9" style="10" customWidth="1"/>
    <col min="3838" max="3839" width="9.81640625" style="10" customWidth="1"/>
    <col min="3840" max="3840" width="11.1796875" style="10" customWidth="1"/>
    <col min="3841" max="3841" width="2.81640625" style="10" customWidth="1"/>
    <col min="3842" max="3842" width="3.54296875" style="10" customWidth="1"/>
    <col min="3843" max="4087" width="9.1796875" style="10"/>
    <col min="4088" max="4088" width="8.7265625" style="10" customWidth="1"/>
    <col min="4089" max="4089" width="9.81640625" style="10" customWidth="1"/>
    <col min="4090" max="4090" width="14.453125" style="10" customWidth="1"/>
    <col min="4091" max="4091" width="7.26953125" style="10" customWidth="1"/>
    <col min="4092" max="4092" width="5.54296875" style="10" customWidth="1"/>
    <col min="4093" max="4093" width="9" style="10" customWidth="1"/>
    <col min="4094" max="4095" width="9.81640625" style="10" customWidth="1"/>
    <col min="4096" max="4096" width="11.1796875" style="10" customWidth="1"/>
    <col min="4097" max="4097" width="2.81640625" style="10" customWidth="1"/>
    <col min="4098" max="4098" width="3.54296875" style="10" customWidth="1"/>
    <col min="4099" max="4343" width="9.1796875" style="10"/>
    <col min="4344" max="4344" width="8.7265625" style="10" customWidth="1"/>
    <col min="4345" max="4345" width="9.81640625" style="10" customWidth="1"/>
    <col min="4346" max="4346" width="14.453125" style="10" customWidth="1"/>
    <col min="4347" max="4347" width="7.26953125" style="10" customWidth="1"/>
    <col min="4348" max="4348" width="5.54296875" style="10" customWidth="1"/>
    <col min="4349" max="4349" width="9" style="10" customWidth="1"/>
    <col min="4350" max="4351" width="9.81640625" style="10" customWidth="1"/>
    <col min="4352" max="4352" width="11.1796875" style="10" customWidth="1"/>
    <col min="4353" max="4353" width="2.81640625" style="10" customWidth="1"/>
    <col min="4354" max="4354" width="3.54296875" style="10" customWidth="1"/>
    <col min="4355" max="4599" width="9.1796875" style="10"/>
    <col min="4600" max="4600" width="8.7265625" style="10" customWidth="1"/>
    <col min="4601" max="4601" width="9.81640625" style="10" customWidth="1"/>
    <col min="4602" max="4602" width="14.453125" style="10" customWidth="1"/>
    <col min="4603" max="4603" width="7.26953125" style="10" customWidth="1"/>
    <col min="4604" max="4604" width="5.54296875" style="10" customWidth="1"/>
    <col min="4605" max="4605" width="9" style="10" customWidth="1"/>
    <col min="4606" max="4607" width="9.81640625" style="10" customWidth="1"/>
    <col min="4608" max="4608" width="11.1796875" style="10" customWidth="1"/>
    <col min="4609" max="4609" width="2.81640625" style="10" customWidth="1"/>
    <col min="4610" max="4610" width="3.54296875" style="10" customWidth="1"/>
    <col min="4611" max="4855" width="9.1796875" style="10"/>
    <col min="4856" max="4856" width="8.7265625" style="10" customWidth="1"/>
    <col min="4857" max="4857" width="9.81640625" style="10" customWidth="1"/>
    <col min="4858" max="4858" width="14.453125" style="10" customWidth="1"/>
    <col min="4859" max="4859" width="7.26953125" style="10" customWidth="1"/>
    <col min="4860" max="4860" width="5.54296875" style="10" customWidth="1"/>
    <col min="4861" max="4861" width="9" style="10" customWidth="1"/>
    <col min="4862" max="4863" width="9.81640625" style="10" customWidth="1"/>
    <col min="4864" max="4864" width="11.1796875" style="10" customWidth="1"/>
    <col min="4865" max="4865" width="2.81640625" style="10" customWidth="1"/>
    <col min="4866" max="4866" width="3.54296875" style="10" customWidth="1"/>
    <col min="4867" max="5111" width="9.1796875" style="10"/>
    <col min="5112" max="5112" width="8.7265625" style="10" customWidth="1"/>
    <col min="5113" max="5113" width="9.81640625" style="10" customWidth="1"/>
    <col min="5114" max="5114" width="14.453125" style="10" customWidth="1"/>
    <col min="5115" max="5115" width="7.26953125" style="10" customWidth="1"/>
    <col min="5116" max="5116" width="5.54296875" style="10" customWidth="1"/>
    <col min="5117" max="5117" width="9" style="10" customWidth="1"/>
    <col min="5118" max="5119" width="9.81640625" style="10" customWidth="1"/>
    <col min="5120" max="5120" width="11.1796875" style="10" customWidth="1"/>
    <col min="5121" max="5121" width="2.81640625" style="10" customWidth="1"/>
    <col min="5122" max="5122" width="3.54296875" style="10" customWidth="1"/>
    <col min="5123" max="5367" width="9.1796875" style="10"/>
    <col min="5368" max="5368" width="8.7265625" style="10" customWidth="1"/>
    <col min="5369" max="5369" width="9.81640625" style="10" customWidth="1"/>
    <col min="5370" max="5370" width="14.453125" style="10" customWidth="1"/>
    <col min="5371" max="5371" width="7.26953125" style="10" customWidth="1"/>
    <col min="5372" max="5372" width="5.54296875" style="10" customWidth="1"/>
    <col min="5373" max="5373" width="9" style="10" customWidth="1"/>
    <col min="5374" max="5375" width="9.81640625" style="10" customWidth="1"/>
    <col min="5376" max="5376" width="11.1796875" style="10" customWidth="1"/>
    <col min="5377" max="5377" width="2.81640625" style="10" customWidth="1"/>
    <col min="5378" max="5378" width="3.54296875" style="10" customWidth="1"/>
    <col min="5379" max="5623" width="9.1796875" style="10"/>
    <col min="5624" max="5624" width="8.7265625" style="10" customWidth="1"/>
    <col min="5625" max="5625" width="9.81640625" style="10" customWidth="1"/>
    <col min="5626" max="5626" width="14.453125" style="10" customWidth="1"/>
    <col min="5627" max="5627" width="7.26953125" style="10" customWidth="1"/>
    <col min="5628" max="5628" width="5.54296875" style="10" customWidth="1"/>
    <col min="5629" max="5629" width="9" style="10" customWidth="1"/>
    <col min="5630" max="5631" width="9.81640625" style="10" customWidth="1"/>
    <col min="5632" max="5632" width="11.1796875" style="10" customWidth="1"/>
    <col min="5633" max="5633" width="2.81640625" style="10" customWidth="1"/>
    <col min="5634" max="5634" width="3.54296875" style="10" customWidth="1"/>
    <col min="5635" max="5879" width="9.1796875" style="10"/>
    <col min="5880" max="5880" width="8.7265625" style="10" customWidth="1"/>
    <col min="5881" max="5881" width="9.81640625" style="10" customWidth="1"/>
    <col min="5882" max="5882" width="14.453125" style="10" customWidth="1"/>
    <col min="5883" max="5883" width="7.26953125" style="10" customWidth="1"/>
    <col min="5884" max="5884" width="5.54296875" style="10" customWidth="1"/>
    <col min="5885" max="5885" width="9" style="10" customWidth="1"/>
    <col min="5886" max="5887" width="9.81640625" style="10" customWidth="1"/>
    <col min="5888" max="5888" width="11.1796875" style="10" customWidth="1"/>
    <col min="5889" max="5889" width="2.81640625" style="10" customWidth="1"/>
    <col min="5890" max="5890" width="3.54296875" style="10" customWidth="1"/>
    <col min="5891" max="6135" width="9.1796875" style="10"/>
    <col min="6136" max="6136" width="8.7265625" style="10" customWidth="1"/>
    <col min="6137" max="6137" width="9.81640625" style="10" customWidth="1"/>
    <col min="6138" max="6138" width="14.453125" style="10" customWidth="1"/>
    <col min="6139" max="6139" width="7.26953125" style="10" customWidth="1"/>
    <col min="6140" max="6140" width="5.54296875" style="10" customWidth="1"/>
    <col min="6141" max="6141" width="9" style="10" customWidth="1"/>
    <col min="6142" max="6143" width="9.81640625" style="10" customWidth="1"/>
    <col min="6144" max="6144" width="11.1796875" style="10" customWidth="1"/>
    <col min="6145" max="6145" width="2.81640625" style="10" customWidth="1"/>
    <col min="6146" max="6146" width="3.54296875" style="10" customWidth="1"/>
    <col min="6147" max="6391" width="9.1796875" style="10"/>
    <col min="6392" max="6392" width="8.7265625" style="10" customWidth="1"/>
    <col min="6393" max="6393" width="9.81640625" style="10" customWidth="1"/>
    <col min="6394" max="6394" width="14.453125" style="10" customWidth="1"/>
    <col min="6395" max="6395" width="7.26953125" style="10" customWidth="1"/>
    <col min="6396" max="6396" width="5.54296875" style="10" customWidth="1"/>
    <col min="6397" max="6397" width="9" style="10" customWidth="1"/>
    <col min="6398" max="6399" width="9.81640625" style="10" customWidth="1"/>
    <col min="6400" max="6400" width="11.1796875" style="10" customWidth="1"/>
    <col min="6401" max="6401" width="2.81640625" style="10" customWidth="1"/>
    <col min="6402" max="6402" width="3.54296875" style="10" customWidth="1"/>
    <col min="6403" max="6647" width="9.1796875" style="10"/>
    <col min="6648" max="6648" width="8.7265625" style="10" customWidth="1"/>
    <col min="6649" max="6649" width="9.81640625" style="10" customWidth="1"/>
    <col min="6650" max="6650" width="14.453125" style="10" customWidth="1"/>
    <col min="6651" max="6651" width="7.26953125" style="10" customWidth="1"/>
    <col min="6652" max="6652" width="5.54296875" style="10" customWidth="1"/>
    <col min="6653" max="6653" width="9" style="10" customWidth="1"/>
    <col min="6654" max="6655" width="9.81640625" style="10" customWidth="1"/>
    <col min="6656" max="6656" width="11.1796875" style="10" customWidth="1"/>
    <col min="6657" max="6657" width="2.81640625" style="10" customWidth="1"/>
    <col min="6658" max="6658" width="3.54296875" style="10" customWidth="1"/>
    <col min="6659" max="6903" width="9.1796875" style="10"/>
    <col min="6904" max="6904" width="8.7265625" style="10" customWidth="1"/>
    <col min="6905" max="6905" width="9.81640625" style="10" customWidth="1"/>
    <col min="6906" max="6906" width="14.453125" style="10" customWidth="1"/>
    <col min="6907" max="6907" width="7.26953125" style="10" customWidth="1"/>
    <col min="6908" max="6908" width="5.54296875" style="10" customWidth="1"/>
    <col min="6909" max="6909" width="9" style="10" customWidth="1"/>
    <col min="6910" max="6911" width="9.81640625" style="10" customWidth="1"/>
    <col min="6912" max="6912" width="11.1796875" style="10" customWidth="1"/>
    <col min="6913" max="6913" width="2.81640625" style="10" customWidth="1"/>
    <col min="6914" max="6914" width="3.54296875" style="10" customWidth="1"/>
    <col min="6915" max="7159" width="9.1796875" style="10"/>
    <col min="7160" max="7160" width="8.7265625" style="10" customWidth="1"/>
    <col min="7161" max="7161" width="9.81640625" style="10" customWidth="1"/>
    <col min="7162" max="7162" width="14.453125" style="10" customWidth="1"/>
    <col min="7163" max="7163" width="7.26953125" style="10" customWidth="1"/>
    <col min="7164" max="7164" width="5.54296875" style="10" customWidth="1"/>
    <col min="7165" max="7165" width="9" style="10" customWidth="1"/>
    <col min="7166" max="7167" width="9.81640625" style="10" customWidth="1"/>
    <col min="7168" max="7168" width="11.1796875" style="10" customWidth="1"/>
    <col min="7169" max="7169" width="2.81640625" style="10" customWidth="1"/>
    <col min="7170" max="7170" width="3.54296875" style="10" customWidth="1"/>
    <col min="7171" max="7415" width="9.1796875" style="10"/>
    <col min="7416" max="7416" width="8.7265625" style="10" customWidth="1"/>
    <col min="7417" max="7417" width="9.81640625" style="10" customWidth="1"/>
    <col min="7418" max="7418" width="14.453125" style="10" customWidth="1"/>
    <col min="7419" max="7419" width="7.26953125" style="10" customWidth="1"/>
    <col min="7420" max="7420" width="5.54296875" style="10" customWidth="1"/>
    <col min="7421" max="7421" width="9" style="10" customWidth="1"/>
    <col min="7422" max="7423" width="9.81640625" style="10" customWidth="1"/>
    <col min="7424" max="7424" width="11.1796875" style="10" customWidth="1"/>
    <col min="7425" max="7425" width="2.81640625" style="10" customWidth="1"/>
    <col min="7426" max="7426" width="3.54296875" style="10" customWidth="1"/>
    <col min="7427" max="7671" width="9.1796875" style="10"/>
    <col min="7672" max="7672" width="8.7265625" style="10" customWidth="1"/>
    <col min="7673" max="7673" width="9.81640625" style="10" customWidth="1"/>
    <col min="7674" max="7674" width="14.453125" style="10" customWidth="1"/>
    <col min="7675" max="7675" width="7.26953125" style="10" customWidth="1"/>
    <col min="7676" max="7676" width="5.54296875" style="10" customWidth="1"/>
    <col min="7677" max="7677" width="9" style="10" customWidth="1"/>
    <col min="7678" max="7679" width="9.81640625" style="10" customWidth="1"/>
    <col min="7680" max="7680" width="11.1796875" style="10" customWidth="1"/>
    <col min="7681" max="7681" width="2.81640625" style="10" customWidth="1"/>
    <col min="7682" max="7682" width="3.54296875" style="10" customWidth="1"/>
    <col min="7683" max="7927" width="9.1796875" style="10"/>
    <col min="7928" max="7928" width="8.7265625" style="10" customWidth="1"/>
    <col min="7929" max="7929" width="9.81640625" style="10" customWidth="1"/>
    <col min="7930" max="7930" width="14.453125" style="10" customWidth="1"/>
    <col min="7931" max="7931" width="7.26953125" style="10" customWidth="1"/>
    <col min="7932" max="7932" width="5.54296875" style="10" customWidth="1"/>
    <col min="7933" max="7933" width="9" style="10" customWidth="1"/>
    <col min="7934" max="7935" width="9.81640625" style="10" customWidth="1"/>
    <col min="7936" max="7936" width="11.1796875" style="10" customWidth="1"/>
    <col min="7937" max="7937" width="2.81640625" style="10" customWidth="1"/>
    <col min="7938" max="7938" width="3.54296875" style="10" customWidth="1"/>
    <col min="7939" max="8183" width="9.1796875" style="10"/>
    <col min="8184" max="8184" width="8.7265625" style="10" customWidth="1"/>
    <col min="8185" max="8185" width="9.81640625" style="10" customWidth="1"/>
    <col min="8186" max="8186" width="14.453125" style="10" customWidth="1"/>
    <col min="8187" max="8187" width="7.26953125" style="10" customWidth="1"/>
    <col min="8188" max="8188" width="5.54296875" style="10" customWidth="1"/>
    <col min="8189" max="8189" width="9" style="10" customWidth="1"/>
    <col min="8190" max="8191" width="9.81640625" style="10" customWidth="1"/>
    <col min="8192" max="8192" width="11.1796875" style="10" customWidth="1"/>
    <col min="8193" max="8193" width="2.81640625" style="10" customWidth="1"/>
    <col min="8194" max="8194" width="3.54296875" style="10" customWidth="1"/>
    <col min="8195" max="8439" width="9.1796875" style="10"/>
    <col min="8440" max="8440" width="8.7265625" style="10" customWidth="1"/>
    <col min="8441" max="8441" width="9.81640625" style="10" customWidth="1"/>
    <col min="8442" max="8442" width="14.453125" style="10" customWidth="1"/>
    <col min="8443" max="8443" width="7.26953125" style="10" customWidth="1"/>
    <col min="8444" max="8444" width="5.54296875" style="10" customWidth="1"/>
    <col min="8445" max="8445" width="9" style="10" customWidth="1"/>
    <col min="8446" max="8447" width="9.81640625" style="10" customWidth="1"/>
    <col min="8448" max="8448" width="11.1796875" style="10" customWidth="1"/>
    <col min="8449" max="8449" width="2.81640625" style="10" customWidth="1"/>
    <col min="8450" max="8450" width="3.54296875" style="10" customWidth="1"/>
    <col min="8451" max="8695" width="9.1796875" style="10"/>
    <col min="8696" max="8696" width="8.7265625" style="10" customWidth="1"/>
    <col min="8697" max="8697" width="9.81640625" style="10" customWidth="1"/>
    <col min="8698" max="8698" width="14.453125" style="10" customWidth="1"/>
    <col min="8699" max="8699" width="7.26953125" style="10" customWidth="1"/>
    <col min="8700" max="8700" width="5.54296875" style="10" customWidth="1"/>
    <col min="8701" max="8701" width="9" style="10" customWidth="1"/>
    <col min="8702" max="8703" width="9.81640625" style="10" customWidth="1"/>
    <col min="8704" max="8704" width="11.1796875" style="10" customWidth="1"/>
    <col min="8705" max="8705" width="2.81640625" style="10" customWidth="1"/>
    <col min="8706" max="8706" width="3.54296875" style="10" customWidth="1"/>
    <col min="8707" max="8951" width="9.1796875" style="10"/>
    <col min="8952" max="8952" width="8.7265625" style="10" customWidth="1"/>
    <col min="8953" max="8953" width="9.81640625" style="10" customWidth="1"/>
    <col min="8954" max="8954" width="14.453125" style="10" customWidth="1"/>
    <col min="8955" max="8955" width="7.26953125" style="10" customWidth="1"/>
    <col min="8956" max="8956" width="5.54296875" style="10" customWidth="1"/>
    <col min="8957" max="8957" width="9" style="10" customWidth="1"/>
    <col min="8958" max="8959" width="9.81640625" style="10" customWidth="1"/>
    <col min="8960" max="8960" width="11.1796875" style="10" customWidth="1"/>
    <col min="8961" max="8961" width="2.81640625" style="10" customWidth="1"/>
    <col min="8962" max="8962" width="3.54296875" style="10" customWidth="1"/>
    <col min="8963" max="9207" width="9.1796875" style="10"/>
    <col min="9208" max="9208" width="8.7265625" style="10" customWidth="1"/>
    <col min="9209" max="9209" width="9.81640625" style="10" customWidth="1"/>
    <col min="9210" max="9210" width="14.453125" style="10" customWidth="1"/>
    <col min="9211" max="9211" width="7.26953125" style="10" customWidth="1"/>
    <col min="9212" max="9212" width="5.54296875" style="10" customWidth="1"/>
    <col min="9213" max="9213" width="9" style="10" customWidth="1"/>
    <col min="9214" max="9215" width="9.81640625" style="10" customWidth="1"/>
    <col min="9216" max="9216" width="11.1796875" style="10" customWidth="1"/>
    <col min="9217" max="9217" width="2.81640625" style="10" customWidth="1"/>
    <col min="9218" max="9218" width="3.54296875" style="10" customWidth="1"/>
    <col min="9219" max="9463" width="9.1796875" style="10"/>
    <col min="9464" max="9464" width="8.7265625" style="10" customWidth="1"/>
    <col min="9465" max="9465" width="9.81640625" style="10" customWidth="1"/>
    <col min="9466" max="9466" width="14.453125" style="10" customWidth="1"/>
    <col min="9467" max="9467" width="7.26953125" style="10" customWidth="1"/>
    <col min="9468" max="9468" width="5.54296875" style="10" customWidth="1"/>
    <col min="9469" max="9469" width="9" style="10" customWidth="1"/>
    <col min="9470" max="9471" width="9.81640625" style="10" customWidth="1"/>
    <col min="9472" max="9472" width="11.1796875" style="10" customWidth="1"/>
    <col min="9473" max="9473" width="2.81640625" style="10" customWidth="1"/>
    <col min="9474" max="9474" width="3.54296875" style="10" customWidth="1"/>
    <col min="9475" max="9719" width="9.1796875" style="10"/>
    <col min="9720" max="9720" width="8.7265625" style="10" customWidth="1"/>
    <col min="9721" max="9721" width="9.81640625" style="10" customWidth="1"/>
    <col min="9722" max="9722" width="14.453125" style="10" customWidth="1"/>
    <col min="9723" max="9723" width="7.26953125" style="10" customWidth="1"/>
    <col min="9724" max="9724" width="5.54296875" style="10" customWidth="1"/>
    <col min="9725" max="9725" width="9" style="10" customWidth="1"/>
    <col min="9726" max="9727" width="9.81640625" style="10" customWidth="1"/>
    <col min="9728" max="9728" width="11.1796875" style="10" customWidth="1"/>
    <col min="9729" max="9729" width="2.81640625" style="10" customWidth="1"/>
    <col min="9730" max="9730" width="3.54296875" style="10" customWidth="1"/>
    <col min="9731" max="9975" width="9.1796875" style="10"/>
    <col min="9976" max="9976" width="8.7265625" style="10" customWidth="1"/>
    <col min="9977" max="9977" width="9.81640625" style="10" customWidth="1"/>
    <col min="9978" max="9978" width="14.453125" style="10" customWidth="1"/>
    <col min="9979" max="9979" width="7.26953125" style="10" customWidth="1"/>
    <col min="9980" max="9980" width="5.54296875" style="10" customWidth="1"/>
    <col min="9981" max="9981" width="9" style="10" customWidth="1"/>
    <col min="9982" max="9983" width="9.81640625" style="10" customWidth="1"/>
    <col min="9984" max="9984" width="11.1796875" style="10" customWidth="1"/>
    <col min="9985" max="9985" width="2.81640625" style="10" customWidth="1"/>
    <col min="9986" max="9986" width="3.54296875" style="10" customWidth="1"/>
    <col min="9987" max="10231" width="9.1796875" style="10"/>
    <col min="10232" max="10232" width="8.7265625" style="10" customWidth="1"/>
    <col min="10233" max="10233" width="9.81640625" style="10" customWidth="1"/>
    <col min="10234" max="10234" width="14.453125" style="10" customWidth="1"/>
    <col min="10235" max="10235" width="7.26953125" style="10" customWidth="1"/>
    <col min="10236" max="10236" width="5.54296875" style="10" customWidth="1"/>
    <col min="10237" max="10237" width="9" style="10" customWidth="1"/>
    <col min="10238" max="10239" width="9.81640625" style="10" customWidth="1"/>
    <col min="10240" max="10240" width="11.1796875" style="10" customWidth="1"/>
    <col min="10241" max="10241" width="2.81640625" style="10" customWidth="1"/>
    <col min="10242" max="10242" width="3.54296875" style="10" customWidth="1"/>
    <col min="10243" max="10487" width="9.1796875" style="10"/>
    <col min="10488" max="10488" width="8.7265625" style="10" customWidth="1"/>
    <col min="10489" max="10489" width="9.81640625" style="10" customWidth="1"/>
    <col min="10490" max="10490" width="14.453125" style="10" customWidth="1"/>
    <col min="10491" max="10491" width="7.26953125" style="10" customWidth="1"/>
    <col min="10492" max="10492" width="5.54296875" style="10" customWidth="1"/>
    <col min="10493" max="10493" width="9" style="10" customWidth="1"/>
    <col min="10494" max="10495" width="9.81640625" style="10" customWidth="1"/>
    <col min="10496" max="10496" width="11.1796875" style="10" customWidth="1"/>
    <col min="10497" max="10497" width="2.81640625" style="10" customWidth="1"/>
    <col min="10498" max="10498" width="3.54296875" style="10" customWidth="1"/>
    <col min="10499" max="10743" width="9.1796875" style="10"/>
    <col min="10744" max="10744" width="8.7265625" style="10" customWidth="1"/>
    <col min="10745" max="10745" width="9.81640625" style="10" customWidth="1"/>
    <col min="10746" max="10746" width="14.453125" style="10" customWidth="1"/>
    <col min="10747" max="10747" width="7.26953125" style="10" customWidth="1"/>
    <col min="10748" max="10748" width="5.54296875" style="10" customWidth="1"/>
    <col min="10749" max="10749" width="9" style="10" customWidth="1"/>
    <col min="10750" max="10751" width="9.81640625" style="10" customWidth="1"/>
    <col min="10752" max="10752" width="11.1796875" style="10" customWidth="1"/>
    <col min="10753" max="10753" width="2.81640625" style="10" customWidth="1"/>
    <col min="10754" max="10754" width="3.54296875" style="10" customWidth="1"/>
    <col min="10755" max="10999" width="9.1796875" style="10"/>
    <col min="11000" max="11000" width="8.7265625" style="10" customWidth="1"/>
    <col min="11001" max="11001" width="9.81640625" style="10" customWidth="1"/>
    <col min="11002" max="11002" width="14.453125" style="10" customWidth="1"/>
    <col min="11003" max="11003" width="7.26953125" style="10" customWidth="1"/>
    <col min="11004" max="11004" width="5.54296875" style="10" customWidth="1"/>
    <col min="11005" max="11005" width="9" style="10" customWidth="1"/>
    <col min="11006" max="11007" width="9.81640625" style="10" customWidth="1"/>
    <col min="11008" max="11008" width="11.1796875" style="10" customWidth="1"/>
    <col min="11009" max="11009" width="2.81640625" style="10" customWidth="1"/>
    <col min="11010" max="11010" width="3.54296875" style="10" customWidth="1"/>
    <col min="11011" max="11255" width="9.1796875" style="10"/>
    <col min="11256" max="11256" width="8.7265625" style="10" customWidth="1"/>
    <col min="11257" max="11257" width="9.81640625" style="10" customWidth="1"/>
    <col min="11258" max="11258" width="14.453125" style="10" customWidth="1"/>
    <col min="11259" max="11259" width="7.26953125" style="10" customWidth="1"/>
    <col min="11260" max="11260" width="5.54296875" style="10" customWidth="1"/>
    <col min="11261" max="11261" width="9" style="10" customWidth="1"/>
    <col min="11262" max="11263" width="9.81640625" style="10" customWidth="1"/>
    <col min="11264" max="11264" width="11.1796875" style="10" customWidth="1"/>
    <col min="11265" max="11265" width="2.81640625" style="10" customWidth="1"/>
    <col min="11266" max="11266" width="3.54296875" style="10" customWidth="1"/>
    <col min="11267" max="11511" width="9.1796875" style="10"/>
    <col min="11512" max="11512" width="8.7265625" style="10" customWidth="1"/>
    <col min="11513" max="11513" width="9.81640625" style="10" customWidth="1"/>
    <col min="11514" max="11514" width="14.453125" style="10" customWidth="1"/>
    <col min="11515" max="11515" width="7.26953125" style="10" customWidth="1"/>
    <col min="11516" max="11516" width="5.54296875" style="10" customWidth="1"/>
    <col min="11517" max="11517" width="9" style="10" customWidth="1"/>
    <col min="11518" max="11519" width="9.81640625" style="10" customWidth="1"/>
    <col min="11520" max="11520" width="11.1796875" style="10" customWidth="1"/>
    <col min="11521" max="11521" width="2.81640625" style="10" customWidth="1"/>
    <col min="11522" max="11522" width="3.54296875" style="10" customWidth="1"/>
    <col min="11523" max="11767" width="9.1796875" style="10"/>
    <col min="11768" max="11768" width="8.7265625" style="10" customWidth="1"/>
    <col min="11769" max="11769" width="9.81640625" style="10" customWidth="1"/>
    <col min="11770" max="11770" width="14.453125" style="10" customWidth="1"/>
    <col min="11771" max="11771" width="7.26953125" style="10" customWidth="1"/>
    <col min="11772" max="11772" width="5.54296875" style="10" customWidth="1"/>
    <col min="11773" max="11773" width="9" style="10" customWidth="1"/>
    <col min="11774" max="11775" width="9.81640625" style="10" customWidth="1"/>
    <col min="11776" max="11776" width="11.1796875" style="10" customWidth="1"/>
    <col min="11777" max="11777" width="2.81640625" style="10" customWidth="1"/>
    <col min="11778" max="11778" width="3.54296875" style="10" customWidth="1"/>
    <col min="11779" max="12023" width="9.1796875" style="10"/>
    <col min="12024" max="12024" width="8.7265625" style="10" customWidth="1"/>
    <col min="12025" max="12025" width="9.81640625" style="10" customWidth="1"/>
    <col min="12026" max="12026" width="14.453125" style="10" customWidth="1"/>
    <col min="12027" max="12027" width="7.26953125" style="10" customWidth="1"/>
    <col min="12028" max="12028" width="5.54296875" style="10" customWidth="1"/>
    <col min="12029" max="12029" width="9" style="10" customWidth="1"/>
    <col min="12030" max="12031" width="9.81640625" style="10" customWidth="1"/>
    <col min="12032" max="12032" width="11.1796875" style="10" customWidth="1"/>
    <col min="12033" max="12033" width="2.81640625" style="10" customWidth="1"/>
    <col min="12034" max="12034" width="3.54296875" style="10" customWidth="1"/>
    <col min="12035" max="12279" width="9.1796875" style="10"/>
    <col min="12280" max="12280" width="8.7265625" style="10" customWidth="1"/>
    <col min="12281" max="12281" width="9.81640625" style="10" customWidth="1"/>
    <col min="12282" max="12282" width="14.453125" style="10" customWidth="1"/>
    <col min="12283" max="12283" width="7.26953125" style="10" customWidth="1"/>
    <col min="12284" max="12284" width="5.54296875" style="10" customWidth="1"/>
    <col min="12285" max="12285" width="9" style="10" customWidth="1"/>
    <col min="12286" max="12287" width="9.81640625" style="10" customWidth="1"/>
    <col min="12288" max="12288" width="11.1796875" style="10" customWidth="1"/>
    <col min="12289" max="12289" width="2.81640625" style="10" customWidth="1"/>
    <col min="12290" max="12290" width="3.54296875" style="10" customWidth="1"/>
    <col min="12291" max="12535" width="9.1796875" style="10"/>
    <col min="12536" max="12536" width="8.7265625" style="10" customWidth="1"/>
    <col min="12537" max="12537" width="9.81640625" style="10" customWidth="1"/>
    <col min="12538" max="12538" width="14.453125" style="10" customWidth="1"/>
    <col min="12539" max="12539" width="7.26953125" style="10" customWidth="1"/>
    <col min="12540" max="12540" width="5.54296875" style="10" customWidth="1"/>
    <col min="12541" max="12541" width="9" style="10" customWidth="1"/>
    <col min="12542" max="12543" width="9.81640625" style="10" customWidth="1"/>
    <col min="12544" max="12544" width="11.1796875" style="10" customWidth="1"/>
    <col min="12545" max="12545" width="2.81640625" style="10" customWidth="1"/>
    <col min="12546" max="12546" width="3.54296875" style="10" customWidth="1"/>
    <col min="12547" max="12791" width="9.1796875" style="10"/>
    <col min="12792" max="12792" width="8.7265625" style="10" customWidth="1"/>
    <col min="12793" max="12793" width="9.81640625" style="10" customWidth="1"/>
    <col min="12794" max="12794" width="14.453125" style="10" customWidth="1"/>
    <col min="12795" max="12795" width="7.26953125" style="10" customWidth="1"/>
    <col min="12796" max="12796" width="5.54296875" style="10" customWidth="1"/>
    <col min="12797" max="12797" width="9" style="10" customWidth="1"/>
    <col min="12798" max="12799" width="9.81640625" style="10" customWidth="1"/>
    <col min="12800" max="12800" width="11.1796875" style="10" customWidth="1"/>
    <col min="12801" max="12801" width="2.81640625" style="10" customWidth="1"/>
    <col min="12802" max="12802" width="3.54296875" style="10" customWidth="1"/>
    <col min="12803" max="13047" width="9.1796875" style="10"/>
    <col min="13048" max="13048" width="8.7265625" style="10" customWidth="1"/>
    <col min="13049" max="13049" width="9.81640625" style="10" customWidth="1"/>
    <col min="13050" max="13050" width="14.453125" style="10" customWidth="1"/>
    <col min="13051" max="13051" width="7.26953125" style="10" customWidth="1"/>
    <col min="13052" max="13052" width="5.54296875" style="10" customWidth="1"/>
    <col min="13053" max="13053" width="9" style="10" customWidth="1"/>
    <col min="13054" max="13055" width="9.81640625" style="10" customWidth="1"/>
    <col min="13056" max="13056" width="11.1796875" style="10" customWidth="1"/>
    <col min="13057" max="13057" width="2.81640625" style="10" customWidth="1"/>
    <col min="13058" max="13058" width="3.54296875" style="10" customWidth="1"/>
    <col min="13059" max="13303" width="9.1796875" style="10"/>
    <col min="13304" max="13304" width="8.7265625" style="10" customWidth="1"/>
    <col min="13305" max="13305" width="9.81640625" style="10" customWidth="1"/>
    <col min="13306" max="13306" width="14.453125" style="10" customWidth="1"/>
    <col min="13307" max="13307" width="7.26953125" style="10" customWidth="1"/>
    <col min="13308" max="13308" width="5.54296875" style="10" customWidth="1"/>
    <col min="13309" max="13309" width="9" style="10" customWidth="1"/>
    <col min="13310" max="13311" width="9.81640625" style="10" customWidth="1"/>
    <col min="13312" max="13312" width="11.1796875" style="10" customWidth="1"/>
    <col min="13313" max="13313" width="2.81640625" style="10" customWidth="1"/>
    <col min="13314" max="13314" width="3.54296875" style="10" customWidth="1"/>
    <col min="13315" max="13559" width="9.1796875" style="10"/>
    <col min="13560" max="13560" width="8.7265625" style="10" customWidth="1"/>
    <col min="13561" max="13561" width="9.81640625" style="10" customWidth="1"/>
    <col min="13562" max="13562" width="14.453125" style="10" customWidth="1"/>
    <col min="13563" max="13563" width="7.26953125" style="10" customWidth="1"/>
    <col min="13564" max="13564" width="5.54296875" style="10" customWidth="1"/>
    <col min="13565" max="13565" width="9" style="10" customWidth="1"/>
    <col min="13566" max="13567" width="9.81640625" style="10" customWidth="1"/>
    <col min="13568" max="13568" width="11.1796875" style="10" customWidth="1"/>
    <col min="13569" max="13569" width="2.81640625" style="10" customWidth="1"/>
    <col min="13570" max="13570" width="3.54296875" style="10" customWidth="1"/>
    <col min="13571" max="13815" width="9.1796875" style="10"/>
    <col min="13816" max="13816" width="8.7265625" style="10" customWidth="1"/>
    <col min="13817" max="13817" width="9.81640625" style="10" customWidth="1"/>
    <col min="13818" max="13818" width="14.453125" style="10" customWidth="1"/>
    <col min="13819" max="13819" width="7.26953125" style="10" customWidth="1"/>
    <col min="13820" max="13820" width="5.54296875" style="10" customWidth="1"/>
    <col min="13821" max="13821" width="9" style="10" customWidth="1"/>
    <col min="13822" max="13823" width="9.81640625" style="10" customWidth="1"/>
    <col min="13824" max="13824" width="11.1796875" style="10" customWidth="1"/>
    <col min="13825" max="13825" width="2.81640625" style="10" customWidth="1"/>
    <col min="13826" max="13826" width="3.54296875" style="10" customWidth="1"/>
    <col min="13827" max="14071" width="9.1796875" style="10"/>
    <col min="14072" max="14072" width="8.7265625" style="10" customWidth="1"/>
    <col min="14073" max="14073" width="9.81640625" style="10" customWidth="1"/>
    <col min="14074" max="14074" width="14.453125" style="10" customWidth="1"/>
    <col min="14075" max="14075" width="7.26953125" style="10" customWidth="1"/>
    <col min="14076" max="14076" width="5.54296875" style="10" customWidth="1"/>
    <col min="14077" max="14077" width="9" style="10" customWidth="1"/>
    <col min="14078" max="14079" width="9.81640625" style="10" customWidth="1"/>
    <col min="14080" max="14080" width="11.1796875" style="10" customWidth="1"/>
    <col min="14081" max="14081" width="2.81640625" style="10" customWidth="1"/>
    <col min="14082" max="14082" width="3.54296875" style="10" customWidth="1"/>
    <col min="14083" max="14327" width="9.1796875" style="10"/>
    <col min="14328" max="14328" width="8.7265625" style="10" customWidth="1"/>
    <col min="14329" max="14329" width="9.81640625" style="10" customWidth="1"/>
    <col min="14330" max="14330" width="14.453125" style="10" customWidth="1"/>
    <col min="14331" max="14331" width="7.26953125" style="10" customWidth="1"/>
    <col min="14332" max="14332" width="5.54296875" style="10" customWidth="1"/>
    <col min="14333" max="14333" width="9" style="10" customWidth="1"/>
    <col min="14334" max="14335" width="9.81640625" style="10" customWidth="1"/>
    <col min="14336" max="14336" width="11.1796875" style="10" customWidth="1"/>
    <col min="14337" max="14337" width="2.81640625" style="10" customWidth="1"/>
    <col min="14338" max="14338" width="3.54296875" style="10" customWidth="1"/>
    <col min="14339" max="14583" width="9.1796875" style="10"/>
    <col min="14584" max="14584" width="8.7265625" style="10" customWidth="1"/>
    <col min="14585" max="14585" width="9.81640625" style="10" customWidth="1"/>
    <col min="14586" max="14586" width="14.453125" style="10" customWidth="1"/>
    <col min="14587" max="14587" width="7.26953125" style="10" customWidth="1"/>
    <col min="14588" max="14588" width="5.54296875" style="10" customWidth="1"/>
    <col min="14589" max="14589" width="9" style="10" customWidth="1"/>
    <col min="14590" max="14591" width="9.81640625" style="10" customWidth="1"/>
    <col min="14592" max="14592" width="11.1796875" style="10" customWidth="1"/>
    <col min="14593" max="14593" width="2.81640625" style="10" customWidth="1"/>
    <col min="14594" max="14594" width="3.54296875" style="10" customWidth="1"/>
    <col min="14595" max="14839" width="9.1796875" style="10"/>
    <col min="14840" max="14840" width="8.7265625" style="10" customWidth="1"/>
    <col min="14841" max="14841" width="9.81640625" style="10" customWidth="1"/>
    <col min="14842" max="14842" width="14.453125" style="10" customWidth="1"/>
    <col min="14843" max="14843" width="7.26953125" style="10" customWidth="1"/>
    <col min="14844" max="14844" width="5.54296875" style="10" customWidth="1"/>
    <col min="14845" max="14845" width="9" style="10" customWidth="1"/>
    <col min="14846" max="14847" width="9.81640625" style="10" customWidth="1"/>
    <col min="14848" max="14848" width="11.1796875" style="10" customWidth="1"/>
    <col min="14849" max="14849" width="2.81640625" style="10" customWidth="1"/>
    <col min="14850" max="14850" width="3.54296875" style="10" customWidth="1"/>
    <col min="14851" max="15095" width="9.1796875" style="10"/>
    <col min="15096" max="15096" width="8.7265625" style="10" customWidth="1"/>
    <col min="15097" max="15097" width="9.81640625" style="10" customWidth="1"/>
    <col min="15098" max="15098" width="14.453125" style="10" customWidth="1"/>
    <col min="15099" max="15099" width="7.26953125" style="10" customWidth="1"/>
    <col min="15100" max="15100" width="5.54296875" style="10" customWidth="1"/>
    <col min="15101" max="15101" width="9" style="10" customWidth="1"/>
    <col min="15102" max="15103" width="9.81640625" style="10" customWidth="1"/>
    <col min="15104" max="15104" width="11.1796875" style="10" customWidth="1"/>
    <col min="15105" max="15105" width="2.81640625" style="10" customWidth="1"/>
    <col min="15106" max="15106" width="3.54296875" style="10" customWidth="1"/>
    <col min="15107" max="15351" width="9.1796875" style="10"/>
    <col min="15352" max="15352" width="8.7265625" style="10" customWidth="1"/>
    <col min="15353" max="15353" width="9.81640625" style="10" customWidth="1"/>
    <col min="15354" max="15354" width="14.453125" style="10" customWidth="1"/>
    <col min="15355" max="15355" width="7.26953125" style="10" customWidth="1"/>
    <col min="15356" max="15356" width="5.54296875" style="10" customWidth="1"/>
    <col min="15357" max="15357" width="9" style="10" customWidth="1"/>
    <col min="15358" max="15359" width="9.81640625" style="10" customWidth="1"/>
    <col min="15360" max="15360" width="11.1796875" style="10" customWidth="1"/>
    <col min="15361" max="15361" width="2.81640625" style="10" customWidth="1"/>
    <col min="15362" max="15362" width="3.54296875" style="10" customWidth="1"/>
    <col min="15363" max="15607" width="9.1796875" style="10"/>
    <col min="15608" max="15608" width="8.7265625" style="10" customWidth="1"/>
    <col min="15609" max="15609" width="9.81640625" style="10" customWidth="1"/>
    <col min="15610" max="15610" width="14.453125" style="10" customWidth="1"/>
    <col min="15611" max="15611" width="7.26953125" style="10" customWidth="1"/>
    <col min="15612" max="15612" width="5.54296875" style="10" customWidth="1"/>
    <col min="15613" max="15613" width="9" style="10" customWidth="1"/>
    <col min="15614" max="15615" width="9.81640625" style="10" customWidth="1"/>
    <col min="15616" max="15616" width="11.1796875" style="10" customWidth="1"/>
    <col min="15617" max="15617" width="2.81640625" style="10" customWidth="1"/>
    <col min="15618" max="15618" width="3.54296875" style="10" customWidth="1"/>
    <col min="15619" max="15863" width="9.1796875" style="10"/>
    <col min="15864" max="15864" width="8.7265625" style="10" customWidth="1"/>
    <col min="15865" max="15865" width="9.81640625" style="10" customWidth="1"/>
    <col min="15866" max="15866" width="14.453125" style="10" customWidth="1"/>
    <col min="15867" max="15867" width="7.26953125" style="10" customWidth="1"/>
    <col min="15868" max="15868" width="5.54296875" style="10" customWidth="1"/>
    <col min="15869" max="15869" width="9" style="10" customWidth="1"/>
    <col min="15870" max="15871" width="9.81640625" style="10" customWidth="1"/>
    <col min="15872" max="15872" width="11.1796875" style="10" customWidth="1"/>
    <col min="15873" max="15873" width="2.81640625" style="10" customWidth="1"/>
    <col min="15874" max="15874" width="3.54296875" style="10" customWidth="1"/>
    <col min="15875" max="16119" width="9.1796875" style="10"/>
    <col min="16120" max="16120" width="8.7265625" style="10" customWidth="1"/>
    <col min="16121" max="16121" width="9.81640625" style="10" customWidth="1"/>
    <col min="16122" max="16122" width="14.453125" style="10" customWidth="1"/>
    <col min="16123" max="16123" width="7.26953125" style="10" customWidth="1"/>
    <col min="16124" max="16124" width="5.54296875" style="10" customWidth="1"/>
    <col min="16125" max="16125" width="9" style="10" customWidth="1"/>
    <col min="16126" max="16127" width="9.81640625" style="10" customWidth="1"/>
    <col min="16128" max="16128" width="11.1796875" style="10" customWidth="1"/>
    <col min="16129" max="16129" width="2.81640625" style="10" customWidth="1"/>
    <col min="16130" max="16130" width="3.54296875" style="10" customWidth="1"/>
    <col min="16131" max="16384" width="9.1796875" style="10"/>
  </cols>
  <sheetData>
    <row r="1" spans="1:8" ht="46.5" customHeight="1" x14ac:dyDescent="0.35">
      <c r="A1" s="156" t="s">
        <v>237</v>
      </c>
      <c r="B1" s="156"/>
      <c r="C1" s="156"/>
      <c r="D1" s="156"/>
      <c r="E1" s="156"/>
      <c r="F1" s="156"/>
      <c r="G1" s="156"/>
      <c r="H1" s="156"/>
    </row>
    <row r="2" spans="1:8" ht="16.5" customHeight="1" x14ac:dyDescent="0.35">
      <c r="A2" s="138" t="s">
        <v>0</v>
      </c>
      <c r="B2" s="138"/>
      <c r="C2" s="138"/>
      <c r="D2" s="138"/>
      <c r="E2" s="138"/>
      <c r="F2" s="138"/>
      <c r="G2" s="138"/>
      <c r="H2" s="138"/>
    </row>
    <row r="3" spans="1:8" x14ac:dyDescent="0.35">
      <c r="A3" s="118" t="s">
        <v>1</v>
      </c>
      <c r="B3" s="118"/>
      <c r="C3" s="118"/>
      <c r="D3" s="118"/>
      <c r="E3" s="118" t="str">
        <f ca="1">TEXT(TODAY(),"DD/MM/YYYY")</f>
        <v>15/07/2025</v>
      </c>
      <c r="F3" s="118"/>
      <c r="G3" s="118"/>
      <c r="H3" s="118"/>
    </row>
    <row r="4" spans="1:8" x14ac:dyDescent="0.35">
      <c r="A4" s="118" t="s">
        <v>2</v>
      </c>
      <c r="B4" s="118"/>
      <c r="C4" s="118"/>
      <c r="D4" s="118"/>
      <c r="E4" s="118" t="s">
        <v>153</v>
      </c>
      <c r="F4" s="118"/>
      <c r="G4" s="118"/>
      <c r="H4" s="118"/>
    </row>
    <row r="5" spans="1:8" x14ac:dyDescent="0.35">
      <c r="A5" s="118" t="s">
        <v>3</v>
      </c>
      <c r="B5" s="118"/>
      <c r="C5" s="118"/>
      <c r="D5" s="118"/>
      <c r="E5" s="157">
        <v>45847</v>
      </c>
      <c r="F5" s="118"/>
      <c r="G5" s="118"/>
      <c r="H5" s="118"/>
    </row>
    <row r="6" spans="1:8" ht="16.5" customHeight="1" x14ac:dyDescent="0.35">
      <c r="A6" s="118" t="s">
        <v>4</v>
      </c>
      <c r="B6" s="118"/>
      <c r="C6" s="118"/>
      <c r="D6" s="118"/>
      <c r="E6" s="118" t="s">
        <v>154</v>
      </c>
      <c r="F6" s="118"/>
      <c r="G6" s="118"/>
      <c r="H6" s="118"/>
    </row>
    <row r="7" spans="1:8" ht="15" customHeight="1" x14ac:dyDescent="0.35">
      <c r="A7" s="118" t="s">
        <v>5</v>
      </c>
      <c r="B7" s="118"/>
      <c r="C7" s="118"/>
      <c r="D7" s="118"/>
      <c r="E7" s="118" t="str">
        <f>E6</f>
        <v>Kricon Homes LLP</v>
      </c>
      <c r="F7" s="118"/>
      <c r="G7" s="118"/>
      <c r="H7" s="118"/>
    </row>
    <row r="8" spans="1:8" x14ac:dyDescent="0.35">
      <c r="A8" s="118" t="s">
        <v>232</v>
      </c>
      <c r="B8" s="118"/>
      <c r="C8" s="118"/>
      <c r="D8" s="118"/>
      <c r="E8" s="118" t="s">
        <v>233</v>
      </c>
      <c r="F8" s="118"/>
      <c r="G8" s="118"/>
      <c r="H8" s="118"/>
    </row>
    <row r="9" spans="1:8" x14ac:dyDescent="0.35">
      <c r="A9" s="118" t="s">
        <v>231</v>
      </c>
      <c r="B9" s="118"/>
      <c r="C9" s="118"/>
      <c r="D9" s="118"/>
      <c r="E9" s="146" t="s">
        <v>155</v>
      </c>
      <c r="F9" s="146"/>
      <c r="G9" s="146"/>
      <c r="H9" s="146"/>
    </row>
    <row r="10" spans="1:8" x14ac:dyDescent="0.35">
      <c r="A10" s="118" t="s">
        <v>151</v>
      </c>
      <c r="B10" s="118"/>
      <c r="C10" s="118"/>
      <c r="D10" s="118"/>
      <c r="E10" s="118">
        <v>9137781114</v>
      </c>
      <c r="F10" s="118"/>
      <c r="G10" s="118"/>
      <c r="H10" s="118"/>
    </row>
    <row r="11" spans="1:8" x14ac:dyDescent="0.35">
      <c r="A11" s="118" t="s">
        <v>152</v>
      </c>
      <c r="B11" s="118"/>
      <c r="C11" s="118"/>
      <c r="D11" s="118"/>
      <c r="E11" s="118" t="s">
        <v>244</v>
      </c>
      <c r="F11" s="118"/>
      <c r="G11" s="118"/>
      <c r="H11" s="118"/>
    </row>
    <row r="12" spans="1:8" x14ac:dyDescent="0.35">
      <c r="A12" s="118" t="s">
        <v>222</v>
      </c>
      <c r="B12" s="118"/>
      <c r="C12" s="118"/>
      <c r="D12" s="118"/>
      <c r="E12" s="118" t="s">
        <v>215</v>
      </c>
      <c r="F12" s="118"/>
      <c r="G12" s="118"/>
      <c r="H12" s="118"/>
    </row>
    <row r="13" spans="1:8" ht="66.75" customHeight="1" x14ac:dyDescent="0.35">
      <c r="A13" s="118" t="s">
        <v>223</v>
      </c>
      <c r="B13" s="118"/>
      <c r="C13" s="118"/>
      <c r="D13" s="118"/>
      <c r="E13" s="85" t="s">
        <v>224</v>
      </c>
      <c r="F13" s="118"/>
      <c r="G13" s="118"/>
      <c r="H13" s="118"/>
    </row>
    <row r="14" spans="1:8" x14ac:dyDescent="0.35">
      <c r="A14" s="87" t="s">
        <v>6</v>
      </c>
      <c r="B14" s="87"/>
      <c r="C14" s="87"/>
      <c r="D14" s="87"/>
      <c r="E14" s="85" t="s">
        <v>193</v>
      </c>
      <c r="F14" s="85"/>
      <c r="G14" s="85"/>
      <c r="H14" s="85"/>
    </row>
    <row r="15" spans="1:8" x14ac:dyDescent="0.35">
      <c r="A15" s="87" t="s">
        <v>7</v>
      </c>
      <c r="B15" s="87"/>
      <c r="C15" s="87"/>
      <c r="D15" s="87"/>
      <c r="E15" s="85" t="s">
        <v>156</v>
      </c>
      <c r="F15" s="118"/>
      <c r="G15" s="118"/>
      <c r="H15" s="118"/>
    </row>
    <row r="16" spans="1:8" ht="33" customHeight="1" x14ac:dyDescent="0.35">
      <c r="A16" s="123" t="s">
        <v>8</v>
      </c>
      <c r="B16" s="123"/>
      <c r="C16" s="123" t="str">
        <f>CONCATENATE((IF(OR(E8="",E8="NA"),"",E8)),", ",(IF(OR(A17="",A17="NA"),"",A17)),".",(IF(OR(C17="",C17="NA"),"",C17)),", near ",(IF(OR(C22="",C22="NA"),"",C22)),", ",(IF(OR(C19="",C19="NA"),"",C19)),", ",(IF(OR(C18="",C18="NA"),"",C18)),", ",(IF(OR(G19="",G19="NA"),"",G19)),", ",(IF(OR(C20="",C20="NA"),"",C20)),", ",(IF(OR(C21="",C21="NA"),"",C21)),", ",(IF(OR(G20="",G20="NA"),"",G20))," - ",(IF(OR(G21="",G21="NA"),"",G21)),".")</f>
        <v>Palacia, Gut No..87C, near Vinayak Greens Apartment Complex, Savaroli-Kharpada Road, , Karade Khurd, Panvel, Panvel, Raigad - 410220.</v>
      </c>
      <c r="D16" s="123"/>
      <c r="E16" s="123"/>
      <c r="F16" s="123"/>
      <c r="G16" s="123"/>
      <c r="H16" s="123"/>
    </row>
    <row r="17" spans="1:8" x14ac:dyDescent="0.35">
      <c r="A17" s="85" t="s">
        <v>157</v>
      </c>
      <c r="B17" s="85"/>
      <c r="C17" s="85" t="s">
        <v>158</v>
      </c>
      <c r="D17" s="85"/>
      <c r="E17" s="85"/>
      <c r="F17" s="85"/>
      <c r="G17" s="85"/>
      <c r="H17" s="85"/>
    </row>
    <row r="18" spans="1:8" ht="15.75" hidden="1" customHeight="1" x14ac:dyDescent="0.35">
      <c r="A18" s="85" t="s">
        <v>150</v>
      </c>
      <c r="B18" s="85"/>
      <c r="C18" s="85" t="s">
        <v>28</v>
      </c>
      <c r="D18" s="85"/>
      <c r="E18" s="85"/>
      <c r="F18" s="85"/>
      <c r="G18" s="85"/>
      <c r="H18" s="85"/>
    </row>
    <row r="19" spans="1:8" ht="15.75" customHeight="1" x14ac:dyDescent="0.35">
      <c r="A19" s="123" t="s">
        <v>9</v>
      </c>
      <c r="B19" s="123"/>
      <c r="C19" s="118" t="s">
        <v>163</v>
      </c>
      <c r="D19" s="118"/>
      <c r="E19" s="123" t="s">
        <v>72</v>
      </c>
      <c r="F19" s="123"/>
      <c r="G19" s="85" t="s">
        <v>159</v>
      </c>
      <c r="H19" s="85"/>
    </row>
    <row r="20" spans="1:8" x14ac:dyDescent="0.35">
      <c r="A20" s="87" t="s">
        <v>11</v>
      </c>
      <c r="B20" s="87"/>
      <c r="C20" s="85" t="s">
        <v>161</v>
      </c>
      <c r="D20" s="85"/>
      <c r="E20" s="123" t="s">
        <v>10</v>
      </c>
      <c r="F20" s="123"/>
      <c r="G20" s="158" t="s">
        <v>160</v>
      </c>
      <c r="H20" s="158"/>
    </row>
    <row r="21" spans="1:8" x14ac:dyDescent="0.35">
      <c r="A21" s="87" t="s">
        <v>73</v>
      </c>
      <c r="B21" s="87"/>
      <c r="C21" s="85" t="s">
        <v>161</v>
      </c>
      <c r="D21" s="85"/>
      <c r="E21" s="123" t="s">
        <v>12</v>
      </c>
      <c r="F21" s="123"/>
      <c r="G21" s="85">
        <v>410220</v>
      </c>
      <c r="H21" s="85"/>
    </row>
    <row r="22" spans="1:8" ht="32.25" customHeight="1" x14ac:dyDescent="0.35">
      <c r="A22" s="87" t="s">
        <v>110</v>
      </c>
      <c r="B22" s="87"/>
      <c r="C22" s="85" t="s">
        <v>165</v>
      </c>
      <c r="D22" s="85"/>
      <c r="E22" s="123" t="s">
        <v>13</v>
      </c>
      <c r="F22" s="123"/>
      <c r="G22" s="85" t="s">
        <v>166</v>
      </c>
      <c r="H22" s="85"/>
    </row>
    <row r="23" spans="1:8" ht="15" customHeight="1" x14ac:dyDescent="0.35">
      <c r="A23" s="123" t="s">
        <v>76</v>
      </c>
      <c r="B23" s="123"/>
      <c r="C23" s="123"/>
      <c r="D23" s="123"/>
      <c r="E23" s="118" t="s">
        <v>14</v>
      </c>
      <c r="F23" s="118"/>
      <c r="G23" s="118"/>
      <c r="H23" s="118"/>
    </row>
    <row r="24" spans="1:8" ht="18.75" customHeight="1" x14ac:dyDescent="0.35">
      <c r="A24" s="123"/>
      <c r="B24" s="123"/>
      <c r="C24" s="123"/>
      <c r="D24" s="123"/>
      <c r="E24" s="118"/>
      <c r="F24" s="118"/>
      <c r="G24" s="118"/>
      <c r="H24" s="118"/>
    </row>
    <row r="25" spans="1:8" ht="15" customHeight="1" x14ac:dyDescent="0.35">
      <c r="A25" s="123" t="s">
        <v>15</v>
      </c>
      <c r="B25" s="123"/>
      <c r="C25" s="123"/>
      <c r="D25" s="123"/>
      <c r="E25" s="85" t="s">
        <v>16</v>
      </c>
      <c r="F25" s="85"/>
      <c r="G25" s="85"/>
      <c r="H25" s="85"/>
    </row>
    <row r="26" spans="1:8" ht="15" customHeight="1" x14ac:dyDescent="0.35">
      <c r="A26" s="87" t="s">
        <v>17</v>
      </c>
      <c r="B26" s="87"/>
      <c r="C26" s="87"/>
      <c r="D26" s="87"/>
      <c r="E26" s="85" t="str">
        <f>IF(AND(G20="Mumbai"),"Upper Class","Middle Class")</f>
        <v>Middle Class</v>
      </c>
      <c r="F26" s="85"/>
      <c r="G26" s="85"/>
      <c r="H26" s="85"/>
    </row>
    <row r="27" spans="1:8" x14ac:dyDescent="0.35">
      <c r="A27" s="87" t="s">
        <v>18</v>
      </c>
      <c r="B27" s="87"/>
      <c r="C27" s="87"/>
      <c r="D27" s="87"/>
      <c r="E27" s="85" t="s">
        <v>19</v>
      </c>
      <c r="F27" s="85"/>
      <c r="G27" s="85"/>
      <c r="H27" s="85"/>
    </row>
    <row r="28" spans="1:8" ht="15.75" customHeight="1" x14ac:dyDescent="0.35">
      <c r="A28" s="87" t="s">
        <v>20</v>
      </c>
      <c r="B28" s="87"/>
      <c r="C28" s="87"/>
      <c r="D28" s="87"/>
      <c r="E28" s="85" t="str">
        <f>IF(AND(G20="Mumbai"),"Developed","Developing")</f>
        <v>Developing</v>
      </c>
      <c r="F28" s="85"/>
      <c r="G28" s="85"/>
      <c r="H28" s="85"/>
    </row>
    <row r="29" spans="1:8" x14ac:dyDescent="0.35">
      <c r="A29" s="87" t="s">
        <v>21</v>
      </c>
      <c r="B29" s="87"/>
      <c r="C29" s="87"/>
      <c r="D29" s="87"/>
      <c r="E29" s="85" t="s">
        <v>22</v>
      </c>
      <c r="F29" s="85"/>
      <c r="G29" s="85"/>
      <c r="H29" s="85"/>
    </row>
    <row r="30" spans="1:8" ht="15.75" customHeight="1" x14ac:dyDescent="0.35">
      <c r="A30" s="87" t="s">
        <v>81</v>
      </c>
      <c r="B30" s="87"/>
      <c r="C30" s="87"/>
      <c r="D30" s="87"/>
      <c r="E30" s="85" t="s">
        <v>82</v>
      </c>
      <c r="F30" s="85"/>
      <c r="G30" s="85"/>
      <c r="H30" s="85"/>
    </row>
    <row r="31" spans="1:8" ht="15" customHeight="1" x14ac:dyDescent="0.35">
      <c r="A31" s="87" t="s">
        <v>31</v>
      </c>
      <c r="B31" s="87"/>
      <c r="C31" s="87"/>
      <c r="D31" s="87"/>
      <c r="E31" s="85" t="str">
        <f>IF(AND(ISNUMBER(SEARCH("Flat",D59)),ISNUMBER(SEARCH("Shop",D59)),ISNUMBER(SEARCH("Office",D59))),"Residential + Commercial",IF(AND(ISNUMBER(SEARCH("Flat",D59)),ISNUMBER(SEARCH("Shop",D59))),"Residential + Commercial",IF(AND(ISNUMBER(SEARCH("Flat",D59)),ISNUMBER(SEARCH("Office",D59))),"Residential + Commercial",IF(AND(ISNUMBER(SEARCH("Shop",D59)),ISNUMBER(SEARCH("Office",D59))),"Commercial",IF(ISNUMBER(SEARCH("Shop",D59)),"Commercial",IF(ISNUMBER(SEARCH("Office",D59)),"Commercial",IF(ISNUMBER(SEARCH("Flat",D59)),"Residential")))))))</f>
        <v>Residential + Commercial</v>
      </c>
      <c r="F31" s="85"/>
      <c r="G31" s="85"/>
      <c r="H31" s="85"/>
    </row>
    <row r="32" spans="1:8" ht="15.75" customHeight="1" x14ac:dyDescent="0.35">
      <c r="A32" s="87" t="s">
        <v>93</v>
      </c>
      <c r="B32" s="87"/>
      <c r="C32" s="87"/>
      <c r="D32" s="87"/>
      <c r="E32" s="85" t="s">
        <v>32</v>
      </c>
      <c r="F32" s="85"/>
      <c r="G32" s="85"/>
      <c r="H32" s="85"/>
    </row>
    <row r="33" spans="1:8" s="11" customFormat="1" x14ac:dyDescent="0.35">
      <c r="A33" s="162" t="s">
        <v>94</v>
      </c>
      <c r="B33" s="162"/>
      <c r="C33" s="161" t="s">
        <v>27</v>
      </c>
      <c r="D33" s="161"/>
      <c r="E33" s="161"/>
      <c r="F33" s="161" t="s">
        <v>29</v>
      </c>
      <c r="G33" s="161"/>
      <c r="H33" s="161"/>
    </row>
    <row r="34" spans="1:8" s="11" customFormat="1" x14ac:dyDescent="0.35">
      <c r="A34" s="159" t="s">
        <v>23</v>
      </c>
      <c r="B34" s="159" t="s">
        <v>28</v>
      </c>
      <c r="C34" s="160" t="s">
        <v>28</v>
      </c>
      <c r="D34" s="160"/>
      <c r="E34" s="160"/>
      <c r="F34" s="160" t="s">
        <v>163</v>
      </c>
      <c r="G34" s="160"/>
      <c r="H34" s="160"/>
    </row>
    <row r="35" spans="1:8" x14ac:dyDescent="0.35">
      <c r="A35" s="159" t="s">
        <v>24</v>
      </c>
      <c r="B35" s="159" t="s">
        <v>28</v>
      </c>
      <c r="C35" s="160" t="s">
        <v>28</v>
      </c>
      <c r="D35" s="160"/>
      <c r="E35" s="160"/>
      <c r="F35" s="160" t="s">
        <v>164</v>
      </c>
      <c r="G35" s="160"/>
      <c r="H35" s="160"/>
    </row>
    <row r="36" spans="1:8" s="11" customFormat="1" x14ac:dyDescent="0.35">
      <c r="A36" s="159" t="s">
        <v>26</v>
      </c>
      <c r="B36" s="159" t="s">
        <v>28</v>
      </c>
      <c r="C36" s="160" t="s">
        <v>28</v>
      </c>
      <c r="D36" s="160"/>
      <c r="E36" s="160"/>
      <c r="F36" s="160" t="s">
        <v>164</v>
      </c>
      <c r="G36" s="160"/>
      <c r="H36" s="160"/>
    </row>
    <row r="37" spans="1:8" x14ac:dyDescent="0.35">
      <c r="A37" s="159" t="s">
        <v>25</v>
      </c>
      <c r="B37" s="159" t="s">
        <v>28</v>
      </c>
      <c r="C37" s="160" t="s">
        <v>28</v>
      </c>
      <c r="D37" s="160"/>
      <c r="E37" s="160"/>
      <c r="F37" s="160" t="s">
        <v>165</v>
      </c>
      <c r="G37" s="160"/>
      <c r="H37" s="160"/>
    </row>
    <row r="38" spans="1:8" x14ac:dyDescent="0.35">
      <c r="A38" s="87" t="s">
        <v>30</v>
      </c>
      <c r="B38" s="87"/>
      <c r="C38" s="87"/>
      <c r="D38" s="87"/>
      <c r="E38" s="87"/>
      <c r="F38" s="87"/>
      <c r="G38" s="87"/>
      <c r="H38" s="87"/>
    </row>
    <row r="39" spans="1:8" ht="15.75" customHeight="1" x14ac:dyDescent="0.35">
      <c r="A39" s="138" t="s">
        <v>234</v>
      </c>
      <c r="B39" s="138"/>
      <c r="C39" s="109" t="s">
        <v>235</v>
      </c>
      <c r="D39" s="109"/>
      <c r="E39" s="109"/>
      <c r="F39" s="109"/>
      <c r="G39" s="109"/>
      <c r="H39" s="109"/>
    </row>
    <row r="40" spans="1:8" x14ac:dyDescent="0.35">
      <c r="A40" s="138" t="s">
        <v>149</v>
      </c>
      <c r="B40" s="138"/>
      <c r="C40" s="171" t="s">
        <v>162</v>
      </c>
      <c r="D40" s="172"/>
      <c r="E40" s="172"/>
      <c r="F40" s="172"/>
      <c r="G40" s="172"/>
      <c r="H40" s="172"/>
    </row>
    <row r="41" spans="1:8" x14ac:dyDescent="0.35">
      <c r="A41" s="136" t="s">
        <v>33</v>
      </c>
      <c r="B41" s="136"/>
      <c r="C41" s="136"/>
      <c r="D41" s="136"/>
      <c r="E41" s="136"/>
      <c r="F41" s="136"/>
      <c r="G41" s="136"/>
      <c r="H41" s="136"/>
    </row>
    <row r="42" spans="1:8" x14ac:dyDescent="0.35">
      <c r="A42" s="87" t="s">
        <v>34</v>
      </c>
      <c r="B42" s="87"/>
      <c r="C42" s="87"/>
      <c r="D42" s="87"/>
      <c r="E42" s="163">
        <v>3779.3229999999999</v>
      </c>
      <c r="F42" s="163"/>
      <c r="G42" s="163"/>
      <c r="H42" s="163"/>
    </row>
    <row r="43" spans="1:8" x14ac:dyDescent="0.35">
      <c r="A43" s="87" t="s">
        <v>35</v>
      </c>
      <c r="B43" s="87"/>
      <c r="C43" s="87"/>
      <c r="D43" s="87"/>
      <c r="E43" s="86">
        <v>1.1000000000000001</v>
      </c>
      <c r="F43" s="86"/>
      <c r="G43" s="86"/>
      <c r="H43" s="86"/>
    </row>
    <row r="44" spans="1:8" x14ac:dyDescent="0.35">
      <c r="A44" s="87" t="s">
        <v>36</v>
      </c>
      <c r="B44" s="87"/>
      <c r="C44" s="87"/>
      <c r="D44" s="87"/>
      <c r="E44" s="86">
        <f>E46/E42-E43</f>
        <v>1.5085251247379494</v>
      </c>
      <c r="F44" s="86"/>
      <c r="G44" s="86"/>
      <c r="H44" s="86"/>
    </row>
    <row r="45" spans="1:8" x14ac:dyDescent="0.35">
      <c r="A45" s="87" t="s">
        <v>37</v>
      </c>
      <c r="B45" s="87"/>
      <c r="C45" s="87"/>
      <c r="D45" s="87"/>
      <c r="E45" s="86">
        <f>E43+E44</f>
        <v>2.6085251247379495</v>
      </c>
      <c r="F45" s="86"/>
      <c r="G45" s="86"/>
      <c r="H45" s="86"/>
    </row>
    <row r="46" spans="1:8" x14ac:dyDescent="0.35">
      <c r="A46" s="87" t="s">
        <v>92</v>
      </c>
      <c r="B46" s="87"/>
      <c r="C46" s="87"/>
      <c r="D46" s="87"/>
      <c r="E46" s="173">
        <v>9858.4590000000007</v>
      </c>
      <c r="F46" s="173"/>
      <c r="G46" s="173"/>
      <c r="H46" s="173"/>
    </row>
    <row r="47" spans="1:8" x14ac:dyDescent="0.35">
      <c r="A47" s="118" t="s">
        <v>38</v>
      </c>
      <c r="B47" s="118"/>
      <c r="C47" s="118"/>
      <c r="D47" s="118"/>
      <c r="E47" s="118" t="s">
        <v>202</v>
      </c>
      <c r="F47" s="118"/>
      <c r="G47" s="118"/>
      <c r="H47" s="118"/>
    </row>
    <row r="48" spans="1:8" x14ac:dyDescent="0.35">
      <c r="A48" s="136" t="s">
        <v>39</v>
      </c>
      <c r="B48" s="136"/>
      <c r="C48" s="136"/>
      <c r="D48" s="136"/>
      <c r="E48" s="136"/>
      <c r="F48" s="136"/>
      <c r="G48" s="136"/>
      <c r="H48" s="136"/>
    </row>
    <row r="49" spans="1:14" ht="33.75" customHeight="1" x14ac:dyDescent="0.35">
      <c r="A49" s="102" t="s">
        <v>138</v>
      </c>
      <c r="B49" s="103"/>
      <c r="C49" s="186" t="s">
        <v>167</v>
      </c>
      <c r="D49" s="187"/>
      <c r="E49" s="187"/>
      <c r="F49" s="187"/>
      <c r="G49" s="187"/>
      <c r="H49" s="188"/>
    </row>
    <row r="50" spans="1:14" ht="15.75" customHeight="1" x14ac:dyDescent="0.35">
      <c r="A50" s="102" t="s">
        <v>40</v>
      </c>
      <c r="B50" s="103"/>
      <c r="C50" s="102" t="s">
        <v>204</v>
      </c>
      <c r="D50" s="104"/>
      <c r="E50" s="103"/>
      <c r="F50" s="7" t="s">
        <v>41</v>
      </c>
      <c r="G50" s="113">
        <v>44651</v>
      </c>
      <c r="H50" s="103"/>
    </row>
    <row r="51" spans="1:14" x14ac:dyDescent="0.35">
      <c r="A51" s="102" t="s">
        <v>42</v>
      </c>
      <c r="B51" s="103"/>
      <c r="C51" s="102" t="str">
        <f>C50</f>
        <v>MS/LNA-1/T.N.15240/SR/11/2021</v>
      </c>
      <c r="D51" s="104"/>
      <c r="E51" s="103"/>
      <c r="F51" s="7" t="s">
        <v>41</v>
      </c>
      <c r="G51" s="113">
        <f>G50</f>
        <v>44651</v>
      </c>
      <c r="H51" s="103"/>
    </row>
    <row r="52" spans="1:14" s="12" customFormat="1" ht="15.75" customHeight="1" x14ac:dyDescent="0.35">
      <c r="A52" s="167" t="s">
        <v>142</v>
      </c>
      <c r="B52" s="168"/>
      <c r="C52" s="102" t="s">
        <v>203</v>
      </c>
      <c r="D52" s="104"/>
      <c r="E52" s="103"/>
      <c r="F52" s="7" t="s">
        <v>41</v>
      </c>
      <c r="G52" s="113">
        <f>G51</f>
        <v>44651</v>
      </c>
      <c r="H52" s="103"/>
    </row>
    <row r="53" spans="1:14" s="12" customFormat="1" x14ac:dyDescent="0.35">
      <c r="A53" s="169"/>
      <c r="B53" s="170"/>
      <c r="C53" s="102" t="s">
        <v>225</v>
      </c>
      <c r="D53" s="104"/>
      <c r="E53" s="104"/>
      <c r="F53" s="104"/>
      <c r="G53" s="104"/>
      <c r="H53" s="103"/>
    </row>
    <row r="54" spans="1:14" s="12" customFormat="1" ht="15.75" customHeight="1" x14ac:dyDescent="0.35">
      <c r="A54" s="105" t="s">
        <v>213</v>
      </c>
      <c r="B54" s="106"/>
      <c r="C54" s="111" t="s">
        <v>209</v>
      </c>
      <c r="D54" s="112"/>
      <c r="E54" s="127"/>
      <c r="F54" s="62" t="s">
        <v>41</v>
      </c>
      <c r="G54" s="126">
        <v>44249</v>
      </c>
      <c r="H54" s="127"/>
    </row>
    <row r="55" spans="1:14" s="12" customFormat="1" ht="33.75" customHeight="1" x14ac:dyDescent="0.35">
      <c r="A55" s="107"/>
      <c r="B55" s="108"/>
      <c r="C55" s="111" t="s">
        <v>211</v>
      </c>
      <c r="D55" s="112"/>
      <c r="E55" s="112"/>
      <c r="F55" s="62" t="s">
        <v>210</v>
      </c>
      <c r="G55" s="126">
        <v>47169</v>
      </c>
      <c r="H55" s="127"/>
    </row>
    <row r="56" spans="1:14" x14ac:dyDescent="0.35">
      <c r="A56" s="119" t="s">
        <v>43</v>
      </c>
      <c r="B56" s="120"/>
      <c r="C56" s="119" t="s">
        <v>103</v>
      </c>
      <c r="D56" s="121"/>
      <c r="E56" s="120"/>
      <c r="F56" s="31" t="s">
        <v>41</v>
      </c>
      <c r="G56" s="124" t="s">
        <v>28</v>
      </c>
      <c r="H56" s="125"/>
    </row>
    <row r="57" spans="1:14" x14ac:dyDescent="0.35">
      <c r="A57" s="122" t="s">
        <v>45</v>
      </c>
      <c r="B57" s="122"/>
      <c r="C57" s="122"/>
      <c r="D57" s="122"/>
      <c r="E57" s="122"/>
      <c r="F57" s="122"/>
      <c r="G57" s="122"/>
      <c r="H57" s="122"/>
    </row>
    <row r="58" spans="1:14" x14ac:dyDescent="0.35">
      <c r="A58" s="123" t="s">
        <v>91</v>
      </c>
      <c r="B58" s="123"/>
      <c r="C58" s="123"/>
      <c r="D58" s="87">
        <f>E46</f>
        <v>9858.4590000000007</v>
      </c>
      <c r="E58" s="87"/>
      <c r="F58" s="87"/>
      <c r="G58" s="87"/>
      <c r="H58" s="87"/>
    </row>
    <row r="59" spans="1:14" x14ac:dyDescent="0.35">
      <c r="A59" s="85" t="s">
        <v>46</v>
      </c>
      <c r="B59" s="118"/>
      <c r="C59" s="118"/>
      <c r="D59" s="118" t="s">
        <v>184</v>
      </c>
      <c r="E59" s="118"/>
      <c r="F59" s="118"/>
      <c r="G59" s="118"/>
      <c r="H59" s="118"/>
      <c r="I59" s="13"/>
    </row>
    <row r="60" spans="1:14" x14ac:dyDescent="0.35">
      <c r="A60" s="105" t="s">
        <v>47</v>
      </c>
      <c r="B60" s="166"/>
      <c r="C60" s="106"/>
      <c r="D60" s="164" t="s">
        <v>226</v>
      </c>
      <c r="E60" s="165"/>
      <c r="F60" s="165"/>
      <c r="G60" s="165"/>
      <c r="H60" s="165"/>
      <c r="I60" s="14"/>
    </row>
    <row r="61" spans="1:14" ht="15.75" customHeight="1" x14ac:dyDescent="0.35">
      <c r="A61" s="85" t="s">
        <v>89</v>
      </c>
      <c r="B61" s="85"/>
      <c r="C61" s="85"/>
      <c r="D61" s="118" t="s">
        <v>238</v>
      </c>
      <c r="E61" s="118"/>
      <c r="F61" s="118"/>
      <c r="G61" s="118"/>
      <c r="H61" s="118"/>
      <c r="I61" s="14"/>
    </row>
    <row r="62" spans="1:14" ht="15.75" customHeight="1" x14ac:dyDescent="0.35">
      <c r="A62" s="85"/>
      <c r="B62" s="85"/>
      <c r="C62" s="85"/>
      <c r="D62" s="118" t="s">
        <v>239</v>
      </c>
      <c r="E62" s="118"/>
      <c r="F62" s="118"/>
      <c r="G62" s="118"/>
      <c r="H62" s="118"/>
      <c r="I62" s="14"/>
    </row>
    <row r="63" spans="1:14" ht="15.75" customHeight="1" x14ac:dyDescent="0.35">
      <c r="A63" s="85"/>
      <c r="B63" s="85"/>
      <c r="C63" s="85"/>
      <c r="D63" s="118" t="s">
        <v>227</v>
      </c>
      <c r="E63" s="118"/>
      <c r="F63" s="118"/>
      <c r="G63" s="118"/>
      <c r="H63" s="118"/>
      <c r="I63" s="14"/>
    </row>
    <row r="64" spans="1:14" ht="15.75" customHeight="1" x14ac:dyDescent="0.35">
      <c r="A64" s="87" t="s">
        <v>44</v>
      </c>
      <c r="B64" s="87"/>
      <c r="C64" s="87"/>
      <c r="D64" s="123" t="s">
        <v>168</v>
      </c>
      <c r="E64" s="123"/>
      <c r="F64" s="123"/>
      <c r="G64" s="123"/>
      <c r="H64" s="123"/>
      <c r="J64" s="15"/>
      <c r="K64" s="13"/>
      <c r="N64" s="13"/>
    </row>
    <row r="65" spans="1:14" ht="15.75" customHeight="1" x14ac:dyDescent="0.35">
      <c r="A65" s="87" t="s">
        <v>87</v>
      </c>
      <c r="B65" s="87"/>
      <c r="C65" s="87"/>
      <c r="D65" s="179" t="str">
        <f>(IF(G56="NA","60 Years After Completion",IF(G56&lt;&gt;"NA",""&amp;60-ROUNDDOWN((E3-G56)/360,0)&amp;" Years"," ")))</f>
        <v>60 Years After Completion</v>
      </c>
      <c r="E65" s="179"/>
      <c r="F65" s="179"/>
      <c r="G65" s="179"/>
      <c r="H65" s="179"/>
      <c r="N65" s="13"/>
    </row>
    <row r="66" spans="1:14" ht="15.75" customHeight="1" x14ac:dyDescent="0.35">
      <c r="A66" s="87" t="s">
        <v>88</v>
      </c>
      <c r="B66" s="87"/>
      <c r="C66" s="87"/>
      <c r="D66" s="123" t="s">
        <v>22</v>
      </c>
      <c r="E66" s="123"/>
      <c r="F66" s="123"/>
      <c r="G66" s="123"/>
      <c r="H66" s="123"/>
      <c r="J66" s="16"/>
      <c r="K66" s="16"/>
    </row>
    <row r="67" spans="1:14" ht="15" hidden="1" customHeight="1" x14ac:dyDescent="0.35">
      <c r="A67" s="87" t="s">
        <v>74</v>
      </c>
      <c r="B67" s="87"/>
      <c r="C67" s="87"/>
      <c r="D67" s="85" t="s">
        <v>169</v>
      </c>
      <c r="E67" s="123"/>
      <c r="F67" s="123"/>
      <c r="G67" s="123"/>
      <c r="H67" s="123"/>
    </row>
    <row r="68" spans="1:14" x14ac:dyDescent="0.35">
      <c r="A68" s="123" t="s">
        <v>136</v>
      </c>
      <c r="B68" s="123"/>
      <c r="C68" s="123"/>
      <c r="D68" s="123" t="s">
        <v>28</v>
      </c>
      <c r="E68" s="123"/>
      <c r="F68" s="123"/>
      <c r="G68" s="123"/>
      <c r="H68" s="123"/>
      <c r="I68" s="17"/>
      <c r="J68" s="17"/>
      <c r="K68" s="17"/>
      <c r="L68" s="17"/>
      <c r="M68" s="17"/>
      <c r="N68" s="17"/>
    </row>
    <row r="69" spans="1:14" ht="15.75" customHeight="1" x14ac:dyDescent="0.35">
      <c r="A69" s="87" t="s">
        <v>86</v>
      </c>
      <c r="B69" s="87"/>
      <c r="C69" s="87"/>
      <c r="D69" s="85" t="str">
        <f ca="1">(IF(G75&gt;95%,"Nothing",IF(G75&gt;0%,"Cement, Aggregate, Steel, etc",IF(G75=0%,"Work not yet Started"))))</f>
        <v>Cement, Aggregate, Steel, etc</v>
      </c>
      <c r="E69" s="85"/>
      <c r="F69" s="85"/>
      <c r="G69" s="85"/>
      <c r="H69" s="85"/>
      <c r="J69" s="16"/>
    </row>
    <row r="70" spans="1:14" ht="33.75" customHeight="1" thickBot="1" x14ac:dyDescent="0.4">
      <c r="A70" s="123" t="s">
        <v>106</v>
      </c>
      <c r="B70" s="123"/>
      <c r="C70" s="123"/>
      <c r="D70" s="85" t="str">
        <f ca="1">(IF(D69="Nothing","Yes",IF(D69="Cement, Aggregate, Steel, etc","Under Construction",IF(D69="Work not yet Started","Work not yet Started"))))</f>
        <v>Under Construction</v>
      </c>
      <c r="E70" s="85"/>
      <c r="F70" s="85" t="str">
        <f ca="1">(IF(D69="Nothing","Yes",IF(D69="Cement, Aggregate, Steel, etc","Under Construction",IF(D69="Work not yet Started","Work not yet Started"))))</f>
        <v>Under Construction</v>
      </c>
      <c r="G70" s="85"/>
      <c r="H70" s="85"/>
    </row>
    <row r="71" spans="1:14" ht="15.75" customHeight="1" x14ac:dyDescent="0.35">
      <c r="A71" s="147" t="s">
        <v>128</v>
      </c>
      <c r="B71" s="147"/>
      <c r="C71" s="147" t="str">
        <f>D61</f>
        <v>Wing A = Gr/Stilt + 1st to 7th Floor</v>
      </c>
      <c r="D71" s="147"/>
      <c r="E71" s="147"/>
      <c r="F71" s="147"/>
      <c r="G71" s="147"/>
      <c r="H71" s="147"/>
      <c r="I71" s="75" t="str">
        <f ca="1">IF(D84=100%,"All work Completed. Possession granted to the Building.",IF(D83=100%,"All work Completed, Waiting for OC",I72&amp;""&amp;I73&amp;""&amp;J72&amp;""&amp;J71&amp;" "&amp;J73))</f>
        <v>Excavation, Plinth, RCC Slab, Brickwork, Internal Plaster Completed, External Plaster upto 5 Floor Completed</v>
      </c>
      <c r="J71" s="34" t="str">
        <f ca="1">(IF(C77=(D72+F72+H72),"",IF(C77&gt;0,", RCC upto "&amp;C77&amp;" Slab","")))&amp;(IF(C78=H72,"",IF(C78&gt;0,", Brickwork upto "&amp;C78&amp;" Floor","")))&amp;(IF(C79=H72,"",IF(C79&gt;0,", Internal Plaster upto "&amp;C79&amp;" Floor","")))&amp;(IF(C80=H72,"",IF(C80&gt;0,", External Plaster upto "&amp;C80&amp;" Floor","")))&amp;(IF(C81=H72,"",IF(C81&gt;0,", Flooring upto "&amp;C81&amp;" Floor","")))&amp;(IF(C82=H72,"",IF(C82&gt;0,", Painting upto "&amp;C82&amp;" Floor","")))&amp;(IF(C83=H72,"",IF(C83&gt;0,", Finishing upto "&amp;C83&amp;" Floor","")))&amp;(IF(C84=H72,"",IF(C84&gt;0,", Possession upto "&amp;C84&amp;" Floor","")))</f>
        <v>, External Plaster upto 5 Floor</v>
      </c>
    </row>
    <row r="72" spans="1:14" x14ac:dyDescent="0.35">
      <c r="A72" s="74" t="s">
        <v>130</v>
      </c>
      <c r="B72" s="74">
        <v>0</v>
      </c>
      <c r="C72" s="74" t="s">
        <v>71</v>
      </c>
      <c r="D72" s="74">
        <v>1</v>
      </c>
      <c r="E72" s="74" t="s">
        <v>70</v>
      </c>
      <c r="F72" s="74">
        <v>0</v>
      </c>
      <c r="G72" s="74" t="s">
        <v>80</v>
      </c>
      <c r="H72" s="74">
        <f ca="1">--TRIM(RIGHT(SUBSTITUTE(LEFT(C71,_xlfn.AGGREGATE(16,6,FIND({0,1,2,3,4,5,6,7,8,9},C71,ROW(INDIRECT("1:"&amp;LEN(C71)))),1))," ",REPT(" ",LEN(C71))),LEN(C71)))</f>
        <v>7</v>
      </c>
      <c r="I72" s="76" t="str">
        <f ca="1">IF(D75=100%,"Excavation","")&amp;IF(D76=100%,", Plinth","")&amp;IF(D77=100%,", RCC Slab","")&amp;IF(D78=100%,", Brickwork","")&amp;IF(D79=100%,", Internal Plaster","")&amp;IF(D80=100%,", External Plaster","")&amp;IF(D81=100%,", Flooring","")&amp;IF(D82=100%,", Painting","")&amp;IF(D83=100%,", Building common Amenities","")</f>
        <v>Excavation, Plinth, RCC Slab, Brickwork, Internal Plaster</v>
      </c>
      <c r="J72" s="36" t="str">
        <f ca="1">(IF(C75=0,"Work not yet Started.",IF(D75=25%,"Piling work in process",IF(D75=50%,"Excavation work in process",IF(D75=100%,"","0")))))&amp;(IF(C76=0%,"",IF(C76=J77,", Footing work is process",IF(C76=J78,", Footing work Completed",IF(C76=J79,", 1st Basement Completed",IF(C76=J80,", 1st &amp; 2nd Basement Completed",IF(C76=J81,", 1st to 3rd Basement Completed",IF(C76=J82,", 1st to 4th Basement Completed",IF(C76=J83,", Plinth work is process",IF(C76=J84,"","0"))))))))))</f>
        <v/>
      </c>
    </row>
    <row r="73" spans="1:14" ht="31.5" customHeight="1" x14ac:dyDescent="0.35">
      <c r="A73" s="146" t="s">
        <v>90</v>
      </c>
      <c r="B73" s="146"/>
      <c r="C73" s="147" t="str">
        <f ca="1">I71</f>
        <v>Excavation, Plinth, RCC Slab, Brickwork, Internal Plaster Completed, External Plaster upto 5 Floor Completed</v>
      </c>
      <c r="D73" s="147"/>
      <c r="E73" s="147"/>
      <c r="F73" s="147"/>
      <c r="G73" s="147"/>
      <c r="H73" s="147"/>
      <c r="I73" s="76" t="str">
        <f ca="1">IF(I72&lt;&gt;""," Completed","")</f>
        <v xml:space="preserve"> Completed</v>
      </c>
      <c r="J73" s="36" t="str">
        <f ca="1">IF(J71&lt;&gt;"","Completed","")</f>
        <v>Completed</v>
      </c>
    </row>
    <row r="74" spans="1:14" ht="15.75" customHeight="1" x14ac:dyDescent="0.35">
      <c r="A74" s="98" t="s">
        <v>48</v>
      </c>
      <c r="B74" s="98"/>
      <c r="C74" s="73" t="s">
        <v>127</v>
      </c>
      <c r="D74" s="73" t="s">
        <v>83</v>
      </c>
      <c r="E74" s="98" t="s">
        <v>85</v>
      </c>
      <c r="F74" s="98"/>
      <c r="G74" s="98" t="s">
        <v>84</v>
      </c>
      <c r="H74" s="98"/>
      <c r="I74" s="3" t="s">
        <v>129</v>
      </c>
      <c r="J74" s="18">
        <f ca="1">H72*25%</f>
        <v>1.75</v>
      </c>
    </row>
    <row r="75" spans="1:14" x14ac:dyDescent="0.35">
      <c r="A75" s="98" t="s">
        <v>116</v>
      </c>
      <c r="B75" s="98"/>
      <c r="C75" s="73">
        <f ca="1">J76</f>
        <v>7</v>
      </c>
      <c r="D75" s="8">
        <f ca="1">((100/H72)*C75)/100</f>
        <v>1</v>
      </c>
      <c r="E75" s="219">
        <f ca="1">(((C76/H72*10)+(40/(D72+F72+H72)*C77)+(7.5/(H72)*C78)+(7.5/(H72)*C79)+(10/H72*C80)+(10/H72*C81)+(5/H72*C82)+(5/H72*C83)+(5/H72*C84))/100)</f>
        <v>0.72142857142857142</v>
      </c>
      <c r="F75" s="219"/>
      <c r="G75" s="219">
        <f ca="1">((((C75/H72)*20)+((C76/H72)*25)+(30/(H72+F72+D72)*C77)+(5/H72*C78)+(5/H72*C79)+(5/H72*C80)+(5/H72*C81)+(0/H72*C82)+(0/H72*C83)+(5/H72*C84))/100)</f>
        <v>0.88571428571428568</v>
      </c>
      <c r="H75" s="219"/>
      <c r="I75" s="3" t="s">
        <v>98</v>
      </c>
      <c r="J75" s="19">
        <f ca="1">H72*50%</f>
        <v>3.5</v>
      </c>
    </row>
    <row r="76" spans="1:14" x14ac:dyDescent="0.35">
      <c r="A76" s="98" t="s">
        <v>49</v>
      </c>
      <c r="B76" s="98"/>
      <c r="C76" s="73">
        <f ca="1">J84</f>
        <v>7</v>
      </c>
      <c r="D76" s="8">
        <f ca="1">((100/H72)*C76)/100</f>
        <v>1</v>
      </c>
      <c r="E76" s="219"/>
      <c r="F76" s="219"/>
      <c r="G76" s="219"/>
      <c r="H76" s="219"/>
      <c r="I76" s="3" t="s">
        <v>99</v>
      </c>
      <c r="J76" s="19">
        <f ca="1">H72</f>
        <v>7</v>
      </c>
    </row>
    <row r="77" spans="1:14" ht="15.75" customHeight="1" x14ac:dyDescent="0.35">
      <c r="A77" s="98" t="s">
        <v>117</v>
      </c>
      <c r="B77" s="98"/>
      <c r="C77" s="73">
        <v>8</v>
      </c>
      <c r="D77" s="8">
        <f ca="1">((100/(D72+F72+H72))*C77)/100</f>
        <v>1</v>
      </c>
      <c r="E77" s="219"/>
      <c r="F77" s="219"/>
      <c r="G77" s="219"/>
      <c r="H77" s="219"/>
      <c r="I77" s="3" t="s">
        <v>100</v>
      </c>
      <c r="J77" s="20">
        <f ca="1">(IF(B72&gt;1,(H72/(B72+2)),H72/4))</f>
        <v>1.75</v>
      </c>
    </row>
    <row r="78" spans="1:14" ht="15.75" customHeight="1" x14ac:dyDescent="0.35">
      <c r="A78" s="98" t="s">
        <v>124</v>
      </c>
      <c r="B78" s="98" t="s">
        <v>118</v>
      </c>
      <c r="C78" s="73">
        <v>7</v>
      </c>
      <c r="D78" s="8">
        <f ca="1">((100/H72)*C78)/100</f>
        <v>1</v>
      </c>
      <c r="E78" s="219"/>
      <c r="F78" s="219"/>
      <c r="G78" s="219"/>
      <c r="H78" s="219"/>
      <c r="I78" s="3" t="s">
        <v>101</v>
      </c>
      <c r="J78" s="20">
        <f ca="1">(IF(B72&gt;1,(H72/(B72+2)+J77),H72/4+J77))</f>
        <v>3.5</v>
      </c>
    </row>
    <row r="79" spans="1:14" ht="15.75" customHeight="1" x14ac:dyDescent="0.35">
      <c r="A79" s="98" t="s">
        <v>125</v>
      </c>
      <c r="B79" s="98" t="s">
        <v>118</v>
      </c>
      <c r="C79" s="73">
        <v>7</v>
      </c>
      <c r="D79" s="8">
        <f ca="1">((100/H72)*C79)/100</f>
        <v>1</v>
      </c>
      <c r="E79" s="219"/>
      <c r="F79" s="219"/>
      <c r="G79" s="219"/>
      <c r="H79" s="219"/>
      <c r="I79" s="3" t="s">
        <v>134</v>
      </c>
      <c r="J79" s="20">
        <f>(IF(B72&gt;1,(H72/(B72+2)+J78),0))</f>
        <v>0</v>
      </c>
    </row>
    <row r="80" spans="1:14" ht="15" customHeight="1" x14ac:dyDescent="0.35">
      <c r="A80" s="98" t="s">
        <v>123</v>
      </c>
      <c r="B80" s="98" t="s">
        <v>120</v>
      </c>
      <c r="C80" s="73">
        <v>5</v>
      </c>
      <c r="D80" s="8">
        <f ca="1">((100/(H72))*C80)/100</f>
        <v>0.7142857142857143</v>
      </c>
      <c r="E80" s="219"/>
      <c r="F80" s="219"/>
      <c r="G80" s="219"/>
      <c r="H80" s="219"/>
      <c r="I80" s="3" t="s">
        <v>131</v>
      </c>
      <c r="J80" s="20">
        <f>(IF(B72&gt;2,(H72/(B72+2)+J79),0))</f>
        <v>0</v>
      </c>
    </row>
    <row r="81" spans="1:10" ht="15.75" customHeight="1" x14ac:dyDescent="0.35">
      <c r="A81" s="98" t="s">
        <v>119</v>
      </c>
      <c r="B81" s="98" t="s">
        <v>119</v>
      </c>
      <c r="C81" s="73">
        <v>0</v>
      </c>
      <c r="D81" s="8">
        <f ca="1">((100/H72)*C81)/100</f>
        <v>0</v>
      </c>
      <c r="E81" s="219"/>
      <c r="F81" s="219"/>
      <c r="G81" s="219"/>
      <c r="H81" s="219"/>
      <c r="I81" s="3" t="s">
        <v>132</v>
      </c>
      <c r="J81" s="21">
        <f>(IF(B72&gt;3,(H72/(B72+2)+J80),0))</f>
        <v>0</v>
      </c>
    </row>
    <row r="82" spans="1:10" ht="15.75" customHeight="1" x14ac:dyDescent="0.35">
      <c r="A82" s="98" t="s">
        <v>126</v>
      </c>
      <c r="B82" s="98"/>
      <c r="C82" s="73">
        <v>0</v>
      </c>
      <c r="D82" s="8">
        <f ca="1">((100/H72)*C82)/100</f>
        <v>0</v>
      </c>
      <c r="E82" s="219"/>
      <c r="F82" s="219"/>
      <c r="G82" s="219"/>
      <c r="H82" s="219"/>
      <c r="I82" s="3" t="s">
        <v>133</v>
      </c>
      <c r="J82" s="20">
        <f>(IF(B72&gt;4,(H72/(B72+2)+J81),0))</f>
        <v>0</v>
      </c>
    </row>
    <row r="83" spans="1:10" ht="15.75" customHeight="1" x14ac:dyDescent="0.35">
      <c r="A83" s="98" t="s">
        <v>121</v>
      </c>
      <c r="B83" s="98" t="s">
        <v>121</v>
      </c>
      <c r="C83" s="73">
        <v>0</v>
      </c>
      <c r="D83" s="8">
        <f ca="1">((100/(H72))*C83)/100</f>
        <v>0</v>
      </c>
      <c r="E83" s="219"/>
      <c r="F83" s="219"/>
      <c r="G83" s="219"/>
      <c r="H83" s="219"/>
      <c r="I83" s="3" t="s">
        <v>135</v>
      </c>
      <c r="J83" s="20">
        <f ca="1">(IF(B72=1,(H72/(B72+3)+J78),IF(B72=0,(H72/4+J78),IF(B72&gt;1,0))))</f>
        <v>5.25</v>
      </c>
    </row>
    <row r="84" spans="1:10" ht="16" thickBot="1" x14ac:dyDescent="0.4">
      <c r="A84" s="98" t="s">
        <v>122</v>
      </c>
      <c r="B84" s="98"/>
      <c r="C84" s="73">
        <v>0</v>
      </c>
      <c r="D84" s="8">
        <f ca="1">((100/(H72))*C84)/100</f>
        <v>0</v>
      </c>
      <c r="E84" s="219"/>
      <c r="F84" s="219"/>
      <c r="G84" s="219"/>
      <c r="H84" s="219"/>
      <c r="I84" s="4" t="s">
        <v>102</v>
      </c>
      <c r="J84" s="22">
        <f ca="1">(IF(B72&gt;1.5,(H72/(B72+2)+J78+MAX(0,J79-J78)+MAX(0,J80-J79)+MAX(0,J81-J80)+MAX(0,J82-J81)+MAX(0,J83-J82)),IF(B72=1,(H72/(B72+3)+J83),IF(B72=0,H72/4+J83))))</f>
        <v>7</v>
      </c>
    </row>
    <row r="85" spans="1:10" ht="15.75" customHeight="1" x14ac:dyDescent="0.35">
      <c r="A85" s="214" t="s">
        <v>128</v>
      </c>
      <c r="B85" s="215"/>
      <c r="C85" s="216" t="str">
        <f>D62</f>
        <v>Wing B = Gr/Stilt + 1st to 7th Floor</v>
      </c>
      <c r="D85" s="217"/>
      <c r="E85" s="217"/>
      <c r="F85" s="217"/>
      <c r="G85" s="217"/>
      <c r="H85" s="218"/>
      <c r="I85" s="33" t="str">
        <f ca="1">IF(D98=100%,"All work Completed. Possession granted to the Building.",IF(D97=100%,"All work Completed, Waiting for OC",I86&amp;""&amp;I87&amp;""&amp;J86&amp;""&amp;J85&amp;" "&amp;J87))</f>
        <v>Excavation, Plinth, RCC Slab, Brickwork, Internal Plaster Completed, External Plaster upto 5 Floor Completed</v>
      </c>
      <c r="J85" s="34" t="str">
        <f ca="1">(IF(C91=(D86+F86+H86),"",IF(C91&gt;0,", RCC upto "&amp;C91&amp;" Slab","")))&amp;(IF(C92=H86,"",IF(C92&gt;0,", Brickwork upto "&amp;C92&amp;" Floor","")))&amp;(IF(C93=H86,"",IF(C93&gt;0,", Internal Plaster upto "&amp;C93&amp;" Floor","")))&amp;(IF(C94=H86,"",IF(C94&gt;0,", External Plaster upto "&amp;C94&amp;" Floor","")))&amp;(IF(C95=H86,"",IF(C95&gt;0,", Flooring upto "&amp;C95&amp;" Floor","")))&amp;(IF(C96=H86,"",IF(C96&gt;0,", Painting upto "&amp;C96&amp;" Floor","")))&amp;(IF(C97=H86,"",IF(C97&gt;0,", Finishing upto "&amp;C97&amp;" Floor","")))&amp;(IF(C98=H86,"",IF(C98&gt;0,", Possession upto "&amp;C98&amp;" Floor","")))</f>
        <v>, External Plaster upto 5 Floor</v>
      </c>
    </row>
    <row r="86" spans="1:10" x14ac:dyDescent="0.35">
      <c r="A86" s="5" t="s">
        <v>130</v>
      </c>
      <c r="B86" s="66">
        <v>0</v>
      </c>
      <c r="C86" s="66" t="s">
        <v>71</v>
      </c>
      <c r="D86" s="66">
        <v>1</v>
      </c>
      <c r="E86" s="66" t="s">
        <v>70</v>
      </c>
      <c r="F86" s="66">
        <v>0</v>
      </c>
      <c r="G86" s="66" t="s">
        <v>80</v>
      </c>
      <c r="H86" s="6">
        <f ca="1">--TRIM(RIGHT(SUBSTITUTE(LEFT(C85,_xlfn.AGGREGATE(16,6,FIND({0,1,2,3,4,5,6,7,8,9},C85,ROW(INDIRECT("1:"&amp;LEN(C85)))),1))," ",REPT(" ",LEN(C85))),LEN(C85)))</f>
        <v>7</v>
      </c>
      <c r="I86" s="35" t="str">
        <f ca="1">IF(D89=100%,"Excavation","")&amp;IF(D90=100%,", Plinth","")&amp;IF(D91=100%,", RCC Slab","")&amp;IF(D92=100%,", Brickwork","")&amp;IF(D93=100%,", Internal Plaster","")&amp;IF(D94=100%,", External Plaster","")&amp;IF(D95=100%,", Flooring","")&amp;IF(D96=100%,", Painting","")&amp;IF(D97=100%,", Building common Amenities","")</f>
        <v>Excavation, Plinth, RCC Slab, Brickwork, Internal Plaster</v>
      </c>
      <c r="J86" s="36" t="str">
        <f ca="1">(IF(C89=0,"Work not yet Started.",IF(D89=25%,"Piling work in process",IF(D89=50%,"Excavation work in process",IF(D89=100%,"","0")))))&amp;(IF(C90=0%,"",IF(C90=J91,", Footing work is process",IF(C90=J92,", Footing work Completed",IF(C90=J93,", 1st Basement Completed",IF(C90=J94,", 1st &amp; 2nd Basement Completed",IF(C90=J95,", 1st to 3rd Basement Completed",IF(C90=J96,", 1st to 4th Basement Completed",IF(C90=J97,", Plinth work is process",IF(C90=J98,"","0"))))))))))</f>
        <v/>
      </c>
    </row>
    <row r="87" spans="1:10" ht="31.5" customHeight="1" x14ac:dyDescent="0.35">
      <c r="A87" s="145" t="s">
        <v>90</v>
      </c>
      <c r="B87" s="146"/>
      <c r="C87" s="147" t="str">
        <f ca="1">I85</f>
        <v>Excavation, Plinth, RCC Slab, Brickwork, Internal Plaster Completed, External Plaster upto 5 Floor Completed</v>
      </c>
      <c r="D87" s="147"/>
      <c r="E87" s="147"/>
      <c r="F87" s="147"/>
      <c r="G87" s="147"/>
      <c r="H87" s="148"/>
      <c r="I87" s="35" t="str">
        <f ca="1">IF(I86&lt;&gt;""," Completed","")</f>
        <v xml:space="preserve"> Completed</v>
      </c>
      <c r="J87" s="36" t="str">
        <f ca="1">IF(J85&lt;&gt;"","Completed","")</f>
        <v>Completed</v>
      </c>
    </row>
    <row r="88" spans="1:10" ht="15.75" customHeight="1" x14ac:dyDescent="0.35">
      <c r="A88" s="97" t="s">
        <v>48</v>
      </c>
      <c r="B88" s="98"/>
      <c r="C88" s="65" t="s">
        <v>127</v>
      </c>
      <c r="D88" s="65" t="s">
        <v>83</v>
      </c>
      <c r="E88" s="98" t="s">
        <v>85</v>
      </c>
      <c r="F88" s="98"/>
      <c r="G88" s="98" t="s">
        <v>84</v>
      </c>
      <c r="H88" s="149"/>
      <c r="I88" s="3" t="s">
        <v>129</v>
      </c>
      <c r="J88" s="18">
        <f ca="1">H86*25%</f>
        <v>1.75</v>
      </c>
    </row>
    <row r="89" spans="1:10" x14ac:dyDescent="0.35">
      <c r="A89" s="97" t="s">
        <v>116</v>
      </c>
      <c r="B89" s="98"/>
      <c r="C89" s="65">
        <f ca="1">J90</f>
        <v>7</v>
      </c>
      <c r="D89" s="8">
        <f ca="1">((100/H86)*C89)/100</f>
        <v>1</v>
      </c>
      <c r="E89" s="150">
        <f ca="1">(((C90/H86*10)+(40/(D86+F86+H86)*C91)+(7.5/(H86)*C92)+(7.5/(H86)*C93)+(10/H86*C94)+(10/H86*C95)+(5/H86*C96)+(5/H86*C97)+(5/H86*C98))/100)</f>
        <v>0.72142857142857142</v>
      </c>
      <c r="F89" s="151"/>
      <c r="G89" s="150">
        <f ca="1">((((C89/H86)*20)+((C90/H86)*25)+(30/(H86+F86+D86)*C91)+(5/H86*C92)+(5/H86*C93)+(5/H86*C94)+(5/H86*C95)+(0/H86*C96)+(0/H86*C97)+(5/H86*C98))/100)</f>
        <v>0.88571428571428568</v>
      </c>
      <c r="H89" s="174"/>
      <c r="I89" s="3" t="s">
        <v>98</v>
      </c>
      <c r="J89" s="19">
        <f ca="1">H86*50%</f>
        <v>3.5</v>
      </c>
    </row>
    <row r="90" spans="1:10" x14ac:dyDescent="0.35">
      <c r="A90" s="97" t="s">
        <v>49</v>
      </c>
      <c r="B90" s="98"/>
      <c r="C90" s="65">
        <f ca="1">J98</f>
        <v>7</v>
      </c>
      <c r="D90" s="8">
        <f ca="1">((100/H86)*C90)/100</f>
        <v>1</v>
      </c>
      <c r="E90" s="152"/>
      <c r="F90" s="153"/>
      <c r="G90" s="152"/>
      <c r="H90" s="175"/>
      <c r="I90" s="3" t="s">
        <v>99</v>
      </c>
      <c r="J90" s="19">
        <f ca="1">H86</f>
        <v>7</v>
      </c>
    </row>
    <row r="91" spans="1:10" ht="15.75" customHeight="1" x14ac:dyDescent="0.35">
      <c r="A91" s="97" t="s">
        <v>117</v>
      </c>
      <c r="B91" s="98"/>
      <c r="C91" s="65">
        <v>8</v>
      </c>
      <c r="D91" s="8">
        <f ca="1">((100/(D86+F86+H86))*C91)/100</f>
        <v>1</v>
      </c>
      <c r="E91" s="152"/>
      <c r="F91" s="153"/>
      <c r="G91" s="152"/>
      <c r="H91" s="175"/>
      <c r="I91" s="3" t="s">
        <v>100</v>
      </c>
      <c r="J91" s="20">
        <f ca="1">(IF(B86&gt;1,(H86/(B86+2)),H86/4))</f>
        <v>1.75</v>
      </c>
    </row>
    <row r="92" spans="1:10" ht="15.75" customHeight="1" x14ac:dyDescent="0.35">
      <c r="A92" s="97" t="s">
        <v>124</v>
      </c>
      <c r="B92" s="98" t="s">
        <v>118</v>
      </c>
      <c r="C92" s="65">
        <v>7</v>
      </c>
      <c r="D92" s="8">
        <f ca="1">((100/H86)*C92)/100</f>
        <v>1</v>
      </c>
      <c r="E92" s="152"/>
      <c r="F92" s="153"/>
      <c r="G92" s="152"/>
      <c r="H92" s="175"/>
      <c r="I92" s="3" t="s">
        <v>101</v>
      </c>
      <c r="J92" s="20">
        <f ca="1">(IF(B86&gt;1,(H86/(B86+2)+J91),H86/4+J91))</f>
        <v>3.5</v>
      </c>
    </row>
    <row r="93" spans="1:10" ht="15.75" customHeight="1" x14ac:dyDescent="0.35">
      <c r="A93" s="97" t="s">
        <v>125</v>
      </c>
      <c r="B93" s="98" t="s">
        <v>118</v>
      </c>
      <c r="C93" s="65">
        <v>7</v>
      </c>
      <c r="D93" s="8">
        <f ca="1">((100/H86)*C93)/100</f>
        <v>1</v>
      </c>
      <c r="E93" s="152"/>
      <c r="F93" s="153"/>
      <c r="G93" s="152"/>
      <c r="H93" s="175"/>
      <c r="I93" s="3" t="s">
        <v>134</v>
      </c>
      <c r="J93" s="20">
        <f>(IF(B86&gt;1,(H86/(B86+2)+J92),0))</f>
        <v>0</v>
      </c>
    </row>
    <row r="94" spans="1:10" ht="15" customHeight="1" x14ac:dyDescent="0.35">
      <c r="A94" s="97" t="s">
        <v>123</v>
      </c>
      <c r="B94" s="98" t="s">
        <v>120</v>
      </c>
      <c r="C94" s="65">
        <v>5</v>
      </c>
      <c r="D94" s="8">
        <f ca="1">((100/(H86))*C94)/100</f>
        <v>0.7142857142857143</v>
      </c>
      <c r="E94" s="152"/>
      <c r="F94" s="153"/>
      <c r="G94" s="152"/>
      <c r="H94" s="175"/>
      <c r="I94" s="3" t="s">
        <v>131</v>
      </c>
      <c r="J94" s="20">
        <f>(IF(B86&gt;2,(H86/(B86+2)+J93),0))</f>
        <v>0</v>
      </c>
    </row>
    <row r="95" spans="1:10" ht="15.75" customHeight="1" x14ac:dyDescent="0.35">
      <c r="A95" s="97" t="s">
        <v>119</v>
      </c>
      <c r="B95" s="98" t="s">
        <v>119</v>
      </c>
      <c r="C95" s="65">
        <v>0</v>
      </c>
      <c r="D95" s="8">
        <f ca="1">((100/H86)*C95)/100</f>
        <v>0</v>
      </c>
      <c r="E95" s="152"/>
      <c r="F95" s="153"/>
      <c r="G95" s="152"/>
      <c r="H95" s="175"/>
      <c r="I95" s="3" t="s">
        <v>132</v>
      </c>
      <c r="J95" s="21">
        <f>(IF(B86&gt;3,(H86/(B86+2)+J94),0))</f>
        <v>0</v>
      </c>
    </row>
    <row r="96" spans="1:10" ht="15.75" customHeight="1" x14ac:dyDescent="0.35">
      <c r="A96" s="97" t="s">
        <v>126</v>
      </c>
      <c r="B96" s="98"/>
      <c r="C96" s="65">
        <v>0</v>
      </c>
      <c r="D96" s="8">
        <f ca="1">((100/H86)*C96)/100</f>
        <v>0</v>
      </c>
      <c r="E96" s="152"/>
      <c r="F96" s="153"/>
      <c r="G96" s="152"/>
      <c r="H96" s="175"/>
      <c r="I96" s="3" t="s">
        <v>133</v>
      </c>
      <c r="J96" s="20">
        <f>(IF(B86&gt;4,(H86/(B86+2)+J95),0))</f>
        <v>0</v>
      </c>
    </row>
    <row r="97" spans="1:10" ht="15.75" customHeight="1" x14ac:dyDescent="0.35">
      <c r="A97" s="97" t="s">
        <v>121</v>
      </c>
      <c r="B97" s="98" t="s">
        <v>121</v>
      </c>
      <c r="C97" s="65">
        <v>0</v>
      </c>
      <c r="D97" s="8">
        <f ca="1">((100/(H86))*C97)/100</f>
        <v>0</v>
      </c>
      <c r="E97" s="152"/>
      <c r="F97" s="153"/>
      <c r="G97" s="152"/>
      <c r="H97" s="175"/>
      <c r="I97" s="3" t="s">
        <v>135</v>
      </c>
      <c r="J97" s="20">
        <f ca="1">(IF(B86=1,(H86/(B86+3)+J92),IF(B86=0,(H86/4+J92),IF(B86&gt;1,0))))</f>
        <v>5.25</v>
      </c>
    </row>
    <row r="98" spans="1:10" ht="16" thickBot="1" x14ac:dyDescent="0.4">
      <c r="A98" s="177" t="s">
        <v>122</v>
      </c>
      <c r="B98" s="178"/>
      <c r="C98" s="67">
        <v>0</v>
      </c>
      <c r="D98" s="9">
        <f ca="1">((100/(H86))*C98)/100</f>
        <v>0</v>
      </c>
      <c r="E98" s="154"/>
      <c r="F98" s="155"/>
      <c r="G98" s="154"/>
      <c r="H98" s="176"/>
      <c r="I98" s="4" t="s">
        <v>102</v>
      </c>
      <c r="J98" s="22">
        <f ca="1">(IF(B86&gt;1.5,(H86/(B86+2)+J92+MAX(0,J93-J92)+MAX(0,J94-J93)+MAX(0,J95-J94)+MAX(0,J96-J95)+MAX(0,J97-J96)),IF(B86=1,(H86/(B86+3)+J97),IF(B86=0,H86/4+J97))))</f>
        <v>7</v>
      </c>
    </row>
    <row r="99" spans="1:10" ht="15.75" customHeight="1" x14ac:dyDescent="0.35">
      <c r="A99" s="92" t="s">
        <v>128</v>
      </c>
      <c r="B99" s="93"/>
      <c r="C99" s="94" t="s">
        <v>241</v>
      </c>
      <c r="D99" s="95"/>
      <c r="E99" s="95"/>
      <c r="F99" s="95"/>
      <c r="G99" s="95"/>
      <c r="H99" s="96"/>
      <c r="I99" s="33" t="str">
        <f ca="1">IF(D112=100%,"All work Completed. Possession granted to the Building.",IF(D111=100%,"All work Completed, Waiting for OC",I100&amp;""&amp;I101&amp;""&amp;J100&amp;""&amp;J99&amp;" "&amp;J101))</f>
        <v xml:space="preserve">Excavation Completed, Footing work is process </v>
      </c>
      <c r="J99" s="34" t="str">
        <f ca="1">(IF(C105=(D100+F100+H100),"",IF(C105&gt;0,", RCC upto "&amp;C105&amp;" Slab","")))&amp;(IF(C106=H100,"",IF(C106&gt;0,", Brickwork upto "&amp;C106&amp;" Floor","")))&amp;(IF(C107=H100,"",IF(C107&gt;0,", Internal Plaster upto "&amp;C107&amp;" Floor","")))&amp;(IF(C108=H100,"",IF(C108&gt;0,", External Plaster upto "&amp;C108&amp;" Floor","")))&amp;(IF(C109=H100,"",IF(C109&gt;0,", Flooring upto "&amp;C109&amp;" Floor","")))&amp;(IF(C110=H100,"",IF(C110&gt;0,", Painting upto "&amp;C110&amp;" Floor","")))&amp;(IF(C111=H100,"",IF(C111&gt;0,", Finishing upto "&amp;C111&amp;" Floor","")))&amp;(IF(C112=H100,"",IF(C112&gt;0,", Possession upto "&amp;C112&amp;" Floor","")))</f>
        <v/>
      </c>
    </row>
    <row r="100" spans="1:10" x14ac:dyDescent="0.35">
      <c r="A100" s="5" t="s">
        <v>130</v>
      </c>
      <c r="B100" s="39">
        <v>0</v>
      </c>
      <c r="C100" s="39" t="s">
        <v>71</v>
      </c>
      <c r="D100" s="39">
        <v>1</v>
      </c>
      <c r="E100" s="39" t="s">
        <v>70</v>
      </c>
      <c r="F100" s="39">
        <v>0</v>
      </c>
      <c r="G100" s="39" t="s">
        <v>80</v>
      </c>
      <c r="H100" s="6">
        <f ca="1">--TRIM(RIGHT(SUBSTITUTE(LEFT(C99,_xlfn.AGGREGATE(16,6,FIND({0,1,2,3,4,5,6,7,8,9},C99,ROW(INDIRECT("1:"&amp;LEN(C99)))),1))," ",REPT(" ",LEN(C99))),LEN(C99)))</f>
        <v>7</v>
      </c>
      <c r="I100" s="35" t="str">
        <f ca="1">IF(D103=100%,"Excavation","")&amp;IF(D104=100%,", Plinth","")&amp;IF(D105=100%,", RCC Slab","")&amp;IF(D106=100%,", Brickwork","")&amp;IF(D107=100%,", Internal Plaster","")&amp;IF(D108=100%,", External Plaster","")&amp;IF(D109=100%,", Flooring","")&amp;IF(D110=100%,", Painting","")&amp;IF(D111=100%,", Building common Amenities","")</f>
        <v>Excavation</v>
      </c>
      <c r="J100" s="36" t="str">
        <f ca="1">(IF(C103=0,"Work not yet Started.",IF(D103=25%,"Piling work in process",IF(D103=50%,"Excavation work in process",IF(D103=100%,"","0")))))&amp;(IF(C104=0%,"",IF(C104=J105,", Footing work is process",IF(C104=J106,", Footing work Completed",IF(C104=J107,", 1st Basement Completed",IF(C104=J108,", 1st &amp; 2nd Basement Completed",IF(C104=J109,", 1st to 3rd Basement Completed",IF(C104=J110,", 1st to 4th Basement Completed",IF(C104=J111,", Plinth work is process",IF(C104=J112,"","0"))))))))))</f>
        <v>, Footing work is process</v>
      </c>
    </row>
    <row r="101" spans="1:10" x14ac:dyDescent="0.35">
      <c r="A101" s="145" t="s">
        <v>90</v>
      </c>
      <c r="B101" s="146"/>
      <c r="C101" s="147" t="str">
        <f ca="1">(IF($G$56="NA",I99,"All work Completed. OC Received."))</f>
        <v xml:space="preserve">Excavation Completed, Footing work is process </v>
      </c>
      <c r="D101" s="147"/>
      <c r="E101" s="147"/>
      <c r="F101" s="147"/>
      <c r="G101" s="147"/>
      <c r="H101" s="148"/>
      <c r="I101" s="35" t="str">
        <f ca="1">IF(I100&lt;&gt;""," Completed","")</f>
        <v xml:space="preserve"> Completed</v>
      </c>
      <c r="J101" s="36" t="str">
        <f ca="1">IF(J99&lt;&gt;"","Completed","")</f>
        <v/>
      </c>
    </row>
    <row r="102" spans="1:10" ht="15.75" customHeight="1" x14ac:dyDescent="0.35">
      <c r="A102" s="185" t="s">
        <v>48</v>
      </c>
      <c r="B102" s="91"/>
      <c r="C102" s="42" t="s">
        <v>127</v>
      </c>
      <c r="D102" s="42" t="s">
        <v>83</v>
      </c>
      <c r="E102" s="91" t="s">
        <v>85</v>
      </c>
      <c r="F102" s="91"/>
      <c r="G102" s="91" t="s">
        <v>84</v>
      </c>
      <c r="H102" s="180"/>
      <c r="I102" s="3" t="s">
        <v>129</v>
      </c>
      <c r="J102" s="18">
        <f ca="1">H100*25%</f>
        <v>1.75</v>
      </c>
    </row>
    <row r="103" spans="1:10" x14ac:dyDescent="0.35">
      <c r="A103" s="91" t="s">
        <v>116</v>
      </c>
      <c r="B103" s="91"/>
      <c r="C103" s="71">
        <f ca="1">J104</f>
        <v>7</v>
      </c>
      <c r="D103" s="43">
        <f ca="1">((100/H100)*C103)/100</f>
        <v>1</v>
      </c>
      <c r="E103" s="183">
        <f ca="1">(((C104/H100*10)+(40/(D100+F100+H100)*C105)+(7.5/(H100)*C106)+(7.5/(H100)*C107)+(10/H100*C108)+(10/H100*C109)+(5/H100*C110)+(5/H100*C111)+(5/H100*C112))/100)</f>
        <v>2.5000000000000001E-2</v>
      </c>
      <c r="F103" s="183"/>
      <c r="G103" s="183">
        <f ca="1">((((C103/H100)*20)+((C104/H100)*25)+(30/(H100+F100+D100)*C105)+(5/H100*C106)+(5/H100*C107)+(5/H100*C108)+(5/H100*C109)+(0/H100*C110)+(0/H100*C111)+(5/H100*C112))/100)</f>
        <v>0.26250000000000001</v>
      </c>
      <c r="H103" s="183"/>
      <c r="I103" s="3" t="s">
        <v>98</v>
      </c>
      <c r="J103" s="19">
        <f ca="1">H100*50%</f>
        <v>3.5</v>
      </c>
    </row>
    <row r="104" spans="1:10" x14ac:dyDescent="0.35">
      <c r="A104" s="91" t="s">
        <v>49</v>
      </c>
      <c r="B104" s="91"/>
      <c r="C104" s="70">
        <f ca="1">J105</f>
        <v>1.75</v>
      </c>
      <c r="D104" s="43">
        <f ca="1">((100/H100)*C104)/100</f>
        <v>0.25</v>
      </c>
      <c r="E104" s="183"/>
      <c r="F104" s="183"/>
      <c r="G104" s="183"/>
      <c r="H104" s="183"/>
      <c r="I104" s="3" t="s">
        <v>99</v>
      </c>
      <c r="J104" s="19">
        <f ca="1">H100</f>
        <v>7</v>
      </c>
    </row>
    <row r="105" spans="1:10" ht="15.75" customHeight="1" x14ac:dyDescent="0.35">
      <c r="A105" s="91" t="s">
        <v>117</v>
      </c>
      <c r="B105" s="91"/>
      <c r="C105" s="71">
        <v>0</v>
      </c>
      <c r="D105" s="43">
        <f ca="1">((100/(D100+F100+H100))*C105)/100</f>
        <v>0</v>
      </c>
      <c r="E105" s="183"/>
      <c r="F105" s="183"/>
      <c r="G105" s="183"/>
      <c r="H105" s="183"/>
      <c r="I105" s="3" t="s">
        <v>100</v>
      </c>
      <c r="J105" s="20">
        <f ca="1">(IF(B100&gt;1,(H100/(B100+2)),H100/4))</f>
        <v>1.75</v>
      </c>
    </row>
    <row r="106" spans="1:10" ht="15.75" customHeight="1" x14ac:dyDescent="0.35">
      <c r="A106" s="91" t="s">
        <v>124</v>
      </c>
      <c r="B106" s="91" t="s">
        <v>118</v>
      </c>
      <c r="C106" s="71">
        <v>0</v>
      </c>
      <c r="D106" s="43">
        <f ca="1">((100/H100)*C106)/100</f>
        <v>0</v>
      </c>
      <c r="E106" s="183"/>
      <c r="F106" s="183"/>
      <c r="G106" s="183"/>
      <c r="H106" s="183"/>
      <c r="I106" s="3" t="s">
        <v>101</v>
      </c>
      <c r="J106" s="20">
        <f ca="1">(IF(B100&gt;1,(H100/(B100+2)+J105),H100/4+J105))</f>
        <v>3.5</v>
      </c>
    </row>
    <row r="107" spans="1:10" ht="15.75" customHeight="1" x14ac:dyDescent="0.35">
      <c r="A107" s="91" t="s">
        <v>125</v>
      </c>
      <c r="B107" s="91" t="s">
        <v>118</v>
      </c>
      <c r="C107" s="71">
        <v>0</v>
      </c>
      <c r="D107" s="43">
        <f ca="1">((100/H100)*C107)/100</f>
        <v>0</v>
      </c>
      <c r="E107" s="183"/>
      <c r="F107" s="183"/>
      <c r="G107" s="183"/>
      <c r="H107" s="183"/>
      <c r="I107" s="3" t="s">
        <v>134</v>
      </c>
      <c r="J107" s="20">
        <f>(IF(B100&gt;1,(H100/(B100+2)+J106),0))</f>
        <v>0</v>
      </c>
    </row>
    <row r="108" spans="1:10" ht="15" customHeight="1" x14ac:dyDescent="0.35">
      <c r="A108" s="91" t="s">
        <v>123</v>
      </c>
      <c r="B108" s="91" t="s">
        <v>120</v>
      </c>
      <c r="C108" s="71">
        <v>0</v>
      </c>
      <c r="D108" s="43">
        <f ca="1">((100/(H100))*C108)/100</f>
        <v>0</v>
      </c>
      <c r="E108" s="183"/>
      <c r="F108" s="183"/>
      <c r="G108" s="183"/>
      <c r="H108" s="183"/>
      <c r="I108" s="3" t="s">
        <v>131</v>
      </c>
      <c r="J108" s="20">
        <f>(IF(B100&gt;2,(H100/(B100+2)+J107),0))</f>
        <v>0</v>
      </c>
    </row>
    <row r="109" spans="1:10" ht="15.75" customHeight="1" x14ac:dyDescent="0.35">
      <c r="A109" s="91" t="s">
        <v>119</v>
      </c>
      <c r="B109" s="91" t="s">
        <v>119</v>
      </c>
      <c r="C109" s="71">
        <v>0</v>
      </c>
      <c r="D109" s="43">
        <f ca="1">((100/H100)*C109)/100</f>
        <v>0</v>
      </c>
      <c r="E109" s="183"/>
      <c r="F109" s="183"/>
      <c r="G109" s="183"/>
      <c r="H109" s="183"/>
      <c r="I109" s="3" t="s">
        <v>132</v>
      </c>
      <c r="J109" s="21">
        <f>(IF(B100&gt;3,(H100/(B100+2)+J108),0))</f>
        <v>0</v>
      </c>
    </row>
    <row r="110" spans="1:10" ht="15.75" customHeight="1" x14ac:dyDescent="0.35">
      <c r="A110" s="91" t="s">
        <v>126</v>
      </c>
      <c r="B110" s="91"/>
      <c r="C110" s="71">
        <v>0</v>
      </c>
      <c r="D110" s="43">
        <f ca="1">((100/H100)*C110)/100</f>
        <v>0</v>
      </c>
      <c r="E110" s="183"/>
      <c r="F110" s="183"/>
      <c r="G110" s="183"/>
      <c r="H110" s="183"/>
      <c r="I110" s="3" t="s">
        <v>133</v>
      </c>
      <c r="J110" s="20">
        <f>(IF(B100&gt;4,(H100/(B100+2)+J109),0))</f>
        <v>0</v>
      </c>
    </row>
    <row r="111" spans="1:10" ht="15.75" customHeight="1" x14ac:dyDescent="0.35">
      <c r="A111" s="91" t="s">
        <v>121</v>
      </c>
      <c r="B111" s="91" t="s">
        <v>121</v>
      </c>
      <c r="C111" s="71">
        <v>0</v>
      </c>
      <c r="D111" s="43">
        <f ca="1">((100/(H100))*C111)/100</f>
        <v>0</v>
      </c>
      <c r="E111" s="183"/>
      <c r="F111" s="183"/>
      <c r="G111" s="183"/>
      <c r="H111" s="183"/>
      <c r="I111" s="3" t="s">
        <v>135</v>
      </c>
      <c r="J111" s="20">
        <f ca="1">(IF(B100=1,(H100/(B100+3)+J106),IF(B100=0,(H100/4+J106),IF(B100&gt;1,0))))</f>
        <v>5.25</v>
      </c>
    </row>
    <row r="112" spans="1:10" ht="16" thickBot="1" x14ac:dyDescent="0.4">
      <c r="A112" s="91" t="s">
        <v>122</v>
      </c>
      <c r="B112" s="91"/>
      <c r="C112" s="71">
        <v>0</v>
      </c>
      <c r="D112" s="43">
        <f ca="1">((100/(H100))*C112)/100</f>
        <v>0</v>
      </c>
      <c r="E112" s="183"/>
      <c r="F112" s="183"/>
      <c r="G112" s="183"/>
      <c r="H112" s="183"/>
      <c r="I112" s="4" t="s">
        <v>102</v>
      </c>
      <c r="J112" s="22">
        <f ca="1">(IF(B100&gt;1.5,(H100/(B100+2)+J106+MAX(0,J107-J106)+MAX(0,J108-J107)+MAX(0,J109-J108)+MAX(0,J110-J109)+MAX(0,J111-J110)),IF(B100=1,(H100/(B100+3)+J111),IF(B100=0,H100/4+J111))))</f>
        <v>7</v>
      </c>
    </row>
    <row r="113" spans="1:10" ht="15.75" customHeight="1" x14ac:dyDescent="0.35">
      <c r="A113" s="198" t="s">
        <v>128</v>
      </c>
      <c r="B113" s="198"/>
      <c r="C113" s="198" t="s">
        <v>242</v>
      </c>
      <c r="D113" s="198"/>
      <c r="E113" s="198"/>
      <c r="F113" s="198"/>
      <c r="G113" s="198"/>
      <c r="H113" s="198"/>
      <c r="I113" s="75" t="str">
        <f ca="1">IF(D126=100%,"All work Completed. Possession granted to the Building.",IF(D125=100%,"All work Completed, Waiting for OC",I114&amp;""&amp;I115&amp;""&amp;J114&amp;""&amp;J113&amp;" "&amp;J115))</f>
        <v xml:space="preserve">Excavation Completed, Footing work Completed </v>
      </c>
      <c r="J113" s="34" t="str">
        <f ca="1">(IF(C119=(D114+F114+H114),"",IF(C119&gt;0,", RCC upto "&amp;C119&amp;" Slab","")))&amp;(IF(C120=H114,"",IF(C120&gt;0,", Brickwork upto "&amp;C120&amp;" Floor","")))&amp;(IF(C121=H114,"",IF(C121&gt;0,", Internal Plaster upto "&amp;C121&amp;" Floor","")))&amp;(IF(C122=H114,"",IF(C122&gt;0,", External Plaster upto "&amp;C122&amp;" Floor","")))&amp;(IF(C123=H114,"",IF(C123&gt;0,", Flooring upto "&amp;C123&amp;" Floor","")))&amp;(IF(C124=H114,"",IF(C124&gt;0,", Painting upto "&amp;C124&amp;" Floor","")))&amp;(IF(C125=H114,"",IF(C125&gt;0,", Finishing upto "&amp;C125&amp;" Floor","")))&amp;(IF(C126=H114,"",IF(C126&gt;0,", Possession upto "&amp;C126&amp;" Floor","")))</f>
        <v/>
      </c>
    </row>
    <row r="114" spans="1:10" x14ac:dyDescent="0.35">
      <c r="A114" s="72" t="s">
        <v>130</v>
      </c>
      <c r="B114" s="72">
        <v>0</v>
      </c>
      <c r="C114" s="72" t="s">
        <v>71</v>
      </c>
      <c r="D114" s="72">
        <v>1</v>
      </c>
      <c r="E114" s="72" t="s">
        <v>70</v>
      </c>
      <c r="F114" s="72">
        <v>0</v>
      </c>
      <c r="G114" s="72" t="s">
        <v>80</v>
      </c>
      <c r="H114" s="72">
        <f ca="1">--TRIM(RIGHT(SUBSTITUTE(LEFT(C113,_xlfn.AGGREGATE(16,6,FIND({0,1,2,3,4,5,6,7,8,9},C113,ROW(INDIRECT("1:"&amp;LEN(C113)))),1))," ",REPT(" ",LEN(C113))),LEN(C113)))</f>
        <v>7</v>
      </c>
      <c r="I114" s="76" t="str">
        <f ca="1">IF(D117=100%,"Excavation","")&amp;IF(D118=100%,", Plinth","")&amp;IF(D119=100%,", RCC Slab","")&amp;IF(D120=100%,", Brickwork","")&amp;IF(D121=100%,", Internal Plaster","")&amp;IF(D122=100%,", External Plaster","")&amp;IF(D123=100%,", Flooring","")&amp;IF(D124=100%,", Painting","")&amp;IF(D125=100%,", Building common Amenities","")</f>
        <v>Excavation</v>
      </c>
      <c r="J114" s="36" t="str">
        <f ca="1">(IF(C117=0,"Work not yet Started.",IF(D117=25%,"Piling work in process",IF(D117=50%,"Excavation work in process",IF(D117=100%,"","0")))))&amp;(IF(C118=0%,"",IF(C118=J119,", Footing work is process",IF(C118=J120,", Footing work Completed",IF(C118=J121,", 1st Basement Completed",IF(C118=J122,", 1st &amp; 2nd Basement Completed",IF(C118=J123,", 1st to 3rd Basement Completed",IF(C118=J124,", 1st to 4th Basement Completed",IF(C118=J125,", Plinth work is process",IF(C118=J126,"","0"))))))))))</f>
        <v>, Footing work Completed</v>
      </c>
    </row>
    <row r="115" spans="1:10" x14ac:dyDescent="0.35">
      <c r="A115" s="146" t="s">
        <v>90</v>
      </c>
      <c r="B115" s="146"/>
      <c r="C115" s="147" t="str">
        <f ca="1">(IF($G$56="NA",I113,"All work Completed. OC Received."))</f>
        <v xml:space="preserve">Excavation Completed, Footing work Completed </v>
      </c>
      <c r="D115" s="147"/>
      <c r="E115" s="147"/>
      <c r="F115" s="147"/>
      <c r="G115" s="147"/>
      <c r="H115" s="147"/>
      <c r="I115" s="76" t="str">
        <f ca="1">IF(I114&lt;&gt;""," Completed","")</f>
        <v xml:space="preserve"> Completed</v>
      </c>
      <c r="J115" s="36" t="str">
        <f ca="1">IF(J113&lt;&gt;"","Completed","")</f>
        <v/>
      </c>
    </row>
    <row r="116" spans="1:10" ht="15.75" customHeight="1" x14ac:dyDescent="0.35">
      <c r="A116" s="185" t="s">
        <v>48</v>
      </c>
      <c r="B116" s="91"/>
      <c r="C116" s="68" t="s">
        <v>127</v>
      </c>
      <c r="D116" s="68" t="s">
        <v>83</v>
      </c>
      <c r="E116" s="91" t="s">
        <v>85</v>
      </c>
      <c r="F116" s="91"/>
      <c r="G116" s="91" t="s">
        <v>84</v>
      </c>
      <c r="H116" s="180"/>
      <c r="I116" s="3" t="s">
        <v>129</v>
      </c>
      <c r="J116" s="18">
        <f ca="1">H114*25%</f>
        <v>1.75</v>
      </c>
    </row>
    <row r="117" spans="1:10" x14ac:dyDescent="0.35">
      <c r="A117" s="185" t="s">
        <v>116</v>
      </c>
      <c r="B117" s="91"/>
      <c r="C117" s="68">
        <f ca="1">J118</f>
        <v>7</v>
      </c>
      <c r="D117" s="43">
        <f ca="1">((100/H114)*C117)/100</f>
        <v>1</v>
      </c>
      <c r="E117" s="199">
        <f ca="1">(((C118/H114*10)+(40/(D114+F114+H114)*C119)+(7.5/(H114)*C120)+(7.5/(H114)*C121)+(10/H114*C122)+(10/H114*C123)+(5/H114*C124)+(5/H114*C125)+(5/H114*C126))/100)</f>
        <v>0.05</v>
      </c>
      <c r="F117" s="200"/>
      <c r="G117" s="199">
        <f ca="1">((((C117/H114)*20)+((C118/H114)*25)+(30/(H114+F114+D114)*C119)+(5/H114*C120)+(5/H114*C121)+(5/H114*C122)+(5/H114*C123)+(0/H114*C124)+(0/H114*C125)+(5/H114*C126))/100)</f>
        <v>0.32500000000000001</v>
      </c>
      <c r="H117" s="205"/>
      <c r="I117" s="3" t="s">
        <v>98</v>
      </c>
      <c r="J117" s="19">
        <f ca="1">H114*50%</f>
        <v>3.5</v>
      </c>
    </row>
    <row r="118" spans="1:10" x14ac:dyDescent="0.35">
      <c r="A118" s="185" t="s">
        <v>49</v>
      </c>
      <c r="B118" s="91"/>
      <c r="C118" s="70">
        <f ca="1">J120</f>
        <v>3.5</v>
      </c>
      <c r="D118" s="43">
        <f ca="1">((100/H114)*C118)/100</f>
        <v>0.5</v>
      </c>
      <c r="E118" s="201"/>
      <c r="F118" s="202"/>
      <c r="G118" s="201"/>
      <c r="H118" s="206"/>
      <c r="I118" s="3" t="s">
        <v>99</v>
      </c>
      <c r="J118" s="19">
        <f ca="1">H114</f>
        <v>7</v>
      </c>
    </row>
    <row r="119" spans="1:10" ht="15.75" customHeight="1" x14ac:dyDescent="0.35">
      <c r="A119" s="185" t="s">
        <v>117</v>
      </c>
      <c r="B119" s="91"/>
      <c r="C119" s="68">
        <v>0</v>
      </c>
      <c r="D119" s="43">
        <f ca="1">((100/(D114+F114+H114))*C119)/100</f>
        <v>0</v>
      </c>
      <c r="E119" s="201"/>
      <c r="F119" s="202"/>
      <c r="G119" s="201"/>
      <c r="H119" s="206"/>
      <c r="I119" s="3" t="s">
        <v>100</v>
      </c>
      <c r="J119" s="20">
        <f ca="1">(IF(B114&gt;1,(H114/(B114+2)),H114/4))</f>
        <v>1.75</v>
      </c>
    </row>
    <row r="120" spans="1:10" ht="15.75" customHeight="1" x14ac:dyDescent="0.35">
      <c r="A120" s="185" t="s">
        <v>124</v>
      </c>
      <c r="B120" s="91" t="s">
        <v>118</v>
      </c>
      <c r="C120" s="68">
        <v>0</v>
      </c>
      <c r="D120" s="43">
        <f ca="1">((100/H114)*C120)/100</f>
        <v>0</v>
      </c>
      <c r="E120" s="201"/>
      <c r="F120" s="202"/>
      <c r="G120" s="201"/>
      <c r="H120" s="206"/>
      <c r="I120" s="3" t="s">
        <v>101</v>
      </c>
      <c r="J120" s="20">
        <f ca="1">(IF(B114&gt;1,(H114/(B114+2)+J119),H114/4+J119))</f>
        <v>3.5</v>
      </c>
    </row>
    <row r="121" spans="1:10" ht="15.75" customHeight="1" x14ac:dyDescent="0.35">
      <c r="A121" s="185" t="s">
        <v>125</v>
      </c>
      <c r="B121" s="91" t="s">
        <v>118</v>
      </c>
      <c r="C121" s="68">
        <v>0</v>
      </c>
      <c r="D121" s="43">
        <f ca="1">((100/H114)*C121)/100</f>
        <v>0</v>
      </c>
      <c r="E121" s="201"/>
      <c r="F121" s="202"/>
      <c r="G121" s="201"/>
      <c r="H121" s="206"/>
      <c r="I121" s="3" t="s">
        <v>134</v>
      </c>
      <c r="J121" s="20">
        <f>(IF(B114&gt;1,(H114/(B114+2)+J120),0))</f>
        <v>0</v>
      </c>
    </row>
    <row r="122" spans="1:10" ht="15" customHeight="1" x14ac:dyDescent="0.35">
      <c r="A122" s="185" t="s">
        <v>123</v>
      </c>
      <c r="B122" s="91" t="s">
        <v>120</v>
      </c>
      <c r="C122" s="68">
        <v>0</v>
      </c>
      <c r="D122" s="43">
        <f ca="1">((100/(H114))*C122)/100</f>
        <v>0</v>
      </c>
      <c r="E122" s="201"/>
      <c r="F122" s="202"/>
      <c r="G122" s="201"/>
      <c r="H122" s="206"/>
      <c r="I122" s="3" t="s">
        <v>131</v>
      </c>
      <c r="J122" s="20">
        <f>(IF(B114&gt;2,(H114/(B114+2)+J121),0))</f>
        <v>0</v>
      </c>
    </row>
    <row r="123" spans="1:10" ht="15.75" customHeight="1" x14ac:dyDescent="0.35">
      <c r="A123" s="185" t="s">
        <v>119</v>
      </c>
      <c r="B123" s="91" t="s">
        <v>119</v>
      </c>
      <c r="C123" s="68">
        <v>0</v>
      </c>
      <c r="D123" s="43">
        <f ca="1">((100/H114)*C123)/100</f>
        <v>0</v>
      </c>
      <c r="E123" s="201"/>
      <c r="F123" s="202"/>
      <c r="G123" s="201"/>
      <c r="H123" s="206"/>
      <c r="I123" s="3" t="s">
        <v>132</v>
      </c>
      <c r="J123" s="21">
        <f>(IF(B114&gt;3,(H114/(B114+2)+J122),0))</f>
        <v>0</v>
      </c>
    </row>
    <row r="124" spans="1:10" ht="15.75" customHeight="1" x14ac:dyDescent="0.35">
      <c r="A124" s="185" t="s">
        <v>126</v>
      </c>
      <c r="B124" s="91"/>
      <c r="C124" s="68">
        <v>0</v>
      </c>
      <c r="D124" s="43">
        <f ca="1">((100/H114)*C124)/100</f>
        <v>0</v>
      </c>
      <c r="E124" s="201"/>
      <c r="F124" s="202"/>
      <c r="G124" s="201"/>
      <c r="H124" s="206"/>
      <c r="I124" s="3" t="s">
        <v>133</v>
      </c>
      <c r="J124" s="20">
        <f>(IF(B114&gt;4,(H114/(B114+2)+J123),0))</f>
        <v>0</v>
      </c>
    </row>
    <row r="125" spans="1:10" ht="15.75" customHeight="1" x14ac:dyDescent="0.35">
      <c r="A125" s="185" t="s">
        <v>121</v>
      </c>
      <c r="B125" s="91" t="s">
        <v>121</v>
      </c>
      <c r="C125" s="68">
        <v>0</v>
      </c>
      <c r="D125" s="43">
        <f ca="1">((100/(H114))*C125)/100</f>
        <v>0</v>
      </c>
      <c r="E125" s="201"/>
      <c r="F125" s="202"/>
      <c r="G125" s="201"/>
      <c r="H125" s="206"/>
      <c r="I125" s="3" t="s">
        <v>135</v>
      </c>
      <c r="J125" s="20">
        <f ca="1">(IF(B114=1,(H114/(B114+3)+J120),IF(B114=0,(H114/4+J120),IF(B114&gt;1,0))))</f>
        <v>5.25</v>
      </c>
    </row>
    <row r="126" spans="1:10" ht="16" thickBot="1" x14ac:dyDescent="0.4">
      <c r="A126" s="208" t="s">
        <v>122</v>
      </c>
      <c r="B126" s="209"/>
      <c r="C126" s="69">
        <v>0</v>
      </c>
      <c r="D126" s="44">
        <f ca="1">((100/(H114))*C126)/100</f>
        <v>0</v>
      </c>
      <c r="E126" s="203"/>
      <c r="F126" s="204"/>
      <c r="G126" s="203"/>
      <c r="H126" s="207"/>
      <c r="I126" s="4" t="s">
        <v>102</v>
      </c>
      <c r="J126" s="22">
        <f ca="1">(IF(B114&gt;1.5,(H114/(B114+2)+J120+MAX(0,J121-J120)+MAX(0,J122-J121)+MAX(0,J123-J122)+MAX(0,J124-J123)+MAX(0,J125-J124)),IF(B114=1,(H114/(B114+3)+J125),IF(B114=0,H114/4+J125))))</f>
        <v>7</v>
      </c>
    </row>
    <row r="127" spans="1:10" x14ac:dyDescent="0.35">
      <c r="A127" s="143" t="s">
        <v>144</v>
      </c>
      <c r="B127" s="143"/>
      <c r="C127" s="143"/>
      <c r="D127" s="143"/>
      <c r="E127" s="143"/>
      <c r="F127" s="184" t="s">
        <v>148</v>
      </c>
      <c r="G127" s="184"/>
      <c r="H127" s="184"/>
    </row>
    <row r="128" spans="1:10" x14ac:dyDescent="0.35">
      <c r="A128" s="87" t="s">
        <v>147</v>
      </c>
      <c r="B128" s="87"/>
      <c r="C128" s="87"/>
      <c r="D128" s="87"/>
      <c r="E128" s="87"/>
      <c r="F128" s="99">
        <v>4500</v>
      </c>
      <c r="G128" s="99"/>
      <c r="H128" s="99"/>
    </row>
    <row r="129" spans="1:8" x14ac:dyDescent="0.35">
      <c r="A129" s="87" t="s">
        <v>146</v>
      </c>
      <c r="B129" s="87"/>
      <c r="C129" s="87"/>
      <c r="D129" s="87"/>
      <c r="E129" s="87"/>
      <c r="F129" s="99">
        <v>8000</v>
      </c>
      <c r="G129" s="99"/>
      <c r="H129" s="99"/>
    </row>
    <row r="130" spans="1:8" s="23" customFormat="1" hidden="1" x14ac:dyDescent="0.3">
      <c r="A130" s="87" t="s">
        <v>145</v>
      </c>
      <c r="B130" s="87"/>
      <c r="C130" s="87"/>
      <c r="D130" s="87"/>
      <c r="E130" s="87"/>
      <c r="F130" s="144"/>
      <c r="G130" s="144"/>
      <c r="H130" s="144"/>
    </row>
    <row r="131" spans="1:8" s="23" customFormat="1" x14ac:dyDescent="0.3">
      <c r="A131" s="87" t="s">
        <v>186</v>
      </c>
      <c r="B131" s="87"/>
      <c r="C131" s="87"/>
      <c r="D131" s="87"/>
      <c r="E131" s="87"/>
      <c r="F131" s="99">
        <v>200000</v>
      </c>
      <c r="G131" s="99"/>
      <c r="H131" s="99"/>
    </row>
    <row r="132" spans="1:8" s="23" customFormat="1" x14ac:dyDescent="0.3">
      <c r="A132" s="87" t="s">
        <v>185</v>
      </c>
      <c r="B132" s="87"/>
      <c r="C132" s="87"/>
      <c r="D132" s="87"/>
      <c r="E132" s="87"/>
      <c r="F132" s="99">
        <v>100000</v>
      </c>
      <c r="G132" s="99"/>
      <c r="H132" s="99"/>
    </row>
    <row r="133" spans="1:8" s="23" customFormat="1" x14ac:dyDescent="0.3">
      <c r="A133" s="87" t="s">
        <v>205</v>
      </c>
      <c r="B133" s="87"/>
      <c r="C133" s="87"/>
      <c r="D133" s="87"/>
      <c r="E133" s="87"/>
      <c r="F133" s="99">
        <v>10000</v>
      </c>
      <c r="G133" s="99"/>
      <c r="H133" s="99"/>
    </row>
    <row r="134" spans="1:8" s="23" customFormat="1" hidden="1" x14ac:dyDescent="0.3">
      <c r="A134" s="87" t="s">
        <v>95</v>
      </c>
      <c r="B134" s="87"/>
      <c r="C134" s="87"/>
      <c r="D134" s="87"/>
      <c r="E134" s="87"/>
      <c r="F134" s="144"/>
      <c r="G134" s="144"/>
      <c r="H134" s="144"/>
    </row>
    <row r="135" spans="1:8" s="23" customFormat="1" hidden="1" x14ac:dyDescent="0.3">
      <c r="A135" s="87" t="s">
        <v>96</v>
      </c>
      <c r="B135" s="87"/>
      <c r="C135" s="87"/>
      <c r="D135" s="87"/>
      <c r="E135" s="87"/>
      <c r="F135" s="144"/>
      <c r="G135" s="144"/>
      <c r="H135" s="144"/>
    </row>
    <row r="136" spans="1:8" s="23" customFormat="1" x14ac:dyDescent="0.3">
      <c r="A136" s="87" t="s">
        <v>97</v>
      </c>
      <c r="B136" s="87"/>
      <c r="C136" s="87"/>
      <c r="D136" s="87"/>
      <c r="E136" s="87"/>
      <c r="F136" s="99">
        <v>25000</v>
      </c>
      <c r="G136" s="99"/>
      <c r="H136" s="99"/>
    </row>
    <row r="137" spans="1:8" s="23" customFormat="1" x14ac:dyDescent="0.3">
      <c r="A137" s="87" t="s">
        <v>187</v>
      </c>
      <c r="B137" s="87"/>
      <c r="C137" s="87"/>
      <c r="D137" s="87"/>
      <c r="E137" s="87"/>
      <c r="F137" s="99">
        <v>50000</v>
      </c>
      <c r="G137" s="99"/>
      <c r="H137" s="99"/>
    </row>
    <row r="138" spans="1:8" x14ac:dyDescent="0.35">
      <c r="A138" s="87" t="s">
        <v>50</v>
      </c>
      <c r="B138" s="87"/>
      <c r="C138" s="87"/>
      <c r="D138" s="87"/>
      <c r="E138" s="87"/>
      <c r="F138" s="99">
        <v>150000</v>
      </c>
      <c r="G138" s="99"/>
      <c r="H138" s="99"/>
    </row>
    <row r="139" spans="1:8" s="24" customFormat="1" x14ac:dyDescent="0.35">
      <c r="A139" s="136" t="s">
        <v>51</v>
      </c>
      <c r="B139" s="136"/>
      <c r="C139" s="136"/>
      <c r="D139" s="136"/>
      <c r="E139" s="136"/>
      <c r="F139" s="99">
        <f>F128*0.8</f>
        <v>3600</v>
      </c>
      <c r="G139" s="99"/>
      <c r="H139" s="99"/>
    </row>
    <row r="140" spans="1:8" s="25" customFormat="1" ht="15.75" customHeight="1" x14ac:dyDescent="0.35">
      <c r="A140" s="110" t="s">
        <v>75</v>
      </c>
      <c r="B140" s="110"/>
      <c r="C140" s="110"/>
      <c r="D140" s="110"/>
      <c r="E140" s="110"/>
      <c r="F140" s="110"/>
      <c r="G140" s="110"/>
      <c r="H140" s="110"/>
    </row>
    <row r="141" spans="1:8" s="25" customFormat="1" ht="15.75" customHeight="1" x14ac:dyDescent="0.35">
      <c r="A141" s="81" t="s">
        <v>52</v>
      </c>
      <c r="B141" s="81"/>
      <c r="C141" s="129" t="s">
        <v>78</v>
      </c>
      <c r="D141" s="129"/>
      <c r="E141" s="133" t="s">
        <v>53</v>
      </c>
      <c r="F141" s="133"/>
      <c r="G141" s="81" t="s">
        <v>54</v>
      </c>
      <c r="H141" s="81"/>
    </row>
    <row r="142" spans="1:8" s="25" customFormat="1" x14ac:dyDescent="0.35">
      <c r="A142" s="195" t="s">
        <v>214</v>
      </c>
      <c r="B142" s="55" t="s">
        <v>170</v>
      </c>
      <c r="C142" s="130">
        <f>COUNT(D160:D166)</f>
        <v>7</v>
      </c>
      <c r="D142" s="131"/>
      <c r="E142" s="100">
        <f>SUM(D160:D166)</f>
        <v>1648.66806</v>
      </c>
      <c r="F142" s="101"/>
      <c r="G142" s="100">
        <f>SUM(F160:F166)</f>
        <v>3545</v>
      </c>
      <c r="H142" s="101"/>
    </row>
    <row r="143" spans="1:8" s="25" customFormat="1" x14ac:dyDescent="0.35">
      <c r="A143" s="196"/>
      <c r="B143" s="55" t="s">
        <v>177</v>
      </c>
      <c r="C143" s="130">
        <f>COUNT(D169:D180)</f>
        <v>12</v>
      </c>
      <c r="D143" s="131"/>
      <c r="E143" s="100">
        <f>SUM(D169:D180)</f>
        <v>2924.0728919999992</v>
      </c>
      <c r="F143" s="101"/>
      <c r="G143" s="100">
        <f>SUM(F169:F180)</f>
        <v>6360</v>
      </c>
      <c r="H143" s="101"/>
    </row>
    <row r="144" spans="1:8" s="25" customFormat="1" x14ac:dyDescent="0.35">
      <c r="A144" s="197"/>
      <c r="B144" s="55" t="s">
        <v>179</v>
      </c>
      <c r="C144" s="130">
        <f>COUNT(D183:D189)</f>
        <v>7</v>
      </c>
      <c r="D144" s="131"/>
      <c r="E144" s="100">
        <f>SUM(D183:D189)</f>
        <v>1613.4913079999999</v>
      </c>
      <c r="F144" s="101"/>
      <c r="G144" s="100">
        <f>SUM(F183:F189)</f>
        <v>3480</v>
      </c>
      <c r="H144" s="101"/>
    </row>
    <row r="145" spans="1:14" s="25" customFormat="1" x14ac:dyDescent="0.35">
      <c r="A145" s="110" t="s">
        <v>137</v>
      </c>
      <c r="B145" s="110"/>
      <c r="C145" s="128">
        <f>SUM(C142:C144)</f>
        <v>26</v>
      </c>
      <c r="D145" s="129"/>
      <c r="E145" s="80">
        <f>SUM(E142:E144)</f>
        <v>6186.2322599999989</v>
      </c>
      <c r="F145" s="133"/>
      <c r="G145" s="81">
        <f>SUM(G142:G144)</f>
        <v>13385</v>
      </c>
      <c r="H145" s="81"/>
    </row>
    <row r="146" spans="1:14" s="25" customFormat="1" x14ac:dyDescent="0.35">
      <c r="A146" s="110" t="s">
        <v>69</v>
      </c>
      <c r="B146" s="110"/>
      <c r="C146" s="110"/>
      <c r="D146" s="110"/>
      <c r="E146" s="110"/>
      <c r="F146" s="110"/>
      <c r="G146" s="110"/>
      <c r="H146" s="110"/>
    </row>
    <row r="147" spans="1:14" s="25" customFormat="1" ht="15.75" customHeight="1" x14ac:dyDescent="0.35">
      <c r="A147" s="81" t="s">
        <v>52</v>
      </c>
      <c r="B147" s="81"/>
      <c r="C147" s="129" t="s">
        <v>78</v>
      </c>
      <c r="D147" s="129"/>
      <c r="E147" s="133" t="s">
        <v>53</v>
      </c>
      <c r="F147" s="133"/>
      <c r="G147" s="81" t="s">
        <v>54</v>
      </c>
      <c r="H147" s="81"/>
    </row>
    <row r="148" spans="1:14" s="25" customFormat="1" x14ac:dyDescent="0.35">
      <c r="A148" s="195" t="s">
        <v>214</v>
      </c>
      <c r="B148" s="55" t="s">
        <v>170</v>
      </c>
      <c r="C148" s="130">
        <f>COUNT(D196:D201)+COUNT(D203:D208)*6</f>
        <v>42</v>
      </c>
      <c r="D148" s="130"/>
      <c r="E148" s="100">
        <f>SUM(D196:D201)+SUM(D203:D208)*6</f>
        <v>20568.120299999995</v>
      </c>
      <c r="F148" s="100"/>
      <c r="G148" s="100">
        <f>SUM(F196:F201)+SUM(F203:F208)*6</f>
        <v>30225</v>
      </c>
      <c r="H148" s="100"/>
      <c r="K148" s="25" t="s">
        <v>217</v>
      </c>
    </row>
    <row r="149" spans="1:14" s="25" customFormat="1" x14ac:dyDescent="0.35">
      <c r="A149" s="196"/>
      <c r="B149" s="55" t="s">
        <v>177</v>
      </c>
      <c r="C149" s="130">
        <f>COUNT(D213:D218)+COUNT(D220:D225)*6</f>
        <v>42</v>
      </c>
      <c r="D149" s="130"/>
      <c r="E149" s="100">
        <f>SUM(D213:D218)+SUM(D220:D225)*6</f>
        <v>20568.120299999999</v>
      </c>
      <c r="F149" s="100"/>
      <c r="G149" s="100">
        <f>SUM(F213:F218)+SUM(F220:F225)*6</f>
        <v>30515</v>
      </c>
      <c r="H149" s="100"/>
      <c r="K149" s="25" t="s">
        <v>218</v>
      </c>
      <c r="L149" s="25" t="s">
        <v>221</v>
      </c>
    </row>
    <row r="150" spans="1:14" s="25" customFormat="1" x14ac:dyDescent="0.35">
      <c r="A150" s="196"/>
      <c r="B150" s="55" t="s">
        <v>179</v>
      </c>
      <c r="C150" s="130">
        <f>COUNT(D230:D235)+COUNT(D237:D242)*6</f>
        <v>42</v>
      </c>
      <c r="D150" s="130"/>
      <c r="E150" s="100">
        <f>SUM(D230:D235)+SUM(D237:D242)*6</f>
        <v>20568.044951999997</v>
      </c>
      <c r="F150" s="100"/>
      <c r="G150" s="100">
        <f>SUM(F230:F235)+SUM(F237:F242)*6</f>
        <v>30220</v>
      </c>
      <c r="H150" s="100"/>
      <c r="J150" s="25" t="s">
        <v>219</v>
      </c>
      <c r="K150" s="25">
        <v>4500</v>
      </c>
      <c r="L150" s="25">
        <v>4500</v>
      </c>
    </row>
    <row r="151" spans="1:14" s="25" customFormat="1" x14ac:dyDescent="0.35">
      <c r="A151" s="197"/>
      <c r="B151" s="55" t="s">
        <v>181</v>
      </c>
      <c r="C151" s="130">
        <f>COUNT(D247:D252)+COUNT(D254:D259)*6</f>
        <v>42</v>
      </c>
      <c r="D151" s="130"/>
      <c r="E151" s="100">
        <f>SUM(D247:D252)+SUM(D254:D259)*6</f>
        <v>20568.044951999997</v>
      </c>
      <c r="F151" s="100"/>
      <c r="G151" s="100">
        <f>SUM(F247:F252)+SUM(F254:F259)*6</f>
        <v>29960</v>
      </c>
      <c r="H151" s="100"/>
      <c r="J151" s="25" t="s">
        <v>220</v>
      </c>
      <c r="K151" s="25">
        <v>9000</v>
      </c>
    </row>
    <row r="152" spans="1:14" s="25" customFormat="1" x14ac:dyDescent="0.35">
      <c r="A152" s="110" t="s">
        <v>137</v>
      </c>
      <c r="B152" s="110"/>
      <c r="C152" s="128">
        <f>SUM(C148:C151)</f>
        <v>168</v>
      </c>
      <c r="D152" s="129"/>
      <c r="E152" s="80">
        <f>SUM(E148:E151)</f>
        <v>82272.330503999983</v>
      </c>
      <c r="F152" s="80"/>
      <c r="G152" s="81">
        <f>SUM(G148:G151)</f>
        <v>120920</v>
      </c>
      <c r="H152" s="81"/>
    </row>
    <row r="153" spans="1:14" s="25" customFormat="1" x14ac:dyDescent="0.35">
      <c r="A153" s="110" t="s">
        <v>236</v>
      </c>
      <c r="B153" s="110"/>
      <c r="C153" s="128">
        <f>C145+C152</f>
        <v>194</v>
      </c>
      <c r="D153" s="129"/>
      <c r="E153" s="80">
        <f>E145+E152</f>
        <v>88458.562763999988</v>
      </c>
      <c r="F153" s="80"/>
      <c r="G153" s="81">
        <f>G145+G152</f>
        <v>134305</v>
      </c>
      <c r="H153" s="81"/>
    </row>
    <row r="154" spans="1:14" s="24" customFormat="1" x14ac:dyDescent="0.35">
      <c r="A154" s="138" t="s">
        <v>55</v>
      </c>
      <c r="B154" s="138"/>
      <c r="C154" s="138"/>
      <c r="D154" s="138"/>
      <c r="E154" s="138"/>
      <c r="F154" s="138"/>
      <c r="G154" s="138"/>
      <c r="H154" s="138"/>
    </row>
    <row r="155" spans="1:14" x14ac:dyDescent="0.35">
      <c r="A155" s="138" t="s">
        <v>56</v>
      </c>
      <c r="B155" s="138"/>
      <c r="C155" s="138"/>
      <c r="D155" s="138"/>
      <c r="E155" s="138"/>
      <c r="F155" s="138"/>
      <c r="G155" s="138"/>
      <c r="H155" s="138"/>
    </row>
    <row r="156" spans="1:14" ht="47.25" customHeight="1" x14ac:dyDescent="0.35">
      <c r="A156" s="77" t="s">
        <v>108</v>
      </c>
      <c r="B156" s="77" t="s">
        <v>107</v>
      </c>
      <c r="C156" s="77" t="s">
        <v>57</v>
      </c>
      <c r="D156" s="77" t="s">
        <v>58</v>
      </c>
      <c r="E156" s="78" t="s">
        <v>143</v>
      </c>
      <c r="F156" s="79" t="s">
        <v>216</v>
      </c>
      <c r="G156" s="182" t="s">
        <v>60</v>
      </c>
      <c r="H156" s="182"/>
    </row>
    <row r="157" spans="1:14" s="32" customFormat="1" x14ac:dyDescent="0.35">
      <c r="A157" s="132" t="s">
        <v>207</v>
      </c>
      <c r="B157" s="132"/>
      <c r="C157" s="132"/>
      <c r="D157" s="132"/>
      <c r="E157" s="132"/>
      <c r="F157" s="132"/>
      <c r="G157" s="132"/>
      <c r="H157" s="132"/>
      <c r="J157" s="26"/>
    </row>
    <row r="158" spans="1:14" s="38" customFormat="1" x14ac:dyDescent="0.35">
      <c r="A158" s="132" t="s">
        <v>170</v>
      </c>
      <c r="B158" s="132"/>
      <c r="C158" s="132"/>
      <c r="D158" s="132"/>
      <c r="E158" s="132"/>
      <c r="F158" s="132"/>
      <c r="G158" s="132"/>
      <c r="H158" s="132"/>
      <c r="J158" s="26"/>
    </row>
    <row r="159" spans="1:14" s="38" customFormat="1" x14ac:dyDescent="0.35">
      <c r="A159" s="82" t="s">
        <v>171</v>
      </c>
      <c r="B159" s="83"/>
      <c r="C159" s="83"/>
      <c r="D159" s="83"/>
      <c r="E159" s="83"/>
      <c r="F159" s="83"/>
      <c r="G159" s="83"/>
      <c r="H159" s="84"/>
      <c r="J159" s="26"/>
    </row>
    <row r="160" spans="1:14" s="32" customFormat="1" ht="15.75" customHeight="1" x14ac:dyDescent="0.35">
      <c r="A160" s="139">
        <v>1</v>
      </c>
      <c r="B160" s="140"/>
      <c r="C160" s="56" t="s">
        <v>172</v>
      </c>
      <c r="D160" s="57">
        <f>(23.925)*10.764</f>
        <v>257.52870000000001</v>
      </c>
      <c r="E160" s="56">
        <v>0</v>
      </c>
      <c r="F160" s="56">
        <v>550</v>
      </c>
      <c r="G160" s="189" t="str">
        <f>A159</f>
        <v>Ground Floor for Commercial, Parking &amp; Meter Room</v>
      </c>
      <c r="H160" s="190"/>
      <c r="I160" s="26"/>
      <c r="J160" s="32">
        <v>550</v>
      </c>
      <c r="K160" s="46">
        <f>7500*F160</f>
        <v>4125000</v>
      </c>
      <c r="L160" s="181"/>
      <c r="M160" s="181"/>
      <c r="N160" s="26"/>
    </row>
    <row r="161" spans="1:14" s="32" customFormat="1" x14ac:dyDescent="0.35">
      <c r="A161" s="139">
        <f t="shared" ref="A161:A166" si="0">A160+1</f>
        <v>2</v>
      </c>
      <c r="B161" s="140"/>
      <c r="C161" s="56" t="s">
        <v>172</v>
      </c>
      <c r="D161" s="57">
        <f>(23.6)*10.764</f>
        <v>254.03039999999999</v>
      </c>
      <c r="E161" s="56">
        <v>0</v>
      </c>
      <c r="F161" s="56">
        <v>545</v>
      </c>
      <c r="G161" s="191"/>
      <c r="H161" s="192"/>
      <c r="I161" s="26">
        <f>7.65*2.8+5.45*0.4</f>
        <v>23.599999999999998</v>
      </c>
      <c r="J161" s="47">
        <v>545</v>
      </c>
      <c r="K161" s="46">
        <f t="shared" ref="K161:K167" si="1">7500*F161</f>
        <v>4087500</v>
      </c>
      <c r="L161" s="181"/>
      <c r="M161" s="181"/>
      <c r="N161" s="26"/>
    </row>
    <row r="162" spans="1:14" s="32" customFormat="1" x14ac:dyDescent="0.35">
      <c r="A162" s="139">
        <f t="shared" si="0"/>
        <v>3</v>
      </c>
      <c r="B162" s="140"/>
      <c r="C162" s="56" t="s">
        <v>172</v>
      </c>
      <c r="D162" s="57">
        <f>(21.803)*10.764</f>
        <v>234.68749199999999</v>
      </c>
      <c r="E162" s="56">
        <v>0</v>
      </c>
      <c r="F162" s="56">
        <v>505</v>
      </c>
      <c r="G162" s="191"/>
      <c r="H162" s="192"/>
      <c r="I162" s="26">
        <f>7.65*2.85</f>
        <v>21.802500000000002</v>
      </c>
      <c r="J162" s="32">
        <v>505</v>
      </c>
      <c r="K162" s="46">
        <f t="shared" si="1"/>
        <v>3787500</v>
      </c>
      <c r="L162" s="181"/>
      <c r="M162" s="181"/>
      <c r="N162" s="26"/>
    </row>
    <row r="163" spans="1:14" s="32" customFormat="1" x14ac:dyDescent="0.35">
      <c r="A163" s="139">
        <f t="shared" si="0"/>
        <v>4</v>
      </c>
      <c r="B163" s="140"/>
      <c r="C163" s="56" t="s">
        <v>172</v>
      </c>
      <c r="D163" s="57">
        <f>(21.803)*10.764</f>
        <v>234.68749199999999</v>
      </c>
      <c r="E163" s="56">
        <v>0</v>
      </c>
      <c r="F163" s="56">
        <v>505</v>
      </c>
      <c r="G163" s="191"/>
      <c r="H163" s="192"/>
      <c r="I163" s="26"/>
      <c r="J163" s="32">
        <v>505</v>
      </c>
      <c r="K163" s="46">
        <f t="shared" si="1"/>
        <v>3787500</v>
      </c>
      <c r="L163" s="181"/>
      <c r="M163" s="181"/>
      <c r="N163" s="26"/>
    </row>
    <row r="164" spans="1:14" s="38" customFormat="1" x14ac:dyDescent="0.35">
      <c r="A164" s="139">
        <f t="shared" si="0"/>
        <v>5</v>
      </c>
      <c r="B164" s="140"/>
      <c r="C164" s="56" t="s">
        <v>172</v>
      </c>
      <c r="D164" s="57">
        <f>(21.803)*10.764</f>
        <v>234.68749199999999</v>
      </c>
      <c r="E164" s="56">
        <v>0</v>
      </c>
      <c r="F164" s="56">
        <v>505</v>
      </c>
      <c r="G164" s="191"/>
      <c r="H164" s="192"/>
      <c r="I164" s="26"/>
      <c r="J164" s="38">
        <v>505</v>
      </c>
      <c r="K164" s="46">
        <f t="shared" si="1"/>
        <v>3787500</v>
      </c>
      <c r="L164" s="181"/>
      <c r="M164" s="181"/>
      <c r="N164" s="26"/>
    </row>
    <row r="165" spans="1:14" s="38" customFormat="1" x14ac:dyDescent="0.35">
      <c r="A165" s="139">
        <f t="shared" si="0"/>
        <v>6</v>
      </c>
      <c r="B165" s="140"/>
      <c r="C165" s="56" t="s">
        <v>172</v>
      </c>
      <c r="D165" s="57">
        <f>(21.668)*10.764</f>
        <v>233.23435199999997</v>
      </c>
      <c r="E165" s="56">
        <v>0</v>
      </c>
      <c r="F165" s="56">
        <v>500</v>
      </c>
      <c r="G165" s="191"/>
      <c r="H165" s="192"/>
      <c r="I165" s="26"/>
      <c r="J165" s="38">
        <v>500</v>
      </c>
      <c r="K165" s="46">
        <f t="shared" si="1"/>
        <v>3750000</v>
      </c>
      <c r="L165" s="181"/>
      <c r="M165" s="181"/>
      <c r="N165" s="26"/>
    </row>
    <row r="166" spans="1:14" s="38" customFormat="1" x14ac:dyDescent="0.35">
      <c r="A166" s="139">
        <f t="shared" si="0"/>
        <v>7</v>
      </c>
      <c r="B166" s="140"/>
      <c r="C166" s="56" t="s">
        <v>172</v>
      </c>
      <c r="D166" s="57">
        <f>(18.563)*10.764</f>
        <v>199.81213199999996</v>
      </c>
      <c r="E166" s="56">
        <v>0</v>
      </c>
      <c r="F166" s="56">
        <v>435</v>
      </c>
      <c r="G166" s="193"/>
      <c r="H166" s="194"/>
      <c r="I166" s="26">
        <f>(7.65*2.75)*10.764</f>
        <v>226.44765000000001</v>
      </c>
      <c r="J166" s="38">
        <v>435</v>
      </c>
      <c r="K166" s="46">
        <f t="shared" si="1"/>
        <v>3262500</v>
      </c>
      <c r="L166" s="181"/>
      <c r="M166" s="181"/>
      <c r="N166" s="26"/>
    </row>
    <row r="167" spans="1:14" s="38" customFormat="1" x14ac:dyDescent="0.35">
      <c r="A167" s="82" t="s">
        <v>177</v>
      </c>
      <c r="B167" s="83"/>
      <c r="C167" s="83"/>
      <c r="D167" s="83"/>
      <c r="E167" s="83"/>
      <c r="F167" s="83"/>
      <c r="G167" s="83"/>
      <c r="H167" s="84"/>
      <c r="J167" s="26"/>
      <c r="K167" s="46">
        <f t="shared" si="1"/>
        <v>0</v>
      </c>
    </row>
    <row r="168" spans="1:14" s="38" customFormat="1" ht="15.75" customHeight="1" x14ac:dyDescent="0.35">
      <c r="A168" s="82" t="s">
        <v>178</v>
      </c>
      <c r="B168" s="83"/>
      <c r="C168" s="83"/>
      <c r="D168" s="83"/>
      <c r="E168" s="83"/>
      <c r="F168" s="83"/>
      <c r="G168" s="83"/>
      <c r="H168" s="84"/>
      <c r="J168" s="26"/>
      <c r="K168" s="46" t="e">
        <f t="shared" ref="K168:K226" si="2">F168/D168</f>
        <v>#DIV/0!</v>
      </c>
    </row>
    <row r="169" spans="1:14" s="38" customFormat="1" ht="15.75" customHeight="1" x14ac:dyDescent="0.35">
      <c r="A169" s="139">
        <v>8</v>
      </c>
      <c r="B169" s="140"/>
      <c r="C169" s="56" t="s">
        <v>172</v>
      </c>
      <c r="D169" s="57">
        <f>(18.563)*10.764</f>
        <v>199.81213199999996</v>
      </c>
      <c r="E169" s="56">
        <v>0</v>
      </c>
      <c r="F169" s="56">
        <v>435</v>
      </c>
      <c r="G169" s="191" t="str">
        <f>A168</f>
        <v>Ground Floor for Commercial, Parking &amp; Drivers Room</v>
      </c>
      <c r="H169" s="192"/>
      <c r="I169" s="26"/>
      <c r="K169" s="46">
        <f t="shared" si="2"/>
        <v>2.1770449854366203</v>
      </c>
      <c r="L169" s="181"/>
      <c r="M169" s="181"/>
      <c r="N169" s="26"/>
    </row>
    <row r="170" spans="1:14" s="38" customFormat="1" x14ac:dyDescent="0.35">
      <c r="A170" s="139">
        <f t="shared" ref="A170:A180" si="3">A169+1</f>
        <v>9</v>
      </c>
      <c r="B170" s="140"/>
      <c r="C170" s="56" t="s">
        <v>172</v>
      </c>
      <c r="D170" s="57">
        <f>(21.667)*10.764</f>
        <v>233.22358800000001</v>
      </c>
      <c r="E170" s="56">
        <v>0</v>
      </c>
      <c r="F170" s="56">
        <v>500</v>
      </c>
      <c r="G170" s="191"/>
      <c r="H170" s="192"/>
      <c r="I170" s="26"/>
      <c r="K170" s="46">
        <f t="shared" si="2"/>
        <v>2.1438654824228154</v>
      </c>
      <c r="L170" s="181"/>
      <c r="M170" s="181"/>
      <c r="N170" s="26"/>
    </row>
    <row r="171" spans="1:14" s="38" customFormat="1" x14ac:dyDescent="0.35">
      <c r="A171" s="139">
        <f t="shared" si="3"/>
        <v>10</v>
      </c>
      <c r="B171" s="140"/>
      <c r="C171" s="56" t="s">
        <v>172</v>
      </c>
      <c r="D171" s="57">
        <f>(21.802)*10.764</f>
        <v>234.67672799999997</v>
      </c>
      <c r="E171" s="56">
        <v>0</v>
      </c>
      <c r="F171" s="56">
        <v>505</v>
      </c>
      <c r="G171" s="191"/>
      <c r="H171" s="192"/>
      <c r="I171" s="26"/>
      <c r="K171" s="46">
        <f t="shared" si="2"/>
        <v>2.1518963738066095</v>
      </c>
      <c r="L171" s="181"/>
      <c r="M171" s="181"/>
      <c r="N171" s="26"/>
    </row>
    <row r="172" spans="1:14" s="38" customFormat="1" x14ac:dyDescent="0.35">
      <c r="A172" s="139">
        <f t="shared" si="3"/>
        <v>11</v>
      </c>
      <c r="B172" s="140"/>
      <c r="C172" s="56" t="s">
        <v>172</v>
      </c>
      <c r="D172" s="57">
        <f>(21.802)*10.764</f>
        <v>234.67672799999997</v>
      </c>
      <c r="E172" s="56">
        <v>0</v>
      </c>
      <c r="F172" s="56">
        <v>505</v>
      </c>
      <c r="G172" s="191"/>
      <c r="H172" s="192"/>
      <c r="I172" s="26"/>
      <c r="K172" s="46">
        <f t="shared" si="2"/>
        <v>2.1518963738066095</v>
      </c>
      <c r="L172" s="181"/>
      <c r="M172" s="181"/>
      <c r="N172" s="26"/>
    </row>
    <row r="173" spans="1:14" s="38" customFormat="1" x14ac:dyDescent="0.35">
      <c r="A173" s="139">
        <f t="shared" si="3"/>
        <v>12</v>
      </c>
      <c r="B173" s="140"/>
      <c r="C173" s="56" t="s">
        <v>172</v>
      </c>
      <c r="D173" s="57">
        <f>(21.802)*10.764</f>
        <v>234.67672799999997</v>
      </c>
      <c r="E173" s="56">
        <v>0</v>
      </c>
      <c r="F173" s="56">
        <v>505</v>
      </c>
      <c r="G173" s="191"/>
      <c r="H173" s="192"/>
      <c r="I173" s="26"/>
      <c r="K173" s="46">
        <f t="shared" si="2"/>
        <v>2.1518963738066095</v>
      </c>
      <c r="L173" s="181"/>
      <c r="M173" s="181"/>
      <c r="N173" s="26"/>
    </row>
    <row r="174" spans="1:14" s="38" customFormat="1" x14ac:dyDescent="0.35">
      <c r="A174" s="139">
        <f t="shared" si="3"/>
        <v>13</v>
      </c>
      <c r="B174" s="140"/>
      <c r="C174" s="56" t="s">
        <v>172</v>
      </c>
      <c r="D174" s="57">
        <f>(23.6)*10.764</f>
        <v>254.03039999999999</v>
      </c>
      <c r="E174" s="56">
        <v>0</v>
      </c>
      <c r="F174" s="56">
        <v>545</v>
      </c>
      <c r="G174" s="191"/>
      <c r="H174" s="192"/>
      <c r="I174" s="26"/>
      <c r="K174" s="46">
        <f t="shared" si="2"/>
        <v>2.1454125175569541</v>
      </c>
      <c r="L174" s="181"/>
      <c r="M174" s="181"/>
      <c r="N174" s="26"/>
    </row>
    <row r="175" spans="1:14" s="38" customFormat="1" x14ac:dyDescent="0.35">
      <c r="A175" s="139">
        <f t="shared" si="3"/>
        <v>14</v>
      </c>
      <c r="B175" s="140"/>
      <c r="C175" s="56" t="s">
        <v>172</v>
      </c>
      <c r="D175" s="57">
        <f>(41.877)*10.764</f>
        <v>450.764028</v>
      </c>
      <c r="E175" s="56">
        <v>0</v>
      </c>
      <c r="F175" s="56">
        <v>1025</v>
      </c>
      <c r="G175" s="191"/>
      <c r="H175" s="192"/>
      <c r="I175" s="26"/>
      <c r="K175" s="46">
        <f t="shared" si="2"/>
        <v>2.2739170304867362</v>
      </c>
      <c r="L175" s="181"/>
      <c r="M175" s="181"/>
      <c r="N175" s="26"/>
    </row>
    <row r="176" spans="1:14" s="38" customFormat="1" x14ac:dyDescent="0.35">
      <c r="A176" s="139">
        <f t="shared" si="3"/>
        <v>15</v>
      </c>
      <c r="B176" s="140"/>
      <c r="C176" s="56" t="s">
        <v>172</v>
      </c>
      <c r="D176" s="57">
        <f>(15.315)*10.764</f>
        <v>164.85065999999998</v>
      </c>
      <c r="E176" s="56">
        <v>0</v>
      </c>
      <c r="F176" s="56">
        <v>360</v>
      </c>
      <c r="G176" s="191"/>
      <c r="H176" s="192"/>
      <c r="I176" s="26"/>
      <c r="K176" s="46">
        <f t="shared" si="2"/>
        <v>2.1837947145616528</v>
      </c>
      <c r="L176" s="181"/>
      <c r="M176" s="181"/>
      <c r="N176" s="26"/>
    </row>
    <row r="177" spans="1:14" s="38" customFormat="1" x14ac:dyDescent="0.35">
      <c r="A177" s="139">
        <f t="shared" si="3"/>
        <v>16</v>
      </c>
      <c r="B177" s="140"/>
      <c r="C177" s="56" t="s">
        <v>172</v>
      </c>
      <c r="D177" s="57">
        <f>(19.25)*10.764</f>
        <v>207.20699999999999</v>
      </c>
      <c r="E177" s="56">
        <v>0</v>
      </c>
      <c r="F177" s="56">
        <v>450</v>
      </c>
      <c r="G177" s="191"/>
      <c r="H177" s="192"/>
      <c r="I177" s="26"/>
      <c r="K177" s="46">
        <f t="shared" si="2"/>
        <v>2.171741302176085</v>
      </c>
      <c r="L177" s="181"/>
      <c r="M177" s="181"/>
      <c r="N177" s="26"/>
    </row>
    <row r="178" spans="1:14" s="38" customFormat="1" x14ac:dyDescent="0.35">
      <c r="A178" s="139">
        <f t="shared" si="3"/>
        <v>17</v>
      </c>
      <c r="B178" s="140"/>
      <c r="C178" s="56" t="s">
        <v>172</v>
      </c>
      <c r="D178" s="57">
        <f>(27.475)*10.764</f>
        <v>295.74090000000001</v>
      </c>
      <c r="E178" s="56">
        <v>0</v>
      </c>
      <c r="F178" s="56">
        <v>635</v>
      </c>
      <c r="G178" s="191"/>
      <c r="H178" s="192"/>
      <c r="I178" s="26"/>
      <c r="K178" s="46">
        <f t="shared" si="2"/>
        <v>2.1471497516914297</v>
      </c>
      <c r="L178" s="181"/>
      <c r="M178" s="181"/>
      <c r="N178" s="26"/>
    </row>
    <row r="179" spans="1:14" s="38" customFormat="1" x14ac:dyDescent="0.35">
      <c r="A179" s="139">
        <f t="shared" si="3"/>
        <v>18</v>
      </c>
      <c r="B179" s="140"/>
      <c r="C179" s="56" t="s">
        <v>172</v>
      </c>
      <c r="D179" s="57">
        <f>(19.25)*10.764</f>
        <v>207.20699999999999</v>
      </c>
      <c r="E179" s="56">
        <v>0</v>
      </c>
      <c r="F179" s="56">
        <v>445</v>
      </c>
      <c r="G179" s="191"/>
      <c r="H179" s="192"/>
      <c r="I179" s="26"/>
      <c r="K179" s="46">
        <f t="shared" si="2"/>
        <v>2.1476108432630174</v>
      </c>
      <c r="L179" s="181"/>
      <c r="M179" s="181"/>
      <c r="N179" s="26"/>
    </row>
    <row r="180" spans="1:14" s="38" customFormat="1" x14ac:dyDescent="0.35">
      <c r="A180" s="139">
        <f t="shared" si="3"/>
        <v>19</v>
      </c>
      <c r="B180" s="140"/>
      <c r="C180" s="56" t="s">
        <v>172</v>
      </c>
      <c r="D180" s="57">
        <f>(19.25)*10.764</f>
        <v>207.20699999999999</v>
      </c>
      <c r="E180" s="56">
        <v>0</v>
      </c>
      <c r="F180" s="56">
        <v>450</v>
      </c>
      <c r="G180" s="193"/>
      <c r="H180" s="194"/>
      <c r="I180" s="26"/>
      <c r="K180" s="46">
        <f t="shared" si="2"/>
        <v>2.171741302176085</v>
      </c>
      <c r="L180" s="181"/>
      <c r="M180" s="181"/>
      <c r="N180" s="26"/>
    </row>
    <row r="181" spans="1:14" s="38" customFormat="1" x14ac:dyDescent="0.35">
      <c r="A181" s="82" t="s">
        <v>179</v>
      </c>
      <c r="B181" s="83"/>
      <c r="C181" s="83"/>
      <c r="D181" s="83"/>
      <c r="E181" s="83"/>
      <c r="F181" s="83"/>
      <c r="G181" s="83"/>
      <c r="H181" s="84"/>
      <c r="J181" s="26"/>
      <c r="K181" s="46" t="e">
        <f t="shared" si="2"/>
        <v>#DIV/0!</v>
      </c>
    </row>
    <row r="182" spans="1:14" s="38" customFormat="1" ht="15.75" customHeight="1" x14ac:dyDescent="0.35">
      <c r="A182" s="82" t="s">
        <v>180</v>
      </c>
      <c r="B182" s="83"/>
      <c r="C182" s="83"/>
      <c r="D182" s="83"/>
      <c r="E182" s="83"/>
      <c r="F182" s="83"/>
      <c r="G182" s="83"/>
      <c r="H182" s="84"/>
      <c r="J182" s="26"/>
      <c r="K182" s="46" t="e">
        <f t="shared" si="2"/>
        <v>#DIV/0!</v>
      </c>
    </row>
    <row r="183" spans="1:14" s="38" customFormat="1" ht="15.75" customHeight="1" x14ac:dyDescent="0.35">
      <c r="A183" s="139">
        <v>20</v>
      </c>
      <c r="B183" s="140"/>
      <c r="C183" s="56" t="s">
        <v>172</v>
      </c>
      <c r="D183" s="57">
        <f>(19.25)*10.764</f>
        <v>207.20699999999999</v>
      </c>
      <c r="E183" s="56">
        <v>0</v>
      </c>
      <c r="F183" s="56">
        <v>450</v>
      </c>
      <c r="G183" s="189" t="str">
        <f>A182</f>
        <v>Ground Floor for Commercial, Parking &amp; Amenities</v>
      </c>
      <c r="H183" s="190"/>
      <c r="I183" s="26">
        <f>2.75*7</f>
        <v>19.25</v>
      </c>
      <c r="J183" s="37">
        <v>450</v>
      </c>
      <c r="K183" s="46">
        <f t="shared" si="2"/>
        <v>2.171741302176085</v>
      </c>
      <c r="L183" s="181"/>
      <c r="M183" s="181"/>
      <c r="N183" s="26"/>
    </row>
    <row r="184" spans="1:14" s="38" customFormat="1" x14ac:dyDescent="0.35">
      <c r="A184" s="139">
        <f t="shared" ref="A184:A189" si="4">A183+1</f>
        <v>21</v>
      </c>
      <c r="B184" s="140"/>
      <c r="C184" s="56" t="s">
        <v>172</v>
      </c>
      <c r="D184" s="57">
        <f>(19.25)*10.764</f>
        <v>207.20699999999999</v>
      </c>
      <c r="E184" s="56">
        <v>0</v>
      </c>
      <c r="F184" s="56">
        <v>445</v>
      </c>
      <c r="G184" s="191"/>
      <c r="H184" s="192"/>
      <c r="I184" s="26"/>
      <c r="J184" s="37">
        <v>445</v>
      </c>
      <c r="K184" s="46">
        <f t="shared" si="2"/>
        <v>2.1476108432630174</v>
      </c>
      <c r="L184" s="181"/>
      <c r="M184" s="181"/>
      <c r="N184" s="26"/>
    </row>
    <row r="185" spans="1:14" s="38" customFormat="1" x14ac:dyDescent="0.35">
      <c r="A185" s="139">
        <f t="shared" si="4"/>
        <v>22</v>
      </c>
      <c r="B185" s="140"/>
      <c r="C185" s="56" t="s">
        <v>172</v>
      </c>
      <c r="D185" s="57">
        <f>(27.475)*10.764</f>
        <v>295.74090000000001</v>
      </c>
      <c r="E185" s="56">
        <v>0</v>
      </c>
      <c r="F185" s="56">
        <v>635</v>
      </c>
      <c r="G185" s="191"/>
      <c r="H185" s="192"/>
      <c r="I185" s="26"/>
      <c r="J185" s="37">
        <v>635</v>
      </c>
      <c r="K185" s="46">
        <f t="shared" si="2"/>
        <v>2.1471497516914297</v>
      </c>
      <c r="L185" s="181"/>
      <c r="M185" s="181"/>
      <c r="N185" s="26"/>
    </row>
    <row r="186" spans="1:14" s="38" customFormat="1" x14ac:dyDescent="0.35">
      <c r="A186" s="139">
        <f t="shared" si="4"/>
        <v>23</v>
      </c>
      <c r="B186" s="140"/>
      <c r="C186" s="56" t="s">
        <v>172</v>
      </c>
      <c r="D186" s="57">
        <f>(19.25)*10.764</f>
        <v>207.20699999999999</v>
      </c>
      <c r="E186" s="56">
        <v>0</v>
      </c>
      <c r="F186" s="56">
        <v>450</v>
      </c>
      <c r="G186" s="191"/>
      <c r="H186" s="192"/>
      <c r="I186" s="26"/>
      <c r="J186" s="37">
        <v>450</v>
      </c>
      <c r="K186" s="46">
        <f t="shared" si="2"/>
        <v>2.171741302176085</v>
      </c>
      <c r="L186" s="181"/>
      <c r="M186" s="181"/>
      <c r="N186" s="26"/>
    </row>
    <row r="187" spans="1:14" s="38" customFormat="1" x14ac:dyDescent="0.35">
      <c r="A187" s="139">
        <f t="shared" si="4"/>
        <v>24</v>
      </c>
      <c r="B187" s="140"/>
      <c r="C187" s="56" t="s">
        <v>172</v>
      </c>
      <c r="D187" s="57">
        <f>(15.347)*10.764</f>
        <v>165.19510799999998</v>
      </c>
      <c r="E187" s="56">
        <v>0</v>
      </c>
      <c r="F187" s="56">
        <v>360</v>
      </c>
      <c r="G187" s="191"/>
      <c r="H187" s="192"/>
      <c r="I187" s="26"/>
      <c r="J187" s="37">
        <v>360</v>
      </c>
      <c r="K187" s="46">
        <f t="shared" si="2"/>
        <v>2.1792412884284689</v>
      </c>
      <c r="L187" s="181"/>
      <c r="M187" s="181"/>
      <c r="N187" s="26"/>
    </row>
    <row r="188" spans="1:14" s="38" customFormat="1" x14ac:dyDescent="0.35">
      <c r="A188" s="139">
        <f t="shared" si="4"/>
        <v>25</v>
      </c>
      <c r="B188" s="140"/>
      <c r="C188" s="56" t="s">
        <v>172</v>
      </c>
      <c r="D188" s="57">
        <f>(18.165)*10.764</f>
        <v>195.52805999999998</v>
      </c>
      <c r="E188" s="56">
        <v>0</v>
      </c>
      <c r="F188" s="56">
        <v>425</v>
      </c>
      <c r="G188" s="191"/>
      <c r="H188" s="192"/>
      <c r="I188" s="26"/>
      <c r="J188" s="37">
        <v>425</v>
      </c>
      <c r="K188" s="46">
        <f t="shared" si="2"/>
        <v>2.1736010677955893</v>
      </c>
      <c r="L188" s="181"/>
      <c r="M188" s="181"/>
      <c r="N188" s="26"/>
    </row>
    <row r="189" spans="1:14" s="38" customFormat="1" x14ac:dyDescent="0.35">
      <c r="A189" s="139">
        <f t="shared" si="4"/>
        <v>26</v>
      </c>
      <c r="B189" s="140"/>
      <c r="C189" s="56" t="s">
        <v>172</v>
      </c>
      <c r="D189" s="57">
        <f>(31.16)*10.764</f>
        <v>335.40623999999997</v>
      </c>
      <c r="E189" s="56">
        <v>0</v>
      </c>
      <c r="F189" s="56">
        <v>715</v>
      </c>
      <c r="G189" s="193"/>
      <c r="H189" s="194"/>
      <c r="I189" s="26"/>
      <c r="J189" s="37">
        <v>715</v>
      </c>
      <c r="K189" s="46">
        <f t="shared" si="2"/>
        <v>2.131743285396241</v>
      </c>
      <c r="L189" s="181"/>
      <c r="M189" s="181"/>
      <c r="N189" s="26"/>
    </row>
    <row r="190" spans="1:14" s="32" customFormat="1" x14ac:dyDescent="0.35">
      <c r="A190" s="139"/>
      <c r="B190" s="142"/>
      <c r="C190" s="142"/>
      <c r="D190" s="142"/>
      <c r="E190" s="142"/>
      <c r="F190" s="142"/>
      <c r="G190" s="142"/>
      <c r="H190" s="140"/>
      <c r="I190" s="26"/>
      <c r="K190" s="46" t="e">
        <f t="shared" si="2"/>
        <v>#DIV/0!</v>
      </c>
      <c r="N190" s="26"/>
    </row>
    <row r="191" spans="1:14" ht="47.25" customHeight="1" x14ac:dyDescent="0.35">
      <c r="A191" s="59" t="s">
        <v>208</v>
      </c>
      <c r="B191" s="59" t="s">
        <v>109</v>
      </c>
      <c r="C191" s="60" t="s">
        <v>57</v>
      </c>
      <c r="D191" s="60" t="s">
        <v>58</v>
      </c>
      <c r="E191" s="61" t="s">
        <v>59</v>
      </c>
      <c r="F191" s="60" t="s">
        <v>212</v>
      </c>
      <c r="G191" s="89" t="s">
        <v>60</v>
      </c>
      <c r="H191" s="90"/>
      <c r="I191" s="26"/>
      <c r="K191" s="46" t="e">
        <f t="shared" si="2"/>
        <v>#VALUE!</v>
      </c>
    </row>
    <row r="192" spans="1:14" s="38" customFormat="1" x14ac:dyDescent="0.35">
      <c r="A192" s="132" t="s">
        <v>207</v>
      </c>
      <c r="B192" s="132"/>
      <c r="C192" s="132"/>
      <c r="D192" s="132"/>
      <c r="E192" s="132"/>
      <c r="F192" s="132"/>
      <c r="G192" s="132"/>
      <c r="H192" s="132"/>
      <c r="J192" s="26"/>
      <c r="K192" s="46" t="e">
        <f t="shared" si="2"/>
        <v>#DIV/0!</v>
      </c>
    </row>
    <row r="193" spans="1:14" s="38" customFormat="1" x14ac:dyDescent="0.35">
      <c r="A193" s="132" t="s">
        <v>170</v>
      </c>
      <c r="B193" s="132"/>
      <c r="C193" s="132"/>
      <c r="D193" s="132"/>
      <c r="E193" s="132"/>
      <c r="F193" s="132"/>
      <c r="G193" s="132"/>
      <c r="H193" s="132"/>
      <c r="J193" s="26"/>
      <c r="K193" s="46" t="e">
        <f t="shared" si="2"/>
        <v>#DIV/0!</v>
      </c>
    </row>
    <row r="194" spans="1:14" s="32" customFormat="1" ht="15.75" customHeight="1" x14ac:dyDescent="0.35">
      <c r="A194" s="132" t="s">
        <v>171</v>
      </c>
      <c r="B194" s="132"/>
      <c r="C194" s="132"/>
      <c r="D194" s="132"/>
      <c r="E194" s="132"/>
      <c r="F194" s="132"/>
      <c r="G194" s="132"/>
      <c r="H194" s="132"/>
      <c r="J194" s="26"/>
      <c r="K194" s="46" t="e">
        <f t="shared" si="2"/>
        <v>#DIV/0!</v>
      </c>
    </row>
    <row r="195" spans="1:14" s="38" customFormat="1" ht="15.75" customHeight="1" x14ac:dyDescent="0.35">
      <c r="A195" s="132" t="s">
        <v>173</v>
      </c>
      <c r="B195" s="132"/>
      <c r="C195" s="132"/>
      <c r="D195" s="132"/>
      <c r="E195" s="132"/>
      <c r="F195" s="132"/>
      <c r="G195" s="132"/>
      <c r="H195" s="132"/>
      <c r="J195" s="26"/>
      <c r="K195" s="46" t="e">
        <f t="shared" si="2"/>
        <v>#DIV/0!</v>
      </c>
    </row>
    <row r="196" spans="1:14" s="32" customFormat="1" ht="15.75" customHeight="1" x14ac:dyDescent="0.35">
      <c r="A196" s="141">
        <v>1</v>
      </c>
      <c r="B196" s="141"/>
      <c r="C196" s="56" t="s">
        <v>174</v>
      </c>
      <c r="D196" s="57">
        <f>(30.47+2.85+0.87)*10.764</f>
        <v>368.02115999999995</v>
      </c>
      <c r="E196" s="57">
        <v>0</v>
      </c>
      <c r="F196" s="58">
        <v>540</v>
      </c>
      <c r="G196" s="141" t="str">
        <f>A195</f>
        <v>1st Floor for Residential</v>
      </c>
      <c r="H196" s="141"/>
      <c r="I196" s="26">
        <f>2.75*3.95+2.2*2.1+2.75*3.1+1.2*1.2+1.2*0.9+1.2*1.45+1*1.05</f>
        <v>29.317500000000003</v>
      </c>
      <c r="J196" s="45">
        <v>540</v>
      </c>
      <c r="K196" s="46">
        <f t="shared" si="2"/>
        <v>1.4673069341991098</v>
      </c>
      <c r="L196" s="181"/>
      <c r="M196" s="181"/>
      <c r="N196" s="26"/>
    </row>
    <row r="197" spans="1:14" s="32" customFormat="1" x14ac:dyDescent="0.35">
      <c r="A197" s="141">
        <f t="shared" ref="A197:A201" si="5">A196+1</f>
        <v>2</v>
      </c>
      <c r="B197" s="141"/>
      <c r="C197" s="56" t="s">
        <v>175</v>
      </c>
      <c r="D197" s="57">
        <f>(42.029+8.702)*10.764</f>
        <v>546.06848400000001</v>
      </c>
      <c r="E197" s="57">
        <v>0</v>
      </c>
      <c r="F197" s="58">
        <v>800</v>
      </c>
      <c r="G197" s="141"/>
      <c r="H197" s="141"/>
      <c r="I197" s="26"/>
      <c r="J197" s="45">
        <v>800</v>
      </c>
      <c r="K197" s="46">
        <f t="shared" si="2"/>
        <v>1.4650177101229669</v>
      </c>
      <c r="L197" s="181"/>
      <c r="M197" s="181"/>
      <c r="N197" s="26"/>
    </row>
    <row r="198" spans="1:14" s="32" customFormat="1" x14ac:dyDescent="0.35">
      <c r="A198" s="141">
        <f t="shared" si="5"/>
        <v>3</v>
      </c>
      <c r="B198" s="141"/>
      <c r="C198" s="56" t="s">
        <v>174</v>
      </c>
      <c r="D198" s="57">
        <f>(30.932+7.125+0.87)*10.764</f>
        <v>419.01022799999998</v>
      </c>
      <c r="E198" s="57">
        <v>0</v>
      </c>
      <c r="F198" s="58">
        <v>610</v>
      </c>
      <c r="G198" s="141"/>
      <c r="H198" s="141"/>
      <c r="I198" s="26"/>
      <c r="J198" s="45">
        <v>610</v>
      </c>
      <c r="K198" s="46">
        <f t="shared" si="2"/>
        <v>1.4558117182762422</v>
      </c>
      <c r="L198" s="181"/>
      <c r="M198" s="181"/>
      <c r="N198" s="26"/>
    </row>
    <row r="199" spans="1:14" s="32" customFormat="1" x14ac:dyDescent="0.35">
      <c r="A199" s="141">
        <f t="shared" si="5"/>
        <v>4</v>
      </c>
      <c r="B199" s="141"/>
      <c r="C199" s="56" t="s">
        <v>175</v>
      </c>
      <c r="D199" s="57">
        <f>(48.698+8.488+0.96)*10.764</f>
        <v>625.88354399999992</v>
      </c>
      <c r="E199" s="57">
        <f>(3.45*2+1.6*3.8+1.25*4.3)*10.764</f>
        <v>197.57321999999999</v>
      </c>
      <c r="F199" s="58">
        <v>1030</v>
      </c>
      <c r="G199" s="141"/>
      <c r="H199" s="141"/>
      <c r="I199" s="26"/>
      <c r="J199" s="45">
        <v>1030</v>
      </c>
      <c r="K199" s="46">
        <f t="shared" si="2"/>
        <v>1.6456735600001653</v>
      </c>
      <c r="L199" s="181"/>
      <c r="M199" s="181"/>
      <c r="N199" s="26"/>
    </row>
    <row r="200" spans="1:14" s="38" customFormat="1" x14ac:dyDescent="0.35">
      <c r="A200" s="141">
        <f t="shared" si="5"/>
        <v>5</v>
      </c>
      <c r="B200" s="141"/>
      <c r="C200" s="56" t="s">
        <v>175</v>
      </c>
      <c r="D200" s="57">
        <f>(47.463+8.488+0.84)*10.764</f>
        <v>611.29832399999998</v>
      </c>
      <c r="E200" s="57">
        <f>(3.45*2+1.6*3.8+1.25*4.3)*10.764</f>
        <v>197.57321999999999</v>
      </c>
      <c r="F200" s="58">
        <v>1025</v>
      </c>
      <c r="G200" s="141"/>
      <c r="H200" s="141"/>
      <c r="I200" s="26"/>
      <c r="J200" s="45">
        <v>1025</v>
      </c>
      <c r="K200" s="46">
        <f t="shared" si="2"/>
        <v>1.6767590548800524</v>
      </c>
      <c r="L200" s="181"/>
      <c r="M200" s="181"/>
      <c r="N200" s="26"/>
    </row>
    <row r="201" spans="1:14" s="38" customFormat="1" x14ac:dyDescent="0.35">
      <c r="A201" s="141">
        <f t="shared" si="5"/>
        <v>6</v>
      </c>
      <c r="B201" s="141"/>
      <c r="C201" s="56" t="s">
        <v>174</v>
      </c>
      <c r="D201" s="57">
        <f>(30.47+2.85+0.87)*10.764</f>
        <v>368.02115999999995</v>
      </c>
      <c r="E201" s="57">
        <v>0</v>
      </c>
      <c r="F201" s="58">
        <v>540</v>
      </c>
      <c r="G201" s="141"/>
      <c r="H201" s="141"/>
      <c r="I201" s="26"/>
      <c r="J201" s="45">
        <v>540</v>
      </c>
      <c r="K201" s="46">
        <f t="shared" si="2"/>
        <v>1.4673069341991098</v>
      </c>
      <c r="L201" s="181"/>
      <c r="M201" s="181"/>
      <c r="N201" s="26"/>
    </row>
    <row r="202" spans="1:14" s="38" customFormat="1" ht="15.75" customHeight="1" x14ac:dyDescent="0.35">
      <c r="A202" s="82" t="s">
        <v>176</v>
      </c>
      <c r="B202" s="83"/>
      <c r="C202" s="83"/>
      <c r="D202" s="83"/>
      <c r="E202" s="83"/>
      <c r="F202" s="83"/>
      <c r="G202" s="83"/>
      <c r="H202" s="84"/>
      <c r="J202" s="47"/>
      <c r="K202" s="46" t="e">
        <f t="shared" si="2"/>
        <v>#DIV/0!</v>
      </c>
    </row>
    <row r="203" spans="1:14" s="38" customFormat="1" ht="15.75" customHeight="1" x14ac:dyDescent="0.35">
      <c r="A203" s="139" t="str">
        <f>N203</f>
        <v>201 to 701</v>
      </c>
      <c r="B203" s="140"/>
      <c r="C203" s="56" t="s">
        <v>174</v>
      </c>
      <c r="D203" s="57">
        <f>(30.47+2.85+0.87)*10.764</f>
        <v>368.02115999999995</v>
      </c>
      <c r="E203" s="57">
        <v>0</v>
      </c>
      <c r="F203" s="58">
        <v>540</v>
      </c>
      <c r="G203" s="189" t="str">
        <f>A202</f>
        <v>2nd to 7th Floor</v>
      </c>
      <c r="H203" s="190"/>
      <c r="I203" s="26">
        <f>2.75*3.95+2.2*2.1+2.75*3.1+1.45*0.6+1.2*1.2+1.2*0.9+1.2*1.45+1*1.05+2.85*1</f>
        <v>33.037500000000001</v>
      </c>
      <c r="J203" s="45">
        <v>540</v>
      </c>
      <c r="K203" s="46">
        <f t="shared" si="2"/>
        <v>1.4673069341991098</v>
      </c>
      <c r="L203" s="63">
        <v>201</v>
      </c>
      <c r="M203" s="63">
        <v>701</v>
      </c>
      <c r="N203" s="26" t="str">
        <f>L203&amp;""&amp;" to "&amp;""&amp;M203</f>
        <v>201 to 701</v>
      </c>
    </row>
    <row r="204" spans="1:14" s="38" customFormat="1" x14ac:dyDescent="0.35">
      <c r="A204" s="139" t="str">
        <f t="shared" ref="A204:A208" si="6">N204</f>
        <v>202 to 702</v>
      </c>
      <c r="B204" s="140"/>
      <c r="C204" s="56" t="s">
        <v>175</v>
      </c>
      <c r="D204" s="57">
        <f>(42.029+8.702)*10.764</f>
        <v>546.06848400000001</v>
      </c>
      <c r="E204" s="57">
        <v>0</v>
      </c>
      <c r="F204" s="58">
        <v>800</v>
      </c>
      <c r="G204" s="191"/>
      <c r="H204" s="192"/>
      <c r="I204" s="26"/>
      <c r="J204" s="45">
        <v>800</v>
      </c>
      <c r="K204" s="46">
        <f t="shared" si="2"/>
        <v>1.4650177101229669</v>
      </c>
      <c r="L204" s="63">
        <v>202</v>
      </c>
      <c r="M204" s="63">
        <v>702</v>
      </c>
      <c r="N204" s="26" t="str">
        <f t="shared" ref="N204:N208" si="7">L204&amp;""&amp;" to "&amp;""&amp;M204</f>
        <v>202 to 702</v>
      </c>
    </row>
    <row r="205" spans="1:14" s="38" customFormat="1" x14ac:dyDescent="0.35">
      <c r="A205" s="139" t="str">
        <f t="shared" si="6"/>
        <v>203 to 703</v>
      </c>
      <c r="B205" s="140"/>
      <c r="C205" s="56" t="s">
        <v>174</v>
      </c>
      <c r="D205" s="57">
        <f>(30.932+7.125+0.87)*10.764</f>
        <v>419.01022799999998</v>
      </c>
      <c r="E205" s="57">
        <v>0</v>
      </c>
      <c r="F205" s="58">
        <v>610</v>
      </c>
      <c r="G205" s="191"/>
      <c r="H205" s="192"/>
      <c r="I205" s="26"/>
      <c r="J205" s="45">
        <v>610</v>
      </c>
      <c r="K205" s="46">
        <f t="shared" si="2"/>
        <v>1.4558117182762422</v>
      </c>
      <c r="L205" s="63">
        <v>203</v>
      </c>
      <c r="M205" s="63">
        <v>703</v>
      </c>
      <c r="N205" s="26" t="str">
        <f t="shared" si="7"/>
        <v>203 to 703</v>
      </c>
    </row>
    <row r="206" spans="1:14" s="38" customFormat="1" x14ac:dyDescent="0.35">
      <c r="A206" s="139" t="str">
        <f t="shared" si="6"/>
        <v>204 to 704</v>
      </c>
      <c r="B206" s="140"/>
      <c r="C206" s="56" t="s">
        <v>175</v>
      </c>
      <c r="D206" s="57">
        <f>(48.698+8.488+0.96)*10.764</f>
        <v>625.88354399999992</v>
      </c>
      <c r="E206" s="57">
        <v>0</v>
      </c>
      <c r="F206" s="58">
        <v>905</v>
      </c>
      <c r="G206" s="191"/>
      <c r="H206" s="192"/>
      <c r="I206" s="26"/>
      <c r="J206" s="45">
        <v>905</v>
      </c>
      <c r="K206" s="46">
        <f t="shared" si="2"/>
        <v>1.4459558949516016</v>
      </c>
      <c r="L206" s="63">
        <v>204</v>
      </c>
      <c r="M206" s="63">
        <v>704</v>
      </c>
      <c r="N206" s="26" t="str">
        <f t="shared" si="7"/>
        <v>204 to 704</v>
      </c>
    </row>
    <row r="207" spans="1:14" s="38" customFormat="1" x14ac:dyDescent="0.35">
      <c r="A207" s="139" t="str">
        <f t="shared" si="6"/>
        <v>205 to 705</v>
      </c>
      <c r="B207" s="140"/>
      <c r="C207" s="56" t="s">
        <v>175</v>
      </c>
      <c r="D207" s="57">
        <f>(47.463+8.488+0.84)*10.764</f>
        <v>611.29832399999998</v>
      </c>
      <c r="E207" s="57">
        <v>0</v>
      </c>
      <c r="F207" s="58">
        <v>885</v>
      </c>
      <c r="G207" s="191"/>
      <c r="H207" s="192"/>
      <c r="I207" s="26">
        <f>3675000/F207</f>
        <v>4152.5423728813557</v>
      </c>
      <c r="J207" s="45">
        <v>885</v>
      </c>
      <c r="K207" s="46">
        <f t="shared" si="2"/>
        <v>1.4477383059208258</v>
      </c>
      <c r="L207" s="63">
        <v>205</v>
      </c>
      <c r="M207" s="63">
        <v>705</v>
      </c>
      <c r="N207" s="26" t="str">
        <f t="shared" si="7"/>
        <v>205 to 705</v>
      </c>
    </row>
    <row r="208" spans="1:14" s="38" customFormat="1" x14ac:dyDescent="0.35">
      <c r="A208" s="139" t="str">
        <f t="shared" si="6"/>
        <v>206 to 706</v>
      </c>
      <c r="B208" s="140"/>
      <c r="C208" s="56" t="s">
        <v>174</v>
      </c>
      <c r="D208" s="57">
        <f>(30.47+2.85+0.87)*10.764</f>
        <v>368.02115999999995</v>
      </c>
      <c r="E208" s="57">
        <v>0</v>
      </c>
      <c r="F208" s="58">
        <v>540</v>
      </c>
      <c r="G208" s="193"/>
      <c r="H208" s="194"/>
      <c r="I208" s="26"/>
      <c r="J208" s="45">
        <v>540</v>
      </c>
      <c r="K208" s="46">
        <f t="shared" si="2"/>
        <v>1.4673069341991098</v>
      </c>
      <c r="L208" s="63">
        <v>206</v>
      </c>
      <c r="M208" s="63">
        <v>706</v>
      </c>
      <c r="N208" s="26" t="str">
        <f t="shared" si="7"/>
        <v>206 to 706</v>
      </c>
    </row>
    <row r="209" spans="1:14" s="64" customFormat="1" x14ac:dyDescent="0.35">
      <c r="A209" s="82" t="s">
        <v>230</v>
      </c>
      <c r="B209" s="83"/>
      <c r="C209" s="83"/>
      <c r="D209" s="83"/>
      <c r="E209" s="83"/>
      <c r="F209" s="83"/>
      <c r="G209" s="83"/>
      <c r="H209" s="84"/>
      <c r="J209" s="26"/>
      <c r="K209" s="46" t="e">
        <f t="shared" ref="K209" si="8">F209/D209</f>
        <v>#DIV/0!</v>
      </c>
    </row>
    <row r="210" spans="1:14" s="38" customFormat="1" x14ac:dyDescent="0.35">
      <c r="A210" s="82" t="s">
        <v>177</v>
      </c>
      <c r="B210" s="83"/>
      <c r="C210" s="83"/>
      <c r="D210" s="83"/>
      <c r="E210" s="83"/>
      <c r="F210" s="83"/>
      <c r="G210" s="83"/>
      <c r="H210" s="84"/>
      <c r="J210" s="26"/>
      <c r="K210" s="46" t="e">
        <f t="shared" si="2"/>
        <v>#DIV/0!</v>
      </c>
    </row>
    <row r="211" spans="1:14" s="38" customFormat="1" ht="15.75" customHeight="1" x14ac:dyDescent="0.35">
      <c r="A211" s="82" t="s">
        <v>178</v>
      </c>
      <c r="B211" s="83"/>
      <c r="C211" s="83"/>
      <c r="D211" s="83"/>
      <c r="E211" s="83"/>
      <c r="F211" s="83"/>
      <c r="G211" s="83"/>
      <c r="H211" s="84"/>
      <c r="J211" s="26"/>
      <c r="K211" s="46" t="e">
        <f t="shared" si="2"/>
        <v>#DIV/0!</v>
      </c>
    </row>
    <row r="212" spans="1:14" s="38" customFormat="1" ht="15.75" customHeight="1" x14ac:dyDescent="0.35">
      <c r="A212" s="82" t="s">
        <v>173</v>
      </c>
      <c r="B212" s="83"/>
      <c r="C212" s="83"/>
      <c r="D212" s="83"/>
      <c r="E212" s="83"/>
      <c r="F212" s="83"/>
      <c r="G212" s="83"/>
      <c r="H212" s="84"/>
      <c r="J212" s="26"/>
      <c r="K212" s="46" t="e">
        <f t="shared" si="2"/>
        <v>#DIV/0!</v>
      </c>
    </row>
    <row r="213" spans="1:14" s="38" customFormat="1" ht="15.75" customHeight="1" x14ac:dyDescent="0.35">
      <c r="A213" s="139">
        <v>1</v>
      </c>
      <c r="B213" s="140"/>
      <c r="C213" s="56" t="s">
        <v>174</v>
      </c>
      <c r="D213" s="57">
        <f>(30.47+2.85+0.87)*10.764</f>
        <v>368.02115999999995</v>
      </c>
      <c r="E213" s="57">
        <v>0</v>
      </c>
      <c r="F213" s="56">
        <v>540</v>
      </c>
      <c r="G213" s="189" t="str">
        <f>A212</f>
        <v>1st Floor for Residential</v>
      </c>
      <c r="H213" s="190"/>
      <c r="I213" s="26">
        <f>4400*F213</f>
        <v>2376000</v>
      </c>
      <c r="K213" s="46">
        <f t="shared" si="2"/>
        <v>1.4673069341991098</v>
      </c>
      <c r="L213" s="63">
        <v>201</v>
      </c>
      <c r="M213" s="63">
        <v>701</v>
      </c>
      <c r="N213" s="26" t="str">
        <f>L213&amp;""&amp;" to "&amp;""&amp;M213</f>
        <v>201 to 701</v>
      </c>
    </row>
    <row r="214" spans="1:14" s="38" customFormat="1" x14ac:dyDescent="0.35">
      <c r="A214" s="139">
        <f t="shared" ref="A214:A218" si="9">A213+1</f>
        <v>2</v>
      </c>
      <c r="B214" s="140"/>
      <c r="C214" s="56" t="s">
        <v>175</v>
      </c>
      <c r="D214" s="57">
        <f>(47.463+8.488+0.84)*10.764</f>
        <v>611.29832399999998</v>
      </c>
      <c r="E214" s="57">
        <f>(3.5*2+1.7*3.8+1.3*4.3)*10.764</f>
        <v>205.05420000000001</v>
      </c>
      <c r="F214" s="56">
        <v>1025</v>
      </c>
      <c r="G214" s="191"/>
      <c r="H214" s="192"/>
      <c r="I214" s="26">
        <f t="shared" ref="I214:I259" si="10">4400*F214</f>
        <v>4510000</v>
      </c>
      <c r="K214" s="46">
        <f t="shared" si="2"/>
        <v>1.6767590548800524</v>
      </c>
      <c r="L214" s="63">
        <v>202</v>
      </c>
      <c r="M214" s="63">
        <v>702</v>
      </c>
      <c r="N214" s="26" t="str">
        <f t="shared" ref="N214:N218" si="11">L214&amp;""&amp;" to "&amp;""&amp;M214</f>
        <v>202 to 702</v>
      </c>
    </row>
    <row r="215" spans="1:14" s="38" customFormat="1" x14ac:dyDescent="0.35">
      <c r="A215" s="139">
        <f t="shared" si="9"/>
        <v>3</v>
      </c>
      <c r="B215" s="140"/>
      <c r="C215" s="56" t="s">
        <v>175</v>
      </c>
      <c r="D215" s="57">
        <f>(48.698+8.488+0.96)*10.764</f>
        <v>625.88354399999992</v>
      </c>
      <c r="E215" s="57">
        <f>(3.5*2+1.7*3.8+1.3*4.3+5.85*2.65)*10.764</f>
        <v>371.92310999999989</v>
      </c>
      <c r="F215" s="56">
        <v>1140</v>
      </c>
      <c r="G215" s="191"/>
      <c r="H215" s="192"/>
      <c r="I215" s="26">
        <f t="shared" si="10"/>
        <v>5016000</v>
      </c>
      <c r="K215" s="46">
        <f t="shared" si="2"/>
        <v>1.8214251052429016</v>
      </c>
      <c r="L215" s="63">
        <v>203</v>
      </c>
      <c r="M215" s="63">
        <v>703</v>
      </c>
      <c r="N215" s="26" t="str">
        <f t="shared" si="11"/>
        <v>203 to 703</v>
      </c>
    </row>
    <row r="216" spans="1:14" s="38" customFormat="1" x14ac:dyDescent="0.35">
      <c r="A216" s="139">
        <f t="shared" si="9"/>
        <v>4</v>
      </c>
      <c r="B216" s="140"/>
      <c r="C216" s="56" t="s">
        <v>174</v>
      </c>
      <c r="D216" s="57">
        <f>(30.932+7.125+0.87)*10.764</f>
        <v>419.01022799999998</v>
      </c>
      <c r="E216" s="57">
        <f>(2.75*2.15+3.7*1.8+1.6*2.15)*10.764</f>
        <v>172.35854999999998</v>
      </c>
      <c r="F216" s="56">
        <v>685</v>
      </c>
      <c r="G216" s="191"/>
      <c r="H216" s="192"/>
      <c r="I216" s="26">
        <f t="shared" si="10"/>
        <v>3014000</v>
      </c>
      <c r="K216" s="46">
        <f t="shared" si="2"/>
        <v>1.6348049623265999</v>
      </c>
      <c r="L216" s="63">
        <v>204</v>
      </c>
      <c r="M216" s="63">
        <v>704</v>
      </c>
      <c r="N216" s="26" t="str">
        <f t="shared" si="11"/>
        <v>204 to 704</v>
      </c>
    </row>
    <row r="217" spans="1:14" s="38" customFormat="1" x14ac:dyDescent="0.35">
      <c r="A217" s="139">
        <f t="shared" si="9"/>
        <v>5</v>
      </c>
      <c r="B217" s="140"/>
      <c r="C217" s="56" t="s">
        <v>175</v>
      </c>
      <c r="D217" s="57">
        <f>(42.029+8.702)*10.764</f>
        <v>546.06848400000001</v>
      </c>
      <c r="E217" s="57">
        <f>(1.8*2.15+2.95*2.15+4.85*1.75)*10.764</f>
        <v>201.28679999999997</v>
      </c>
      <c r="F217" s="56">
        <v>905</v>
      </c>
      <c r="G217" s="191"/>
      <c r="H217" s="192"/>
      <c r="I217" s="26">
        <f t="shared" si="10"/>
        <v>3982000</v>
      </c>
      <c r="K217" s="46">
        <f t="shared" si="2"/>
        <v>1.6573012845766062</v>
      </c>
      <c r="L217" s="63">
        <v>205</v>
      </c>
      <c r="M217" s="63">
        <v>705</v>
      </c>
      <c r="N217" s="26" t="str">
        <f t="shared" si="11"/>
        <v>205 to 705</v>
      </c>
    </row>
    <row r="218" spans="1:14" s="38" customFormat="1" x14ac:dyDescent="0.35">
      <c r="A218" s="139">
        <f t="shared" si="9"/>
        <v>6</v>
      </c>
      <c r="B218" s="140"/>
      <c r="C218" s="56" t="s">
        <v>174</v>
      </c>
      <c r="D218" s="57">
        <f>(30.47+2.85+0.87)*10.764</f>
        <v>368.02115999999995</v>
      </c>
      <c r="E218" s="57">
        <v>0</v>
      </c>
      <c r="F218" s="56">
        <v>540</v>
      </c>
      <c r="G218" s="193"/>
      <c r="H218" s="194"/>
      <c r="I218" s="26">
        <f t="shared" si="10"/>
        <v>2376000</v>
      </c>
      <c r="K218" s="46">
        <f t="shared" si="2"/>
        <v>1.4673069341991098</v>
      </c>
      <c r="L218" s="63">
        <v>206</v>
      </c>
      <c r="M218" s="63">
        <v>706</v>
      </c>
      <c r="N218" s="26" t="str">
        <f t="shared" si="11"/>
        <v>206 to 706</v>
      </c>
    </row>
    <row r="219" spans="1:14" s="38" customFormat="1" ht="15.75" customHeight="1" x14ac:dyDescent="0.35">
      <c r="A219" s="82" t="s">
        <v>176</v>
      </c>
      <c r="B219" s="83"/>
      <c r="C219" s="83"/>
      <c r="D219" s="83"/>
      <c r="E219" s="83"/>
      <c r="F219" s="83"/>
      <c r="G219" s="83"/>
      <c r="H219" s="84"/>
      <c r="I219" s="26">
        <f t="shared" si="10"/>
        <v>0</v>
      </c>
      <c r="J219" s="26"/>
      <c r="K219" s="46" t="e">
        <f t="shared" si="2"/>
        <v>#DIV/0!</v>
      </c>
    </row>
    <row r="220" spans="1:14" s="38" customFormat="1" ht="15.75" customHeight="1" x14ac:dyDescent="0.35">
      <c r="A220" s="139" t="str">
        <f>N220</f>
        <v>201 to 701</v>
      </c>
      <c r="B220" s="140"/>
      <c r="C220" s="56" t="s">
        <v>174</v>
      </c>
      <c r="D220" s="57">
        <f>(30.47+2.85+0.87)*10.764</f>
        <v>368.02115999999995</v>
      </c>
      <c r="E220" s="57">
        <v>0</v>
      </c>
      <c r="F220" s="56">
        <v>540</v>
      </c>
      <c r="G220" s="189" t="str">
        <f>A219</f>
        <v>2nd to 7th Floor</v>
      </c>
      <c r="H220" s="190"/>
      <c r="I220" s="26">
        <f t="shared" si="10"/>
        <v>2376000</v>
      </c>
      <c r="K220" s="46">
        <f t="shared" si="2"/>
        <v>1.4673069341991098</v>
      </c>
      <c r="L220" s="63">
        <v>201</v>
      </c>
      <c r="M220" s="63">
        <v>701</v>
      </c>
      <c r="N220" s="26" t="str">
        <f>L220&amp;""&amp;" to "&amp;""&amp;M220</f>
        <v>201 to 701</v>
      </c>
    </row>
    <row r="221" spans="1:14" s="38" customFormat="1" x14ac:dyDescent="0.35">
      <c r="A221" s="139" t="str">
        <f t="shared" ref="A221:A225" si="12">N221</f>
        <v>202 to 702</v>
      </c>
      <c r="B221" s="140"/>
      <c r="C221" s="56" t="s">
        <v>175</v>
      </c>
      <c r="D221" s="57">
        <f>(47.463+8.488+0.84)*10.764</f>
        <v>611.29832399999998</v>
      </c>
      <c r="E221" s="57">
        <v>0</v>
      </c>
      <c r="F221" s="56">
        <v>885</v>
      </c>
      <c r="G221" s="191"/>
      <c r="H221" s="192"/>
      <c r="I221" s="26">
        <f t="shared" si="10"/>
        <v>3894000</v>
      </c>
      <c r="K221" s="46">
        <f t="shared" si="2"/>
        <v>1.4477383059208258</v>
      </c>
      <c r="L221" s="63">
        <v>202</v>
      </c>
      <c r="M221" s="63">
        <v>702</v>
      </c>
      <c r="N221" s="26" t="str">
        <f t="shared" ref="N221:N225" si="13">L221&amp;""&amp;" to "&amp;""&amp;M221</f>
        <v>202 to 702</v>
      </c>
    </row>
    <row r="222" spans="1:14" s="38" customFormat="1" x14ac:dyDescent="0.35">
      <c r="A222" s="139" t="str">
        <f t="shared" si="12"/>
        <v>203 to 703</v>
      </c>
      <c r="B222" s="140"/>
      <c r="C222" s="56" t="s">
        <v>175</v>
      </c>
      <c r="D222" s="57">
        <f>(48.698+8.488+0.96)*10.764</f>
        <v>625.88354399999992</v>
      </c>
      <c r="E222" s="57">
        <v>0</v>
      </c>
      <c r="F222" s="56">
        <v>905</v>
      </c>
      <c r="G222" s="191"/>
      <c r="H222" s="192"/>
      <c r="I222" s="26">
        <f t="shared" si="10"/>
        <v>3982000</v>
      </c>
      <c r="K222" s="46">
        <f t="shared" si="2"/>
        <v>1.4459558949516016</v>
      </c>
      <c r="L222" s="63">
        <v>203</v>
      </c>
      <c r="M222" s="63">
        <v>703</v>
      </c>
      <c r="N222" s="26" t="str">
        <f t="shared" si="13"/>
        <v>203 to 703</v>
      </c>
    </row>
    <row r="223" spans="1:14" s="38" customFormat="1" x14ac:dyDescent="0.35">
      <c r="A223" s="139" t="str">
        <f t="shared" si="12"/>
        <v>204 to 704</v>
      </c>
      <c r="B223" s="140"/>
      <c r="C223" s="56" t="s">
        <v>174</v>
      </c>
      <c r="D223" s="57">
        <f>(30.932+7.125+0.87)*10.764</f>
        <v>419.01022799999998</v>
      </c>
      <c r="E223" s="57">
        <v>0</v>
      </c>
      <c r="F223" s="56">
        <v>610</v>
      </c>
      <c r="G223" s="191"/>
      <c r="H223" s="192"/>
      <c r="I223" s="26">
        <f t="shared" si="10"/>
        <v>2684000</v>
      </c>
      <c r="K223" s="46">
        <f t="shared" si="2"/>
        <v>1.4558117182762422</v>
      </c>
      <c r="L223" s="63">
        <v>204</v>
      </c>
      <c r="M223" s="63">
        <v>704</v>
      </c>
      <c r="N223" s="26" t="str">
        <f t="shared" si="13"/>
        <v>204 to 704</v>
      </c>
    </row>
    <row r="224" spans="1:14" s="38" customFormat="1" x14ac:dyDescent="0.35">
      <c r="A224" s="139" t="str">
        <f t="shared" si="12"/>
        <v>205 to 705</v>
      </c>
      <c r="B224" s="140"/>
      <c r="C224" s="56" t="s">
        <v>175</v>
      </c>
      <c r="D224" s="57">
        <f>(42.029+8.702)*10.764</f>
        <v>546.06848400000001</v>
      </c>
      <c r="E224" s="57">
        <v>0</v>
      </c>
      <c r="F224" s="56">
        <v>800</v>
      </c>
      <c r="G224" s="191"/>
      <c r="H224" s="192"/>
      <c r="I224" s="26">
        <f t="shared" si="10"/>
        <v>3520000</v>
      </c>
      <c r="K224" s="46">
        <f t="shared" si="2"/>
        <v>1.4650177101229669</v>
      </c>
      <c r="L224" s="63">
        <v>205</v>
      </c>
      <c r="M224" s="63">
        <v>705</v>
      </c>
      <c r="N224" s="26" t="str">
        <f t="shared" si="13"/>
        <v>205 to 705</v>
      </c>
    </row>
    <row r="225" spans="1:14" s="38" customFormat="1" x14ac:dyDescent="0.35">
      <c r="A225" s="139" t="str">
        <f t="shared" si="12"/>
        <v>206 to 706</v>
      </c>
      <c r="B225" s="140"/>
      <c r="C225" s="56" t="s">
        <v>174</v>
      </c>
      <c r="D225" s="57">
        <f>(30.47+2.85+0.87)*10.764</f>
        <v>368.02115999999995</v>
      </c>
      <c r="E225" s="57">
        <v>0</v>
      </c>
      <c r="F225" s="56">
        <v>540</v>
      </c>
      <c r="G225" s="193"/>
      <c r="H225" s="194"/>
      <c r="I225" s="26">
        <f t="shared" si="10"/>
        <v>2376000</v>
      </c>
      <c r="K225" s="46">
        <f t="shared" si="2"/>
        <v>1.4673069341991098</v>
      </c>
      <c r="L225" s="63">
        <v>206</v>
      </c>
      <c r="M225" s="63">
        <v>706</v>
      </c>
      <c r="N225" s="26" t="str">
        <f t="shared" si="13"/>
        <v>206 to 706</v>
      </c>
    </row>
    <row r="226" spans="1:14" s="64" customFormat="1" x14ac:dyDescent="0.35">
      <c r="A226" s="82" t="s">
        <v>229</v>
      </c>
      <c r="B226" s="83"/>
      <c r="C226" s="83"/>
      <c r="D226" s="83"/>
      <c r="E226" s="83"/>
      <c r="F226" s="83"/>
      <c r="G226" s="83"/>
      <c r="H226" s="84"/>
      <c r="J226" s="26"/>
      <c r="K226" s="46" t="e">
        <f t="shared" si="2"/>
        <v>#DIV/0!</v>
      </c>
    </row>
    <row r="227" spans="1:14" s="38" customFormat="1" x14ac:dyDescent="0.35">
      <c r="A227" s="82" t="s">
        <v>179</v>
      </c>
      <c r="B227" s="83"/>
      <c r="C227" s="83"/>
      <c r="D227" s="83"/>
      <c r="E227" s="83"/>
      <c r="F227" s="83"/>
      <c r="G227" s="83"/>
      <c r="H227" s="84"/>
      <c r="I227" s="26">
        <f t="shared" si="10"/>
        <v>0</v>
      </c>
      <c r="J227" s="26"/>
      <c r="K227" s="46" t="e">
        <f t="shared" ref="K227:K259" si="14">F227/D227</f>
        <v>#DIV/0!</v>
      </c>
    </row>
    <row r="228" spans="1:14" s="38" customFormat="1" ht="15.75" customHeight="1" x14ac:dyDescent="0.35">
      <c r="A228" s="82" t="s">
        <v>180</v>
      </c>
      <c r="B228" s="83"/>
      <c r="C228" s="83"/>
      <c r="D228" s="83"/>
      <c r="E228" s="83"/>
      <c r="F228" s="83"/>
      <c r="G228" s="83"/>
      <c r="H228" s="84"/>
      <c r="I228" s="26">
        <f t="shared" si="10"/>
        <v>0</v>
      </c>
      <c r="J228" s="26"/>
      <c r="K228" s="46" t="e">
        <f t="shared" si="14"/>
        <v>#DIV/0!</v>
      </c>
    </row>
    <row r="229" spans="1:14" s="38" customFormat="1" ht="15.75" customHeight="1" x14ac:dyDescent="0.35">
      <c r="A229" s="132" t="s">
        <v>173</v>
      </c>
      <c r="B229" s="132"/>
      <c r="C229" s="132"/>
      <c r="D229" s="132"/>
      <c r="E229" s="132"/>
      <c r="F229" s="132"/>
      <c r="G229" s="132"/>
      <c r="H229" s="132"/>
      <c r="I229" s="26">
        <f t="shared" si="10"/>
        <v>0</v>
      </c>
      <c r="J229" s="26"/>
      <c r="K229" s="46" t="e">
        <f t="shared" si="14"/>
        <v>#DIV/0!</v>
      </c>
    </row>
    <row r="230" spans="1:14" s="38" customFormat="1" ht="15.75" customHeight="1" x14ac:dyDescent="0.35">
      <c r="A230" s="141">
        <v>1</v>
      </c>
      <c r="B230" s="141"/>
      <c r="C230" s="56" t="s">
        <v>174</v>
      </c>
      <c r="D230" s="57">
        <f>(30.47+2.85+0.87)*10.764</f>
        <v>368.02115999999995</v>
      </c>
      <c r="E230" s="57">
        <v>0</v>
      </c>
      <c r="F230" s="56">
        <v>540</v>
      </c>
      <c r="G230" s="141" t="str">
        <f>A229</f>
        <v>1st Floor for Residential</v>
      </c>
      <c r="H230" s="141"/>
      <c r="I230" s="26">
        <f t="shared" si="10"/>
        <v>2376000</v>
      </c>
      <c r="K230" s="46">
        <f t="shared" si="14"/>
        <v>1.4673069341991098</v>
      </c>
      <c r="L230" s="181"/>
      <c r="M230" s="181"/>
      <c r="N230" s="26"/>
    </row>
    <row r="231" spans="1:14" s="38" customFormat="1" x14ac:dyDescent="0.35">
      <c r="A231" s="141">
        <f t="shared" ref="A231:A235" si="15">A230+1</f>
        <v>2</v>
      </c>
      <c r="B231" s="141"/>
      <c r="C231" s="56" t="s">
        <v>175</v>
      </c>
      <c r="D231" s="57">
        <f>(42.029+8.702)*10.764</f>
        <v>546.06848400000001</v>
      </c>
      <c r="E231" s="57">
        <f>(1.75*2.15+2.9*2.15+4.9*1.75)*10.764</f>
        <v>199.91438999999997</v>
      </c>
      <c r="F231" s="56">
        <v>905</v>
      </c>
      <c r="G231" s="141"/>
      <c r="H231" s="141"/>
      <c r="I231" s="26">
        <f t="shared" si="10"/>
        <v>3982000</v>
      </c>
      <c r="K231" s="46">
        <f t="shared" si="14"/>
        <v>1.6573012845766062</v>
      </c>
      <c r="L231" s="181"/>
      <c r="M231" s="181"/>
      <c r="N231" s="26"/>
    </row>
    <row r="232" spans="1:14" s="38" customFormat="1" x14ac:dyDescent="0.35">
      <c r="A232" s="141">
        <f t="shared" si="15"/>
        <v>3</v>
      </c>
      <c r="B232" s="141"/>
      <c r="C232" s="56" t="s">
        <v>174</v>
      </c>
      <c r="D232" s="57">
        <f>(30.932+7.125+0.87)*10.764</f>
        <v>419.01022799999998</v>
      </c>
      <c r="E232" s="57">
        <f>(2.75*2.15+3.65*1.75+1.75*2.1)*10.764</f>
        <v>171.95490000000001</v>
      </c>
      <c r="F232" s="56">
        <v>765</v>
      </c>
      <c r="G232" s="141"/>
      <c r="H232" s="141"/>
      <c r="I232" s="26">
        <f t="shared" si="10"/>
        <v>3366000</v>
      </c>
      <c r="K232" s="46">
        <f t="shared" si="14"/>
        <v>1.825731089313648</v>
      </c>
      <c r="L232" s="181"/>
      <c r="M232" s="181"/>
      <c r="N232" s="26"/>
    </row>
    <row r="233" spans="1:14" s="38" customFormat="1" x14ac:dyDescent="0.35">
      <c r="A233" s="141">
        <f t="shared" si="15"/>
        <v>4</v>
      </c>
      <c r="B233" s="141"/>
      <c r="C233" s="56" t="s">
        <v>175</v>
      </c>
      <c r="D233" s="57">
        <f>(48.697+8.488+0.96)*10.764</f>
        <v>625.87278000000003</v>
      </c>
      <c r="E233" s="57">
        <f>(3.75*2.65)*10.764</f>
        <v>106.96724999999999</v>
      </c>
      <c r="F233" s="56">
        <v>905</v>
      </c>
      <c r="G233" s="141"/>
      <c r="H233" s="141"/>
      <c r="I233" s="26">
        <f t="shared" si="10"/>
        <v>3982000</v>
      </c>
      <c r="K233" s="46">
        <f t="shared" si="14"/>
        <v>1.4459807630553927</v>
      </c>
      <c r="L233" s="181"/>
      <c r="M233" s="181"/>
      <c r="N233" s="26"/>
    </row>
    <row r="234" spans="1:14" s="38" customFormat="1" x14ac:dyDescent="0.35">
      <c r="A234" s="141">
        <f t="shared" si="15"/>
        <v>5</v>
      </c>
      <c r="B234" s="141"/>
      <c r="C234" s="56" t="s">
        <v>175</v>
      </c>
      <c r="D234" s="57">
        <f>(47.463+8.488+0.84)*10.764</f>
        <v>611.29832399999998</v>
      </c>
      <c r="E234" s="57">
        <v>0</v>
      </c>
      <c r="F234" s="56">
        <v>885</v>
      </c>
      <c r="G234" s="141"/>
      <c r="H234" s="141"/>
      <c r="I234" s="26">
        <f t="shared" si="10"/>
        <v>3894000</v>
      </c>
      <c r="K234" s="46">
        <f t="shared" si="14"/>
        <v>1.4477383059208258</v>
      </c>
      <c r="L234" s="181"/>
      <c r="M234" s="181"/>
      <c r="N234" s="26"/>
    </row>
    <row r="235" spans="1:14" s="38" customFormat="1" x14ac:dyDescent="0.35">
      <c r="A235" s="141">
        <f t="shared" si="15"/>
        <v>6</v>
      </c>
      <c r="B235" s="141"/>
      <c r="C235" s="56" t="s">
        <v>174</v>
      </c>
      <c r="D235" s="57">
        <f>(30.47+2.85+0.87)*10.764</f>
        <v>368.02115999999995</v>
      </c>
      <c r="E235" s="57">
        <v>0</v>
      </c>
      <c r="F235" s="56">
        <v>540</v>
      </c>
      <c r="G235" s="141"/>
      <c r="H235" s="141"/>
      <c r="I235" s="26">
        <f t="shared" si="10"/>
        <v>2376000</v>
      </c>
      <c r="K235" s="46">
        <f t="shared" si="14"/>
        <v>1.4673069341991098</v>
      </c>
      <c r="L235" s="181"/>
      <c r="M235" s="181"/>
      <c r="N235" s="26"/>
    </row>
    <row r="236" spans="1:14" s="38" customFormat="1" ht="15.75" customHeight="1" x14ac:dyDescent="0.35">
      <c r="A236" s="132" t="s">
        <v>176</v>
      </c>
      <c r="B236" s="132"/>
      <c r="C236" s="132"/>
      <c r="D236" s="132"/>
      <c r="E236" s="132"/>
      <c r="F236" s="132"/>
      <c r="G236" s="132"/>
      <c r="H236" s="132"/>
      <c r="I236" s="26">
        <f t="shared" si="10"/>
        <v>0</v>
      </c>
      <c r="J236" s="26"/>
      <c r="K236" s="46" t="e">
        <f t="shared" si="14"/>
        <v>#DIV/0!</v>
      </c>
    </row>
    <row r="237" spans="1:14" s="38" customFormat="1" ht="15.75" customHeight="1" x14ac:dyDescent="0.35">
      <c r="A237" s="141" t="str">
        <f>N237</f>
        <v>201 to 701</v>
      </c>
      <c r="B237" s="141"/>
      <c r="C237" s="56" t="s">
        <v>174</v>
      </c>
      <c r="D237" s="57">
        <f>(30.47+2.85+0.87)*10.764</f>
        <v>368.02115999999995</v>
      </c>
      <c r="E237" s="57">
        <v>0</v>
      </c>
      <c r="F237" s="56">
        <v>540</v>
      </c>
      <c r="G237" s="141" t="str">
        <f>A236</f>
        <v>2nd to 7th Floor</v>
      </c>
      <c r="H237" s="141"/>
      <c r="I237" s="26">
        <f t="shared" si="10"/>
        <v>2376000</v>
      </c>
      <c r="K237" s="46">
        <f t="shared" si="14"/>
        <v>1.4673069341991098</v>
      </c>
      <c r="L237" s="63">
        <v>201</v>
      </c>
      <c r="M237" s="63">
        <v>701</v>
      </c>
      <c r="N237" s="26" t="str">
        <f>L237&amp;""&amp;" to "&amp;""&amp;M237</f>
        <v>201 to 701</v>
      </c>
    </row>
    <row r="238" spans="1:14" s="38" customFormat="1" x14ac:dyDescent="0.35">
      <c r="A238" s="141" t="str">
        <f t="shared" ref="A238:A242" si="16">N238</f>
        <v>202 to 702</v>
      </c>
      <c r="B238" s="141"/>
      <c r="C238" s="56" t="s">
        <v>175</v>
      </c>
      <c r="D238" s="57">
        <f>(42.029+8.702)*10.764</f>
        <v>546.06848400000001</v>
      </c>
      <c r="E238" s="57">
        <v>0</v>
      </c>
      <c r="F238" s="56">
        <v>800</v>
      </c>
      <c r="G238" s="141"/>
      <c r="H238" s="141"/>
      <c r="I238" s="26">
        <f t="shared" si="10"/>
        <v>3520000</v>
      </c>
      <c r="K238" s="46">
        <f t="shared" si="14"/>
        <v>1.4650177101229669</v>
      </c>
      <c r="L238" s="63">
        <v>202</v>
      </c>
      <c r="M238" s="63">
        <v>702</v>
      </c>
      <c r="N238" s="26" t="str">
        <f t="shared" ref="N238:N242" si="17">L238&amp;""&amp;" to "&amp;""&amp;M238</f>
        <v>202 to 702</v>
      </c>
    </row>
    <row r="239" spans="1:14" s="38" customFormat="1" x14ac:dyDescent="0.35">
      <c r="A239" s="141" t="str">
        <f t="shared" si="16"/>
        <v>203 to 703</v>
      </c>
      <c r="B239" s="141"/>
      <c r="C239" s="56" t="s">
        <v>174</v>
      </c>
      <c r="D239" s="57">
        <f>(30.932+7.125+0.87)*10.764</f>
        <v>419.01022799999998</v>
      </c>
      <c r="E239" s="57">
        <v>0</v>
      </c>
      <c r="F239" s="56">
        <v>610</v>
      </c>
      <c r="G239" s="141"/>
      <c r="H239" s="141"/>
      <c r="I239" s="26">
        <f t="shared" si="10"/>
        <v>2684000</v>
      </c>
      <c r="K239" s="46">
        <f t="shared" si="14"/>
        <v>1.4558117182762422</v>
      </c>
      <c r="L239" s="63">
        <v>203</v>
      </c>
      <c r="M239" s="63">
        <v>703</v>
      </c>
      <c r="N239" s="26" t="str">
        <f t="shared" si="17"/>
        <v>203 to 703</v>
      </c>
    </row>
    <row r="240" spans="1:14" s="38" customFormat="1" x14ac:dyDescent="0.35">
      <c r="A240" s="141" t="str">
        <f t="shared" si="16"/>
        <v>204 to 704</v>
      </c>
      <c r="B240" s="141"/>
      <c r="C240" s="56" t="s">
        <v>175</v>
      </c>
      <c r="D240" s="57">
        <f>(48.697+8.488+0.96)*10.764</f>
        <v>625.87278000000003</v>
      </c>
      <c r="E240" s="57">
        <v>0</v>
      </c>
      <c r="F240" s="56">
        <v>905</v>
      </c>
      <c r="G240" s="141"/>
      <c r="H240" s="141"/>
      <c r="I240" s="26">
        <f t="shared" si="10"/>
        <v>3982000</v>
      </c>
      <c r="K240" s="46">
        <f t="shared" si="14"/>
        <v>1.4459807630553927</v>
      </c>
      <c r="L240" s="63">
        <v>204</v>
      </c>
      <c r="M240" s="63">
        <v>704</v>
      </c>
      <c r="N240" s="26" t="str">
        <f t="shared" si="17"/>
        <v>204 to 704</v>
      </c>
    </row>
    <row r="241" spans="1:14" s="38" customFormat="1" x14ac:dyDescent="0.35">
      <c r="A241" s="141" t="str">
        <f t="shared" si="16"/>
        <v>205 to 705</v>
      </c>
      <c r="B241" s="141"/>
      <c r="C241" s="56" t="s">
        <v>175</v>
      </c>
      <c r="D241" s="57">
        <f>(47.463+8.488+0.84)*10.764</f>
        <v>611.29832399999998</v>
      </c>
      <c r="E241" s="57">
        <v>0</v>
      </c>
      <c r="F241" s="56">
        <v>885</v>
      </c>
      <c r="G241" s="141"/>
      <c r="H241" s="141"/>
      <c r="I241" s="26">
        <f t="shared" si="10"/>
        <v>3894000</v>
      </c>
      <c r="K241" s="46">
        <f t="shared" si="14"/>
        <v>1.4477383059208258</v>
      </c>
      <c r="L241" s="63">
        <v>205</v>
      </c>
      <c r="M241" s="63">
        <v>705</v>
      </c>
      <c r="N241" s="26" t="str">
        <f t="shared" si="17"/>
        <v>205 to 705</v>
      </c>
    </row>
    <row r="242" spans="1:14" s="38" customFormat="1" x14ac:dyDescent="0.35">
      <c r="A242" s="141" t="str">
        <f t="shared" si="16"/>
        <v>206 to 706</v>
      </c>
      <c r="B242" s="141"/>
      <c r="C242" s="56" t="s">
        <v>174</v>
      </c>
      <c r="D242" s="57">
        <f>(30.47+2.85+0.87)*10.764</f>
        <v>368.02115999999995</v>
      </c>
      <c r="E242" s="57">
        <v>0</v>
      </c>
      <c r="F242" s="56">
        <v>540</v>
      </c>
      <c r="G242" s="141"/>
      <c r="H242" s="141"/>
      <c r="I242" s="26">
        <f t="shared" si="10"/>
        <v>2376000</v>
      </c>
      <c r="K242" s="46">
        <f t="shared" si="14"/>
        <v>1.4673069341991098</v>
      </c>
      <c r="L242" s="63">
        <v>206</v>
      </c>
      <c r="M242" s="63">
        <v>706</v>
      </c>
      <c r="N242" s="26" t="str">
        <f t="shared" si="17"/>
        <v>206 to 706</v>
      </c>
    </row>
    <row r="243" spans="1:14" s="64" customFormat="1" x14ac:dyDescent="0.35">
      <c r="A243" s="82" t="s">
        <v>228</v>
      </c>
      <c r="B243" s="83"/>
      <c r="C243" s="83"/>
      <c r="D243" s="83"/>
      <c r="E243" s="83"/>
      <c r="F243" s="83"/>
      <c r="G243" s="83"/>
      <c r="H243" s="84"/>
      <c r="J243" s="26"/>
      <c r="K243" s="46" t="e">
        <f t="shared" si="14"/>
        <v>#DIV/0!</v>
      </c>
    </row>
    <row r="244" spans="1:14" s="38" customFormat="1" x14ac:dyDescent="0.35">
      <c r="A244" s="82" t="s">
        <v>181</v>
      </c>
      <c r="B244" s="83"/>
      <c r="C244" s="83"/>
      <c r="D244" s="83"/>
      <c r="E244" s="83"/>
      <c r="F244" s="83"/>
      <c r="G244" s="83"/>
      <c r="H244" s="84"/>
      <c r="I244" s="26">
        <f t="shared" si="10"/>
        <v>0</v>
      </c>
      <c r="J244" s="26"/>
      <c r="K244" s="46" t="e">
        <f t="shared" si="14"/>
        <v>#DIV/0!</v>
      </c>
    </row>
    <row r="245" spans="1:14" s="38" customFormat="1" ht="15.75" customHeight="1" x14ac:dyDescent="0.35">
      <c r="A245" s="82" t="s">
        <v>182</v>
      </c>
      <c r="B245" s="83"/>
      <c r="C245" s="83"/>
      <c r="D245" s="83"/>
      <c r="E245" s="83"/>
      <c r="F245" s="83"/>
      <c r="G245" s="83"/>
      <c r="H245" s="84"/>
      <c r="I245" s="26">
        <f t="shared" si="10"/>
        <v>0</v>
      </c>
      <c r="J245" s="26"/>
      <c r="K245" s="46" t="e">
        <f t="shared" si="14"/>
        <v>#DIV/0!</v>
      </c>
    </row>
    <row r="246" spans="1:14" s="38" customFormat="1" ht="15.75" customHeight="1" x14ac:dyDescent="0.35">
      <c r="A246" s="82" t="s">
        <v>173</v>
      </c>
      <c r="B246" s="83"/>
      <c r="C246" s="83"/>
      <c r="D246" s="83"/>
      <c r="E246" s="83"/>
      <c r="F246" s="83"/>
      <c r="G246" s="83"/>
      <c r="H246" s="84"/>
      <c r="I246" s="26">
        <f t="shared" si="10"/>
        <v>0</v>
      </c>
      <c r="J246" s="26"/>
      <c r="K246" s="46" t="e">
        <f t="shared" si="14"/>
        <v>#DIV/0!</v>
      </c>
    </row>
    <row r="247" spans="1:14" s="38" customFormat="1" ht="15.75" customHeight="1" x14ac:dyDescent="0.35">
      <c r="A247" s="139">
        <v>1</v>
      </c>
      <c r="B247" s="140"/>
      <c r="C247" s="56" t="s">
        <v>174</v>
      </c>
      <c r="D247" s="57">
        <f>(30.47+2.85+0.87)*10.764</f>
        <v>368.02115999999995</v>
      </c>
      <c r="E247" s="57">
        <v>0</v>
      </c>
      <c r="F247" s="56">
        <v>540</v>
      </c>
      <c r="G247" s="189" t="str">
        <f>A246</f>
        <v>1st Floor for Residential</v>
      </c>
      <c r="H247" s="190"/>
      <c r="I247" s="26">
        <f t="shared" si="10"/>
        <v>2376000</v>
      </c>
      <c r="K247" s="46">
        <f t="shared" si="14"/>
        <v>1.4673069341991098</v>
      </c>
      <c r="L247" s="181"/>
      <c r="M247" s="181"/>
      <c r="N247" s="26"/>
    </row>
    <row r="248" spans="1:14" s="38" customFormat="1" x14ac:dyDescent="0.35">
      <c r="A248" s="139">
        <f t="shared" ref="A248:A252" si="18">A247+1</f>
        <v>2</v>
      </c>
      <c r="B248" s="140"/>
      <c r="C248" s="56" t="s">
        <v>175</v>
      </c>
      <c r="D248" s="57">
        <f>(47.463+8.488+0.84)*10.764</f>
        <v>611.29832399999998</v>
      </c>
      <c r="E248" s="57">
        <f>(1.35*2.35)*10.764</f>
        <v>34.148789999999998</v>
      </c>
      <c r="F248" s="56">
        <v>885</v>
      </c>
      <c r="G248" s="191"/>
      <c r="H248" s="192"/>
      <c r="I248" s="26">
        <f t="shared" si="10"/>
        <v>3894000</v>
      </c>
      <c r="K248" s="46">
        <f t="shared" si="14"/>
        <v>1.4477383059208258</v>
      </c>
      <c r="L248" s="181"/>
      <c r="M248" s="181"/>
      <c r="N248" s="26"/>
    </row>
    <row r="249" spans="1:14" s="38" customFormat="1" x14ac:dyDescent="0.35">
      <c r="A249" s="139">
        <f t="shared" si="18"/>
        <v>3</v>
      </c>
      <c r="B249" s="140"/>
      <c r="C249" s="56" t="s">
        <v>175</v>
      </c>
      <c r="D249" s="57">
        <f>(48.697+8.488+0.96)*10.764</f>
        <v>625.87278000000003</v>
      </c>
      <c r="E249" s="57">
        <v>0</v>
      </c>
      <c r="F249" s="56">
        <v>905</v>
      </c>
      <c r="G249" s="191"/>
      <c r="H249" s="192"/>
      <c r="I249" s="26">
        <f t="shared" si="10"/>
        <v>3982000</v>
      </c>
      <c r="K249" s="46">
        <f t="shared" si="14"/>
        <v>1.4459807630553927</v>
      </c>
      <c r="L249" s="181"/>
      <c r="M249" s="181"/>
      <c r="N249" s="26"/>
    </row>
    <row r="250" spans="1:14" s="38" customFormat="1" x14ac:dyDescent="0.35">
      <c r="A250" s="139">
        <f t="shared" si="18"/>
        <v>4</v>
      </c>
      <c r="B250" s="140"/>
      <c r="C250" s="56" t="s">
        <v>174</v>
      </c>
      <c r="D250" s="57">
        <f>(30.932+7.125+0.87)*10.764</f>
        <v>419.01022799999998</v>
      </c>
      <c r="E250" s="57">
        <v>0</v>
      </c>
      <c r="F250" s="56">
        <v>610</v>
      </c>
      <c r="G250" s="191"/>
      <c r="H250" s="192"/>
      <c r="I250" s="26">
        <f t="shared" si="10"/>
        <v>2684000</v>
      </c>
      <c r="K250" s="46">
        <f t="shared" si="14"/>
        <v>1.4558117182762422</v>
      </c>
      <c r="L250" s="181"/>
      <c r="M250" s="181"/>
      <c r="N250" s="26"/>
    </row>
    <row r="251" spans="1:14" s="38" customFormat="1" x14ac:dyDescent="0.35">
      <c r="A251" s="139">
        <f t="shared" si="18"/>
        <v>5</v>
      </c>
      <c r="B251" s="140"/>
      <c r="C251" s="56" t="s">
        <v>175</v>
      </c>
      <c r="D251" s="57">
        <f>(42.029+8.702)*10.764</f>
        <v>546.06848400000001</v>
      </c>
      <c r="E251" s="57">
        <v>0</v>
      </c>
      <c r="F251" s="56">
        <v>800</v>
      </c>
      <c r="G251" s="191"/>
      <c r="H251" s="192"/>
      <c r="I251" s="26">
        <f t="shared" si="10"/>
        <v>3520000</v>
      </c>
      <c r="K251" s="46">
        <f t="shared" si="14"/>
        <v>1.4650177101229669</v>
      </c>
      <c r="L251" s="181"/>
      <c r="M251" s="181"/>
      <c r="N251" s="26"/>
    </row>
    <row r="252" spans="1:14" s="38" customFormat="1" x14ac:dyDescent="0.35">
      <c r="A252" s="139">
        <f t="shared" si="18"/>
        <v>6</v>
      </c>
      <c r="B252" s="140"/>
      <c r="C252" s="56" t="s">
        <v>174</v>
      </c>
      <c r="D252" s="57">
        <f>(30.47+2.85+0.87)*10.764</f>
        <v>368.02115999999995</v>
      </c>
      <c r="E252" s="57">
        <v>0</v>
      </c>
      <c r="F252" s="56">
        <v>540</v>
      </c>
      <c r="G252" s="193"/>
      <c r="H252" s="194"/>
      <c r="I252" s="26">
        <f t="shared" si="10"/>
        <v>2376000</v>
      </c>
      <c r="K252" s="46">
        <f t="shared" si="14"/>
        <v>1.4673069341991098</v>
      </c>
      <c r="L252" s="181"/>
      <c r="M252" s="181"/>
      <c r="N252" s="26"/>
    </row>
    <row r="253" spans="1:14" s="38" customFormat="1" ht="15.75" customHeight="1" x14ac:dyDescent="0.35">
      <c r="A253" s="82" t="s">
        <v>176</v>
      </c>
      <c r="B253" s="83"/>
      <c r="C253" s="83"/>
      <c r="D253" s="83"/>
      <c r="E253" s="83"/>
      <c r="F253" s="83"/>
      <c r="G253" s="83"/>
      <c r="H253" s="84"/>
      <c r="I253" s="26">
        <f t="shared" si="10"/>
        <v>0</v>
      </c>
      <c r="J253" s="26"/>
      <c r="K253" s="46" t="e">
        <f t="shared" si="14"/>
        <v>#DIV/0!</v>
      </c>
    </row>
    <row r="254" spans="1:14" s="38" customFormat="1" ht="15.75" customHeight="1" x14ac:dyDescent="0.35">
      <c r="A254" s="139" t="str">
        <f>N254</f>
        <v>201 to 701</v>
      </c>
      <c r="B254" s="140"/>
      <c r="C254" s="56" t="s">
        <v>174</v>
      </c>
      <c r="D254" s="57">
        <f>(30.47+2.85+0.87)*10.764</f>
        <v>368.02115999999995</v>
      </c>
      <c r="E254" s="57">
        <v>0</v>
      </c>
      <c r="F254" s="56">
        <v>540</v>
      </c>
      <c r="G254" s="189" t="str">
        <f>A253</f>
        <v>2nd to 7th Floor</v>
      </c>
      <c r="H254" s="190"/>
      <c r="I254" s="26">
        <f t="shared" si="10"/>
        <v>2376000</v>
      </c>
      <c r="K254" s="46">
        <f t="shared" si="14"/>
        <v>1.4673069341991098</v>
      </c>
      <c r="L254" s="63">
        <v>201</v>
      </c>
      <c r="M254" s="63">
        <v>701</v>
      </c>
      <c r="N254" s="26" t="str">
        <f>L254&amp;""&amp;" to "&amp;""&amp;M254</f>
        <v>201 to 701</v>
      </c>
    </row>
    <row r="255" spans="1:14" s="38" customFormat="1" x14ac:dyDescent="0.35">
      <c r="A255" s="139" t="str">
        <f t="shared" ref="A255:A259" si="19">N255</f>
        <v>202 to 702</v>
      </c>
      <c r="B255" s="140"/>
      <c r="C255" s="56" t="s">
        <v>175</v>
      </c>
      <c r="D255" s="57">
        <f>(47.463+8.488+0.84)*10.764</f>
        <v>611.29832399999998</v>
      </c>
      <c r="E255" s="57">
        <v>0</v>
      </c>
      <c r="F255" s="56">
        <v>885</v>
      </c>
      <c r="G255" s="191"/>
      <c r="H255" s="192"/>
      <c r="I255" s="26">
        <f t="shared" si="10"/>
        <v>3894000</v>
      </c>
      <c r="K255" s="46">
        <f t="shared" si="14"/>
        <v>1.4477383059208258</v>
      </c>
      <c r="L255" s="63">
        <v>202</v>
      </c>
      <c r="M255" s="63">
        <v>702</v>
      </c>
      <c r="N255" s="26" t="str">
        <f t="shared" ref="N255:N259" si="20">L255&amp;""&amp;" to "&amp;""&amp;M255</f>
        <v>202 to 702</v>
      </c>
    </row>
    <row r="256" spans="1:14" s="38" customFormat="1" x14ac:dyDescent="0.35">
      <c r="A256" s="139" t="str">
        <f t="shared" si="19"/>
        <v>203 to 703</v>
      </c>
      <c r="B256" s="140"/>
      <c r="C256" s="56" t="s">
        <v>175</v>
      </c>
      <c r="D256" s="57">
        <f>(48.697+8.488+0.96)*10.764</f>
        <v>625.87278000000003</v>
      </c>
      <c r="E256" s="57">
        <v>0</v>
      </c>
      <c r="F256" s="56">
        <v>905</v>
      </c>
      <c r="G256" s="191"/>
      <c r="H256" s="192"/>
      <c r="I256" s="26">
        <f t="shared" si="10"/>
        <v>3982000</v>
      </c>
      <c r="K256" s="46">
        <f t="shared" si="14"/>
        <v>1.4459807630553927</v>
      </c>
      <c r="L256" s="63">
        <v>203</v>
      </c>
      <c r="M256" s="63">
        <v>703</v>
      </c>
      <c r="N256" s="26" t="str">
        <f t="shared" si="20"/>
        <v>203 to 703</v>
      </c>
    </row>
    <row r="257" spans="1:14" s="38" customFormat="1" x14ac:dyDescent="0.35">
      <c r="A257" s="139" t="str">
        <f t="shared" si="19"/>
        <v>204 to 704</v>
      </c>
      <c r="B257" s="140"/>
      <c r="C257" s="56" t="s">
        <v>174</v>
      </c>
      <c r="D257" s="57">
        <f>(30.932+7.125+0.87)*10.764</f>
        <v>419.01022799999998</v>
      </c>
      <c r="E257" s="57">
        <v>0</v>
      </c>
      <c r="F257" s="56">
        <v>610</v>
      </c>
      <c r="G257" s="191"/>
      <c r="H257" s="192"/>
      <c r="I257" s="26">
        <f t="shared" si="10"/>
        <v>2684000</v>
      </c>
      <c r="K257" s="46">
        <f t="shared" si="14"/>
        <v>1.4558117182762422</v>
      </c>
      <c r="L257" s="63">
        <v>204</v>
      </c>
      <c r="M257" s="63">
        <v>704</v>
      </c>
      <c r="N257" s="26" t="str">
        <f t="shared" si="20"/>
        <v>204 to 704</v>
      </c>
    </row>
    <row r="258" spans="1:14" s="38" customFormat="1" x14ac:dyDescent="0.35">
      <c r="A258" s="139" t="str">
        <f t="shared" si="19"/>
        <v>205 to 705</v>
      </c>
      <c r="B258" s="140"/>
      <c r="C258" s="56" t="s">
        <v>175</v>
      </c>
      <c r="D258" s="57">
        <f>(42.029+8.702)*10.764</f>
        <v>546.06848400000001</v>
      </c>
      <c r="E258" s="57">
        <v>0</v>
      </c>
      <c r="F258" s="56">
        <v>800</v>
      </c>
      <c r="G258" s="191"/>
      <c r="H258" s="192"/>
      <c r="I258" s="26">
        <f t="shared" si="10"/>
        <v>3520000</v>
      </c>
      <c r="K258" s="46">
        <f t="shared" si="14"/>
        <v>1.4650177101229669</v>
      </c>
      <c r="L258" s="63">
        <v>205</v>
      </c>
      <c r="M258" s="63">
        <v>705</v>
      </c>
      <c r="N258" s="26" t="str">
        <f t="shared" si="20"/>
        <v>205 to 705</v>
      </c>
    </row>
    <row r="259" spans="1:14" s="38" customFormat="1" x14ac:dyDescent="0.35">
      <c r="A259" s="139" t="str">
        <f t="shared" si="19"/>
        <v>206 to 706</v>
      </c>
      <c r="B259" s="140"/>
      <c r="C259" s="56" t="s">
        <v>174</v>
      </c>
      <c r="D259" s="57">
        <f>(30.47+2.85+0.87)*10.764</f>
        <v>368.02115999999995</v>
      </c>
      <c r="E259" s="57">
        <v>0</v>
      </c>
      <c r="F259" s="56">
        <v>540</v>
      </c>
      <c r="G259" s="193"/>
      <c r="H259" s="194"/>
      <c r="I259" s="26">
        <f t="shared" si="10"/>
        <v>2376000</v>
      </c>
      <c r="K259" s="46">
        <f t="shared" si="14"/>
        <v>1.4673069341991098</v>
      </c>
      <c r="L259" s="63">
        <v>206</v>
      </c>
      <c r="M259" s="63">
        <v>706</v>
      </c>
      <c r="N259" s="26" t="str">
        <f t="shared" si="20"/>
        <v>206 to 706</v>
      </c>
    </row>
    <row r="260" spans="1:14" s="25" customFormat="1" x14ac:dyDescent="0.35">
      <c r="A260" s="117" t="s">
        <v>68</v>
      </c>
      <c r="B260" s="117"/>
      <c r="C260" s="117"/>
      <c r="D260" s="117"/>
      <c r="E260" s="117"/>
      <c r="F260" s="117"/>
      <c r="G260" s="117"/>
      <c r="H260" s="117"/>
    </row>
    <row r="261" spans="1:14" s="41" customFormat="1" ht="47.25" customHeight="1" x14ac:dyDescent="0.35">
      <c r="A261" s="40" t="s">
        <v>140</v>
      </c>
      <c r="B261" s="114" t="s">
        <v>246</v>
      </c>
      <c r="C261" s="115"/>
      <c r="D261" s="115"/>
      <c r="E261" s="115"/>
      <c r="F261" s="115"/>
      <c r="G261" s="115"/>
      <c r="H261" s="116"/>
    </row>
    <row r="262" spans="1:14" s="25" customFormat="1" x14ac:dyDescent="0.35">
      <c r="A262" s="40" t="s">
        <v>140</v>
      </c>
      <c r="B262" s="114" t="str">
        <f>(IF(F191="Saleable area Loading :","We have considered Saleable area of Flats as per our Calculation.","We considered Saleable area of Flat as per Builder area Sheet."))</f>
        <v>We considered Saleable area of Flat as per Builder area Sheet.</v>
      </c>
      <c r="C262" s="115"/>
      <c r="D262" s="115"/>
      <c r="E262" s="115"/>
      <c r="F262" s="115"/>
      <c r="G262" s="115"/>
      <c r="H262" s="116"/>
    </row>
    <row r="263" spans="1:14" s="25" customFormat="1" x14ac:dyDescent="0.35">
      <c r="A263" s="40" t="s">
        <v>140</v>
      </c>
      <c r="B263" s="114" t="str">
        <f>(IF(F156="Saleable area Loading :","We have considered Saleable area of Commercial as per our Calculation.","We considered Saleable area of Commercial as per Builder area Sheet."))</f>
        <v>We considered Saleable area of Commercial as per Builder area Sheet.</v>
      </c>
      <c r="C263" s="115"/>
      <c r="D263" s="115"/>
      <c r="E263" s="115"/>
      <c r="F263" s="115"/>
      <c r="G263" s="115"/>
      <c r="H263" s="116"/>
    </row>
    <row r="264" spans="1:14" s="25" customFormat="1" x14ac:dyDescent="0.35">
      <c r="A264" s="40" t="s">
        <v>140</v>
      </c>
      <c r="B264" s="114" t="s">
        <v>111</v>
      </c>
      <c r="C264" s="115"/>
      <c r="D264" s="115"/>
      <c r="E264" s="115"/>
      <c r="F264" s="115"/>
      <c r="G264" s="115"/>
      <c r="H264" s="116"/>
    </row>
    <row r="265" spans="1:14" s="25" customFormat="1" x14ac:dyDescent="0.35">
      <c r="A265" s="40" t="s">
        <v>140</v>
      </c>
      <c r="B265" s="114" t="s">
        <v>183</v>
      </c>
      <c r="C265" s="115"/>
      <c r="D265" s="115"/>
      <c r="E265" s="115"/>
      <c r="F265" s="115"/>
      <c r="G265" s="115"/>
      <c r="H265" s="116"/>
    </row>
    <row r="266" spans="1:14" s="25" customFormat="1" x14ac:dyDescent="0.35">
      <c r="A266" s="40" t="s">
        <v>140</v>
      </c>
      <c r="B266" s="114" t="s">
        <v>139</v>
      </c>
      <c r="C266" s="115"/>
      <c r="D266" s="115"/>
      <c r="E266" s="115"/>
      <c r="F266" s="115"/>
      <c r="G266" s="115"/>
      <c r="H266" s="116"/>
    </row>
    <row r="267" spans="1:14" s="25" customFormat="1" x14ac:dyDescent="0.35">
      <c r="A267" s="40" t="s">
        <v>140</v>
      </c>
      <c r="B267" s="114" t="s">
        <v>112</v>
      </c>
      <c r="C267" s="115"/>
      <c r="D267" s="115"/>
      <c r="E267" s="115"/>
      <c r="F267" s="115"/>
      <c r="G267" s="115"/>
      <c r="H267" s="116"/>
    </row>
    <row r="268" spans="1:14" s="25" customFormat="1" ht="34.5" hidden="1" customHeight="1" x14ac:dyDescent="0.35">
      <c r="A268" s="40" t="s">
        <v>140</v>
      </c>
      <c r="B268" s="114" t="s">
        <v>141</v>
      </c>
      <c r="C268" s="115"/>
      <c r="D268" s="115"/>
      <c r="E268" s="115"/>
      <c r="F268" s="115"/>
      <c r="G268" s="115"/>
      <c r="H268" s="116"/>
    </row>
    <row r="269" spans="1:14" s="25" customFormat="1" ht="16" customHeight="1" x14ac:dyDescent="0.35">
      <c r="A269" s="40" t="s">
        <v>140</v>
      </c>
      <c r="B269" s="114" t="s">
        <v>113</v>
      </c>
      <c r="C269" s="115"/>
      <c r="D269" s="115"/>
      <c r="E269" s="115"/>
      <c r="F269" s="115"/>
      <c r="G269" s="115"/>
      <c r="H269" s="116"/>
    </row>
    <row r="270" spans="1:14" x14ac:dyDescent="0.35">
      <c r="A270" s="137" t="s">
        <v>61</v>
      </c>
      <c r="B270" s="137"/>
      <c r="C270" s="137"/>
      <c r="D270" s="137"/>
      <c r="E270" s="137"/>
      <c r="F270" s="137"/>
      <c r="G270" s="137"/>
      <c r="H270" s="137"/>
    </row>
    <row r="271" spans="1:14" x14ac:dyDescent="0.35">
      <c r="A271" s="87" t="s">
        <v>62</v>
      </c>
      <c r="B271" s="87"/>
      <c r="C271" s="87"/>
      <c r="D271" s="87"/>
      <c r="E271" s="87"/>
      <c r="F271" s="87"/>
      <c r="G271" s="87"/>
      <c r="H271" s="87"/>
    </row>
    <row r="272" spans="1:14" ht="15.75" customHeight="1" x14ac:dyDescent="0.35">
      <c r="A272" s="88" t="s">
        <v>63</v>
      </c>
      <c r="B272" s="88"/>
      <c r="C272" s="88"/>
      <c r="D272" s="88"/>
      <c r="E272" s="88"/>
      <c r="F272" s="88"/>
      <c r="G272" s="88"/>
      <c r="H272" s="88"/>
    </row>
    <row r="273" spans="1:10" x14ac:dyDescent="0.35">
      <c r="A273" s="87" t="s">
        <v>64</v>
      </c>
      <c r="B273" s="87"/>
      <c r="C273" s="87"/>
      <c r="D273" s="87"/>
      <c r="E273" s="87"/>
      <c r="F273" s="87"/>
      <c r="G273" s="87"/>
      <c r="H273" s="87"/>
    </row>
    <row r="274" spans="1:10" x14ac:dyDescent="0.35">
      <c r="A274" s="87" t="s">
        <v>65</v>
      </c>
      <c r="B274" s="87"/>
      <c r="C274" s="87"/>
      <c r="D274" s="87"/>
      <c r="E274" s="87"/>
      <c r="F274" s="87"/>
      <c r="G274" s="87"/>
      <c r="H274" s="87"/>
    </row>
    <row r="275" spans="1:10" x14ac:dyDescent="0.35">
      <c r="A275" s="87" t="s">
        <v>114</v>
      </c>
      <c r="B275" s="87"/>
      <c r="C275" s="87"/>
      <c r="D275" s="87"/>
      <c r="E275" s="87"/>
      <c r="F275" s="87"/>
      <c r="G275" s="87"/>
      <c r="H275" s="87"/>
    </row>
    <row r="276" spans="1:10" x14ac:dyDescent="0.35">
      <c r="A276" s="123" t="s">
        <v>115</v>
      </c>
      <c r="B276" s="123"/>
      <c r="C276" s="123"/>
      <c r="D276" s="123"/>
      <c r="E276" s="123"/>
      <c r="F276" s="123"/>
      <c r="G276" s="123"/>
      <c r="H276" s="123"/>
    </row>
    <row r="277" spans="1:10" x14ac:dyDescent="0.35">
      <c r="A277" s="135" t="s">
        <v>77</v>
      </c>
      <c r="B277" s="135"/>
      <c r="C277" s="135" t="s">
        <v>240</v>
      </c>
      <c r="D277" s="135"/>
      <c r="E277" s="135" t="s">
        <v>104</v>
      </c>
      <c r="F277" s="135"/>
      <c r="G277" s="135" t="s">
        <v>243</v>
      </c>
      <c r="H277" s="135"/>
    </row>
    <row r="278" spans="1:10" x14ac:dyDescent="0.35">
      <c r="A278" s="134" t="s">
        <v>79</v>
      </c>
      <c r="B278" s="134"/>
      <c r="C278" s="134"/>
      <c r="D278" s="134"/>
      <c r="E278" s="134"/>
      <c r="F278" s="134"/>
      <c r="G278" s="134"/>
      <c r="H278" s="134"/>
    </row>
    <row r="279" spans="1:10" x14ac:dyDescent="0.35">
      <c r="A279" s="134"/>
      <c r="B279" s="134"/>
      <c r="C279" s="134"/>
      <c r="D279" s="134"/>
      <c r="E279" s="134"/>
      <c r="F279" s="134"/>
      <c r="G279" s="134"/>
      <c r="H279" s="134"/>
    </row>
    <row r="280" spans="1:10" x14ac:dyDescent="0.35">
      <c r="A280" s="134"/>
      <c r="B280" s="134"/>
      <c r="C280" s="134"/>
      <c r="D280" s="134"/>
      <c r="E280" s="134"/>
      <c r="F280" s="134"/>
      <c r="G280" s="134"/>
      <c r="H280" s="134"/>
    </row>
    <row r="281" spans="1:10" x14ac:dyDescent="0.35">
      <c r="A281" s="27" t="s">
        <v>66</v>
      </c>
      <c r="B281" s="28"/>
      <c r="C281" s="28"/>
      <c r="D281" s="27" t="str">
        <f>E8</f>
        <v>Palacia</v>
      </c>
      <c r="F281" s="28"/>
      <c r="G281" s="28"/>
      <c r="H281" s="28"/>
    </row>
    <row r="282" spans="1:10" x14ac:dyDescent="0.35">
      <c r="A282" s="28"/>
      <c r="B282" s="28"/>
      <c r="C282" s="28"/>
      <c r="D282" s="28"/>
      <c r="E282" s="28"/>
      <c r="F282" s="28"/>
      <c r="G282" s="28"/>
      <c r="H282" s="28"/>
    </row>
    <row r="283" spans="1:10" x14ac:dyDescent="0.35">
      <c r="A283" s="28"/>
      <c r="B283" s="28"/>
      <c r="C283" s="28"/>
      <c r="D283" s="28"/>
      <c r="E283" s="28"/>
      <c r="F283" s="28"/>
      <c r="G283" s="28"/>
      <c r="H283" s="28"/>
    </row>
    <row r="284" spans="1:10" ht="15" customHeight="1" x14ac:dyDescent="0.35"/>
    <row r="288" spans="1:10" x14ac:dyDescent="0.35">
      <c r="J288" s="10" t="s">
        <v>245</v>
      </c>
    </row>
    <row r="324" spans="1:1" x14ac:dyDescent="0.35">
      <c r="A324" s="30" t="s">
        <v>206</v>
      </c>
    </row>
    <row r="367" spans="1:1" x14ac:dyDescent="0.35">
      <c r="A367" s="30" t="s">
        <v>67</v>
      </c>
    </row>
  </sheetData>
  <mergeCells count="477">
    <mergeCell ref="A113:B113"/>
    <mergeCell ref="C113:H113"/>
    <mergeCell ref="A115:B115"/>
    <mergeCell ref="C115:H115"/>
    <mergeCell ref="A116:B116"/>
    <mergeCell ref="E116:F116"/>
    <mergeCell ref="G116:H116"/>
    <mergeCell ref="A117:B117"/>
    <mergeCell ref="E117:F126"/>
    <mergeCell ref="G117:H126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E151:F151"/>
    <mergeCell ref="G151:H151"/>
    <mergeCell ref="A181:H181"/>
    <mergeCell ref="A182:H182"/>
    <mergeCell ref="A168:H168"/>
    <mergeCell ref="A169:B169"/>
    <mergeCell ref="G203:H208"/>
    <mergeCell ref="A189:B189"/>
    <mergeCell ref="A9:D9"/>
    <mergeCell ref="E9:H9"/>
    <mergeCell ref="A142:A144"/>
    <mergeCell ref="A148:A151"/>
    <mergeCell ref="G150:H150"/>
    <mergeCell ref="C151:D151"/>
    <mergeCell ref="G152:H152"/>
    <mergeCell ref="C150:D150"/>
    <mergeCell ref="E150:F150"/>
    <mergeCell ref="C145:D145"/>
    <mergeCell ref="E145:F145"/>
    <mergeCell ref="G145:H145"/>
    <mergeCell ref="C149:D149"/>
    <mergeCell ref="E149:F149"/>
    <mergeCell ref="G149:H149"/>
    <mergeCell ref="F134:H134"/>
    <mergeCell ref="F137:H137"/>
    <mergeCell ref="F135:H135"/>
    <mergeCell ref="C147:D147"/>
    <mergeCell ref="G147:H147"/>
    <mergeCell ref="A253:H253"/>
    <mergeCell ref="A254:B254"/>
    <mergeCell ref="G254:H259"/>
    <mergeCell ref="A255:B255"/>
    <mergeCell ref="A256:B256"/>
    <mergeCell ref="A257:B257"/>
    <mergeCell ref="A258:B258"/>
    <mergeCell ref="A259:B259"/>
    <mergeCell ref="A244:H244"/>
    <mergeCell ref="A245:H245"/>
    <mergeCell ref="A246:H246"/>
    <mergeCell ref="A247:B247"/>
    <mergeCell ref="G247:H252"/>
    <mergeCell ref="A252:B252"/>
    <mergeCell ref="L252:M252"/>
    <mergeCell ref="A236:H236"/>
    <mergeCell ref="A237:B237"/>
    <mergeCell ref="G237:H242"/>
    <mergeCell ref="A238:B238"/>
    <mergeCell ref="A239:B239"/>
    <mergeCell ref="A240:B240"/>
    <mergeCell ref="A241:B241"/>
    <mergeCell ref="A242:B242"/>
    <mergeCell ref="L247:M247"/>
    <mergeCell ref="A248:B248"/>
    <mergeCell ref="L248:M248"/>
    <mergeCell ref="A249:B249"/>
    <mergeCell ref="L249:M249"/>
    <mergeCell ref="A250:B250"/>
    <mergeCell ref="L250:M250"/>
    <mergeCell ref="A251:B251"/>
    <mergeCell ref="L251:M251"/>
    <mergeCell ref="A231:B231"/>
    <mergeCell ref="L231:M231"/>
    <mergeCell ref="A232:B232"/>
    <mergeCell ref="L232:M232"/>
    <mergeCell ref="A233:B233"/>
    <mergeCell ref="L200:M200"/>
    <mergeCell ref="A201:B201"/>
    <mergeCell ref="L201:M201"/>
    <mergeCell ref="G196:H201"/>
    <mergeCell ref="L199:M199"/>
    <mergeCell ref="L196:M196"/>
    <mergeCell ref="L233:M233"/>
    <mergeCell ref="A202:H202"/>
    <mergeCell ref="A203:B203"/>
    <mergeCell ref="A221:B221"/>
    <mergeCell ref="A222:B222"/>
    <mergeCell ref="A223:B223"/>
    <mergeCell ref="A224:B224"/>
    <mergeCell ref="A225:B225"/>
    <mergeCell ref="A210:H210"/>
    <mergeCell ref="A211:H211"/>
    <mergeCell ref="A218:B218"/>
    <mergeCell ref="L197:M197"/>
    <mergeCell ref="L198:M198"/>
    <mergeCell ref="A234:B234"/>
    <mergeCell ref="L234:M234"/>
    <mergeCell ref="A230:B230"/>
    <mergeCell ref="G230:H235"/>
    <mergeCell ref="A235:B235"/>
    <mergeCell ref="L235:M235"/>
    <mergeCell ref="A204:B204"/>
    <mergeCell ref="A205:B205"/>
    <mergeCell ref="A206:B206"/>
    <mergeCell ref="A207:B207"/>
    <mergeCell ref="A226:H226"/>
    <mergeCell ref="A213:B213"/>
    <mergeCell ref="G213:H218"/>
    <mergeCell ref="A214:B214"/>
    <mergeCell ref="A215:B215"/>
    <mergeCell ref="A216:B216"/>
    <mergeCell ref="A217:B217"/>
    <mergeCell ref="L230:M230"/>
    <mergeCell ref="A227:H227"/>
    <mergeCell ref="A228:H228"/>
    <mergeCell ref="A229:H229"/>
    <mergeCell ref="A219:H219"/>
    <mergeCell ref="A220:B220"/>
    <mergeCell ref="G220:H225"/>
    <mergeCell ref="L178:M178"/>
    <mergeCell ref="A179:B179"/>
    <mergeCell ref="L179:M179"/>
    <mergeCell ref="A180:B180"/>
    <mergeCell ref="L180:M180"/>
    <mergeCell ref="G169:H180"/>
    <mergeCell ref="A199:B199"/>
    <mergeCell ref="A196:B196"/>
    <mergeCell ref="A183:B183"/>
    <mergeCell ref="A185:B185"/>
    <mergeCell ref="L189:M189"/>
    <mergeCell ref="G183:H189"/>
    <mergeCell ref="A184:B184"/>
    <mergeCell ref="L185:M185"/>
    <mergeCell ref="A186:B186"/>
    <mergeCell ref="L176:M176"/>
    <mergeCell ref="L177:M177"/>
    <mergeCell ref="L169:M169"/>
    <mergeCell ref="A170:B170"/>
    <mergeCell ref="L170:M170"/>
    <mergeCell ref="L183:M183"/>
    <mergeCell ref="L186:M186"/>
    <mergeCell ref="L164:M164"/>
    <mergeCell ref="A165:B165"/>
    <mergeCell ref="L165:M165"/>
    <mergeCell ref="A166:B166"/>
    <mergeCell ref="L166:M166"/>
    <mergeCell ref="G160:H166"/>
    <mergeCell ref="A192:H192"/>
    <mergeCell ref="A171:B171"/>
    <mergeCell ref="L171:M171"/>
    <mergeCell ref="A172:B172"/>
    <mergeCell ref="L172:M172"/>
    <mergeCell ref="A173:B173"/>
    <mergeCell ref="L173:M173"/>
    <mergeCell ref="A174:B174"/>
    <mergeCell ref="L174:M174"/>
    <mergeCell ref="A175:B175"/>
    <mergeCell ref="L175:M175"/>
    <mergeCell ref="A176:B176"/>
    <mergeCell ref="A187:B187"/>
    <mergeCell ref="L187:M187"/>
    <mergeCell ref="A188:B188"/>
    <mergeCell ref="L188:M188"/>
    <mergeCell ref="L184:M184"/>
    <mergeCell ref="A167:H167"/>
    <mergeCell ref="B268:H268"/>
    <mergeCell ref="A49:B49"/>
    <mergeCell ref="C49:H49"/>
    <mergeCell ref="B266:H266"/>
    <mergeCell ref="G103:H112"/>
    <mergeCell ref="A104:B104"/>
    <mergeCell ref="A105:B105"/>
    <mergeCell ref="A106:B106"/>
    <mergeCell ref="F129:H129"/>
    <mergeCell ref="A129:E129"/>
    <mergeCell ref="A130:E130"/>
    <mergeCell ref="A160:B160"/>
    <mergeCell ref="A161:B161"/>
    <mergeCell ref="A162:B162"/>
    <mergeCell ref="A163:B163"/>
    <mergeCell ref="A131:E131"/>
    <mergeCell ref="A137:E137"/>
    <mergeCell ref="C143:D143"/>
    <mergeCell ref="E143:F143"/>
    <mergeCell ref="G143:H143"/>
    <mergeCell ref="A145:B145"/>
    <mergeCell ref="A208:B208"/>
    <mergeCell ref="C144:D144"/>
    <mergeCell ref="A212:H212"/>
    <mergeCell ref="L163:M163"/>
    <mergeCell ref="L162:M162"/>
    <mergeCell ref="L161:M161"/>
    <mergeCell ref="L160:M160"/>
    <mergeCell ref="A82:B82"/>
    <mergeCell ref="C148:D148"/>
    <mergeCell ref="E148:F148"/>
    <mergeCell ref="G148:H148"/>
    <mergeCell ref="F133:H133"/>
    <mergeCell ref="A128:E128"/>
    <mergeCell ref="A157:H157"/>
    <mergeCell ref="G156:H156"/>
    <mergeCell ref="A103:B103"/>
    <mergeCell ref="E103:F112"/>
    <mergeCell ref="A110:B110"/>
    <mergeCell ref="A111:B111"/>
    <mergeCell ref="A112:B112"/>
    <mergeCell ref="F127:H127"/>
    <mergeCell ref="F131:H131"/>
    <mergeCell ref="E147:F147"/>
    <mergeCell ref="A101:B101"/>
    <mergeCell ref="C101:H101"/>
    <mergeCell ref="A102:B102"/>
    <mergeCell ref="E102:F102"/>
    <mergeCell ref="A83:B83"/>
    <mergeCell ref="A84:B84"/>
    <mergeCell ref="D65:H65"/>
    <mergeCell ref="G102:H102"/>
    <mergeCell ref="G89:H98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44:D44"/>
    <mergeCell ref="E44:H44"/>
    <mergeCell ref="E45:H45"/>
    <mergeCell ref="E46:H46"/>
    <mergeCell ref="E47:H47"/>
    <mergeCell ref="A45:D45"/>
    <mergeCell ref="A81:B81"/>
    <mergeCell ref="A74:B74"/>
    <mergeCell ref="A77:B77"/>
    <mergeCell ref="A73:B73"/>
    <mergeCell ref="A71:B71"/>
    <mergeCell ref="C71:H71"/>
    <mergeCell ref="A79:B79"/>
    <mergeCell ref="A66:C66"/>
    <mergeCell ref="D66:H66"/>
    <mergeCell ref="C73:H73"/>
    <mergeCell ref="A76:B76"/>
    <mergeCell ref="A75:B75"/>
    <mergeCell ref="G74:H74"/>
    <mergeCell ref="D62:H62"/>
    <mergeCell ref="A65:C65"/>
    <mergeCell ref="D64:H64"/>
    <mergeCell ref="E75:F84"/>
    <mergeCell ref="G75:H84"/>
    <mergeCell ref="A38:H38"/>
    <mergeCell ref="A37:B37"/>
    <mergeCell ref="C37:E37"/>
    <mergeCell ref="A42:D42"/>
    <mergeCell ref="E42:H42"/>
    <mergeCell ref="F34:H34"/>
    <mergeCell ref="F35:H35"/>
    <mergeCell ref="A41:H41"/>
    <mergeCell ref="A64:C64"/>
    <mergeCell ref="F37:H37"/>
    <mergeCell ref="A39:B39"/>
    <mergeCell ref="A46:D46"/>
    <mergeCell ref="A47:D47"/>
    <mergeCell ref="A48:H48"/>
    <mergeCell ref="D60:H60"/>
    <mergeCell ref="A60:C60"/>
    <mergeCell ref="G51:H51"/>
    <mergeCell ref="A52:B53"/>
    <mergeCell ref="C51:E51"/>
    <mergeCell ref="A51:B51"/>
    <mergeCell ref="G54:H54"/>
    <mergeCell ref="A40:B40"/>
    <mergeCell ref="C40:H40"/>
    <mergeCell ref="C54:E54"/>
    <mergeCell ref="E27:H27"/>
    <mergeCell ref="A29:D29"/>
    <mergeCell ref="E29:H29"/>
    <mergeCell ref="A26:D26"/>
    <mergeCell ref="E26:H26"/>
    <mergeCell ref="A30:D30"/>
    <mergeCell ref="E30:H30"/>
    <mergeCell ref="A27:D27"/>
    <mergeCell ref="A36:B36"/>
    <mergeCell ref="C36:E36"/>
    <mergeCell ref="A31:D31"/>
    <mergeCell ref="E31:H31"/>
    <mergeCell ref="A32:D32"/>
    <mergeCell ref="E32:H32"/>
    <mergeCell ref="A28:D28"/>
    <mergeCell ref="E28:H28"/>
    <mergeCell ref="C33:E33"/>
    <mergeCell ref="F36:H36"/>
    <mergeCell ref="F33:H33"/>
    <mergeCell ref="A34:B34"/>
    <mergeCell ref="A33:B33"/>
    <mergeCell ref="C34:E34"/>
    <mergeCell ref="A35:B35"/>
    <mergeCell ref="C35:E35"/>
    <mergeCell ref="A23:D24"/>
    <mergeCell ref="E23:H24"/>
    <mergeCell ref="E15:H15"/>
    <mergeCell ref="A16:B16"/>
    <mergeCell ref="C16:H16"/>
    <mergeCell ref="C17:H17"/>
    <mergeCell ref="A25:D25"/>
    <mergeCell ref="E25:H25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22:B22"/>
    <mergeCell ref="C22:D22"/>
    <mergeCell ref="E22:F22"/>
    <mergeCell ref="G22:H22"/>
    <mergeCell ref="A12:D12"/>
    <mergeCell ref="E12:H12"/>
    <mergeCell ref="A5:D5"/>
    <mergeCell ref="E5:H5"/>
    <mergeCell ref="A6:D6"/>
    <mergeCell ref="E6:H6"/>
    <mergeCell ref="A7:D7"/>
    <mergeCell ref="E7:H7"/>
    <mergeCell ref="A17:B17"/>
    <mergeCell ref="A14:D14"/>
    <mergeCell ref="E14:H14"/>
    <mergeCell ref="A15:D15"/>
    <mergeCell ref="A11:D11"/>
    <mergeCell ref="E11:H11"/>
    <mergeCell ref="A13:D13"/>
    <mergeCell ref="E13:H13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132:E132"/>
    <mergeCell ref="F132:H132"/>
    <mergeCell ref="A133:E133"/>
    <mergeCell ref="A135:E135"/>
    <mergeCell ref="A134:E134"/>
    <mergeCell ref="A127:E127"/>
    <mergeCell ref="F130:H130"/>
    <mergeCell ref="E74:F74"/>
    <mergeCell ref="A67:C67"/>
    <mergeCell ref="D67:H67"/>
    <mergeCell ref="A70:C70"/>
    <mergeCell ref="D70:H70"/>
    <mergeCell ref="A68:C68"/>
    <mergeCell ref="D68:H68"/>
    <mergeCell ref="A69:C69"/>
    <mergeCell ref="D69:H69"/>
    <mergeCell ref="C85:H85"/>
    <mergeCell ref="A87:B87"/>
    <mergeCell ref="C87:H87"/>
    <mergeCell ref="A88:B88"/>
    <mergeCell ref="E88:F88"/>
    <mergeCell ref="G88:H88"/>
    <mergeCell ref="A89:B89"/>
    <mergeCell ref="E89:F98"/>
    <mergeCell ref="B269:H269"/>
    <mergeCell ref="B267:H267"/>
    <mergeCell ref="B263:H263"/>
    <mergeCell ref="A154:H154"/>
    <mergeCell ref="B261:H261"/>
    <mergeCell ref="B262:H262"/>
    <mergeCell ref="C141:D141"/>
    <mergeCell ref="A155:H155"/>
    <mergeCell ref="A78:B78"/>
    <mergeCell ref="A152:B152"/>
    <mergeCell ref="E152:F152"/>
    <mergeCell ref="A159:H159"/>
    <mergeCell ref="A158:H158"/>
    <mergeCell ref="A164:B164"/>
    <mergeCell ref="A193:H193"/>
    <mergeCell ref="A195:H195"/>
    <mergeCell ref="A200:B200"/>
    <mergeCell ref="A190:H190"/>
    <mergeCell ref="A197:B197"/>
    <mergeCell ref="A198:B198"/>
    <mergeCell ref="A178:B178"/>
    <mergeCell ref="A177:B177"/>
    <mergeCell ref="E144:F144"/>
    <mergeCell ref="G144:H144"/>
    <mergeCell ref="C142:D142"/>
    <mergeCell ref="E142:F142"/>
    <mergeCell ref="A209:H209"/>
    <mergeCell ref="C152:D152"/>
    <mergeCell ref="A194:H194"/>
    <mergeCell ref="F136:H136"/>
    <mergeCell ref="E141:F141"/>
    <mergeCell ref="A141:B141"/>
    <mergeCell ref="A278:H280"/>
    <mergeCell ref="A277:B277"/>
    <mergeCell ref="E277:F277"/>
    <mergeCell ref="C277:D277"/>
    <mergeCell ref="G277:H277"/>
    <mergeCell ref="A140:H140"/>
    <mergeCell ref="A138:E138"/>
    <mergeCell ref="F138:H138"/>
    <mergeCell ref="A139:E139"/>
    <mergeCell ref="F139:H139"/>
    <mergeCell ref="A273:H273"/>
    <mergeCell ref="A146:H146"/>
    <mergeCell ref="A276:H276"/>
    <mergeCell ref="A274:H274"/>
    <mergeCell ref="A270:H270"/>
    <mergeCell ref="A271:H271"/>
    <mergeCell ref="C39:H39"/>
    <mergeCell ref="A153:B153"/>
    <mergeCell ref="C55:E55"/>
    <mergeCell ref="G50:H50"/>
    <mergeCell ref="B264:H264"/>
    <mergeCell ref="B265:H265"/>
    <mergeCell ref="A260:H260"/>
    <mergeCell ref="G52:H52"/>
    <mergeCell ref="D58:H58"/>
    <mergeCell ref="C52:E52"/>
    <mergeCell ref="A61:C63"/>
    <mergeCell ref="D61:H61"/>
    <mergeCell ref="D63:H63"/>
    <mergeCell ref="A56:B56"/>
    <mergeCell ref="C56:E56"/>
    <mergeCell ref="A57:H57"/>
    <mergeCell ref="A58:C58"/>
    <mergeCell ref="A59:C59"/>
    <mergeCell ref="D59:H59"/>
    <mergeCell ref="G56:H56"/>
    <mergeCell ref="G55:H55"/>
    <mergeCell ref="G141:H141"/>
    <mergeCell ref="A136:E136"/>
    <mergeCell ref="C153:D153"/>
    <mergeCell ref="E153:F153"/>
    <mergeCell ref="G153:H153"/>
    <mergeCell ref="A243:H243"/>
    <mergeCell ref="A18:B18"/>
    <mergeCell ref="C18:H18"/>
    <mergeCell ref="E43:H43"/>
    <mergeCell ref="A43:D43"/>
    <mergeCell ref="A275:H275"/>
    <mergeCell ref="A272:H272"/>
    <mergeCell ref="A147:B147"/>
    <mergeCell ref="G191:H191"/>
    <mergeCell ref="A107:B107"/>
    <mergeCell ref="A108:B108"/>
    <mergeCell ref="A109:B109"/>
    <mergeCell ref="A99:B99"/>
    <mergeCell ref="C99:H99"/>
    <mergeCell ref="A80:B80"/>
    <mergeCell ref="F128:H128"/>
    <mergeCell ref="G142:H142"/>
    <mergeCell ref="A50:B50"/>
    <mergeCell ref="C50:E50"/>
    <mergeCell ref="C53:H53"/>
    <mergeCell ref="A54:B55"/>
    <mergeCell ref="A85:B85"/>
  </mergeCells>
  <hyperlinks>
    <hyperlink ref="C40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70" max="16383" man="1"/>
    <brk id="280" max="16383" man="1"/>
    <brk id="323" max="16383" man="1"/>
    <brk id="366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Normal="100" workbookViewId="0">
      <selection activeCell="G10" sqref="G10"/>
    </sheetView>
  </sheetViews>
  <sheetFormatPr defaultColWidth="8.7265625" defaultRowHeight="14.5" x14ac:dyDescent="0.35"/>
  <cols>
    <col min="1" max="1" width="8.7265625" style="1"/>
    <col min="2" max="2" width="29.54296875" style="1" customWidth="1"/>
    <col min="3" max="3" width="14.26953125" style="1" customWidth="1"/>
    <col min="4" max="5" width="11.453125" style="1" customWidth="1"/>
    <col min="6" max="6" width="12.1796875" style="1" customWidth="1"/>
    <col min="7" max="8" width="9" style="1" customWidth="1"/>
    <col min="9" max="16384" width="8.7265625" style="1"/>
  </cols>
  <sheetData>
    <row r="1" spans="1:9" ht="15" customHeight="1" x14ac:dyDescent="0.35">
      <c r="A1" s="48"/>
      <c r="B1" s="48"/>
      <c r="C1" s="48"/>
      <c r="D1" s="48"/>
      <c r="E1" s="48"/>
      <c r="F1" s="48"/>
      <c r="G1" s="48"/>
      <c r="H1" s="48"/>
      <c r="I1" s="48"/>
    </row>
    <row r="2" spans="1:9" ht="15" customHeight="1" x14ac:dyDescent="0.35">
      <c r="A2" s="48"/>
      <c r="B2" s="210" t="s">
        <v>194</v>
      </c>
      <c r="C2" s="210"/>
      <c r="D2" s="48"/>
      <c r="E2" s="48"/>
      <c r="F2" s="211" t="s">
        <v>196</v>
      </c>
      <c r="G2" s="211"/>
      <c r="H2" s="49" t="s">
        <v>198</v>
      </c>
      <c r="I2" s="48"/>
    </row>
    <row r="3" spans="1:9" ht="15.75" customHeight="1" x14ac:dyDescent="0.35">
      <c r="A3" s="48"/>
      <c r="B3" s="2" t="s">
        <v>188</v>
      </c>
      <c r="C3" s="2">
        <v>4500</v>
      </c>
      <c r="D3" s="48"/>
      <c r="E3" s="48"/>
      <c r="F3" s="212" t="s">
        <v>197</v>
      </c>
      <c r="G3" s="51" t="s">
        <v>199</v>
      </c>
      <c r="H3" s="52">
        <f>2610000/Report!F205</f>
        <v>4278.688524590164</v>
      </c>
      <c r="I3" s="48"/>
    </row>
    <row r="4" spans="1:9" x14ac:dyDescent="0.35">
      <c r="A4" s="48"/>
      <c r="B4" s="2" t="s">
        <v>189</v>
      </c>
      <c r="C4" s="2" t="s">
        <v>192</v>
      </c>
      <c r="D4" s="48"/>
      <c r="E4" s="48"/>
      <c r="F4" s="213"/>
      <c r="G4" s="51"/>
      <c r="H4" s="52"/>
      <c r="I4" s="48"/>
    </row>
    <row r="5" spans="1:9" ht="15" customHeight="1" x14ac:dyDescent="0.35">
      <c r="A5" s="48"/>
      <c r="B5" s="2" t="s">
        <v>190</v>
      </c>
      <c r="C5" s="2">
        <v>4000</v>
      </c>
      <c r="D5" s="48"/>
      <c r="E5" s="48"/>
      <c r="F5" s="2" t="s">
        <v>200</v>
      </c>
      <c r="G5" s="51" t="s">
        <v>201</v>
      </c>
      <c r="H5" s="52">
        <f>3770000/Report!F199</f>
        <v>3660.1941747572814</v>
      </c>
      <c r="I5" s="48"/>
    </row>
    <row r="6" spans="1:9" x14ac:dyDescent="0.35">
      <c r="A6" s="48"/>
      <c r="B6" s="2" t="s">
        <v>191</v>
      </c>
      <c r="C6" s="2">
        <v>3900</v>
      </c>
      <c r="D6" s="48"/>
      <c r="E6" s="48"/>
      <c r="F6" s="211" t="s">
        <v>105</v>
      </c>
      <c r="G6" s="211"/>
      <c r="H6" s="53">
        <f>AVERAGE(H3:H5)</f>
        <v>3969.4413496737225</v>
      </c>
      <c r="I6" s="48"/>
    </row>
    <row r="7" spans="1:9" ht="15" customHeight="1" x14ac:dyDescent="0.35">
      <c r="A7" s="48"/>
      <c r="B7" s="50" t="s">
        <v>105</v>
      </c>
      <c r="C7" s="54">
        <f>AVERAGE(C3:C6)</f>
        <v>4133.333333333333</v>
      </c>
      <c r="D7" s="48"/>
      <c r="E7" s="48"/>
      <c r="F7" s="48"/>
      <c r="G7" s="48"/>
      <c r="H7" s="48"/>
      <c r="I7" s="48"/>
    </row>
    <row r="8" spans="1:9" x14ac:dyDescent="0.35">
      <c r="A8" s="48"/>
      <c r="B8" s="48"/>
      <c r="C8" s="48"/>
      <c r="D8" s="48"/>
      <c r="E8" s="48"/>
      <c r="F8" s="48"/>
      <c r="G8" s="48"/>
      <c r="H8" s="48"/>
      <c r="I8" s="48"/>
    </row>
    <row r="9" spans="1:9" ht="15" customHeight="1" x14ac:dyDescent="0.35">
      <c r="A9" s="48"/>
      <c r="B9" s="211" t="s">
        <v>195</v>
      </c>
      <c r="C9" s="211"/>
      <c r="D9" s="48"/>
      <c r="E9" s="48"/>
      <c r="F9" s="48"/>
      <c r="G9" s="48"/>
      <c r="H9" s="48"/>
      <c r="I9" s="48"/>
    </row>
    <row r="10" spans="1:9" ht="15" customHeight="1" x14ac:dyDescent="0.35">
      <c r="A10" s="48"/>
      <c r="B10" s="2" t="s">
        <v>188</v>
      </c>
      <c r="C10" s="2">
        <v>9000</v>
      </c>
      <c r="D10" s="48"/>
      <c r="E10" s="48"/>
      <c r="F10" s="48"/>
      <c r="G10" s="48"/>
      <c r="H10" s="48"/>
      <c r="I10" s="48"/>
    </row>
    <row r="11" spans="1:9" ht="15" customHeight="1" x14ac:dyDescent="0.35">
      <c r="A11" s="48"/>
      <c r="B11" s="2" t="s">
        <v>191</v>
      </c>
      <c r="C11" s="2"/>
      <c r="D11" s="48"/>
      <c r="E11" s="48"/>
      <c r="F11" s="48"/>
      <c r="G11" s="48"/>
      <c r="H11" s="48"/>
      <c r="I11" s="48"/>
    </row>
    <row r="12" spans="1:9" ht="15" customHeight="1" x14ac:dyDescent="0.35">
      <c r="A12" s="48"/>
      <c r="B12" s="49" t="s">
        <v>105</v>
      </c>
      <c r="C12" s="49"/>
      <c r="D12" s="48"/>
      <c r="E12" s="48"/>
      <c r="F12" s="48"/>
      <c r="G12" s="48"/>
      <c r="H12" s="48"/>
      <c r="I12" s="48"/>
    </row>
    <row r="13" spans="1:9" ht="15" customHeight="1" x14ac:dyDescent="0.35">
      <c r="A13" s="48"/>
      <c r="B13" s="48"/>
      <c r="C13" s="48"/>
      <c r="D13" s="48"/>
      <c r="E13" s="48"/>
      <c r="F13" s="48"/>
      <c r="G13" s="48"/>
      <c r="H13" s="48"/>
      <c r="I13" s="48"/>
    </row>
    <row r="14" spans="1:9" ht="15" customHeight="1" x14ac:dyDescent="0.35">
      <c r="A14" s="48"/>
      <c r="B14" s="48"/>
      <c r="C14" s="48"/>
      <c r="D14" s="48"/>
      <c r="E14" s="48"/>
      <c r="F14" s="48"/>
      <c r="G14" s="48"/>
      <c r="H14" s="48"/>
      <c r="I14" s="48"/>
    </row>
    <row r="15" spans="1:9" ht="15" customHeight="1" x14ac:dyDescent="0.35">
      <c r="A15" s="48"/>
      <c r="B15" s="48"/>
      <c r="C15" s="48"/>
      <c r="D15" s="48"/>
      <c r="E15" s="48"/>
      <c r="F15" s="48"/>
      <c r="G15" s="48"/>
      <c r="H15" s="48"/>
      <c r="I15" s="48"/>
    </row>
    <row r="16" spans="1:9" ht="15" customHeight="1" x14ac:dyDescent="0.35">
      <c r="A16" s="48"/>
      <c r="B16" s="48"/>
      <c r="C16" s="48"/>
      <c r="D16" s="48"/>
      <c r="E16" s="48"/>
      <c r="F16" s="48"/>
      <c r="G16" s="48"/>
      <c r="H16" s="48"/>
      <c r="I16" s="48"/>
    </row>
  </sheetData>
  <mergeCells count="5">
    <mergeCell ref="B2:C2"/>
    <mergeCell ref="B9:C9"/>
    <mergeCell ref="F2:G2"/>
    <mergeCell ref="F6:G6"/>
    <mergeCell ref="F3:F4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2025-07-15T09:53:06Z</cp:lastPrinted>
  <dcterms:created xsi:type="dcterms:W3CDTF">2019-07-16T09:29:46Z</dcterms:created>
  <dcterms:modified xsi:type="dcterms:W3CDTF">2025-07-15T09:54:16Z</dcterms:modified>
</cp:coreProperties>
</file>