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5-07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105" i="1" l="1"/>
  <c r="I102" i="1"/>
  <c r="I103" i="1"/>
  <c r="D112" i="1" l="1"/>
  <c r="D114" i="1"/>
  <c r="D113" i="1"/>
  <c r="D111" i="1"/>
  <c r="D110" i="1"/>
  <c r="D109" i="1"/>
  <c r="D108" i="1"/>
  <c r="D107" i="1"/>
  <c r="D105" i="1"/>
  <c r="D104" i="1"/>
  <c r="D103" i="1"/>
  <c r="D102" i="1"/>
  <c r="D101" i="1"/>
  <c r="J102" i="1" s="1"/>
  <c r="C94" i="1" l="1"/>
  <c r="E94" i="1"/>
  <c r="D58" i="1"/>
  <c r="C61" i="1" l="1"/>
  <c r="J72" i="1"/>
  <c r="J71" i="1"/>
  <c r="H62" i="1"/>
  <c r="D67" i="1" l="1"/>
  <c r="D73" i="1"/>
  <c r="J65" i="1"/>
  <c r="D74" i="1"/>
  <c r="D70" i="1"/>
  <c r="J66" i="1"/>
  <c r="C65" i="1" s="1"/>
  <c r="D65" i="1" s="1"/>
  <c r="J64" i="1"/>
  <c r="D69" i="1"/>
  <c r="D72" i="1"/>
  <c r="D68" i="1"/>
  <c r="J67" i="1"/>
  <c r="J68" i="1" s="1"/>
  <c r="J73" i="1" s="1"/>
  <c r="D71" i="1"/>
  <c r="G46" i="1"/>
  <c r="G47" i="1" s="1"/>
  <c r="O107" i="1"/>
  <c r="J69" i="1" l="1"/>
  <c r="J70" i="1" s="1"/>
  <c r="A117" i="1"/>
  <c r="A118" i="1" s="1"/>
  <c r="A119" i="1" s="1"/>
  <c r="A120" i="1" s="1"/>
  <c r="A121" i="1" l="1"/>
  <c r="A122" i="1" s="1"/>
  <c r="A123" i="1" s="1"/>
  <c r="J74" i="1"/>
  <c r="C66" i="1" s="1"/>
  <c r="A102" i="1"/>
  <c r="A103" i="1" s="1"/>
  <c r="A104" i="1" s="1"/>
  <c r="A105" i="1" s="1"/>
  <c r="P107" i="1"/>
  <c r="E65" i="1" l="1"/>
  <c r="I61" i="1" s="1"/>
  <c r="C63" i="1" s="1"/>
  <c r="D66" i="1"/>
  <c r="G65" i="1"/>
  <c r="N107" i="1"/>
  <c r="D60" i="1" l="1"/>
  <c r="F75" i="1" s="1"/>
  <c r="C13" i="1" l="1"/>
  <c r="E40" i="1" l="1"/>
  <c r="E41" i="1" s="1"/>
  <c r="G94" i="1" l="1"/>
  <c r="G107" i="1"/>
  <c r="G108" i="1" s="1"/>
  <c r="G109" i="1" s="1"/>
  <c r="G110" i="1" s="1"/>
  <c r="G111" i="1" s="1"/>
  <c r="G112" i="1" s="1"/>
  <c r="G113" i="1" s="1"/>
  <c r="G114" i="1" s="1"/>
  <c r="O108" i="1" l="1"/>
  <c r="G101" i="1"/>
  <c r="G102" i="1" s="1"/>
  <c r="G103" i="1" s="1"/>
  <c r="G104" i="1" s="1"/>
  <c r="G105" i="1" s="1"/>
  <c r="E24" i="1"/>
  <c r="E22" i="1"/>
  <c r="P108" i="1" l="1"/>
  <c r="P109" i="1" s="1"/>
  <c r="P110" i="1" s="1"/>
  <c r="P111" i="1" s="1"/>
  <c r="P112" i="1" s="1"/>
  <c r="P113" i="1" s="1"/>
  <c r="P114" i="1" s="1"/>
  <c r="O109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08" i="1" l="1"/>
  <c r="N109" i="1"/>
  <c r="O110" i="1"/>
  <c r="N110" i="1" s="1"/>
  <c r="G12" i="5"/>
  <c r="O111" i="1" l="1"/>
  <c r="N111" i="1" s="1"/>
  <c r="O112" i="1" l="1"/>
  <c r="N112" i="1" l="1"/>
  <c r="O113" i="1"/>
  <c r="E7" i="1"/>
  <c r="N113" i="1" l="1"/>
  <c r="O114" i="1"/>
  <c r="N114" i="1" s="1"/>
  <c r="D136" i="1"/>
  <c r="F91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<sst xmlns="http://schemas.openxmlformats.org/spreadsheetml/2006/main" count="295" uniqueCount="238">
  <si>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</si>
  <si>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</si>
  <si>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</si>
  <si>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</si>
  <si>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</si>
  <si>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</si>
  <si>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</si>
  <si>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</si>
  <si>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</si>
  <si>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</si>
  <si>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</si>
  <si>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</si>
  <si>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</si>
  <si>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</si>
  <si>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</si>
  <si>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</si>
  <si>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</si>
  <si>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</si>
  <si>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</si>
  <si>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</si>
  <si>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</si>
  <si>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</si>
  <si>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</si>
  <si>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</si>
  <si>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</si>
  <si>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</si>
  <si>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</si>
  <si>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</si>
  <si>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</si>
  <si>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</si>
  <si>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</si>
  <si>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</si>
  <si>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</si>
  <si>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</si>
  <si>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</si>
  <si>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</si>
  <si>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</si>
  <si>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</si>
  <si>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</si>
  <si>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</si>
  <si>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</si>
  <si>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</si>
  <si>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</si>
  <si>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</si>
  <si>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</si>
  <si>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</si>
  <si>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</si>
  <si>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</si>
  <si>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</si>
  <si>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</si>
  <si>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</si>
  <si>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</si>
  <si>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</si>
  <si>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</si>
  <si>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</si>
  <si>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</si>
  <si>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</si>
  <si>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</si>
  <si>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</si>
  <si>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</si>
  <si>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</si>
  <si>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</si>
  <si>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</si>
  <si>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</si>
  <si>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</si>
  <si>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</si>
  <si>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</si>
  <si>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</si>
  <si>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</si>
  <si>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</si>
  <si>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</si>
  <si>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</si>
  <si>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</si>
  <si>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</si>
  <si>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</si>
  <si>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</si>
  <si>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</si>
  <si>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</si>
  <si>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</si>
  <si>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</si>
  <si>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</si>
  <si>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</si>
  <si>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</si>
  <si>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</si>
  <si>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</si>
  <si>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</si>
  <si>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</si>
  <si>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</si>
  <si>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</si>
  <si>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</si>
  <si>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</si>
  <si>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</si>
  <si>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</si>
  <si>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</si>
  <si>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</si>
  <si>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</si>
  <si>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</si>
  <si>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</si>
  <si>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</si>
  <si>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</si>
  <si>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</si>
  <si>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</si>
  <si>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</si>
  <si>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</si>
  <si>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</si>
  <si>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</si>
  <si>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</si>
  <si>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</si>
  <si>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</si>
  <si>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</si>
  <si>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</si>
  <si>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</si>
  <si>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</si>
  <si>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</si>
  <si>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</si>
  <si>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</si>
  <si>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</si>
  <si>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</si>
  <si>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</si>
  <si>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</si>
  <si>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</si>
  <si>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</si>
  <si>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</si>
  <si>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</si>
  <si>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</si>
  <si>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</si>
  <si>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</si>
  <si>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</si>
  <si>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</si>
  <si>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</si>
  <si>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</si>
  <si>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</si>
  <si>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</si>
  <si>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</si>
  <si>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</si>
  <si>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</si>
  <si>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</si>
  <si>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</si>
  <si>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</si>
  <si>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</si>
  <si>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</si>
  <si>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</si>
  <si>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</si>
  <si>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</si>
  <si>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</si>
  <si>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</si>
  <si>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</si>
  <si>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</si>
  <si>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</si>
  <si>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</si>
  <si>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</si>
  <si>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</si>
  <si>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</si>
  <si>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</si>
  <si>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</si>
  <si>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</si>
  <si>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</si>
  <si>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</si>
  <si>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</si>
  <si>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</si>
  <si>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</si>
  <si>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</si>
  <si>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</si>
  <si>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</si>
  <si>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</si>
  <si>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</si>
  <si>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</si>
  <si>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</si>
  <si>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</si>
  <si>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</si>
  <si>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</si>
  <si>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</si>
  <si>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</si>
  <si>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</si>
  <si>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</si>
  <si>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</si>
  <si>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</si>
  <si>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</si>
  <si>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</si>
  <si>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</si>
  <si>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</si>
  <si>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</si>
  <si>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</si>
  <si>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</si>
  <si>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</si>
  <si>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</si>
  <si>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</si>
  <si>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</si>
  <si>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Ground Floor for Residential &amp; Parking</t>
  </si>
  <si>
    <t>1 BHK</t>
  </si>
  <si>
    <t>2 BHK</t>
  </si>
  <si>
    <t>1 RK</t>
  </si>
  <si>
    <t>1st to 4th Floor</t>
  </si>
  <si>
    <t>Axis Goregaon</t>
  </si>
  <si>
    <t>M/s.Brajbhoomi Developers</t>
  </si>
  <si>
    <t>Paramount Enclave</t>
  </si>
  <si>
    <t>9867724573/8446550091</t>
  </si>
  <si>
    <t>P99000029292</t>
  </si>
  <si>
    <t>Survey No</t>
  </si>
  <si>
    <t>1023/7</t>
  </si>
  <si>
    <t>Mahim</t>
  </si>
  <si>
    <t>Palghar</t>
  </si>
  <si>
    <t>Haranwadi Road</t>
  </si>
  <si>
    <t>Palghar (East)</t>
  </si>
  <si>
    <t>Gayatri Park</t>
  </si>
  <si>
    <t xml:space="preserve">Residential </t>
  </si>
  <si>
    <t>Open land</t>
  </si>
  <si>
    <t>Internal Road</t>
  </si>
  <si>
    <t>Av Prp Housing Projects</t>
  </si>
  <si>
    <t>Open Plot</t>
  </si>
  <si>
    <t>01 Wing</t>
  </si>
  <si>
    <t>MAHSUL/KAKSH-1/T-1/NAP/SR-139/2019</t>
  </si>
  <si>
    <t>MAHSUL/KAKSH-1/T-1/NAP/SR/139/19</t>
  </si>
  <si>
    <t>Flats -37</t>
  </si>
  <si>
    <t>1,00,000/-</t>
  </si>
  <si>
    <t>Other Charges</t>
  </si>
  <si>
    <t>65,000/-</t>
  </si>
  <si>
    <t>We considered Gross carpet area = Net carpet + Enclose balcony + C.B Area + W.S Area.</t>
  </si>
  <si>
    <t>4.1 Km from Palghar Railway Station</t>
  </si>
  <si>
    <t>Phase II = Building No.3 - Wing A (Type C)</t>
  </si>
  <si>
    <t>Valid Up to: Building No.3 - Wing A (Type C) = G/St + 1st to 4th Floor</t>
  </si>
  <si>
    <t>Building No.3 - Wing A (Type C) = G/St + 1st to 4th Floor</t>
  </si>
  <si>
    <t>Building No.3</t>
  </si>
  <si>
    <t>Flats</t>
  </si>
  <si>
    <t>We considered  Saleable area as per Builder area sheet.</t>
  </si>
  <si>
    <t>Builder Saleable area</t>
  </si>
  <si>
    <t>Recommended rate should be considered as all inclusive rate if other charges are not mentioned. (Excluding GST &amp; other government Taxes).</t>
  </si>
  <si>
    <t>Location Link</t>
  </si>
  <si>
    <t>https://goo.gl/maps/eU62wmGbqK83so2M7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</si>
  <si>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</si>
  <si>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As per RERA - 31/03/2025</t>
  </si>
  <si>
    <t>Wing A (Type - C)</t>
  </si>
  <si>
    <t xml:space="preserve">Construction work is the same as last visit dtd.13/04/2024, but work is in process at the time of the visit. (Slow Speed)
</t>
  </si>
  <si>
    <t>Pooja</t>
  </si>
  <si>
    <t>As per RERA, completion period of project Paramount Enclave is expired on 31/03/2025 but still project is under construction.</t>
  </si>
  <si>
    <t>Work is same as last visit (07/04/2025).</t>
  </si>
  <si>
    <t>Yadnyesh Patil</t>
  </si>
  <si>
    <t>On Site, we meet Mr. Manoj (Watchmen) : 8976568751.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</si>
</sst>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8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26" xfId="1" applyNumberFormat="1" applyFont="1" applyBorder="1" applyAlignment="1">
      <alignment vertical="center"/>
    </xf>
    <xf numFmtId="1" fontId="7" fillId="0" borderId="0" xfId="1" applyNumberFormat="1" applyFont="1" applyAlignment="1">
      <alignment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6" xfId="1" applyNumberFormat="1" applyFont="1" applyFill="1" applyBorder="1" applyAlignment="1">
      <alignment vertical="center"/>
    </xf>
    <xf numFmtId="1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23" fillId="0" borderId="9" xfId="0" applyNumberFormat="1" applyFont="1" applyFill="1" applyBorder="1" applyAlignment="1" applyProtection="1">
      <alignment vertical="top" wrapText="1"/>
      <protection locked="0"/>
    </xf>
    <xf numFmtId="1" fontId="23" fillId="0" borderId="22" xfId="0" applyNumberFormat="1" applyFont="1" applyFill="1" applyBorder="1" applyAlignment="1" applyProtection="1">
      <alignment vertical="top" wrapText="1"/>
      <protection locked="0"/>
    </xf>
    <xf numFmtId="1" fontId="23" fillId="0" borderId="10" xfId="0" applyNumberFormat="1" applyFont="1" applyFill="1" applyBorder="1" applyAlignment="1" applyProtection="1">
      <alignment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2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2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22" fillId="0" borderId="9" xfId="8" applyBorder="1" applyAlignment="1" applyProtection="1">
      <alignment horizontal="center"/>
      <protection locked="0"/>
    </xf>
    <xf numFmtId="0" fontId="7" fillId="0" borderId="22" xfId="1" applyFont="1" applyBorder="1" applyAlignment="1" applyProtection="1">
      <alignment horizont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2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134476</xdr:colOff>
      <xdr:row>179</xdr:row>
      <xdr:rowOff>190501</xdr:rowOff>
    </xdr:from>
    <xdr:to>
      <xdr:col>6</xdr:col>
      <xdr:colOff>26222</xdr:colOff>
      <xdr:row>194</xdr:row>
      <xdr:rowOff>44912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5" y="35970883"/>
          <a:ext cx="4362893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151728</xdr:colOff>
      <xdr:row>195</xdr:row>
      <xdr:rowOff>60474</xdr:rowOff>
    </xdr:from>
    <xdr:to>
      <xdr:col>6</xdr:col>
      <xdr:colOff>49813</xdr:colOff>
      <xdr:row>209</xdr:row>
      <xdr:rowOff>116592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9757" y="39068150"/>
          <a:ext cx="4369232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388262</xdr:colOff>
      <xdr:row>136</xdr:row>
      <xdr:rowOff>192023</xdr:rowOff>
    </xdr:from>
    <xdr:to>
      <xdr:col>17</xdr:col>
      <xdr:colOff>581636</xdr:colOff>
      <xdr:row>177</xdr:row>
      <xdr:rowOff>162678</xdr:rowOff>
    </xdr:to>
    <xdr:grpSp>
      <xdr:nvGrpSpPr>
        <xdr:cNvPr id="4" name="Group 3"/>
        <xdr:cNvGrpSpPr/>
      </xdr:nvGrpSpPr>
      <xdr:grpSpPr>
        <a:xfrm>
          <a:off x="7233562" y="27839923"/>
          <a:ext cx="5152724" cy="8035155"/>
          <a:chOff x="850904" y="27950595"/>
          <a:chExt cx="4928660" cy="8325440"/>
        </a:xfrm>
      </xdr:grpSpPr>
      <xdr:pic>
        <xdr:nvPicPr>
          <xdr:cNvPr id="18" name="Picture 17" descr="https://vsjcllp.vsjadon.com/upload/insp-203944-1525.jpg">
            <a:extLst>
              <a:ext uri="{FF2B5EF4-FFF2-40B4-BE49-F238E27FC236}">
                <a16:creationId xmlns:a16="http://schemas.microsoft.com/office/drawing/2014/main" id="{F5C639DB-FF4C-428D-910B-4E0267D34A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6556" y="34257343"/>
            <a:ext cx="1421692" cy="20186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03944-843.jpg">
            <a:extLst>
              <a:ext uri="{FF2B5EF4-FFF2-40B4-BE49-F238E27FC236}">
                <a16:creationId xmlns:a16="http://schemas.microsoft.com/office/drawing/2014/main" id="{D847F4E2-09AC-4451-A943-C520E06069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7672" y="27950595"/>
            <a:ext cx="2807416" cy="220521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03944-849.jpg">
            <a:extLst>
              <a:ext uri="{FF2B5EF4-FFF2-40B4-BE49-F238E27FC236}">
                <a16:creationId xmlns:a16="http://schemas.microsoft.com/office/drawing/2014/main" id="{331BCA47-C7FE-4C56-849C-DA672E5058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4469" y="32553695"/>
            <a:ext cx="2007665" cy="16032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03944-861.jpg">
            <a:extLst>
              <a:ext uri="{FF2B5EF4-FFF2-40B4-BE49-F238E27FC236}">
                <a16:creationId xmlns:a16="http://schemas.microsoft.com/office/drawing/2014/main" id="{0EBF065B-CC69-4FA8-AB08-87A5BA184E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7342" y="27958703"/>
            <a:ext cx="1563652" cy="220521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03944-862.jpg">
            <a:extLst>
              <a:ext uri="{FF2B5EF4-FFF2-40B4-BE49-F238E27FC236}">
                <a16:creationId xmlns:a16="http://schemas.microsoft.com/office/drawing/2014/main" id="{92646658-6B37-48F1-A824-969F3474A6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8878" y="34251482"/>
            <a:ext cx="1434881" cy="20186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03944-871.jpg">
            <a:extLst>
              <a:ext uri="{FF2B5EF4-FFF2-40B4-BE49-F238E27FC236}">
                <a16:creationId xmlns:a16="http://schemas.microsoft.com/office/drawing/2014/main" id="{BD00B616-229A-4C31-A438-A46A8E0E70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15911" y="30244498"/>
            <a:ext cx="1563653" cy="22129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03944-877.jpg">
            <a:extLst>
              <a:ext uri="{FF2B5EF4-FFF2-40B4-BE49-F238E27FC236}">
                <a16:creationId xmlns:a16="http://schemas.microsoft.com/office/drawing/2014/main" id="{789BAEDF-0009-418C-8648-A5A2282700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2227" y="30240533"/>
            <a:ext cx="1584064" cy="22129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03944-940.jpg">
            <a:extLst>
              <a:ext uri="{FF2B5EF4-FFF2-40B4-BE49-F238E27FC236}">
                <a16:creationId xmlns:a16="http://schemas.microsoft.com/office/drawing/2014/main" id="{8204FC66-00EE-4343-A216-367F5BE3FD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1337" y="32537157"/>
            <a:ext cx="2049115" cy="16080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03944-880.jpg">
            <a:extLst>
              <a:ext uri="{FF2B5EF4-FFF2-40B4-BE49-F238E27FC236}">
                <a16:creationId xmlns:a16="http://schemas.microsoft.com/office/drawing/2014/main" id="{4F1B021F-6D93-49F7-9A09-7EFB85492F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0904" y="30240533"/>
            <a:ext cx="1571816" cy="22129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03944-928.jpg">
            <a:extLst>
              <a:ext uri="{FF2B5EF4-FFF2-40B4-BE49-F238E27FC236}">
                <a16:creationId xmlns:a16="http://schemas.microsoft.com/office/drawing/2014/main" id="{ED343994-442E-40CF-A97E-3CEA449352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13452" y="34249736"/>
            <a:ext cx="1448279" cy="20186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184150</xdr:colOff>
      <xdr:row>136</xdr:row>
      <xdr:rowOff>101600</xdr:rowOff>
    </xdr:from>
    <xdr:to>
      <xdr:col>7</xdr:col>
      <xdr:colOff>675053</xdr:colOff>
      <xdr:row>170</xdr:row>
      <xdr:rowOff>34989</xdr:rowOff>
    </xdr:to>
    <xdr:grpSp>
      <xdr:nvGrpSpPr>
        <xdr:cNvPr id="6" name="Group 5"/>
        <xdr:cNvGrpSpPr/>
      </xdr:nvGrpSpPr>
      <xdr:grpSpPr>
        <a:xfrm>
          <a:off x="184150" y="27749500"/>
          <a:ext cx="6466253" cy="6619939"/>
          <a:chOff x="184150" y="27749500"/>
          <a:chExt cx="6466253" cy="6619939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32090" y="3220943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32209439"/>
            <a:ext cx="287767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7802" y="3220943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522354" y="27749500"/>
            <a:ext cx="5755354" cy="43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U62wmGbqK83so2M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22"/>
  <sheetViews>
    <sheetView tabSelected="1" view="pageBreakPreview" zoomScaleNormal="100" zoomScaleSheetLayoutView="100" zoomScalePageLayoutView="85" workbookViewId="0">
      <selection activeCell="E10" sqref="E10:H10"/>
    </sheetView>
  </sheetViews>
  <sheetFormatPr defaultColWidth="9.1796875" defaultRowHeight="15.5" x14ac:dyDescent="0.35"/>
  <cols>
    <col min="1" max="1" width="11.453125" style="16" customWidth="1"/>
    <col min="2" max="2" width="12" style="16" customWidth="1"/>
    <col min="3" max="3" width="12.7265625" style="16" customWidth="1"/>
    <col min="4" max="4" width="14.1796875" style="16" customWidth="1"/>
    <col min="5" max="7" width="11.7265625" style="16" customWidth="1"/>
    <col min="8" max="8" width="12.453125" style="16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27" t="s">
        <v>229</v>
      </c>
      <c r="B1" s="127"/>
      <c r="C1" s="127"/>
      <c r="D1" s="127"/>
      <c r="E1" s="127"/>
      <c r="F1" s="127"/>
      <c r="G1" s="127"/>
      <c r="H1" s="127"/>
    </row>
    <row r="2" spans="1:8" ht="16.5" customHeight="1" x14ac:dyDescent="0.3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x14ac:dyDescent="0.35">
      <c r="A3" s="125" t="s">
        <v>1</v>
      </c>
      <c r="B3" s="125"/>
      <c r="C3" s="125"/>
      <c r="D3" s="125"/>
      <c r="E3" s="126" t="str">
        <f ca="1">TEXT(TODAY(),"DD/MM/YYYY")</f>
        <v>15/07/2025</v>
      </c>
      <c r="F3" s="126"/>
      <c r="G3" s="126"/>
      <c r="H3" s="126"/>
    </row>
    <row r="4" spans="1:8" ht="15" customHeight="1" x14ac:dyDescent="0.35">
      <c r="A4" s="125" t="s">
        <v>2</v>
      </c>
      <c r="B4" s="125"/>
      <c r="C4" s="125"/>
      <c r="D4" s="125"/>
      <c r="E4" s="118" t="s">
        <v>193</v>
      </c>
      <c r="F4" s="118"/>
      <c r="G4" s="118"/>
      <c r="H4" s="118"/>
    </row>
    <row r="5" spans="1:8" x14ac:dyDescent="0.35">
      <c r="A5" s="125" t="s">
        <v>3</v>
      </c>
      <c r="B5" s="125"/>
      <c r="C5" s="125"/>
      <c r="D5" s="125"/>
      <c r="E5" s="126">
        <v>45847</v>
      </c>
      <c r="F5" s="126"/>
      <c r="G5" s="126"/>
      <c r="H5" s="126"/>
    </row>
    <row r="6" spans="1:8" ht="16.5" customHeight="1" x14ac:dyDescent="0.35">
      <c r="A6" s="125" t="s">
        <v>4</v>
      </c>
      <c r="B6" s="125"/>
      <c r="C6" s="125"/>
      <c r="D6" s="125"/>
      <c r="E6" s="122" t="s">
        <v>194</v>
      </c>
      <c r="F6" s="122"/>
      <c r="G6" s="122"/>
      <c r="H6" s="122"/>
    </row>
    <row r="7" spans="1:8" x14ac:dyDescent="0.35">
      <c r="A7" s="125" t="s">
        <v>5</v>
      </c>
      <c r="B7" s="125"/>
      <c r="C7" s="125"/>
      <c r="D7" s="125"/>
      <c r="E7" s="122" t="str">
        <f>E6</f>
        <v>M/s.Brajbhoomi Developers</v>
      </c>
      <c r="F7" s="122"/>
      <c r="G7" s="122"/>
      <c r="H7" s="122"/>
    </row>
    <row r="8" spans="1:8" x14ac:dyDescent="0.35">
      <c r="A8" s="125" t="s">
        <v>6</v>
      </c>
      <c r="B8" s="125"/>
      <c r="C8" s="125"/>
      <c r="D8" s="125"/>
      <c r="E8" s="129" t="s">
        <v>195</v>
      </c>
      <c r="F8" s="129"/>
      <c r="G8" s="129"/>
      <c r="H8" s="129"/>
    </row>
    <row r="9" spans="1:8" x14ac:dyDescent="0.35">
      <c r="A9" s="125" t="s">
        <v>161</v>
      </c>
      <c r="B9" s="125"/>
      <c r="C9" s="125"/>
      <c r="D9" s="125"/>
      <c r="E9" s="125" t="s">
        <v>196</v>
      </c>
      <c r="F9" s="125"/>
      <c r="G9" s="125"/>
      <c r="H9" s="125"/>
    </row>
    <row r="10" spans="1:8" x14ac:dyDescent="0.35">
      <c r="A10" s="121" t="s">
        <v>7</v>
      </c>
      <c r="B10" s="121"/>
      <c r="C10" s="121"/>
      <c r="D10" s="121"/>
      <c r="E10" s="121" t="s">
        <v>219</v>
      </c>
      <c r="F10" s="121"/>
      <c r="G10" s="121"/>
      <c r="H10" s="121"/>
    </row>
    <row r="11" spans="1:8" ht="32.25" customHeight="1" x14ac:dyDescent="0.35">
      <c r="A11" s="125" t="s">
        <v>8</v>
      </c>
      <c r="B11" s="125"/>
      <c r="C11" s="125"/>
      <c r="D11" s="125"/>
      <c r="E11" s="120" t="s">
        <v>143</v>
      </c>
      <c r="F11" s="120"/>
      <c r="G11" s="120"/>
      <c r="H11" s="120"/>
    </row>
    <row r="12" spans="1:8" x14ac:dyDescent="0.35">
      <c r="A12" s="125" t="s">
        <v>9</v>
      </c>
      <c r="B12" s="125"/>
      <c r="C12" s="125"/>
      <c r="D12" s="125"/>
      <c r="E12" s="120" t="s">
        <v>197</v>
      </c>
      <c r="F12" s="121"/>
      <c r="G12" s="121"/>
      <c r="H12" s="121"/>
    </row>
    <row r="13" spans="1:8" ht="33" customHeight="1" x14ac:dyDescent="0.35">
      <c r="A13" s="122" t="s">
        <v>10</v>
      </c>
      <c r="B13" s="122"/>
      <c r="C13" s="12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Paramount Enclave, Survey No.1023/7, near Gayatri Park, Haranwadi Road, Mahim, Palghar (East), Palghar, Palghar.</v>
      </c>
      <c r="D13" s="122"/>
      <c r="E13" s="122"/>
      <c r="F13" s="122"/>
      <c r="G13" s="122"/>
      <c r="H13" s="122"/>
    </row>
    <row r="14" spans="1:8" x14ac:dyDescent="0.35">
      <c r="A14" s="116" t="s">
        <v>198</v>
      </c>
      <c r="B14" s="116"/>
      <c r="C14" s="116" t="s">
        <v>199</v>
      </c>
      <c r="D14" s="116"/>
      <c r="E14" s="116"/>
      <c r="F14" s="116"/>
      <c r="G14" s="116"/>
      <c r="H14" s="116"/>
    </row>
    <row r="15" spans="1:8" ht="15.75" customHeight="1" x14ac:dyDescent="0.35">
      <c r="A15" s="117" t="s">
        <v>11</v>
      </c>
      <c r="B15" s="117"/>
      <c r="C15" s="119" t="s">
        <v>202</v>
      </c>
      <c r="D15" s="119"/>
      <c r="E15" s="117" t="s">
        <v>104</v>
      </c>
      <c r="F15" s="117"/>
      <c r="G15" s="116" t="s">
        <v>200</v>
      </c>
      <c r="H15" s="116"/>
    </row>
    <row r="16" spans="1:8" x14ac:dyDescent="0.35">
      <c r="A16" s="87" t="s">
        <v>13</v>
      </c>
      <c r="B16" s="87"/>
      <c r="C16" s="116" t="s">
        <v>203</v>
      </c>
      <c r="D16" s="116"/>
      <c r="E16" s="117" t="s">
        <v>12</v>
      </c>
      <c r="F16" s="117"/>
      <c r="G16" s="123" t="s">
        <v>201</v>
      </c>
      <c r="H16" s="123"/>
    </row>
    <row r="17" spans="1:8" x14ac:dyDescent="0.35">
      <c r="A17" s="87" t="s">
        <v>105</v>
      </c>
      <c r="B17" s="87"/>
      <c r="C17" s="116" t="s">
        <v>201</v>
      </c>
      <c r="D17" s="116"/>
      <c r="E17" s="117" t="s">
        <v>14</v>
      </c>
      <c r="F17" s="117"/>
      <c r="G17" s="116">
        <v>401404</v>
      </c>
      <c r="H17" s="116"/>
    </row>
    <row r="18" spans="1:8" ht="32.25" customHeight="1" x14ac:dyDescent="0.35">
      <c r="A18" s="87" t="s">
        <v>162</v>
      </c>
      <c r="B18" s="87"/>
      <c r="C18" s="124" t="s">
        <v>204</v>
      </c>
      <c r="D18" s="124"/>
      <c r="E18" s="117" t="s">
        <v>15</v>
      </c>
      <c r="F18" s="117"/>
      <c r="G18" s="116" t="s">
        <v>218</v>
      </c>
      <c r="H18" s="116"/>
    </row>
    <row r="19" spans="1:8" ht="15" customHeight="1" x14ac:dyDescent="0.35">
      <c r="A19" s="117" t="s">
        <v>109</v>
      </c>
      <c r="B19" s="117"/>
      <c r="C19" s="117"/>
      <c r="D19" s="117"/>
      <c r="E19" s="119" t="s">
        <v>16</v>
      </c>
      <c r="F19" s="119"/>
      <c r="G19" s="119"/>
      <c r="H19" s="119"/>
    </row>
    <row r="20" spans="1:8" ht="18.75" customHeight="1" x14ac:dyDescent="0.35">
      <c r="A20" s="117"/>
      <c r="B20" s="117"/>
      <c r="C20" s="117"/>
      <c r="D20" s="117"/>
      <c r="E20" s="119"/>
      <c r="F20" s="119"/>
      <c r="G20" s="119"/>
      <c r="H20" s="119"/>
    </row>
    <row r="21" spans="1:8" ht="15" customHeight="1" x14ac:dyDescent="0.35">
      <c r="A21" s="117" t="s">
        <v>17</v>
      </c>
      <c r="B21" s="117"/>
      <c r="C21" s="117"/>
      <c r="D21" s="117"/>
      <c r="E21" s="116" t="s">
        <v>18</v>
      </c>
      <c r="F21" s="116"/>
      <c r="G21" s="116"/>
      <c r="H21" s="116"/>
    </row>
    <row r="22" spans="1:8" ht="15" customHeight="1" x14ac:dyDescent="0.35">
      <c r="A22" s="87" t="s">
        <v>19</v>
      </c>
      <c r="B22" s="87"/>
      <c r="C22" s="87"/>
      <c r="D22" s="87"/>
      <c r="E22" s="116" t="str">
        <f>IF(AND(G16="Mumbai"),"Upper Class","Middle Class")</f>
        <v>Middle Class</v>
      </c>
      <c r="F22" s="116"/>
      <c r="G22" s="116"/>
      <c r="H22" s="116"/>
    </row>
    <row r="23" spans="1:8" x14ac:dyDescent="0.35">
      <c r="A23" s="87" t="s">
        <v>20</v>
      </c>
      <c r="B23" s="87"/>
      <c r="C23" s="87"/>
      <c r="D23" s="87"/>
      <c r="E23" s="116" t="s">
        <v>21</v>
      </c>
      <c r="F23" s="116"/>
      <c r="G23" s="116"/>
      <c r="H23" s="116"/>
    </row>
    <row r="24" spans="1:8" ht="15.75" customHeight="1" x14ac:dyDescent="0.35">
      <c r="A24" s="87" t="s">
        <v>22</v>
      </c>
      <c r="B24" s="87"/>
      <c r="C24" s="87"/>
      <c r="D24" s="87"/>
      <c r="E24" s="116" t="str">
        <f>IF(AND(G16="Mumbai"),"Developed","Developing")</f>
        <v>Developing</v>
      </c>
      <c r="F24" s="116"/>
      <c r="G24" s="116"/>
      <c r="H24" s="116"/>
    </row>
    <row r="25" spans="1:8" x14ac:dyDescent="0.35">
      <c r="A25" s="87" t="s">
        <v>23</v>
      </c>
      <c r="B25" s="87"/>
      <c r="C25" s="87"/>
      <c r="D25" s="87"/>
      <c r="E25" s="116" t="s">
        <v>24</v>
      </c>
      <c r="F25" s="116"/>
      <c r="G25" s="116"/>
      <c r="H25" s="116"/>
    </row>
    <row r="26" spans="1:8" x14ac:dyDescent="0.35">
      <c r="A26" s="87" t="s">
        <v>116</v>
      </c>
      <c r="B26" s="87"/>
      <c r="C26" s="87"/>
      <c r="D26" s="87"/>
      <c r="E26" s="116" t="s">
        <v>117</v>
      </c>
      <c r="F26" s="116"/>
      <c r="G26" s="116"/>
      <c r="H26" s="116"/>
    </row>
    <row r="27" spans="1:8" ht="15" customHeight="1" x14ac:dyDescent="0.35">
      <c r="A27" s="117" t="s">
        <v>35</v>
      </c>
      <c r="B27" s="117"/>
      <c r="C27" s="117"/>
      <c r="D27" s="117"/>
      <c r="E27" s="118" t="s">
        <v>205</v>
      </c>
      <c r="F27" s="118"/>
      <c r="G27" s="118"/>
      <c r="H27" s="118"/>
    </row>
    <row r="28" spans="1:8" x14ac:dyDescent="0.35">
      <c r="A28" s="117" t="s">
        <v>128</v>
      </c>
      <c r="B28" s="117"/>
      <c r="C28" s="117"/>
      <c r="D28" s="117"/>
      <c r="E28" s="117" t="s">
        <v>36</v>
      </c>
      <c r="F28" s="117"/>
      <c r="G28" s="117"/>
      <c r="H28" s="117"/>
    </row>
    <row r="29" spans="1:8" s="11" customFormat="1" x14ac:dyDescent="0.35">
      <c r="A29" s="111" t="s">
        <v>129</v>
      </c>
      <c r="B29" s="111"/>
      <c r="C29" s="106" t="s">
        <v>29</v>
      </c>
      <c r="D29" s="106"/>
      <c r="E29" s="106"/>
      <c r="F29" s="106" t="s">
        <v>31</v>
      </c>
      <c r="G29" s="106"/>
      <c r="H29" s="106"/>
    </row>
    <row r="30" spans="1:8" s="11" customFormat="1" x14ac:dyDescent="0.35">
      <c r="A30" s="110" t="s">
        <v>25</v>
      </c>
      <c r="B30" s="110" t="s">
        <v>30</v>
      </c>
      <c r="C30" s="105" t="s">
        <v>30</v>
      </c>
      <c r="D30" s="105"/>
      <c r="E30" s="105"/>
      <c r="F30" s="105" t="s">
        <v>206</v>
      </c>
      <c r="G30" s="105"/>
      <c r="H30" s="105"/>
    </row>
    <row r="31" spans="1:8" x14ac:dyDescent="0.35">
      <c r="A31" s="110" t="s">
        <v>26</v>
      </c>
      <c r="B31" s="110" t="s">
        <v>30</v>
      </c>
      <c r="C31" s="105" t="s">
        <v>30</v>
      </c>
      <c r="D31" s="105"/>
      <c r="E31" s="105"/>
      <c r="F31" s="105" t="s">
        <v>207</v>
      </c>
      <c r="G31" s="105"/>
      <c r="H31" s="105"/>
    </row>
    <row r="32" spans="1:8" s="11" customFormat="1" x14ac:dyDescent="0.35">
      <c r="A32" s="110" t="s">
        <v>28</v>
      </c>
      <c r="B32" s="110" t="s">
        <v>30</v>
      </c>
      <c r="C32" s="105" t="s">
        <v>30</v>
      </c>
      <c r="D32" s="105"/>
      <c r="E32" s="105"/>
      <c r="F32" s="105" t="s">
        <v>208</v>
      </c>
      <c r="G32" s="105"/>
      <c r="H32" s="105"/>
    </row>
    <row r="33" spans="1:8" x14ac:dyDescent="0.35">
      <c r="A33" s="110" t="s">
        <v>27</v>
      </c>
      <c r="B33" s="110" t="s">
        <v>30</v>
      </c>
      <c r="C33" s="105" t="s">
        <v>30</v>
      </c>
      <c r="D33" s="105"/>
      <c r="E33" s="105"/>
      <c r="F33" s="105" t="s">
        <v>209</v>
      </c>
      <c r="G33" s="105"/>
      <c r="H33" s="105"/>
    </row>
    <row r="34" spans="1:8" x14ac:dyDescent="0.35">
      <c r="A34" s="87" t="s">
        <v>32</v>
      </c>
      <c r="B34" s="87"/>
      <c r="C34" s="87"/>
      <c r="D34" s="87"/>
      <c r="E34" s="87"/>
      <c r="F34" s="87"/>
      <c r="G34" s="87"/>
      <c r="H34" s="87"/>
    </row>
    <row r="35" spans="1:8" ht="15.75" customHeight="1" x14ac:dyDescent="0.35">
      <c r="A35" s="107" t="s">
        <v>33</v>
      </c>
      <c r="B35" s="107"/>
      <c r="C35" s="108">
        <v>19.674631000000002</v>
      </c>
      <c r="D35" s="108"/>
      <c r="E35" s="107" t="s">
        <v>34</v>
      </c>
      <c r="F35" s="107"/>
      <c r="G35" s="109">
        <v>72.742762999999997</v>
      </c>
      <c r="H35" s="109"/>
    </row>
    <row r="36" spans="1:8" ht="15.75" customHeight="1" x14ac:dyDescent="0.35">
      <c r="A36" s="107" t="s">
        <v>227</v>
      </c>
      <c r="B36" s="107"/>
      <c r="C36" s="113" t="s">
        <v>228</v>
      </c>
      <c r="D36" s="114"/>
      <c r="E36" s="114"/>
      <c r="F36" s="114"/>
      <c r="G36" s="114"/>
      <c r="H36" s="115"/>
    </row>
    <row r="37" spans="1:8" x14ac:dyDescent="0.35">
      <c r="A37" s="112" t="s">
        <v>37</v>
      </c>
      <c r="B37" s="112"/>
      <c r="C37" s="112"/>
      <c r="D37" s="112"/>
      <c r="E37" s="112"/>
      <c r="F37" s="112"/>
      <c r="G37" s="112"/>
      <c r="H37" s="112"/>
    </row>
    <row r="38" spans="1:8" x14ac:dyDescent="0.35">
      <c r="A38" s="87" t="s">
        <v>38</v>
      </c>
      <c r="B38" s="87"/>
      <c r="C38" s="87"/>
      <c r="D38" s="87"/>
      <c r="E38" s="104">
        <v>14600</v>
      </c>
      <c r="F38" s="104"/>
      <c r="G38" s="104"/>
      <c r="H38" s="104"/>
    </row>
    <row r="39" spans="1:8" x14ac:dyDescent="0.35">
      <c r="A39" s="87" t="s">
        <v>39</v>
      </c>
      <c r="B39" s="87"/>
      <c r="C39" s="87"/>
      <c r="D39" s="87"/>
      <c r="E39" s="130">
        <v>0.75</v>
      </c>
      <c r="F39" s="130"/>
      <c r="G39" s="130"/>
      <c r="H39" s="130"/>
    </row>
    <row r="40" spans="1:8" x14ac:dyDescent="0.35">
      <c r="A40" s="87" t="s">
        <v>40</v>
      </c>
      <c r="B40" s="87"/>
      <c r="C40" s="87"/>
      <c r="D40" s="87"/>
      <c r="E40" s="130">
        <f>E42/E38-E39</f>
        <v>0</v>
      </c>
      <c r="F40" s="130"/>
      <c r="G40" s="130"/>
      <c r="H40" s="130"/>
    </row>
    <row r="41" spans="1:8" x14ac:dyDescent="0.35">
      <c r="A41" s="87" t="s">
        <v>41</v>
      </c>
      <c r="B41" s="87"/>
      <c r="C41" s="87"/>
      <c r="D41" s="87"/>
      <c r="E41" s="130">
        <f>E39+E40</f>
        <v>0.75</v>
      </c>
      <c r="F41" s="130"/>
      <c r="G41" s="130"/>
      <c r="H41" s="130"/>
    </row>
    <row r="42" spans="1:8" x14ac:dyDescent="0.35">
      <c r="A42" s="87" t="s">
        <v>127</v>
      </c>
      <c r="B42" s="87"/>
      <c r="C42" s="87"/>
      <c r="D42" s="87"/>
      <c r="E42" s="131">
        <v>10950</v>
      </c>
      <c r="F42" s="131"/>
      <c r="G42" s="131"/>
      <c r="H42" s="131"/>
    </row>
    <row r="43" spans="1:8" x14ac:dyDescent="0.35">
      <c r="A43" s="119" t="s">
        <v>42</v>
      </c>
      <c r="B43" s="119"/>
      <c r="C43" s="119"/>
      <c r="D43" s="119"/>
      <c r="E43" s="119" t="s">
        <v>210</v>
      </c>
      <c r="F43" s="119"/>
      <c r="G43" s="119"/>
      <c r="H43" s="119"/>
    </row>
    <row r="44" spans="1:8" x14ac:dyDescent="0.35">
      <c r="A44" s="112" t="s">
        <v>43</v>
      </c>
      <c r="B44" s="112"/>
      <c r="C44" s="112"/>
      <c r="D44" s="112"/>
      <c r="E44" s="112"/>
      <c r="F44" s="112"/>
      <c r="G44" s="112"/>
      <c r="H44" s="112"/>
    </row>
    <row r="45" spans="1:8" x14ac:dyDescent="0.35">
      <c r="A45" s="117" t="s">
        <v>44</v>
      </c>
      <c r="B45" s="117"/>
      <c r="C45" s="98" t="s">
        <v>212</v>
      </c>
      <c r="D45" s="98"/>
      <c r="E45" s="98"/>
      <c r="F45" s="80" t="s">
        <v>45</v>
      </c>
      <c r="G45" s="135">
        <v>43805</v>
      </c>
      <c r="H45" s="135"/>
    </row>
    <row r="46" spans="1:8" x14ac:dyDescent="0.35">
      <c r="A46" s="87" t="s">
        <v>46</v>
      </c>
      <c r="B46" s="87"/>
      <c r="C46" s="98" t="str">
        <f>C45</f>
        <v>MAHSUL/KAKSH-1/T-1/NAP/SR/139/19</v>
      </c>
      <c r="D46" s="98"/>
      <c r="E46" s="98"/>
      <c r="F46" s="80" t="s">
        <v>45</v>
      </c>
      <c r="G46" s="135">
        <f>G45</f>
        <v>43805</v>
      </c>
      <c r="H46" s="135"/>
    </row>
    <row r="47" spans="1:8" s="10" customFormat="1" ht="32.25" customHeight="1" x14ac:dyDescent="0.35">
      <c r="A47" s="116" t="s">
        <v>47</v>
      </c>
      <c r="B47" s="116"/>
      <c r="C47" s="98" t="s">
        <v>211</v>
      </c>
      <c r="D47" s="95"/>
      <c r="E47" s="95"/>
      <c r="F47" s="13" t="s">
        <v>45</v>
      </c>
      <c r="G47" s="135">
        <f>G46</f>
        <v>43805</v>
      </c>
      <c r="H47" s="135"/>
    </row>
    <row r="48" spans="1:8" s="10" customFormat="1" x14ac:dyDescent="0.35">
      <c r="A48" s="116"/>
      <c r="B48" s="116"/>
      <c r="C48" s="181" t="s">
        <v>220</v>
      </c>
      <c r="D48" s="182"/>
      <c r="E48" s="182"/>
      <c r="F48" s="182"/>
      <c r="G48" s="182"/>
      <c r="H48" s="183"/>
    </row>
    <row r="49" spans="1:14" x14ac:dyDescent="0.35">
      <c r="A49" s="178" t="s">
        <v>48</v>
      </c>
      <c r="B49" s="178"/>
      <c r="C49" s="179" t="s">
        <v>144</v>
      </c>
      <c r="D49" s="180"/>
      <c r="E49" s="180" t="s">
        <v>49</v>
      </c>
      <c r="F49" s="65" t="s">
        <v>45</v>
      </c>
      <c r="G49" s="137" t="s">
        <v>30</v>
      </c>
      <c r="H49" s="137"/>
    </row>
    <row r="50" spans="1:14" x14ac:dyDescent="0.35">
      <c r="A50" s="136" t="s">
        <v>51</v>
      </c>
      <c r="B50" s="136"/>
      <c r="C50" s="136"/>
      <c r="D50" s="136"/>
      <c r="E50" s="136"/>
      <c r="F50" s="136"/>
      <c r="G50" s="136"/>
      <c r="H50" s="136"/>
    </row>
    <row r="51" spans="1:14" x14ac:dyDescent="0.35">
      <c r="A51" s="117" t="s">
        <v>126</v>
      </c>
      <c r="B51" s="117"/>
      <c r="C51" s="117"/>
      <c r="D51" s="87">
        <f>E42</f>
        <v>10950</v>
      </c>
      <c r="E51" s="87"/>
      <c r="F51" s="87"/>
      <c r="G51" s="87"/>
      <c r="H51" s="87"/>
    </row>
    <row r="52" spans="1:14" x14ac:dyDescent="0.35">
      <c r="A52" s="116" t="s">
        <v>52</v>
      </c>
      <c r="B52" s="119"/>
      <c r="C52" s="119"/>
      <c r="D52" s="119" t="s">
        <v>213</v>
      </c>
      <c r="E52" s="119"/>
      <c r="F52" s="119"/>
      <c r="G52" s="119"/>
      <c r="H52" s="119"/>
      <c r="I52" s="45"/>
    </row>
    <row r="53" spans="1:14" ht="15.75" customHeight="1" x14ac:dyDescent="0.35">
      <c r="A53" s="132" t="s">
        <v>53</v>
      </c>
      <c r="B53" s="133"/>
      <c r="C53" s="134"/>
      <c r="D53" s="185" t="s">
        <v>221</v>
      </c>
      <c r="E53" s="185"/>
      <c r="F53" s="185"/>
      <c r="G53" s="185"/>
      <c r="H53" s="185"/>
      <c r="I53" s="46"/>
    </row>
    <row r="54" spans="1:14" ht="15.75" customHeight="1" x14ac:dyDescent="0.35">
      <c r="A54" s="132" t="s">
        <v>124</v>
      </c>
      <c r="B54" s="133"/>
      <c r="C54" s="133"/>
      <c r="D54" s="119" t="s">
        <v>221</v>
      </c>
      <c r="E54" s="119"/>
      <c r="F54" s="119"/>
      <c r="G54" s="119"/>
      <c r="H54" s="119"/>
      <c r="I54" s="46"/>
    </row>
    <row r="55" spans="1:14" ht="15.75" hidden="1" customHeight="1" x14ac:dyDescent="0.35">
      <c r="A55" s="174"/>
      <c r="B55" s="175"/>
      <c r="C55" s="175"/>
      <c r="D55" s="119"/>
      <c r="E55" s="119"/>
      <c r="F55" s="119"/>
      <c r="G55" s="119"/>
      <c r="H55" s="119"/>
      <c r="I55" s="46"/>
    </row>
    <row r="56" spans="1:14" ht="15.75" hidden="1" customHeight="1" x14ac:dyDescent="0.35">
      <c r="A56" s="176"/>
      <c r="B56" s="177"/>
      <c r="C56" s="177"/>
      <c r="D56" s="119"/>
      <c r="E56" s="119"/>
      <c r="F56" s="119"/>
      <c r="G56" s="119"/>
      <c r="H56" s="119"/>
      <c r="I56" s="46"/>
    </row>
    <row r="57" spans="1:14" ht="15.75" customHeight="1" x14ac:dyDescent="0.35">
      <c r="A57" s="87" t="s">
        <v>50</v>
      </c>
      <c r="B57" s="87"/>
      <c r="C57" s="87"/>
      <c r="D57" s="116" t="s">
        <v>230</v>
      </c>
      <c r="E57" s="116"/>
      <c r="F57" s="116"/>
      <c r="G57" s="116"/>
      <c r="H57" s="116"/>
      <c r="J57" s="44"/>
      <c r="K57" s="45"/>
      <c r="N57" s="45"/>
    </row>
    <row r="58" spans="1:14" ht="15.75" customHeight="1" x14ac:dyDescent="0.35">
      <c r="A58" s="87" t="s">
        <v>122</v>
      </c>
      <c r="B58" s="87"/>
      <c r="C58" s="87"/>
      <c r="D58" s="184" t="str">
        <f>(IF(G49="NA","60 Years After Completion",IF(G49&lt;&gt;"NA",""&amp;60-ROUNDDOWN((E3-G49)/360,0)&amp;" Years"," ")))</f>
        <v>60 Years After Completion</v>
      </c>
      <c r="E58" s="184"/>
      <c r="F58" s="184"/>
      <c r="G58" s="184"/>
      <c r="H58" s="184"/>
      <c r="N58" s="45"/>
    </row>
    <row r="59" spans="1:14" ht="15.75" customHeight="1" x14ac:dyDescent="0.35">
      <c r="A59" s="87" t="s">
        <v>123</v>
      </c>
      <c r="B59" s="87"/>
      <c r="C59" s="87"/>
      <c r="D59" s="117" t="s">
        <v>24</v>
      </c>
      <c r="E59" s="117"/>
      <c r="F59" s="117"/>
      <c r="G59" s="117"/>
      <c r="H59" s="117"/>
      <c r="J59" s="18"/>
      <c r="K59" s="18"/>
    </row>
    <row r="60" spans="1:14" ht="15.75" customHeight="1" thickBot="1" x14ac:dyDescent="0.4">
      <c r="A60" s="158" t="s">
        <v>121</v>
      </c>
      <c r="B60" s="158"/>
      <c r="C60" s="158"/>
      <c r="D60" s="159" t="str">
        <f ca="1">(IF(G65&gt;95%,"Nothing",IF(G65&gt;0%,"Cement, Aggregate, Steel, etc",IF(G65=0%,"Work not yet Started"))))</f>
        <v>Cement, Aggregate, Steel, etc</v>
      </c>
      <c r="E60" s="159"/>
      <c r="F60" s="159"/>
      <c r="G60" s="159"/>
      <c r="H60" s="159"/>
      <c r="J60" s="18"/>
    </row>
    <row r="61" spans="1:14" ht="15.75" customHeight="1" x14ac:dyDescent="0.35">
      <c r="A61" s="169" t="s">
        <v>180</v>
      </c>
      <c r="B61" s="170"/>
      <c r="C61" s="171" t="str">
        <f>D54</f>
        <v>Building No.3 - Wing A (Type C) = G/St + 1st to 4th Floor</v>
      </c>
      <c r="D61" s="172"/>
      <c r="E61" s="172"/>
      <c r="F61" s="172"/>
      <c r="G61" s="172"/>
      <c r="H61" s="173"/>
      <c r="I61" s="51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Excavation work Completed. Plinth work completed, RCC Slab, Brickwork, Internal Plaster, External Plaster, Flooring upto 3.5 Floor, Painting upto 1 Floor Completed</v>
      </c>
      <c r="J61" s="20"/>
    </row>
    <row r="62" spans="1:14" x14ac:dyDescent="0.35">
      <c r="A62" s="57" t="s">
        <v>182</v>
      </c>
      <c r="B62" s="63">
        <v>0</v>
      </c>
      <c r="C62" s="63" t="s">
        <v>103</v>
      </c>
      <c r="D62" s="63">
        <v>1</v>
      </c>
      <c r="E62" s="63" t="s">
        <v>102</v>
      </c>
      <c r="F62" s="63">
        <v>0</v>
      </c>
      <c r="G62" s="63" t="s">
        <v>115</v>
      </c>
      <c r="H62" s="60">
        <f ca="1">--TRIM(RIGHT(SUBSTITUTE(LEFT(C61,_xlfn.AGGREGATE(16,6,FIND({0,1,2,3,4,5,6,7,8,9},C61,ROW(INDIRECT("1:"&amp;LEN(C61)))),1))," ",REPT(" ",LEN(C61))),LEN(C61)))</f>
        <v>4</v>
      </c>
      <c r="I62" s="52"/>
      <c r="J62" s="21"/>
    </row>
    <row r="63" spans="1:14" ht="45" customHeight="1" x14ac:dyDescent="0.35">
      <c r="A63" s="168" t="s">
        <v>125</v>
      </c>
      <c r="B63" s="163"/>
      <c r="C63" s="94" t="str">
        <f ca="1">I61</f>
        <v>Excavation work Completed. Plinth work completed, RCC Slab, Brickwork, Internal Plaster, External Plaster, Flooring upto 3.5 Floor, Painting upto 1 Floor Completed</v>
      </c>
      <c r="D63" s="94"/>
      <c r="E63" s="94"/>
      <c r="F63" s="94"/>
      <c r="G63" s="94"/>
      <c r="H63" s="157"/>
      <c r="I63" s="52" t="s">
        <v>142</v>
      </c>
      <c r="J63" s="21"/>
    </row>
    <row r="64" spans="1:14" ht="15.75" customHeight="1" x14ac:dyDescent="0.35">
      <c r="A64" s="138" t="s">
        <v>54</v>
      </c>
      <c r="B64" s="139"/>
      <c r="C64" s="66" t="s">
        <v>179</v>
      </c>
      <c r="D64" s="67" t="s">
        <v>118</v>
      </c>
      <c r="E64" s="139" t="s">
        <v>120</v>
      </c>
      <c r="F64" s="139"/>
      <c r="G64" s="139" t="s">
        <v>119</v>
      </c>
      <c r="H64" s="160"/>
      <c r="I64" s="43" t="s">
        <v>181</v>
      </c>
      <c r="J64" s="22">
        <f ca="1">H62*25%</f>
        <v>1</v>
      </c>
    </row>
    <row r="65" spans="1:10" x14ac:dyDescent="0.35">
      <c r="A65" s="138" t="s">
        <v>168</v>
      </c>
      <c r="B65" s="139"/>
      <c r="C65" s="68">
        <f ca="1">J66</f>
        <v>4</v>
      </c>
      <c r="D65" s="69">
        <f ca="1">((100/H62)*C65)/100</f>
        <v>1</v>
      </c>
      <c r="E65" s="151">
        <f ca="1">(((C66/H62*10)+(40/(D62+F62+H62)*C67)+(7.5/(H62)*C68)+(7.5/(H62)*C69)+(10/H62*C70)+(10/H62*C71)+(5/H62*C72)+(5/H62*C73)+(5/H62*C74))/100)</f>
        <v>0.85</v>
      </c>
      <c r="F65" s="151"/>
      <c r="G65" s="151">
        <f ca="1">((((C65/H62)*20)+((C66/H62)*25)+(30/(H62+F62+D62)*C67)+(5/H62*C68)+(5/H62*C69)+(5/H62*C70)+(5/H62*C71)+(0/H62*C72)+(0/H62*C73)+(5/H62*C74))/100)</f>
        <v>0.94374999999999998</v>
      </c>
      <c r="H65" s="153"/>
      <c r="I65" s="43" t="s">
        <v>137</v>
      </c>
      <c r="J65" s="50">
        <f ca="1">H62*50%</f>
        <v>2</v>
      </c>
    </row>
    <row r="66" spans="1:10" x14ac:dyDescent="0.35">
      <c r="A66" s="138" t="s">
        <v>55</v>
      </c>
      <c r="B66" s="139"/>
      <c r="C66" s="70">
        <f ca="1">J74</f>
        <v>4</v>
      </c>
      <c r="D66" s="69">
        <f ca="1">((100/H62)*C66)/100</f>
        <v>1</v>
      </c>
      <c r="E66" s="151"/>
      <c r="F66" s="151"/>
      <c r="G66" s="151"/>
      <c r="H66" s="153"/>
      <c r="I66" s="43" t="s">
        <v>138</v>
      </c>
      <c r="J66" s="50">
        <f ca="1">H62</f>
        <v>4</v>
      </c>
    </row>
    <row r="67" spans="1:10" ht="15.75" customHeight="1" x14ac:dyDescent="0.35">
      <c r="A67" s="138" t="s">
        <v>169</v>
      </c>
      <c r="B67" s="139"/>
      <c r="C67" s="70">
        <v>5</v>
      </c>
      <c r="D67" s="69">
        <f ca="1">((100/(D62+F62+H62))*C67)/100</f>
        <v>1</v>
      </c>
      <c r="E67" s="151"/>
      <c r="F67" s="151"/>
      <c r="G67" s="151"/>
      <c r="H67" s="153"/>
      <c r="I67" s="43" t="s">
        <v>139</v>
      </c>
      <c r="J67" s="54">
        <f ca="1">(IF(B62&gt;1,(H62/(B62+2)),H62/4))</f>
        <v>1</v>
      </c>
    </row>
    <row r="68" spans="1:10" ht="15.75" customHeight="1" x14ac:dyDescent="0.35">
      <c r="A68" s="138" t="s">
        <v>176</v>
      </c>
      <c r="B68" s="139" t="s">
        <v>170</v>
      </c>
      <c r="C68" s="68">
        <v>4</v>
      </c>
      <c r="D68" s="69">
        <f ca="1">((100/H62)*C68)/100</f>
        <v>1</v>
      </c>
      <c r="E68" s="151"/>
      <c r="F68" s="151"/>
      <c r="G68" s="151"/>
      <c r="H68" s="153"/>
      <c r="I68" s="43" t="s">
        <v>140</v>
      </c>
      <c r="J68" s="54">
        <f ca="1">(IF(B62&gt;1,(H62/(B62+2)+J67),H62/4+J67))</f>
        <v>2</v>
      </c>
    </row>
    <row r="69" spans="1:10" ht="15.75" customHeight="1" x14ac:dyDescent="0.35">
      <c r="A69" s="138" t="s">
        <v>177</v>
      </c>
      <c r="B69" s="139" t="s">
        <v>170</v>
      </c>
      <c r="C69" s="68">
        <v>4</v>
      </c>
      <c r="D69" s="69">
        <f ca="1">((100/H62)*C69)/100</f>
        <v>1</v>
      </c>
      <c r="E69" s="151"/>
      <c r="F69" s="151"/>
      <c r="G69" s="151"/>
      <c r="H69" s="153"/>
      <c r="I69" s="43" t="s">
        <v>186</v>
      </c>
      <c r="J69" s="54">
        <f>(IF(B62&gt;1,(H62/(B62+2)+J68),0))</f>
        <v>0</v>
      </c>
    </row>
    <row r="70" spans="1:10" ht="15" customHeight="1" x14ac:dyDescent="0.35">
      <c r="A70" s="138" t="s">
        <v>175</v>
      </c>
      <c r="B70" s="139" t="s">
        <v>172</v>
      </c>
      <c r="C70" s="68">
        <v>4</v>
      </c>
      <c r="D70" s="69">
        <f ca="1">((100/(H62))*C70)/100</f>
        <v>1</v>
      </c>
      <c r="E70" s="151"/>
      <c r="F70" s="151"/>
      <c r="G70" s="151"/>
      <c r="H70" s="153"/>
      <c r="I70" s="43" t="s">
        <v>183</v>
      </c>
      <c r="J70" s="54">
        <f>(IF(B62&gt;2,(H62/(B62+2)+J69),0))</f>
        <v>0</v>
      </c>
    </row>
    <row r="71" spans="1:10" ht="15.75" customHeight="1" x14ac:dyDescent="0.35">
      <c r="A71" s="138" t="s">
        <v>171</v>
      </c>
      <c r="B71" s="139" t="s">
        <v>171</v>
      </c>
      <c r="C71" s="68">
        <v>3.5</v>
      </c>
      <c r="D71" s="69">
        <f ca="1">((100/H62)*C71)/100</f>
        <v>0.875</v>
      </c>
      <c r="E71" s="151"/>
      <c r="F71" s="151"/>
      <c r="G71" s="151"/>
      <c r="H71" s="153"/>
      <c r="I71" s="43" t="s">
        <v>184</v>
      </c>
      <c r="J71" s="55">
        <f>(IF(B62&gt;3,(H62/(B62+2)+J70),0))</f>
        <v>0</v>
      </c>
    </row>
    <row r="72" spans="1:10" ht="15.75" customHeight="1" x14ac:dyDescent="0.35">
      <c r="A72" s="138" t="s">
        <v>178</v>
      </c>
      <c r="B72" s="139"/>
      <c r="C72" s="68">
        <v>1</v>
      </c>
      <c r="D72" s="69">
        <f ca="1">((100/H62)*C72)/100</f>
        <v>0.25</v>
      </c>
      <c r="E72" s="151"/>
      <c r="F72" s="151"/>
      <c r="G72" s="151"/>
      <c r="H72" s="153"/>
      <c r="I72" s="43" t="s">
        <v>185</v>
      </c>
      <c r="J72" s="54">
        <f>(IF(B62&gt;4,(H62/(B62+2)+J71),0))</f>
        <v>0</v>
      </c>
    </row>
    <row r="73" spans="1:10" ht="15.75" customHeight="1" x14ac:dyDescent="0.35">
      <c r="A73" s="138" t="s">
        <v>173</v>
      </c>
      <c r="B73" s="139" t="s">
        <v>173</v>
      </c>
      <c r="C73" s="68">
        <v>0</v>
      </c>
      <c r="D73" s="69">
        <f ca="1">((100/(H62))*C73)/100</f>
        <v>0</v>
      </c>
      <c r="E73" s="151"/>
      <c r="F73" s="151"/>
      <c r="G73" s="151"/>
      <c r="H73" s="153"/>
      <c r="I73" s="43" t="s">
        <v>187</v>
      </c>
      <c r="J73" s="54">
        <f ca="1">(IF(B62=1,(H62/(B62+3)+J68),IF(B62=0,(H62/4+J68),IF(B62&gt;1,0))))</f>
        <v>3</v>
      </c>
    </row>
    <row r="74" spans="1:10" ht="16" thickBot="1" x14ac:dyDescent="0.4">
      <c r="A74" s="155" t="s">
        <v>174</v>
      </c>
      <c r="B74" s="156"/>
      <c r="C74" s="71">
        <v>0</v>
      </c>
      <c r="D74" s="72">
        <f ca="1">((100/(H62))*C74)/100</f>
        <v>0</v>
      </c>
      <c r="E74" s="152"/>
      <c r="F74" s="152"/>
      <c r="G74" s="152"/>
      <c r="H74" s="154"/>
      <c r="I74" s="53" t="s">
        <v>141</v>
      </c>
      <c r="J74" s="56">
        <f ca="1">(IF(B62&gt;1.5,(H62/(B62+2)+J68+MAX(0,J69-J68)+MAX(0,J70-J69)+MAX(0,J71-J70)+MAX(0,J72-J71)+MAX(0,J73-J72)),IF(B62=1,(H62/(B62+3)+J73),IF(B62=0,H62/4+J73))))</f>
        <v>4</v>
      </c>
    </row>
    <row r="75" spans="1:10" x14ac:dyDescent="0.35">
      <c r="A75" s="164" t="s">
        <v>158</v>
      </c>
      <c r="B75" s="165"/>
      <c r="C75" s="165"/>
      <c r="D75" s="165"/>
      <c r="E75" s="166"/>
      <c r="F75" s="164" t="str">
        <f ca="1">(IF(D60="Nothing","Yes",IF(D60="Cement, Aggregate, Steel, etc","Under Construction",IF(D60="Work not yet Started","Work not yet Started"))))</f>
        <v>Under Construction</v>
      </c>
      <c r="G75" s="165"/>
      <c r="H75" s="166"/>
    </row>
    <row r="76" spans="1:10" x14ac:dyDescent="0.35">
      <c r="A76" s="87" t="s">
        <v>56</v>
      </c>
      <c r="B76" s="87"/>
      <c r="C76" s="87"/>
      <c r="D76" s="87"/>
      <c r="E76" s="87"/>
      <c r="F76" s="87"/>
      <c r="G76" s="87"/>
      <c r="H76" s="87"/>
    </row>
    <row r="77" spans="1:10" ht="15" customHeight="1" x14ac:dyDescent="0.35">
      <c r="A77" s="163" t="s">
        <v>106</v>
      </c>
      <c r="B77" s="163"/>
      <c r="C77" s="94" t="s">
        <v>107</v>
      </c>
      <c r="D77" s="94"/>
      <c r="E77" s="94"/>
      <c r="F77" s="94"/>
      <c r="G77" s="94"/>
      <c r="H77" s="94"/>
    </row>
    <row r="78" spans="1:10" x14ac:dyDescent="0.35">
      <c r="A78" s="112" t="s">
        <v>57</v>
      </c>
      <c r="B78" s="112"/>
      <c r="C78" s="112"/>
      <c r="D78" s="112"/>
      <c r="E78" s="112"/>
      <c r="F78" s="112"/>
      <c r="G78" s="112"/>
      <c r="H78" s="112"/>
    </row>
    <row r="79" spans="1:10" x14ac:dyDescent="0.35">
      <c r="A79" s="87" t="s">
        <v>108</v>
      </c>
      <c r="B79" s="87"/>
      <c r="C79" s="87"/>
      <c r="D79" s="87"/>
      <c r="E79" s="87"/>
      <c r="F79" s="95">
        <v>3800</v>
      </c>
      <c r="G79" s="95"/>
      <c r="H79" s="95"/>
    </row>
    <row r="80" spans="1:10" hidden="1" x14ac:dyDescent="0.35">
      <c r="A80" s="87" t="s">
        <v>113</v>
      </c>
      <c r="B80" s="87"/>
      <c r="C80" s="87"/>
      <c r="D80" s="87"/>
      <c r="E80" s="87"/>
      <c r="F80" s="95"/>
      <c r="G80" s="95"/>
      <c r="H80" s="95"/>
    </row>
    <row r="81" spans="1:8" hidden="1" x14ac:dyDescent="0.35">
      <c r="A81" s="87" t="s">
        <v>114</v>
      </c>
      <c r="B81" s="87"/>
      <c r="C81" s="87"/>
      <c r="D81" s="87"/>
      <c r="E81" s="87"/>
      <c r="F81" s="95"/>
      <c r="G81" s="95"/>
      <c r="H81" s="95"/>
    </row>
    <row r="82" spans="1:8" s="12" customFormat="1" hidden="1" x14ac:dyDescent="0.3">
      <c r="A82" s="87" t="s">
        <v>130</v>
      </c>
      <c r="B82" s="87"/>
      <c r="C82" s="87"/>
      <c r="D82" s="87"/>
      <c r="E82" s="87"/>
      <c r="F82" s="95" t="s">
        <v>30</v>
      </c>
      <c r="G82" s="95"/>
      <c r="H82" s="95"/>
    </row>
    <row r="83" spans="1:8" s="12" customFormat="1" x14ac:dyDescent="0.3">
      <c r="A83" s="87" t="s">
        <v>131</v>
      </c>
      <c r="B83" s="87"/>
      <c r="C83" s="87"/>
      <c r="D83" s="87"/>
      <c r="E83" s="87"/>
      <c r="F83" s="95" t="s">
        <v>214</v>
      </c>
      <c r="G83" s="95"/>
      <c r="H83" s="95"/>
    </row>
    <row r="84" spans="1:8" s="12" customFormat="1" x14ac:dyDescent="0.3">
      <c r="A84" s="87" t="s">
        <v>215</v>
      </c>
      <c r="B84" s="87"/>
      <c r="C84" s="87"/>
      <c r="D84" s="87"/>
      <c r="E84" s="87"/>
      <c r="F84" s="95" t="s">
        <v>216</v>
      </c>
      <c r="G84" s="95"/>
      <c r="H84" s="95"/>
    </row>
    <row r="85" spans="1:8" s="12" customFormat="1" hidden="1" x14ac:dyDescent="0.3">
      <c r="A85" s="87" t="s">
        <v>132</v>
      </c>
      <c r="B85" s="87"/>
      <c r="C85" s="87"/>
      <c r="D85" s="87"/>
      <c r="E85" s="87"/>
      <c r="F85" s="95" t="s">
        <v>30</v>
      </c>
      <c r="G85" s="95"/>
      <c r="H85" s="95"/>
    </row>
    <row r="86" spans="1:8" s="12" customFormat="1" hidden="1" x14ac:dyDescent="0.3">
      <c r="A86" s="87" t="s">
        <v>133</v>
      </c>
      <c r="B86" s="87"/>
      <c r="C86" s="87"/>
      <c r="D86" s="87"/>
      <c r="E86" s="87"/>
      <c r="F86" s="95" t="s">
        <v>30</v>
      </c>
      <c r="G86" s="95"/>
      <c r="H86" s="95"/>
    </row>
    <row r="87" spans="1:8" s="12" customFormat="1" hidden="1" x14ac:dyDescent="0.3">
      <c r="A87" s="87" t="s">
        <v>134</v>
      </c>
      <c r="B87" s="87"/>
      <c r="C87" s="87"/>
      <c r="D87" s="87"/>
      <c r="E87" s="87"/>
      <c r="F87" s="95" t="s">
        <v>30</v>
      </c>
      <c r="G87" s="95"/>
      <c r="H87" s="95"/>
    </row>
    <row r="88" spans="1:8" s="12" customFormat="1" x14ac:dyDescent="0.3">
      <c r="A88" s="87" t="s">
        <v>135</v>
      </c>
      <c r="B88" s="87"/>
      <c r="C88" s="87"/>
      <c r="D88" s="87"/>
      <c r="E88" s="87"/>
      <c r="F88" s="98" t="s">
        <v>214</v>
      </c>
      <c r="G88" s="95"/>
      <c r="H88" s="95"/>
    </row>
    <row r="89" spans="1:8" s="12" customFormat="1" hidden="1" x14ac:dyDescent="0.3">
      <c r="A89" s="87" t="s">
        <v>136</v>
      </c>
      <c r="B89" s="87"/>
      <c r="C89" s="87"/>
      <c r="D89" s="87"/>
      <c r="E89" s="87"/>
      <c r="F89" s="95" t="s">
        <v>30</v>
      </c>
      <c r="G89" s="95"/>
      <c r="H89" s="95"/>
    </row>
    <row r="90" spans="1:8" x14ac:dyDescent="0.35">
      <c r="A90" s="87" t="s">
        <v>58</v>
      </c>
      <c r="B90" s="87"/>
      <c r="C90" s="87"/>
      <c r="D90" s="87"/>
      <c r="E90" s="87"/>
      <c r="F90" s="98" t="s">
        <v>214</v>
      </c>
      <c r="G90" s="98"/>
      <c r="H90" s="98"/>
    </row>
    <row r="91" spans="1:8" s="9" customFormat="1" x14ac:dyDescent="0.35">
      <c r="A91" s="112" t="s">
        <v>59</v>
      </c>
      <c r="B91" s="112"/>
      <c r="C91" s="112"/>
      <c r="D91" s="112"/>
      <c r="E91" s="112"/>
      <c r="F91" s="95">
        <f>F79*0.8</f>
        <v>3040</v>
      </c>
      <c r="G91" s="95"/>
      <c r="H91" s="95"/>
    </row>
    <row r="92" spans="1:8" s="1" customFormat="1" x14ac:dyDescent="0.35">
      <c r="A92" s="145" t="s">
        <v>101</v>
      </c>
      <c r="B92" s="145"/>
      <c r="C92" s="145"/>
      <c r="D92" s="145"/>
      <c r="E92" s="145"/>
      <c r="F92" s="145"/>
      <c r="G92" s="145"/>
      <c r="H92" s="145"/>
    </row>
    <row r="93" spans="1:8" s="1" customFormat="1" ht="15.75" customHeight="1" x14ac:dyDescent="0.35">
      <c r="A93" s="97" t="s">
        <v>60</v>
      </c>
      <c r="B93" s="97"/>
      <c r="C93" s="96" t="s">
        <v>111</v>
      </c>
      <c r="D93" s="96"/>
      <c r="E93" s="99" t="s">
        <v>61</v>
      </c>
      <c r="F93" s="99"/>
      <c r="G93" s="97" t="s">
        <v>62</v>
      </c>
      <c r="H93" s="97"/>
    </row>
    <row r="94" spans="1:8" s="1" customFormat="1" x14ac:dyDescent="0.35">
      <c r="A94" s="144" t="s">
        <v>223</v>
      </c>
      <c r="B94" s="144"/>
      <c r="C94" s="167">
        <f>COUNT(D101:D105)+COUNT(D107:D114)*4</f>
        <v>37</v>
      </c>
      <c r="D94" s="167"/>
      <c r="E94" s="140">
        <f>SUM(D101:D105)+SUM(D107:D114)*4</f>
        <v>13430.027519999996</v>
      </c>
      <c r="F94" s="140"/>
      <c r="G94" s="140">
        <f>SUM(F101:F105)+SUM(F107:F114)*4</f>
        <v>22065</v>
      </c>
      <c r="H94" s="140"/>
    </row>
    <row r="95" spans="1:8" s="9" customFormat="1" x14ac:dyDescent="0.35">
      <c r="A95" s="107" t="s">
        <v>65</v>
      </c>
      <c r="B95" s="107"/>
      <c r="C95" s="107"/>
      <c r="D95" s="107"/>
      <c r="E95" s="107"/>
      <c r="F95" s="107"/>
      <c r="G95" s="107"/>
      <c r="H95" s="107"/>
    </row>
    <row r="96" spans="1:8" x14ac:dyDescent="0.35">
      <c r="A96" s="107" t="s">
        <v>66</v>
      </c>
      <c r="B96" s="107"/>
      <c r="C96" s="107"/>
      <c r="D96" s="107"/>
      <c r="E96" s="107"/>
      <c r="F96" s="107"/>
      <c r="G96" s="107"/>
      <c r="H96" s="107"/>
    </row>
    <row r="97" spans="1:16" ht="47.25" customHeight="1" x14ac:dyDescent="0.35">
      <c r="A97" s="82" t="s">
        <v>159</v>
      </c>
      <c r="B97" s="82" t="s">
        <v>160</v>
      </c>
      <c r="C97" s="82" t="s">
        <v>67</v>
      </c>
      <c r="D97" s="82" t="s">
        <v>68</v>
      </c>
      <c r="E97" s="83" t="s">
        <v>69</v>
      </c>
      <c r="F97" s="82" t="s">
        <v>225</v>
      </c>
      <c r="G97" s="162" t="s">
        <v>70</v>
      </c>
      <c r="H97" s="162"/>
      <c r="I97" s="38"/>
    </row>
    <row r="98" spans="1:16" x14ac:dyDescent="0.35">
      <c r="A98" s="107" t="s">
        <v>222</v>
      </c>
      <c r="B98" s="107"/>
      <c r="C98" s="107"/>
      <c r="D98" s="107"/>
      <c r="E98" s="107"/>
      <c r="F98" s="107"/>
      <c r="G98" s="107"/>
      <c r="H98" s="107"/>
    </row>
    <row r="99" spans="1:16" x14ac:dyDescent="0.35">
      <c r="A99" s="107" t="s">
        <v>231</v>
      </c>
      <c r="B99" s="107"/>
      <c r="C99" s="107"/>
      <c r="D99" s="107"/>
      <c r="E99" s="107"/>
      <c r="F99" s="107"/>
      <c r="G99" s="107"/>
      <c r="H99" s="107"/>
    </row>
    <row r="100" spans="1:16" s="2" customFormat="1" x14ac:dyDescent="0.35">
      <c r="A100" s="143" t="s">
        <v>188</v>
      </c>
      <c r="B100" s="143"/>
      <c r="C100" s="143"/>
      <c r="D100" s="143"/>
      <c r="E100" s="143"/>
      <c r="F100" s="143"/>
      <c r="G100" s="143"/>
      <c r="H100" s="143"/>
      <c r="I100" s="38"/>
      <c r="L100" s="100"/>
      <c r="M100" s="100"/>
    </row>
    <row r="101" spans="1:16" s="2" customFormat="1" x14ac:dyDescent="0.35">
      <c r="A101" s="64">
        <v>1</v>
      </c>
      <c r="B101" s="64">
        <v>5</v>
      </c>
      <c r="C101" s="19" t="s">
        <v>189</v>
      </c>
      <c r="D101" s="19">
        <f>(29.43)*10.764</f>
        <v>316.78451999999999</v>
      </c>
      <c r="E101" s="19">
        <v>0</v>
      </c>
      <c r="F101" s="40">
        <v>605</v>
      </c>
      <c r="G101" s="103" t="str">
        <f>A100</f>
        <v>Ground Floor for Residential &amp; Parking</v>
      </c>
      <c r="H101" s="103"/>
      <c r="I101" s="38"/>
      <c r="L101" s="47"/>
      <c r="M101" s="47"/>
      <c r="N101" s="38"/>
    </row>
    <row r="102" spans="1:16" s="2" customFormat="1" x14ac:dyDescent="0.35">
      <c r="A102" s="64">
        <f>A101+1</f>
        <v>2</v>
      </c>
      <c r="B102" s="64">
        <v>4</v>
      </c>
      <c r="C102" s="19" t="s">
        <v>189</v>
      </c>
      <c r="D102" s="19">
        <f>(29.58)*10.764</f>
        <v>318.39911999999998</v>
      </c>
      <c r="E102" s="48">
        <v>0</v>
      </c>
      <c r="F102" s="40">
        <v>605</v>
      </c>
      <c r="G102" s="103" t="str">
        <f t="shared" ref="G102:G105" si="0">G101</f>
        <v>Ground Floor for Residential &amp; Parking</v>
      </c>
      <c r="H102" s="103"/>
      <c r="I102" s="38">
        <f>2238000/F102</f>
        <v>3699.1735537190084</v>
      </c>
      <c r="J102" s="79">
        <f>F101/D101</f>
        <v>1.909815542754425</v>
      </c>
      <c r="L102" s="47"/>
      <c r="M102" s="47"/>
      <c r="N102" s="38"/>
    </row>
    <row r="103" spans="1:16" s="2" customFormat="1" x14ac:dyDescent="0.35">
      <c r="A103" s="64">
        <f>A102+1</f>
        <v>3</v>
      </c>
      <c r="B103" s="64">
        <v>3</v>
      </c>
      <c r="C103" s="19" t="s">
        <v>190</v>
      </c>
      <c r="D103" s="19">
        <f>(43.15)*10.764</f>
        <v>464.46659999999997</v>
      </c>
      <c r="E103" s="48">
        <v>0</v>
      </c>
      <c r="F103" s="40">
        <v>865</v>
      </c>
      <c r="G103" s="103" t="str">
        <f t="shared" si="0"/>
        <v>Ground Floor for Residential &amp; Parking</v>
      </c>
      <c r="H103" s="103"/>
      <c r="I103" s="73">
        <f>3237000/F103</f>
        <v>3742.1965317919075</v>
      </c>
      <c r="J103" s="74"/>
      <c r="K103" s="74"/>
      <c r="L103" s="47"/>
      <c r="M103" s="47"/>
      <c r="N103" s="38"/>
    </row>
    <row r="104" spans="1:16" s="2" customFormat="1" x14ac:dyDescent="0.35">
      <c r="A104" s="64">
        <f t="shared" ref="A104:A105" si="1">A103+1</f>
        <v>4</v>
      </c>
      <c r="B104" s="64">
        <v>2</v>
      </c>
      <c r="C104" s="37" t="s">
        <v>189</v>
      </c>
      <c r="D104" s="37">
        <f>(29.26)*10.764</f>
        <v>314.95463999999998</v>
      </c>
      <c r="E104" s="48">
        <v>0</v>
      </c>
      <c r="F104" s="40">
        <v>605</v>
      </c>
      <c r="G104" s="103" t="str">
        <f t="shared" si="0"/>
        <v>Ground Floor for Residential &amp; Parking</v>
      </c>
      <c r="H104" s="103"/>
      <c r="I104" s="76"/>
      <c r="J104" s="77"/>
      <c r="K104" s="77"/>
      <c r="L104" s="78"/>
      <c r="M104" s="62"/>
      <c r="N104" s="38"/>
    </row>
    <row r="105" spans="1:16" s="2" customFormat="1" x14ac:dyDescent="0.35">
      <c r="A105" s="64">
        <f t="shared" si="1"/>
        <v>5</v>
      </c>
      <c r="B105" s="64">
        <v>1</v>
      </c>
      <c r="C105" s="37" t="s">
        <v>191</v>
      </c>
      <c r="D105" s="37">
        <f>(20.54)*10.764</f>
        <v>221.09255999999996</v>
      </c>
      <c r="E105" s="48">
        <v>0</v>
      </c>
      <c r="F105" s="40">
        <v>425</v>
      </c>
      <c r="G105" s="103" t="str">
        <f t="shared" si="0"/>
        <v>Ground Floor for Residential &amp; Parking</v>
      </c>
      <c r="H105" s="103"/>
      <c r="I105" s="38">
        <f>1572000/F105</f>
        <v>3698.8235294117649</v>
      </c>
      <c r="L105" s="47"/>
      <c r="M105" s="47"/>
      <c r="N105" s="38"/>
    </row>
    <row r="106" spans="1:16" s="2" customFormat="1" x14ac:dyDescent="0.35">
      <c r="A106" s="147" t="s">
        <v>192</v>
      </c>
      <c r="B106" s="148"/>
      <c r="C106" s="148"/>
      <c r="D106" s="148"/>
      <c r="E106" s="148"/>
      <c r="F106" s="148"/>
      <c r="G106" s="148"/>
      <c r="H106" s="149"/>
      <c r="I106" s="38"/>
      <c r="M106" s="47"/>
      <c r="N106" s="47"/>
      <c r="P106" s="39"/>
    </row>
    <row r="107" spans="1:16" s="2" customFormat="1" x14ac:dyDescent="0.35">
      <c r="A107" s="64">
        <v>1</v>
      </c>
      <c r="B107" s="64">
        <v>8</v>
      </c>
      <c r="C107" s="37" t="s">
        <v>189</v>
      </c>
      <c r="D107" s="37">
        <f>(29.65+0.75*(2.13+3.04))*10.764</f>
        <v>360.89000999999996</v>
      </c>
      <c r="E107" s="48">
        <v>0</v>
      </c>
      <c r="F107" s="40">
        <v>605</v>
      </c>
      <c r="G107" s="101" t="str">
        <f>A106</f>
        <v>1st to 4th Floor</v>
      </c>
      <c r="H107" s="102"/>
      <c r="I107" s="38"/>
      <c r="M107" s="47"/>
      <c r="N107" s="47" t="str">
        <f t="shared" ref="N107:N112" ca="1" si="2">O107&amp;""&amp;" to "&amp;""&amp;P107</f>
        <v>101 to 401</v>
      </c>
      <c r="O107" s="58">
        <f ca="1">(SUMPRODUCT(MID(0&amp;(LEFT(A106,SUM(LEN(A106)-LEN(SUBSTITUTE(A106,{"0","1","2"},""))))), LARGE(INDEX(ISNUMBER(--MID((LEFT(A106,SUM(LEN(A106)-LEN(SUBSTITUTE(A106,{"0","1","2"},""))))), ROW(INDIRECT("1:"&amp;LEN((LEFT(A106,SUM(LEN(A106)-LEN(SUBSTITUTE(A106,{"0","1","2"},"")))))))), 1)) * ROW(INDIRECT("1:"&amp;LEN((LEFT(A106,SUM(LEN(A106)-LEN(SUBSTITUTE(A106,{"0","1","2"},"")))))))), 0), ROW(INDIRECT("1:"&amp;LEN((LEFT(A106,SUM(LEN(A106)-LEN(SUBSTITUTE(A106,{"0","1","2"},"")))))))))+1, 1) * 10^ROW(INDIRECT("1:"&amp;LEN((LEFT(A106,SUM(LEN(A106)-LEN(SUBSTITUTE(A106,{"0","1","2"},""))))))))/10))*100+1</f>
        <v>101</v>
      </c>
      <c r="P107" s="58">
        <f ca="1">(SUMPRODUCT(MID(0&amp;(--TRIM(RIGHT(SUBSTITUTE(LEFT(A106,_xlfn.AGGREGATE(16,6,FIND({0,1,2,3,4,5,6,7,8,9},A106,ROW(INDIRECT("1:"&amp;LEN(A106)))),1))," ",REPT(" ",LEN(A106))),LEN(A106)))), LARGE(INDEX(ISNUMBER(--MID((--TRIM(RIGHT(SUBSTITUTE(LEFT(A106,_xlfn.AGGREGATE(16,6,FIND({0,1,2,3,4,5,6,7,8,9},A106,ROW(INDIRECT("1:"&amp;LEN(A106)))),1))," ",REPT(" ",LEN(A106))),LEN(A106)))), ROW(INDIRECT("1:"&amp;LEN((--TRIM(RIGHT(SUBSTITUTE(LEFT(A106,_xlfn.AGGREGATE(16,6,FIND({0,1,2,3,4,5,6,7,8,9},A106,ROW(INDIRECT("1:"&amp;LEN(A106)))),1))," ",REPT(" ",LEN(A106))),LEN(A106))))))), 1)) * ROW(INDIRECT("1:"&amp;LEN((--TRIM(RIGHT(SUBSTITUTE(LEFT(A106,_xlfn.AGGREGATE(16,6,FIND({0,1,2,3,4,5,6,7,8,9},A106,ROW(INDIRECT("1:"&amp;LEN(A106)))),1))," ",REPT(" ",LEN(A106))),LEN(A106))))))), 0), ROW(INDIRECT("1:"&amp;LEN((--TRIM(RIGHT(SUBSTITUTE(LEFT(A106,_xlfn.AGGREGATE(16,6,FIND({0,1,2,3,4,5,6,7,8,9},A106,ROW(INDIRECT("1:"&amp;LEN(A106)))),1))," ",REPT(" ",LEN(A106))),LEN(A106))))))))+1, 1) * 10^ROW(INDIRECT("1:"&amp;LEN((--TRIM(RIGHT(SUBSTITUTE(LEFT(A106,_xlfn.AGGREGATE(16,6,FIND({0,1,2,3,4,5,6,7,8,9},A106,ROW(INDIRECT("1:"&amp;LEN(A106)))),1))," ",REPT(" ",LEN(A106))),LEN(A106)))))))/10))*100+1</f>
        <v>401</v>
      </c>
    </row>
    <row r="108" spans="1:16" s="2" customFormat="1" x14ac:dyDescent="0.35">
      <c r="A108" s="64">
        <v>2</v>
      </c>
      <c r="B108" s="64">
        <v>7</v>
      </c>
      <c r="C108" s="37" t="s">
        <v>189</v>
      </c>
      <c r="D108" s="37">
        <f>(29.5+0.75*(2.74+2.13+3.04))*10.764</f>
        <v>381.39542999999998</v>
      </c>
      <c r="E108" s="48">
        <v>0</v>
      </c>
      <c r="F108" s="40">
        <v>605</v>
      </c>
      <c r="G108" s="101" t="str">
        <f t="shared" ref="G108:G114" si="3">G107</f>
        <v>1st to 4th Floor</v>
      </c>
      <c r="H108" s="102"/>
      <c r="I108" s="38"/>
      <c r="M108" s="47"/>
      <c r="N108" s="58" t="str">
        <f t="shared" ca="1" si="2"/>
        <v>102 to 402</v>
      </c>
      <c r="O108" s="2">
        <f t="shared" ref="O108:P111" ca="1" si="4">O107+1</f>
        <v>102</v>
      </c>
      <c r="P108" s="2">
        <f t="shared" ca="1" si="4"/>
        <v>402</v>
      </c>
    </row>
    <row r="109" spans="1:16" s="2" customFormat="1" x14ac:dyDescent="0.35">
      <c r="A109" s="64">
        <v>3</v>
      </c>
      <c r="B109" s="64">
        <v>6</v>
      </c>
      <c r="C109" s="37" t="s">
        <v>189</v>
      </c>
      <c r="D109" s="37">
        <f>(29.58+0.75*(5.02+3.04))*10.764</f>
        <v>383.46749999999997</v>
      </c>
      <c r="E109" s="48">
        <v>0</v>
      </c>
      <c r="F109" s="40">
        <v>605</v>
      </c>
      <c r="G109" s="101" t="str">
        <f t="shared" si="3"/>
        <v>1st to 4th Floor</v>
      </c>
      <c r="H109" s="102"/>
      <c r="I109" s="38"/>
      <c r="M109" s="47"/>
      <c r="N109" s="58" t="str">
        <f t="shared" ca="1" si="2"/>
        <v>103 to 403</v>
      </c>
      <c r="O109" s="2">
        <f t="shared" ca="1" si="4"/>
        <v>103</v>
      </c>
      <c r="P109" s="2">
        <f t="shared" ca="1" si="4"/>
        <v>403</v>
      </c>
    </row>
    <row r="110" spans="1:16" s="2" customFormat="1" x14ac:dyDescent="0.35">
      <c r="A110" s="64">
        <v>4</v>
      </c>
      <c r="B110" s="64">
        <v>5</v>
      </c>
      <c r="C110" s="37" t="s">
        <v>190</v>
      </c>
      <c r="D110" s="37">
        <f>(43.15+0.75*(3.04+2.2+3+2.9))*10.764</f>
        <v>554.39981999999986</v>
      </c>
      <c r="E110" s="48">
        <v>0</v>
      </c>
      <c r="F110" s="40">
        <v>865</v>
      </c>
      <c r="G110" s="101" t="str">
        <f t="shared" si="3"/>
        <v>1st to 4th Floor</v>
      </c>
      <c r="H110" s="102"/>
      <c r="I110" s="38"/>
      <c r="M110" s="47"/>
      <c r="N110" s="58" t="str">
        <f t="shared" ca="1" si="2"/>
        <v>104 to 404</v>
      </c>
      <c r="O110" s="2">
        <f t="shared" ca="1" si="4"/>
        <v>104</v>
      </c>
      <c r="P110" s="2">
        <f t="shared" ca="1" si="4"/>
        <v>404</v>
      </c>
    </row>
    <row r="111" spans="1:16" s="2" customFormat="1" x14ac:dyDescent="0.35">
      <c r="A111" s="64">
        <v>5</v>
      </c>
      <c r="B111" s="64">
        <v>4</v>
      </c>
      <c r="C111" s="37" t="s">
        <v>189</v>
      </c>
      <c r="D111" s="37">
        <f>(29.26+0.75*(2.74+2.28+3))*10.764</f>
        <v>379.70009999999996</v>
      </c>
      <c r="E111" s="48">
        <v>0</v>
      </c>
      <c r="F111" s="40">
        <v>605</v>
      </c>
      <c r="G111" s="101" t="str">
        <f t="shared" si="3"/>
        <v>1st to 4th Floor</v>
      </c>
      <c r="H111" s="102"/>
      <c r="I111" s="38"/>
      <c r="M111" s="47"/>
      <c r="N111" s="58" t="str">
        <f t="shared" ca="1" si="2"/>
        <v>105 to 405</v>
      </c>
      <c r="O111" s="2">
        <f t="shared" ca="1" si="4"/>
        <v>105</v>
      </c>
      <c r="P111" s="2">
        <f t="shared" ca="1" si="4"/>
        <v>405</v>
      </c>
    </row>
    <row r="112" spans="1:16" s="41" customFormat="1" x14ac:dyDescent="0.35">
      <c r="A112" s="64">
        <v>6</v>
      </c>
      <c r="B112" s="64">
        <v>3</v>
      </c>
      <c r="C112" s="42" t="s">
        <v>191</v>
      </c>
      <c r="D112" s="42">
        <f>(20.6+0.75*(2.74+2.74))*10.764</f>
        <v>265.97843999999998</v>
      </c>
      <c r="E112" s="48">
        <v>0</v>
      </c>
      <c r="F112" s="40">
        <v>425</v>
      </c>
      <c r="G112" s="101" t="str">
        <f t="shared" si="3"/>
        <v>1st to 4th Floor</v>
      </c>
      <c r="H112" s="102"/>
      <c r="I112" s="38"/>
      <c r="M112" s="47"/>
      <c r="N112" s="58" t="str">
        <f t="shared" ca="1" si="2"/>
        <v>106 to 406</v>
      </c>
      <c r="O112" s="41">
        <f t="shared" ref="O112:P112" ca="1" si="5">O111+1</f>
        <v>106</v>
      </c>
      <c r="P112" s="41">
        <f t="shared" ca="1" si="5"/>
        <v>406</v>
      </c>
    </row>
    <row r="113" spans="1:16" s="62" customFormat="1" x14ac:dyDescent="0.35">
      <c r="A113" s="64">
        <v>7</v>
      </c>
      <c r="B113" s="64">
        <v>2</v>
      </c>
      <c r="C113" s="61" t="s">
        <v>191</v>
      </c>
      <c r="D113" s="61">
        <f>(20.6+0.75*(2.74+2.7))*10.764</f>
        <v>265.65551999999997</v>
      </c>
      <c r="E113" s="61">
        <v>0</v>
      </c>
      <c r="F113" s="40">
        <v>425</v>
      </c>
      <c r="G113" s="101" t="str">
        <f t="shared" si="3"/>
        <v>1st to 4th Floor</v>
      </c>
      <c r="H113" s="102"/>
      <c r="I113" s="38"/>
      <c r="N113" s="62" t="str">
        <f t="shared" ref="N113:N114" ca="1" si="6">O113&amp;""&amp;" to "&amp;""&amp;P113</f>
        <v>107 to 407</v>
      </c>
      <c r="O113" s="62">
        <f t="shared" ref="O113:P113" ca="1" si="7">O112+1</f>
        <v>107</v>
      </c>
      <c r="P113" s="62">
        <f t="shared" ca="1" si="7"/>
        <v>407</v>
      </c>
    </row>
    <row r="114" spans="1:16" s="62" customFormat="1" x14ac:dyDescent="0.35">
      <c r="A114" s="64">
        <v>8</v>
      </c>
      <c r="B114" s="64">
        <v>1</v>
      </c>
      <c r="C114" s="61" t="s">
        <v>189</v>
      </c>
      <c r="D114" s="61">
        <f>(29.41+0.75*(2.74+2.28))*10.764</f>
        <v>357.09569999999997</v>
      </c>
      <c r="E114" s="61">
        <v>0</v>
      </c>
      <c r="F114" s="40">
        <v>605</v>
      </c>
      <c r="G114" s="101" t="str">
        <f t="shared" si="3"/>
        <v>1st to 4th Floor</v>
      </c>
      <c r="H114" s="102"/>
      <c r="I114" s="38"/>
      <c r="N114" s="62" t="str">
        <f t="shared" ca="1" si="6"/>
        <v>108 to 408</v>
      </c>
      <c r="O114" s="62">
        <f t="shared" ref="O114:P114" ca="1" si="8">O113+1</f>
        <v>108</v>
      </c>
      <c r="P114" s="62">
        <f t="shared" ca="1" si="8"/>
        <v>408</v>
      </c>
    </row>
    <row r="115" spans="1:16" s="1" customFormat="1" x14ac:dyDescent="0.35">
      <c r="A115" s="146" t="s">
        <v>78</v>
      </c>
      <c r="B115" s="146"/>
      <c r="C115" s="146"/>
      <c r="D115" s="146"/>
      <c r="E115" s="146"/>
      <c r="F115" s="146"/>
      <c r="G115" s="146"/>
      <c r="H115" s="146"/>
    </row>
    <row r="116" spans="1:16" s="1" customFormat="1" x14ac:dyDescent="0.35">
      <c r="A116" s="49">
        <v>1</v>
      </c>
      <c r="B116" s="91" t="s">
        <v>235</v>
      </c>
      <c r="C116" s="92"/>
      <c r="D116" s="92"/>
      <c r="E116" s="92"/>
      <c r="F116" s="92"/>
      <c r="G116" s="92"/>
      <c r="H116" s="93"/>
      <c r="I116" s="91" t="s">
        <v>232</v>
      </c>
      <c r="J116" s="92"/>
      <c r="K116" s="92"/>
      <c r="L116" s="92"/>
      <c r="M116" s="92"/>
      <c r="N116" s="92"/>
      <c r="O116" s="93"/>
    </row>
    <row r="117" spans="1:16" s="1" customFormat="1" x14ac:dyDescent="0.35">
      <c r="A117" s="49">
        <f>A116+1</f>
        <v>2</v>
      </c>
      <c r="B117" s="91" t="s">
        <v>224</v>
      </c>
      <c r="C117" s="92"/>
      <c r="D117" s="92"/>
      <c r="E117" s="92"/>
      <c r="F117" s="92"/>
      <c r="G117" s="92"/>
      <c r="H117" s="93"/>
    </row>
    <row r="118" spans="1:16" s="1" customFormat="1" x14ac:dyDescent="0.35">
      <c r="A118" s="59">
        <f t="shared" ref="A118:A123" si="9">A117+1</f>
        <v>3</v>
      </c>
      <c r="B118" s="88" t="s">
        <v>163</v>
      </c>
      <c r="C118" s="89"/>
      <c r="D118" s="89"/>
      <c r="E118" s="89"/>
      <c r="F118" s="89"/>
      <c r="G118" s="89"/>
      <c r="H118" s="90"/>
    </row>
    <row r="119" spans="1:16" s="1" customFormat="1" x14ac:dyDescent="0.35">
      <c r="A119" s="59">
        <f t="shared" si="9"/>
        <v>4</v>
      </c>
      <c r="B119" s="88" t="s">
        <v>217</v>
      </c>
      <c r="C119" s="89"/>
      <c r="D119" s="89"/>
      <c r="E119" s="89"/>
      <c r="F119" s="89"/>
      <c r="G119" s="89"/>
      <c r="H119" s="90"/>
    </row>
    <row r="120" spans="1:16" s="1" customFormat="1" x14ac:dyDescent="0.35">
      <c r="A120" s="59">
        <f t="shared" si="9"/>
        <v>5</v>
      </c>
      <c r="B120" s="88" t="s">
        <v>164</v>
      </c>
      <c r="C120" s="89"/>
      <c r="D120" s="89"/>
      <c r="E120" s="89"/>
      <c r="F120" s="89"/>
      <c r="G120" s="89"/>
      <c r="H120" s="90"/>
    </row>
    <row r="121" spans="1:16" s="1" customFormat="1" ht="32.25" customHeight="1" x14ac:dyDescent="0.35">
      <c r="A121" s="75">
        <f t="shared" si="9"/>
        <v>6</v>
      </c>
      <c r="B121" s="88" t="s">
        <v>226</v>
      </c>
      <c r="C121" s="89"/>
      <c r="D121" s="89"/>
      <c r="E121" s="89"/>
      <c r="F121" s="89"/>
      <c r="G121" s="89"/>
      <c r="H121" s="90"/>
    </row>
    <row r="122" spans="1:16" s="1" customFormat="1" x14ac:dyDescent="0.35">
      <c r="A122" s="75">
        <f t="shared" si="9"/>
        <v>7</v>
      </c>
      <c r="B122" s="88" t="s">
        <v>165</v>
      </c>
      <c r="C122" s="89"/>
      <c r="D122" s="89"/>
      <c r="E122" s="89"/>
      <c r="F122" s="89"/>
      <c r="G122" s="89"/>
      <c r="H122" s="90"/>
    </row>
    <row r="123" spans="1:16" s="1" customFormat="1" x14ac:dyDescent="0.35">
      <c r="A123" s="59">
        <f t="shared" si="9"/>
        <v>8</v>
      </c>
      <c r="B123" s="91" t="s">
        <v>237</v>
      </c>
      <c r="C123" s="92"/>
      <c r="D123" s="92"/>
      <c r="E123" s="92"/>
      <c r="F123" s="92"/>
      <c r="G123" s="92"/>
      <c r="H123" s="93"/>
    </row>
    <row r="124" spans="1:16" s="1" customFormat="1" ht="31.5" customHeight="1" x14ac:dyDescent="0.35">
      <c r="A124" s="81">
        <v>9</v>
      </c>
      <c r="B124" s="84" t="s">
        <v>234</v>
      </c>
      <c r="C124" s="85"/>
      <c r="D124" s="85"/>
      <c r="E124" s="85"/>
      <c r="F124" s="85"/>
      <c r="G124" s="85"/>
      <c r="H124" s="86"/>
    </row>
    <row r="125" spans="1:16" x14ac:dyDescent="0.35">
      <c r="A125" s="150" t="s">
        <v>71</v>
      </c>
      <c r="B125" s="150"/>
      <c r="C125" s="150"/>
      <c r="D125" s="150"/>
      <c r="E125" s="150"/>
      <c r="F125" s="150"/>
      <c r="G125" s="150"/>
      <c r="H125" s="150"/>
    </row>
    <row r="126" spans="1:16" x14ac:dyDescent="0.35">
      <c r="A126" s="125" t="s">
        <v>72</v>
      </c>
      <c r="B126" s="125"/>
      <c r="C126" s="125"/>
      <c r="D126" s="125"/>
      <c r="E126" s="125"/>
      <c r="F126" s="125"/>
      <c r="G126" s="125"/>
      <c r="H126" s="125"/>
    </row>
    <row r="127" spans="1:16" ht="15.75" customHeight="1" x14ac:dyDescent="0.35">
      <c r="A127" s="161" t="s">
        <v>73</v>
      </c>
      <c r="B127" s="161"/>
      <c r="C127" s="161"/>
      <c r="D127" s="161"/>
      <c r="E127" s="161"/>
      <c r="F127" s="161"/>
      <c r="G127" s="161"/>
      <c r="H127" s="161"/>
    </row>
    <row r="128" spans="1:16" x14ac:dyDescent="0.35">
      <c r="A128" s="125" t="s">
        <v>74</v>
      </c>
      <c r="B128" s="125"/>
      <c r="C128" s="125"/>
      <c r="D128" s="125"/>
      <c r="E128" s="125"/>
      <c r="F128" s="125"/>
      <c r="G128" s="125"/>
      <c r="H128" s="125"/>
    </row>
    <row r="129" spans="1:8" x14ac:dyDescent="0.35">
      <c r="A129" s="125" t="s">
        <v>75</v>
      </c>
      <c r="B129" s="125"/>
      <c r="C129" s="125"/>
      <c r="D129" s="125"/>
      <c r="E129" s="125"/>
      <c r="F129" s="125"/>
      <c r="G129" s="125"/>
      <c r="H129" s="125"/>
    </row>
    <row r="130" spans="1:8" x14ac:dyDescent="0.35">
      <c r="A130" s="125" t="s">
        <v>166</v>
      </c>
      <c r="B130" s="125"/>
      <c r="C130" s="125"/>
      <c r="D130" s="125"/>
      <c r="E130" s="125"/>
      <c r="F130" s="125"/>
      <c r="G130" s="125"/>
      <c r="H130" s="125"/>
    </row>
    <row r="131" spans="1:8" ht="30.75" customHeight="1" x14ac:dyDescent="0.35">
      <c r="A131" s="122" t="s">
        <v>167</v>
      </c>
      <c r="B131" s="122"/>
      <c r="C131" s="122"/>
      <c r="D131" s="122"/>
      <c r="E131" s="122"/>
      <c r="F131" s="122"/>
      <c r="G131" s="122"/>
      <c r="H131" s="122"/>
    </row>
    <row r="132" spans="1:8" x14ac:dyDescent="0.35">
      <c r="A132" s="142" t="s">
        <v>110</v>
      </c>
      <c r="B132" s="142"/>
      <c r="C132" s="142" t="s">
        <v>236</v>
      </c>
      <c r="D132" s="142"/>
      <c r="E132" s="142" t="s">
        <v>145</v>
      </c>
      <c r="F132" s="142"/>
      <c r="G132" s="142" t="s">
        <v>233</v>
      </c>
      <c r="H132" s="142"/>
    </row>
    <row r="133" spans="1:8" x14ac:dyDescent="0.35">
      <c r="A133" s="141" t="s">
        <v>112</v>
      </c>
      <c r="B133" s="141"/>
      <c r="C133" s="141"/>
      <c r="D133" s="141"/>
      <c r="E133" s="141"/>
      <c r="F133" s="141"/>
      <c r="G133" s="141"/>
      <c r="H133" s="141"/>
    </row>
    <row r="134" spans="1:8" x14ac:dyDescent="0.35">
      <c r="A134" s="141"/>
      <c r="B134" s="141"/>
      <c r="C134" s="141"/>
      <c r="D134" s="141"/>
      <c r="E134" s="141"/>
      <c r="F134" s="141"/>
      <c r="G134" s="141"/>
      <c r="H134" s="141"/>
    </row>
    <row r="135" spans="1:8" x14ac:dyDescent="0.35">
      <c r="A135" s="141"/>
      <c r="B135" s="141"/>
      <c r="C135" s="141"/>
      <c r="D135" s="141"/>
      <c r="E135" s="141"/>
      <c r="F135" s="141"/>
      <c r="G135" s="141"/>
      <c r="H135" s="141"/>
    </row>
    <row r="136" spans="1:8" x14ac:dyDescent="0.35">
      <c r="A136" s="14" t="s">
        <v>76</v>
      </c>
      <c r="B136" s="15"/>
      <c r="C136" s="15"/>
      <c r="D136" s="14" t="str">
        <f>E8</f>
        <v>Paramount Enclave</v>
      </c>
      <c r="F136" s="15"/>
      <c r="G136" s="15"/>
      <c r="H136" s="15"/>
    </row>
    <row r="137" spans="1:8" x14ac:dyDescent="0.35">
      <c r="A137" s="15"/>
      <c r="B137" s="15"/>
      <c r="C137" s="15"/>
      <c r="D137" s="15"/>
      <c r="E137" s="15"/>
      <c r="F137" s="15"/>
      <c r="G137" s="15"/>
      <c r="H137" s="15"/>
    </row>
    <row r="138" spans="1:8" x14ac:dyDescent="0.35">
      <c r="A138" s="15"/>
      <c r="B138" s="15"/>
      <c r="C138" s="15"/>
      <c r="D138" s="15"/>
      <c r="E138" s="15"/>
      <c r="F138" s="15"/>
      <c r="G138" s="15"/>
      <c r="H138" s="15"/>
    </row>
    <row r="139" spans="1:8" ht="15" customHeight="1" x14ac:dyDescent="0.35"/>
    <row r="179" spans="1:1" x14ac:dyDescent="0.35">
      <c r="A179" s="17" t="s">
        <v>77</v>
      </c>
    </row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</sheetData>
  <mergeCells count="232">
    <mergeCell ref="I116:O116"/>
    <mergeCell ref="A63:B63"/>
    <mergeCell ref="A61:B61"/>
    <mergeCell ref="C61:H61"/>
    <mergeCell ref="E39:H39"/>
    <mergeCell ref="A39:D39"/>
    <mergeCell ref="A45:B45"/>
    <mergeCell ref="C45:E45"/>
    <mergeCell ref="G45:H45"/>
    <mergeCell ref="G47:H47"/>
    <mergeCell ref="A54:C56"/>
    <mergeCell ref="D54:H54"/>
    <mergeCell ref="D55:H55"/>
    <mergeCell ref="C46:E46"/>
    <mergeCell ref="A49:B49"/>
    <mergeCell ref="C49:E49"/>
    <mergeCell ref="A69:B69"/>
    <mergeCell ref="A71:B71"/>
    <mergeCell ref="A64:B64"/>
    <mergeCell ref="A67:B67"/>
    <mergeCell ref="C48:H48"/>
    <mergeCell ref="D58:H58"/>
    <mergeCell ref="D53:H53"/>
    <mergeCell ref="A59:C59"/>
    <mergeCell ref="A127:H127"/>
    <mergeCell ref="G110:H110"/>
    <mergeCell ref="A93:B93"/>
    <mergeCell ref="G97:H97"/>
    <mergeCell ref="A70:B70"/>
    <mergeCell ref="F79:H79"/>
    <mergeCell ref="A76:H76"/>
    <mergeCell ref="A77:B77"/>
    <mergeCell ref="A78:H78"/>
    <mergeCell ref="A75:E75"/>
    <mergeCell ref="F75:H75"/>
    <mergeCell ref="F82:H82"/>
    <mergeCell ref="G108:H108"/>
    <mergeCell ref="F89:H89"/>
    <mergeCell ref="F87:H87"/>
    <mergeCell ref="A96:H96"/>
    <mergeCell ref="A88:E88"/>
    <mergeCell ref="G102:H102"/>
    <mergeCell ref="A99:H99"/>
    <mergeCell ref="A98:H98"/>
    <mergeCell ref="A87:E87"/>
    <mergeCell ref="C94:D94"/>
    <mergeCell ref="E94:F94"/>
    <mergeCell ref="D59:H59"/>
    <mergeCell ref="A58:C58"/>
    <mergeCell ref="D57:H57"/>
    <mergeCell ref="E65:F74"/>
    <mergeCell ref="G65:H74"/>
    <mergeCell ref="A73:B73"/>
    <mergeCell ref="A74:B74"/>
    <mergeCell ref="C63:H63"/>
    <mergeCell ref="A66:B66"/>
    <mergeCell ref="A68:B68"/>
    <mergeCell ref="E64:F64"/>
    <mergeCell ref="A57:C57"/>
    <mergeCell ref="A60:C60"/>
    <mergeCell ref="D60:H60"/>
    <mergeCell ref="A65:B65"/>
    <mergeCell ref="G64:H64"/>
    <mergeCell ref="F85:H85"/>
    <mergeCell ref="A133:H135"/>
    <mergeCell ref="A132:B132"/>
    <mergeCell ref="E132:F132"/>
    <mergeCell ref="C132:D132"/>
    <mergeCell ref="G132:H132"/>
    <mergeCell ref="A90:E90"/>
    <mergeCell ref="F90:H90"/>
    <mergeCell ref="A91:E91"/>
    <mergeCell ref="F91:H91"/>
    <mergeCell ref="A100:H100"/>
    <mergeCell ref="A94:B94"/>
    <mergeCell ref="A128:H128"/>
    <mergeCell ref="A92:H92"/>
    <mergeCell ref="A131:H131"/>
    <mergeCell ref="A129:H129"/>
    <mergeCell ref="A115:H115"/>
    <mergeCell ref="G109:H109"/>
    <mergeCell ref="A106:H106"/>
    <mergeCell ref="A125:H125"/>
    <mergeCell ref="A126:H126"/>
    <mergeCell ref="B122:H122"/>
    <mergeCell ref="B123:H123"/>
    <mergeCell ref="A130:H130"/>
    <mergeCell ref="B116:H116"/>
    <mergeCell ref="A95:H95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53:C53"/>
    <mergeCell ref="G46:H46"/>
    <mergeCell ref="A47:B48"/>
    <mergeCell ref="A46:B46"/>
    <mergeCell ref="A50:H50"/>
    <mergeCell ref="A51:C51"/>
    <mergeCell ref="A52:C52"/>
    <mergeCell ref="D52:H52"/>
    <mergeCell ref="G49:H49"/>
    <mergeCell ref="D51:H51"/>
    <mergeCell ref="C47:E47"/>
    <mergeCell ref="D56:H56"/>
    <mergeCell ref="A72:B7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A36:B36"/>
    <mergeCell ref="C36:H36"/>
    <mergeCell ref="C33:E33"/>
    <mergeCell ref="F86:H86"/>
    <mergeCell ref="L100:M100"/>
    <mergeCell ref="G112:H112"/>
    <mergeCell ref="G105:H105"/>
    <mergeCell ref="G111:H111"/>
    <mergeCell ref="G107:H107"/>
    <mergeCell ref="G113:H113"/>
    <mergeCell ref="G114:H114"/>
    <mergeCell ref="G104:H104"/>
    <mergeCell ref="G101:H101"/>
    <mergeCell ref="G103:H103"/>
    <mergeCell ref="G94:H94"/>
    <mergeCell ref="B124:H124"/>
    <mergeCell ref="A79:E79"/>
    <mergeCell ref="B121:H121"/>
    <mergeCell ref="B117:H117"/>
    <mergeCell ref="B118:H118"/>
    <mergeCell ref="B119:H119"/>
    <mergeCell ref="B120:H120"/>
    <mergeCell ref="C77:H77"/>
    <mergeCell ref="F80:H80"/>
    <mergeCell ref="A80:E80"/>
    <mergeCell ref="A89:E89"/>
    <mergeCell ref="A81:E81"/>
    <mergeCell ref="C93:D93"/>
    <mergeCell ref="G93:H93"/>
    <mergeCell ref="A83:E83"/>
    <mergeCell ref="F83:H83"/>
    <mergeCell ref="A82:E82"/>
    <mergeCell ref="A84:E84"/>
    <mergeCell ref="F84:H84"/>
    <mergeCell ref="A85:E85"/>
    <mergeCell ref="F81:H81"/>
    <mergeCell ref="A86:E86"/>
    <mergeCell ref="F88:H88"/>
    <mergeCell ref="E93:F93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9" scale="97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&amp;P</oddFooter>
  </headerFooter>
  <rowBreaks count="2" manualBreakCount="2">
    <brk id="135" max="16383" man="1"/>
    <brk id="17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D18" sqref="D18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79</v>
      </c>
      <c r="C2" s="186"/>
      <c r="D2" s="186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80</v>
      </c>
      <c r="B4" s="5" t="s">
        <v>81</v>
      </c>
      <c r="C4" s="187" t="s">
        <v>82</v>
      </c>
      <c r="D4" s="187"/>
      <c r="E4" s="187"/>
      <c r="F4" s="6"/>
      <c r="G4" s="187" t="s">
        <v>83</v>
      </c>
      <c r="H4" s="187"/>
      <c r="I4" s="187"/>
      <c r="J4" s="187" t="s">
        <v>84</v>
      </c>
      <c r="K4" s="187"/>
      <c r="L4" s="187"/>
    </row>
    <row r="5" spans="1:12" x14ac:dyDescent="0.35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35">
      <c r="B6" s="7" t="s">
        <v>87</v>
      </c>
      <c r="C6" s="7"/>
      <c r="D6" s="7"/>
      <c r="E6" s="7">
        <f>C6*D6</f>
        <v>0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90</v>
      </c>
      <c r="C9" s="7"/>
      <c r="D9" s="7"/>
      <c r="E9" s="7">
        <f t="shared" si="0"/>
        <v>0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91</v>
      </c>
      <c r="C13" s="7"/>
      <c r="D13" s="7"/>
      <c r="E13" s="7">
        <f t="shared" si="0"/>
        <v>0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93</v>
      </c>
      <c r="C23" s="7"/>
      <c r="D23" s="7"/>
      <c r="E23" s="7">
        <f t="shared" si="0"/>
        <v>0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95</v>
      </c>
      <c r="C24" s="7"/>
      <c r="D24" s="7"/>
      <c r="E24" s="7">
        <f t="shared" si="0"/>
        <v>0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97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64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24"/>
    <col min="2" max="2" width="22.1796875" style="24" customWidth="1"/>
    <col min="3" max="3" width="37" style="24" customWidth="1"/>
    <col min="4" max="5" width="11.453125" style="24" customWidth="1"/>
    <col min="6" max="6" width="14" style="24" customWidth="1"/>
    <col min="7" max="7" width="20" style="24" customWidth="1"/>
    <col min="8" max="8" width="16.453125" style="24" customWidth="1"/>
    <col min="9" max="16384" width="8.7265625" style="24"/>
  </cols>
  <sheetData>
    <row r="1" spans="1:9" ht="15" customHeight="1" x14ac:dyDescent="0.35">
      <c r="A1" s="23"/>
      <c r="B1" s="23"/>
      <c r="C1" s="23"/>
      <c r="D1" s="23"/>
      <c r="E1" s="23"/>
      <c r="F1" s="23"/>
      <c r="G1" s="23"/>
      <c r="H1" s="23"/>
    </row>
    <row r="2" spans="1:9" ht="15" customHeight="1" x14ac:dyDescent="0.35">
      <c r="A2" s="25"/>
      <c r="B2" s="25"/>
      <c r="C2" s="25"/>
      <c r="D2" s="25"/>
      <c r="E2" s="25"/>
      <c r="F2" s="25"/>
      <c r="G2" s="25"/>
      <c r="H2" s="25"/>
    </row>
    <row r="3" spans="1:9" ht="15.75" customHeight="1" x14ac:dyDescent="0.35">
      <c r="A3" s="25"/>
      <c r="B3" s="188" t="s">
        <v>146</v>
      </c>
      <c r="C3" s="188"/>
      <c r="D3" s="188"/>
      <c r="E3" s="188"/>
      <c r="F3" s="188"/>
      <c r="G3" s="188"/>
      <c r="H3" s="188"/>
    </row>
    <row r="4" spans="1:9" x14ac:dyDescent="0.35">
      <c r="A4" s="25"/>
      <c r="B4" s="26" t="s">
        <v>147</v>
      </c>
      <c r="C4" s="26" t="s">
        <v>148</v>
      </c>
      <c r="D4" s="26" t="s">
        <v>80</v>
      </c>
      <c r="E4" s="26" t="s">
        <v>149</v>
      </c>
      <c r="F4" s="26" t="s">
        <v>156</v>
      </c>
      <c r="G4" s="26" t="s">
        <v>157</v>
      </c>
      <c r="H4" s="26" t="s">
        <v>150</v>
      </c>
    </row>
    <row r="5" spans="1:9" ht="15" customHeight="1" x14ac:dyDescent="0.35">
      <c r="A5" s="25"/>
      <c r="B5" s="28" t="s">
        <v>151</v>
      </c>
      <c r="C5" s="29"/>
      <c r="D5" s="28" t="s">
        <v>152</v>
      </c>
      <c r="E5" s="28">
        <v>1106</v>
      </c>
      <c r="F5" s="30">
        <f>E5*1.6</f>
        <v>1769.6000000000001</v>
      </c>
      <c r="G5" s="30">
        <f>H5/F5</f>
        <v>31532.549728752259</v>
      </c>
      <c r="H5" s="31">
        <v>55800000</v>
      </c>
    </row>
    <row r="6" spans="1:9" x14ac:dyDescent="0.35">
      <c r="A6" s="25"/>
      <c r="B6" s="28" t="s">
        <v>151</v>
      </c>
      <c r="C6" s="32"/>
      <c r="D6" s="28"/>
      <c r="E6" s="28"/>
      <c r="F6" s="30">
        <f t="shared" ref="F6:F11" si="0">E6*1.6</f>
        <v>0</v>
      </c>
      <c r="G6" s="30" t="e">
        <f t="shared" ref="G6:G11" si="1">H6/F6</f>
        <v>#DIV/0!</v>
      </c>
      <c r="H6" s="31"/>
    </row>
    <row r="7" spans="1:9" ht="15" customHeight="1" x14ac:dyDescent="0.35">
      <c r="A7" s="25"/>
      <c r="B7" s="28" t="s">
        <v>151</v>
      </c>
      <c r="C7" s="29"/>
      <c r="D7" s="28"/>
      <c r="E7" s="28"/>
      <c r="F7" s="30">
        <f t="shared" si="0"/>
        <v>0</v>
      </c>
      <c r="G7" s="30" t="e">
        <f t="shared" si="1"/>
        <v>#DIV/0!</v>
      </c>
      <c r="H7" s="31"/>
    </row>
    <row r="8" spans="1:9" x14ac:dyDescent="0.35">
      <c r="A8" s="25"/>
      <c r="B8" s="28" t="s">
        <v>151</v>
      </c>
      <c r="C8" s="32"/>
      <c r="D8" s="28"/>
      <c r="E8" s="28"/>
      <c r="F8" s="30">
        <f t="shared" si="0"/>
        <v>0</v>
      </c>
      <c r="G8" s="30" t="e">
        <f t="shared" si="1"/>
        <v>#DIV/0!</v>
      </c>
      <c r="H8" s="31"/>
    </row>
    <row r="9" spans="1:9" ht="15" customHeight="1" x14ac:dyDescent="0.35">
      <c r="A9" s="25"/>
      <c r="B9" s="28" t="s">
        <v>151</v>
      </c>
      <c r="C9" s="32"/>
      <c r="D9" s="28"/>
      <c r="E9" s="28"/>
      <c r="F9" s="30">
        <f t="shared" si="0"/>
        <v>0</v>
      </c>
      <c r="G9" s="30" t="e">
        <f t="shared" si="1"/>
        <v>#DIV/0!</v>
      </c>
      <c r="H9" s="31"/>
    </row>
    <row r="10" spans="1:9" ht="15" customHeight="1" x14ac:dyDescent="0.35">
      <c r="A10" s="25"/>
      <c r="B10" s="28" t="s">
        <v>153</v>
      </c>
      <c r="C10" s="29"/>
      <c r="D10" s="28"/>
      <c r="E10" s="28"/>
      <c r="F10" s="30">
        <f t="shared" si="0"/>
        <v>0</v>
      </c>
      <c r="G10" s="30" t="e">
        <f t="shared" si="1"/>
        <v>#DIV/0!</v>
      </c>
      <c r="H10" s="31"/>
    </row>
    <row r="11" spans="1:9" ht="15" customHeight="1" x14ac:dyDescent="0.35">
      <c r="A11" s="25"/>
      <c r="B11" s="28" t="s">
        <v>153</v>
      </c>
      <c r="C11" s="29"/>
      <c r="D11" s="28"/>
      <c r="E11" s="28"/>
      <c r="F11" s="30">
        <f t="shared" si="0"/>
        <v>0</v>
      </c>
      <c r="G11" s="30" t="e">
        <f t="shared" si="1"/>
        <v>#DIV/0!</v>
      </c>
      <c r="H11" s="31"/>
    </row>
    <row r="12" spans="1:9" ht="15" customHeight="1" x14ac:dyDescent="0.35">
      <c r="A12" s="25"/>
      <c r="B12" s="33" t="s">
        <v>154</v>
      </c>
      <c r="C12" s="28"/>
      <c r="D12" s="28"/>
      <c r="E12" s="28"/>
      <c r="F12" s="28"/>
      <c r="G12" s="34" t="e">
        <f>AVERAGE(G5:G11)</f>
        <v>#DIV/0!</v>
      </c>
      <c r="H12" s="28"/>
    </row>
    <row r="13" spans="1:9" ht="15" customHeight="1" x14ac:dyDescent="0.35">
      <c r="A13" s="23"/>
      <c r="B13" s="33" t="s">
        <v>155</v>
      </c>
      <c r="C13" s="35"/>
      <c r="D13" s="35"/>
      <c r="E13" s="35"/>
      <c r="F13" s="36"/>
      <c r="G13" s="33"/>
      <c r="H13" s="33"/>
      <c r="I13" s="27"/>
    </row>
    <row r="14" spans="1:9" ht="15" customHeight="1" x14ac:dyDescent="0.35">
      <c r="B14" s="23"/>
      <c r="C14" s="23"/>
      <c r="D14" s="23"/>
      <c r="E14" s="23"/>
    </row>
    <row r="15" spans="1:9" ht="15" customHeight="1" x14ac:dyDescent="0.35">
      <c r="B15" s="23"/>
      <c r="C15" s="23"/>
      <c r="D15" s="23"/>
      <c r="E15" s="23"/>
    </row>
    <row r="16" spans="1:9" ht="15" customHeight="1" x14ac:dyDescent="0.35">
      <c r="B16" s="23"/>
      <c r="C16" s="23"/>
      <c r="D16" s="23"/>
      <c r="E16" s="23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2025-04-12T11:47:11Z</cp:lastPrinted>
  <dcterms:created xsi:type="dcterms:W3CDTF">2019-07-16T09:29:46Z</dcterms:created>
  <dcterms:modified xsi:type="dcterms:W3CDTF">2025-07-15T05:33:09Z</dcterms:modified>
</cp:coreProperties>
</file>