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J134" i="1"/>
  <c r="J133" i="1"/>
  <c r="J132" i="1"/>
  <c r="J131" i="1"/>
  <c r="C109" i="1"/>
  <c r="J120" i="1"/>
  <c r="J119" i="1"/>
  <c r="J118" i="1"/>
  <c r="J117" i="1"/>
  <c r="C95" i="1"/>
  <c r="J106" i="1"/>
  <c r="J105" i="1"/>
  <c r="J104" i="1"/>
  <c r="J103" i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G262" i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G251" i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G244" i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G236" i="1"/>
  <c r="D234" i="1"/>
  <c r="F234" i="1" s="1"/>
  <c r="D233" i="1"/>
  <c r="F233" i="1" s="1"/>
  <c r="D232" i="1"/>
  <c r="F232" i="1" s="1"/>
  <c r="D231" i="1"/>
  <c r="F231" i="1" s="1"/>
  <c r="D230" i="1"/>
  <c r="F230" i="1" s="1"/>
  <c r="G230" i="1"/>
  <c r="D227" i="1"/>
  <c r="F227" i="1" s="1"/>
  <c r="D226" i="1"/>
  <c r="F226" i="1" s="1"/>
  <c r="D223" i="1"/>
  <c r="F223" i="1" s="1"/>
  <c r="D224" i="1"/>
  <c r="F224" i="1" s="1"/>
  <c r="D225" i="1"/>
  <c r="F225" i="1" s="1"/>
  <c r="D222" i="1"/>
  <c r="F222" i="1" s="1"/>
  <c r="D221" i="1"/>
  <c r="F221" i="1" s="1"/>
  <c r="D220" i="1"/>
  <c r="F220" i="1" s="1"/>
  <c r="G220" i="1"/>
  <c r="D218" i="1"/>
  <c r="F218" i="1" s="1"/>
  <c r="D217" i="1"/>
  <c r="F217" i="1" s="1"/>
  <c r="D216" i="1"/>
  <c r="F216" i="1" s="1"/>
  <c r="D215" i="1"/>
  <c r="F215" i="1" s="1"/>
  <c r="D214" i="1"/>
  <c r="F214" i="1" s="1"/>
  <c r="G214" i="1"/>
  <c r="D192" i="1"/>
  <c r="F192" i="1" s="1"/>
  <c r="D191" i="1"/>
  <c r="F191" i="1" s="1"/>
  <c r="D190" i="1"/>
  <c r="F190" i="1" s="1"/>
  <c r="D189" i="1"/>
  <c r="F189" i="1" s="1"/>
  <c r="D188" i="1"/>
  <c r="F188" i="1" s="1"/>
  <c r="I192" i="1"/>
  <c r="A189" i="1"/>
  <c r="A190" i="1" s="1"/>
  <c r="A191" i="1" s="1"/>
  <c r="A192" i="1" s="1"/>
  <c r="G188" i="1"/>
  <c r="D211" i="1"/>
  <c r="F211" i="1" s="1"/>
  <c r="D210" i="1"/>
  <c r="F210" i="1" s="1"/>
  <c r="D209" i="1"/>
  <c r="F209" i="1" s="1"/>
  <c r="D208" i="1"/>
  <c r="F208" i="1" s="1"/>
  <c r="G208" i="1"/>
  <c r="D206" i="1"/>
  <c r="F206" i="1" s="1"/>
  <c r="G206" i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I185" i="1"/>
  <c r="I184" i="1"/>
  <c r="A181" i="1"/>
  <c r="A182" i="1" s="1"/>
  <c r="A183" i="1" s="1"/>
  <c r="A184" i="1" s="1"/>
  <c r="A185" i="1" s="1"/>
  <c r="G180" i="1"/>
  <c r="D203" i="1"/>
  <c r="D202" i="1"/>
  <c r="F202" i="1" s="1"/>
  <c r="D201" i="1"/>
  <c r="F201" i="1" s="1"/>
  <c r="G201" i="1"/>
  <c r="D199" i="1"/>
  <c r="I177" i="1"/>
  <c r="D177" i="1"/>
  <c r="F177" i="1" s="1"/>
  <c r="D176" i="1"/>
  <c r="D175" i="1"/>
  <c r="D174" i="1"/>
  <c r="D173" i="1"/>
  <c r="H96" i="1"/>
  <c r="G164" i="1" l="1"/>
  <c r="D108" i="1"/>
  <c r="D104" i="1"/>
  <c r="D107" i="1"/>
  <c r="D103" i="1"/>
  <c r="J99" i="1"/>
  <c r="D102" i="1"/>
  <c r="J100" i="1"/>
  <c r="C99" i="1" s="1"/>
  <c r="D99" i="1" s="1"/>
  <c r="D106" i="1"/>
  <c r="J98" i="1"/>
  <c r="J101" i="1"/>
  <c r="J102" i="1" s="1"/>
  <c r="J107" i="1" s="1"/>
  <c r="J108" i="1" s="1"/>
  <c r="C100" i="1" s="1"/>
  <c r="D105" i="1"/>
  <c r="D101" i="1"/>
  <c r="J95" i="1"/>
  <c r="J97" i="1" s="1"/>
  <c r="G161" i="1"/>
  <c r="C159" i="1"/>
  <c r="G160" i="1"/>
  <c r="G154" i="1"/>
  <c r="G155" i="1"/>
  <c r="C153" i="1"/>
  <c r="G162" i="1"/>
  <c r="G163" i="1"/>
  <c r="C160" i="1"/>
  <c r="C161" i="1"/>
  <c r="E153" i="1"/>
  <c r="E160" i="1"/>
  <c r="C162" i="1"/>
  <c r="E161" i="1"/>
  <c r="C163" i="1"/>
  <c r="E155" i="1"/>
  <c r="C164" i="1"/>
  <c r="E154" i="1"/>
  <c r="E162" i="1"/>
  <c r="E159" i="1"/>
  <c r="E163" i="1"/>
  <c r="C154" i="1"/>
  <c r="E164" i="1"/>
  <c r="C155" i="1"/>
  <c r="F203" i="1"/>
  <c r="E27" i="1"/>
  <c r="E165" i="1" l="1"/>
  <c r="E99" i="1"/>
  <c r="D100" i="1"/>
  <c r="I96" i="1" s="1"/>
  <c r="I97" i="1" s="1"/>
  <c r="G99" i="1"/>
  <c r="J96" i="1"/>
  <c r="C156" i="1"/>
  <c r="C165" i="1"/>
  <c r="E156" i="1"/>
  <c r="F199" i="1"/>
  <c r="G159" i="1" s="1"/>
  <c r="G165" i="1" s="1"/>
  <c r="G199" i="1"/>
  <c r="I95" i="1" l="1"/>
  <c r="C97" i="1" s="1"/>
  <c r="F150" i="1"/>
  <c r="F174" i="1" l="1"/>
  <c r="F175" i="1"/>
  <c r="F176" i="1"/>
  <c r="F173" i="1"/>
  <c r="G153" i="1" l="1"/>
  <c r="G156" i="1" s="1"/>
  <c r="B270" i="1"/>
  <c r="C13" i="1" l="1"/>
  <c r="B27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2" i="1"/>
  <c r="A174" i="1"/>
  <c r="A175" i="1" s="1"/>
  <c r="A176" i="1" s="1"/>
  <c r="A177" i="1" s="1"/>
  <c r="G173" i="1"/>
  <c r="J92" i="1"/>
  <c r="J91" i="1"/>
  <c r="J90" i="1"/>
  <c r="J89" i="1"/>
  <c r="C81" i="1"/>
  <c r="J78" i="1"/>
  <c r="J77" i="1"/>
  <c r="J76" i="1"/>
  <c r="J75" i="1"/>
  <c r="C67" i="1"/>
  <c r="D52" i="1"/>
  <c r="G47" i="1"/>
  <c r="C47" i="1"/>
  <c r="E40" i="1"/>
  <c r="E41" i="1" s="1"/>
  <c r="E24" i="1"/>
  <c r="E22" i="1"/>
  <c r="E7" i="1"/>
  <c r="E3" i="1"/>
  <c r="H68" i="1"/>
  <c r="H82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81" i="1"/>
  <c r="J85" i="1"/>
  <c r="D94" i="1"/>
  <c r="D92" i="1"/>
  <c r="D90" i="1"/>
  <c r="D88" i="1"/>
  <c r="J86" i="1"/>
  <c r="C85" i="1" s="1"/>
  <c r="J84" i="1"/>
  <c r="J87" i="1"/>
  <c r="J88" i="1" s="1"/>
  <c r="J93" i="1" s="1"/>
  <c r="J94" i="1" s="1"/>
  <c r="C86" i="1" s="1"/>
  <c r="D93" i="1"/>
  <c r="D91" i="1"/>
  <c r="D89" i="1"/>
  <c r="D87" i="1" l="1"/>
  <c r="J83" i="1"/>
  <c r="D85" i="1"/>
  <c r="J82" i="1" s="1"/>
  <c r="D73" i="1"/>
  <c r="J69" i="1"/>
  <c r="E71" i="1"/>
  <c r="D72" i="1"/>
  <c r="G71" i="1"/>
  <c r="D65" i="1" s="1"/>
  <c r="D71" i="1"/>
  <c r="E85" i="1"/>
  <c r="D86" i="1"/>
  <c r="G85" i="1"/>
  <c r="H124" i="1"/>
  <c r="J128" i="1" l="1"/>
  <c r="C127" i="1" s="1"/>
  <c r="D127" i="1" s="1"/>
  <c r="J126" i="1"/>
  <c r="D136" i="1"/>
  <c r="D132" i="1"/>
  <c r="D135" i="1"/>
  <c r="D131" i="1"/>
  <c r="J127" i="1"/>
  <c r="D134" i="1"/>
  <c r="D130" i="1"/>
  <c r="D133" i="1"/>
  <c r="J129" i="1"/>
  <c r="J130" i="1" s="1"/>
  <c r="J135" i="1" s="1"/>
  <c r="J68" i="1"/>
  <c r="I82" i="1"/>
  <c r="I68" i="1"/>
  <c r="F66" i="1"/>
  <c r="D66" i="1"/>
  <c r="H110" i="1"/>
  <c r="J136" i="1" l="1"/>
  <c r="E127" i="1" s="1"/>
  <c r="D128" i="1"/>
  <c r="G127" i="1"/>
  <c r="J114" i="1"/>
  <c r="C113" i="1" s="1"/>
  <c r="D113" i="1" s="1"/>
  <c r="J112" i="1"/>
  <c r="D122" i="1"/>
  <c r="D118" i="1"/>
  <c r="D121" i="1"/>
  <c r="D117" i="1"/>
  <c r="J113" i="1"/>
  <c r="D120" i="1"/>
  <c r="D116" i="1"/>
  <c r="J115" i="1"/>
  <c r="J116" i="1" s="1"/>
  <c r="J121" i="1" s="1"/>
  <c r="J122" i="1" s="1"/>
  <c r="C114" i="1" s="1"/>
  <c r="D119" i="1"/>
  <c r="D115" i="1"/>
  <c r="J109" i="1"/>
  <c r="J111" i="1" s="1"/>
  <c r="I83" i="1"/>
  <c r="I81" i="1" s="1"/>
  <c r="C83" i="1" s="1"/>
  <c r="I69" i="1"/>
  <c r="I67" i="1" s="1"/>
  <c r="C69" i="1" s="1"/>
  <c r="J124" i="1" l="1"/>
  <c r="J123" i="1"/>
  <c r="J125" i="1" s="1"/>
  <c r="D129" i="1"/>
  <c r="I124" i="1" s="1"/>
  <c r="E113" i="1"/>
  <c r="D114" i="1"/>
  <c r="I110" i="1" s="1"/>
  <c r="I111" i="1" s="1"/>
  <c r="G113" i="1"/>
  <c r="J110" i="1"/>
  <c r="I125" i="1" l="1"/>
  <c r="I123" i="1" s="1"/>
  <c r="C125" i="1" s="1"/>
  <c r="I109" i="1"/>
  <c r="C111" i="1" s="1"/>
</calcChain>
</file>

<file path=xl/sharedStrings.xml><?xml version="1.0" encoding="utf-8"?>
<sst xmlns="http://schemas.openxmlformats.org/spreadsheetml/2006/main" count="519" uniqueCount="244">
  <si>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</si>
  <si>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</si>
  <si>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</si>
  <si>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</si>
  <si>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</si>
  <si>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</si>
  <si>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</si>
  <si>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</si>
  <si>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</si>
  <si>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</si>
  <si>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</si>
  <si>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</si>
  <si>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</si>
  <si>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</si>
  <si>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</si>
  <si>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</si>
  <si>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</si>
  <si>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</si>
  <si>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</si>
  <si>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</si>
  <si>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</si>
  <si>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</si>
  <si>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</si>
  <si>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</si>
  <si>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</si>
  <si>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</si>
  <si>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</si>
  <si>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</si>
  <si>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</si>
  <si>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</si>
  <si>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</si>
  <si>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</si>
  <si>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</si>
  <si>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</si>
  <si>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</si>
  <si>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</si>
  <si>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</si>
  <si>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</si>
  <si>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</si>
  <si>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</si>
  <si>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</si>
  <si>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</si>
  <si>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</si>
  <si>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</si>
  <si>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</si>
  <si>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</si>
  <si>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</si>
  <si>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</si>
  <si>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</si>
  <si>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</si>
  <si>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</si>
  <si>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</si>
  <si>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</si>
  <si>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</si>
  <si>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</si>
  <si>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</si>
  <si>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</si>
  <si>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</si>
  <si>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</si>
  <si>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</si>
  <si>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</si>
  <si>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</si>
  <si>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</si>
  <si>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</si>
  <si>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</si>
  <si>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</si>
  <si>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</si>
  <si>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</si>
  <si>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</si>
  <si>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</si>
  <si>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</si>
  <si>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</si>
  <si>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</si>
  <si>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</si>
  <si>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</si>
  <si>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</si>
  <si>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</si>
  <si>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</si>
  <si>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</si>
  <si>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</si>
  <si>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</si>
  <si>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</si>
  <si>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</si>
  <si>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</si>
  <si>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</si>
  <si>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</si>
  <si>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</si>
  <si>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</si>
  <si>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</si>
  <si>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</si>
  <si>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</si>
  <si>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</si>
  <si>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</si>
  <si>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</si>
  <si>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</si>
  <si>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</si>
  <si>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</si>
  <si>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</si>
  <si>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</si>
  <si>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</si>
  <si>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</si>
  <si>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</si>
  <si>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</si>
  <si>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</si>
  <si>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</si>
  <si>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</si>
  <si>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</si>
  <si>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</si>
  <si>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</si>
  <si>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</si>
  <si>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</si>
  <si>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</si>
  <si>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</si>
  <si>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</si>
  <si>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</si>
  <si>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</si>
  <si>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</si>
  <si>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</si>
  <si>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</si>
  <si>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</si>
  <si>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</si>
  <si>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</si>
  <si>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</si>
  <si>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</si>
  <si>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</si>
  <si>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</si>
  <si>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</si>
  <si>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</si>
  <si>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</si>
  <si>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</si>
  <si>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</si>
  <si>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</si>
  <si>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</si>
  <si>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</si>
  <si>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</si>
  <si>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</si>
  <si>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</si>
  <si>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</si>
  <si>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</si>
  <si>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</si>
  <si>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</si>
  <si>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</si>
  <si>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</si>
  <si>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</si>
  <si>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</si>
  <si>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</si>
  <si>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</si>
  <si>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</si>
  <si>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</si>
  <si>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</si>
  <si>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</si>
  <si>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</si>
  <si>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</si>
  <si>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</si>
  <si>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</si>
  <si>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</si>
  <si>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</si>
  <si>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</si>
  <si>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</si>
  <si>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</si>
  <si>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</si>
  <si>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</si>
  <si>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</si>
  <si>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</si>
  <si>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</si>
  <si>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</si>
  <si>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</si>
  <si>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</si>
  <si>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</si>
  <si>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</si>
  <si>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Building No. 1</t>
  </si>
  <si>
    <t>Wing A (Type - 1)</t>
  </si>
  <si>
    <t>Ground Floor for Commercial &amp; Parking</t>
  </si>
  <si>
    <t>Shop</t>
  </si>
  <si>
    <t>Ground Floor for Residential &amp; Parking</t>
  </si>
  <si>
    <t>1BHK</t>
  </si>
  <si>
    <t>2BHK</t>
  </si>
  <si>
    <t>Wing B (Type - 2)</t>
  </si>
  <si>
    <t>1st to 4th Floor for Residential</t>
  </si>
  <si>
    <t>1RK</t>
  </si>
  <si>
    <t>Wing C (Type - 3)</t>
  </si>
  <si>
    <t>Wing D (Type - 4)</t>
  </si>
  <si>
    <t>Wing E (Type - 5)</t>
  </si>
  <si>
    <t>1st &amp; 2nd Floor for Residential</t>
  </si>
  <si>
    <t>Building No. 2</t>
  </si>
  <si>
    <t>Wing A (Type - 6)</t>
  </si>
  <si>
    <t>Wing A</t>
  </si>
  <si>
    <t>Wing B</t>
  </si>
  <si>
    <t>Wing C</t>
  </si>
  <si>
    <t>Wing D</t>
  </si>
  <si>
    <t>Wing E</t>
  </si>
  <si>
    <t>Axis Goregaon</t>
  </si>
  <si>
    <t>Parasnath Corner</t>
  </si>
  <si>
    <t>7709011112/774090078/8411885552</t>
  </si>
  <si>
    <t>Building No. 1 (Wing A to E)
Building No. 2 (Wing A)</t>
  </si>
  <si>
    <t>Approved Plans, Sale Plans.</t>
  </si>
  <si>
    <t>P99000018754</t>
  </si>
  <si>
    <t>Umroli</t>
  </si>
  <si>
    <t>Palghar</t>
  </si>
  <si>
    <t>Umroli east</t>
  </si>
  <si>
    <t>Internal road</t>
  </si>
  <si>
    <t>Parasnath Nagari</t>
  </si>
  <si>
    <t>0.6 KM from Umroli Railway Station</t>
  </si>
  <si>
    <t>Padghe road</t>
  </si>
  <si>
    <t>Parasnath garden</t>
  </si>
  <si>
    <t>Yasuvansi Complex</t>
  </si>
  <si>
    <t>Open plot</t>
  </si>
  <si>
    <t>6 Wings</t>
  </si>
  <si>
    <t>Office Of District Collector, Palghar</t>
  </si>
  <si>
    <t>Mahsul/K-1/Mej-1/BSP/SR/CR/233/17</t>
  </si>
  <si>
    <t>Flats - 124, Shops - 16</t>
  </si>
  <si>
    <t>Building No. 1 (Wing A to D) = G/St + 1st to 4th Floor
Building No. 1 (Wing E) = G/St + 1st to 2nd Floor
Building No. 2 (Wing A) = Ground Floor.</t>
  </si>
  <si>
    <t>Building No. 1 (Wing C) = G/St + 1st to 4th Floor</t>
  </si>
  <si>
    <t>Building No. 1 (Wing D) = G/St + 1st to 4th Floor</t>
  </si>
  <si>
    <t>Building No. 1 (Wing E) = G/St + 1st to 4th Floor</t>
  </si>
  <si>
    <t>Building No. 2 (Wing A) = G/St + 1st to 4th Floor</t>
  </si>
  <si>
    <t>Building No. 1 (Wing A &amp; B) = G/St + 1st to 4th Floor</t>
  </si>
  <si>
    <t>We considered Gross carpet area = Net carpet + Balcony + C.B Area.</t>
  </si>
  <si>
    <t>On Site, we meet Mr.Rakesh (7498195988).</t>
  </si>
  <si>
    <t xml:space="preserve">Rate sheet </t>
  </si>
  <si>
    <t>Visitor</t>
  </si>
  <si>
    <t>shop - 5500</t>
  </si>
  <si>
    <t>flat - 3200</t>
  </si>
  <si>
    <t>Mahsul/Kash-1/T-1/NAP/SR-233/2017</t>
  </si>
  <si>
    <t>No. of Shops</t>
  </si>
  <si>
    <t>No. of Flats</t>
  </si>
  <si>
    <t>M/s.Shreenath Enterprises</t>
  </si>
  <si>
    <t>Gut No</t>
  </si>
  <si>
    <t>92, 168 &amp; 169, Hissa No. 1</t>
  </si>
  <si>
    <t xml:space="preserve">1.Vitrified tiles flooring 2. Granite Kitchen Platform  3. Decorative Enternace  etc. 
</t>
  </si>
  <si>
    <t>3200 to 3500 &amp; OC</t>
  </si>
  <si>
    <t xml:space="preserve">Nikhil </t>
  </si>
  <si>
    <t>Development Charges, Water, Electricity</t>
  </si>
  <si>
    <t>Cost sheet</t>
  </si>
  <si>
    <t>Location Link</t>
  </si>
  <si>
    <t>https://goo.gl/maps/RenwKGZCgmsCjgrH7</t>
  </si>
  <si>
    <t>As per RERA - 31/03/2026</t>
  </si>
  <si>
    <t xml:space="preserve">Office No. 1031, Wing J, Akshar Business Park, Plot No. 03 Sector 25, Near APMC Market, Vashi, 
                            Navi Mumbai, Maharashtra 400703 TEL: 022-46090378/79/80                                                                       
E mail : vsjcapf@gmail.com. Web site : www.vsjadon.com       
</t>
  </si>
  <si>
    <t xml:space="preserve">As per site visit dtd. 27/07/2024, Around 5 to 10 labours found in Wing E only.
</t>
  </si>
  <si>
    <t>Since the project has received first CC on 25/06/2018, But still construction work is pending</t>
  </si>
  <si>
    <t>Pooja</t>
  </si>
  <si>
    <t>Please provide revised CC for Bldg No.1 (Wing E).</t>
  </si>
  <si>
    <t xml:space="preserve">Building No. 1 (Wing A to E) =  Construction Work is in process at the time of visit (Slow Speed).
Building No.2 (Wing A) = Construction work is same as last visit (10/02/2023).
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</si>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</sst>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29" xfId="0" applyFont="1" applyBorder="1"/>
    <xf numFmtId="0" fontId="7" fillId="2" borderId="0" xfId="1" applyFont="1" applyFill="1"/>
    <xf numFmtId="14" fontId="7" fillId="2" borderId="0" xfId="1" applyNumberFormat="1" applyFont="1" applyFill="1"/>
    <xf numFmtId="0" fontId="10" fillId="0" borderId="0" xfId="1" applyFont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4" fillId="0" borderId="14" xfId="0" applyFont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1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7" fillId="0" borderId="7" xfId="10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3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335</xdr:row>
      <xdr:rowOff>104775</xdr:rowOff>
    </xdr:from>
    <xdr:to>
      <xdr:col>6</xdr:col>
      <xdr:colOff>764875</xdr:colOff>
      <xdr:row>352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70018275"/>
          <a:ext cx="4898725" cy="34747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354</xdr:row>
      <xdr:rowOff>174098</xdr:rowOff>
    </xdr:from>
    <xdr:to>
      <xdr:col>6</xdr:col>
      <xdr:colOff>765637</xdr:colOff>
      <xdr:row>372</xdr:row>
      <xdr:rowOff>11791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73888073"/>
          <a:ext cx="4899487" cy="34381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292</xdr:row>
      <xdr:rowOff>0</xdr:rowOff>
    </xdr:from>
    <xdr:to>
      <xdr:col>9</xdr:col>
      <xdr:colOff>763467</xdr:colOff>
      <xdr:row>293</xdr:row>
      <xdr:rowOff>167543</xdr:rowOff>
    </xdr:to>
    <xdr:sp macro="" textlink="">
      <xdr:nvSpPr>
        <xdr:cNvPr id="69" name="TextBox 12">
          <a:extLst>
            <a:ext uri="{FF2B5EF4-FFF2-40B4-BE49-F238E27FC236}">
              <a16:creationId xmlns:a16="http://schemas.microsoft.com/office/drawing/2014/main" id="{75246F93-42B6-43F4-89B1-3109AA249C3B}"/>
            </a:ext>
          </a:extLst>
        </xdr:cNvPr>
        <xdr:cNvSpPr txBox="1"/>
      </xdr:nvSpPr>
      <xdr:spPr>
        <a:xfrm>
          <a:off x="8070850" y="61468000"/>
          <a:ext cx="763467" cy="364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IN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Wing </a:t>
          </a:r>
          <a:endParaRPr lang="en-IN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292</xdr:row>
      <xdr:rowOff>63500</xdr:rowOff>
    </xdr:from>
    <xdr:to>
      <xdr:col>7</xdr:col>
      <xdr:colOff>822273</xdr:colOff>
      <xdr:row>332</xdr:row>
      <xdr:rowOff>95250</xdr:rowOff>
    </xdr:to>
    <xdr:grpSp>
      <xdr:nvGrpSpPr>
        <xdr:cNvPr id="4" name="Group 3"/>
        <xdr:cNvGrpSpPr/>
      </xdr:nvGrpSpPr>
      <xdr:grpSpPr>
        <a:xfrm>
          <a:off x="114300" y="61512450"/>
          <a:ext cx="6689673" cy="7899400"/>
          <a:chOff x="114300" y="61512450"/>
          <a:chExt cx="6689673" cy="7899400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9558" y="68513807"/>
            <a:ext cx="809156" cy="8980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5714" y="66768788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9328" y="68513807"/>
            <a:ext cx="809156" cy="8980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9507" y="64337469"/>
            <a:ext cx="2022891" cy="23248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66768788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616" y="615124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2062" y="615124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9508" y="615124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615" y="64337469"/>
            <a:ext cx="2022891" cy="23248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2062" y="64337469"/>
            <a:ext cx="2022891" cy="23248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0007" y="66768788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441728</xdr:colOff>
      <xdr:row>33</xdr:row>
      <xdr:rowOff>157129</xdr:rowOff>
    </xdr:from>
    <xdr:to>
      <xdr:col>6</xdr:col>
      <xdr:colOff>215408</xdr:colOff>
      <xdr:row>52</xdr:row>
      <xdr:rowOff>137629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728" y="6454835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263556</xdr:colOff>
      <xdr:row>13</xdr:row>
      <xdr:rowOff>145676</xdr:rowOff>
    </xdr:from>
    <xdr:to>
      <xdr:col>15</xdr:col>
      <xdr:colOff>156064</xdr:colOff>
      <xdr:row>32</xdr:row>
      <xdr:rowOff>126176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4821" y="263338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enwKGZCgmsCjgrH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34"/>
  <sheetViews>
    <sheetView tabSelected="1" view="pageBreakPreview" topLeftCell="A115" zoomScaleNormal="100" zoomScaleSheetLayoutView="100" workbookViewId="0">
      <selection activeCell="C104" sqref="C104"/>
    </sheetView>
  </sheetViews>
  <sheetFormatPr defaultColWidth="9.2695312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2695312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7265625" style="19" customWidth="1"/>
    <col min="14" max="14" width="12.54296875" style="19" customWidth="1"/>
    <col min="15" max="15" width="9.7265625" style="19" customWidth="1"/>
    <col min="16" max="16" width="11.7265625" style="19" customWidth="1"/>
    <col min="17" max="247" width="9.26953125" style="19"/>
    <col min="248" max="248" width="8.7265625" style="19" customWidth="1"/>
    <col min="249" max="249" width="9.7265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7265625" style="19" customWidth="1"/>
    <col min="256" max="256" width="11.26953125" style="19" customWidth="1"/>
    <col min="257" max="257" width="2.7265625" style="19" customWidth="1"/>
    <col min="258" max="258" width="3.54296875" style="19" customWidth="1"/>
    <col min="259" max="503" width="9.26953125" style="19"/>
    <col min="504" max="504" width="8.7265625" style="19" customWidth="1"/>
    <col min="505" max="505" width="9.7265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7265625" style="19" customWidth="1"/>
    <col min="512" max="512" width="11.26953125" style="19" customWidth="1"/>
    <col min="513" max="513" width="2.7265625" style="19" customWidth="1"/>
    <col min="514" max="514" width="3.54296875" style="19" customWidth="1"/>
    <col min="515" max="759" width="9.26953125" style="19"/>
    <col min="760" max="760" width="8.7265625" style="19" customWidth="1"/>
    <col min="761" max="761" width="9.7265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7265625" style="19" customWidth="1"/>
    <col min="768" max="768" width="11.26953125" style="19" customWidth="1"/>
    <col min="769" max="769" width="2.7265625" style="19" customWidth="1"/>
    <col min="770" max="770" width="3.54296875" style="19" customWidth="1"/>
    <col min="771" max="1015" width="9.26953125" style="19"/>
    <col min="1016" max="1016" width="8.7265625" style="19" customWidth="1"/>
    <col min="1017" max="1017" width="9.7265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7265625" style="19" customWidth="1"/>
    <col min="1024" max="1024" width="11.26953125" style="19" customWidth="1"/>
    <col min="1025" max="1025" width="2.7265625" style="19" customWidth="1"/>
    <col min="1026" max="1026" width="3.54296875" style="19" customWidth="1"/>
    <col min="1027" max="1271" width="9.26953125" style="19"/>
    <col min="1272" max="1272" width="8.7265625" style="19" customWidth="1"/>
    <col min="1273" max="1273" width="9.7265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7265625" style="19" customWidth="1"/>
    <col min="1280" max="1280" width="11.26953125" style="19" customWidth="1"/>
    <col min="1281" max="1281" width="2.7265625" style="19" customWidth="1"/>
    <col min="1282" max="1282" width="3.54296875" style="19" customWidth="1"/>
    <col min="1283" max="1527" width="9.26953125" style="19"/>
    <col min="1528" max="1528" width="8.7265625" style="19" customWidth="1"/>
    <col min="1529" max="1529" width="9.7265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7265625" style="19" customWidth="1"/>
    <col min="1536" max="1536" width="11.26953125" style="19" customWidth="1"/>
    <col min="1537" max="1537" width="2.7265625" style="19" customWidth="1"/>
    <col min="1538" max="1538" width="3.54296875" style="19" customWidth="1"/>
    <col min="1539" max="1783" width="9.26953125" style="19"/>
    <col min="1784" max="1784" width="8.7265625" style="19" customWidth="1"/>
    <col min="1785" max="1785" width="9.7265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7265625" style="19" customWidth="1"/>
    <col min="1792" max="1792" width="11.26953125" style="19" customWidth="1"/>
    <col min="1793" max="1793" width="2.7265625" style="19" customWidth="1"/>
    <col min="1794" max="1794" width="3.54296875" style="19" customWidth="1"/>
    <col min="1795" max="2039" width="9.26953125" style="19"/>
    <col min="2040" max="2040" width="8.7265625" style="19" customWidth="1"/>
    <col min="2041" max="2041" width="9.7265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7265625" style="19" customWidth="1"/>
    <col min="2048" max="2048" width="11.26953125" style="19" customWidth="1"/>
    <col min="2049" max="2049" width="2.7265625" style="19" customWidth="1"/>
    <col min="2050" max="2050" width="3.54296875" style="19" customWidth="1"/>
    <col min="2051" max="2295" width="9.26953125" style="19"/>
    <col min="2296" max="2296" width="8.7265625" style="19" customWidth="1"/>
    <col min="2297" max="2297" width="9.7265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7265625" style="19" customWidth="1"/>
    <col min="2304" max="2304" width="11.26953125" style="19" customWidth="1"/>
    <col min="2305" max="2305" width="2.7265625" style="19" customWidth="1"/>
    <col min="2306" max="2306" width="3.54296875" style="19" customWidth="1"/>
    <col min="2307" max="2551" width="9.26953125" style="19"/>
    <col min="2552" max="2552" width="8.7265625" style="19" customWidth="1"/>
    <col min="2553" max="2553" width="9.7265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7265625" style="19" customWidth="1"/>
    <col min="2560" max="2560" width="11.26953125" style="19" customWidth="1"/>
    <col min="2561" max="2561" width="2.7265625" style="19" customWidth="1"/>
    <col min="2562" max="2562" width="3.54296875" style="19" customWidth="1"/>
    <col min="2563" max="2807" width="9.26953125" style="19"/>
    <col min="2808" max="2808" width="8.7265625" style="19" customWidth="1"/>
    <col min="2809" max="2809" width="9.7265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7265625" style="19" customWidth="1"/>
    <col min="2816" max="2816" width="11.26953125" style="19" customWidth="1"/>
    <col min="2817" max="2817" width="2.7265625" style="19" customWidth="1"/>
    <col min="2818" max="2818" width="3.54296875" style="19" customWidth="1"/>
    <col min="2819" max="3063" width="9.26953125" style="19"/>
    <col min="3064" max="3064" width="8.7265625" style="19" customWidth="1"/>
    <col min="3065" max="3065" width="9.7265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7265625" style="19" customWidth="1"/>
    <col min="3072" max="3072" width="11.26953125" style="19" customWidth="1"/>
    <col min="3073" max="3073" width="2.7265625" style="19" customWidth="1"/>
    <col min="3074" max="3074" width="3.54296875" style="19" customWidth="1"/>
    <col min="3075" max="3319" width="9.26953125" style="19"/>
    <col min="3320" max="3320" width="8.7265625" style="19" customWidth="1"/>
    <col min="3321" max="3321" width="9.7265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7265625" style="19" customWidth="1"/>
    <col min="3328" max="3328" width="11.26953125" style="19" customWidth="1"/>
    <col min="3329" max="3329" width="2.7265625" style="19" customWidth="1"/>
    <col min="3330" max="3330" width="3.54296875" style="19" customWidth="1"/>
    <col min="3331" max="3575" width="9.26953125" style="19"/>
    <col min="3576" max="3576" width="8.7265625" style="19" customWidth="1"/>
    <col min="3577" max="3577" width="9.7265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7265625" style="19" customWidth="1"/>
    <col min="3584" max="3584" width="11.26953125" style="19" customWidth="1"/>
    <col min="3585" max="3585" width="2.7265625" style="19" customWidth="1"/>
    <col min="3586" max="3586" width="3.54296875" style="19" customWidth="1"/>
    <col min="3587" max="3831" width="9.26953125" style="19"/>
    <col min="3832" max="3832" width="8.7265625" style="19" customWidth="1"/>
    <col min="3833" max="3833" width="9.7265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7265625" style="19" customWidth="1"/>
    <col min="3840" max="3840" width="11.26953125" style="19" customWidth="1"/>
    <col min="3841" max="3841" width="2.7265625" style="19" customWidth="1"/>
    <col min="3842" max="3842" width="3.54296875" style="19" customWidth="1"/>
    <col min="3843" max="4087" width="9.26953125" style="19"/>
    <col min="4088" max="4088" width="8.7265625" style="19" customWidth="1"/>
    <col min="4089" max="4089" width="9.7265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7265625" style="19" customWidth="1"/>
    <col min="4096" max="4096" width="11.26953125" style="19" customWidth="1"/>
    <col min="4097" max="4097" width="2.7265625" style="19" customWidth="1"/>
    <col min="4098" max="4098" width="3.54296875" style="19" customWidth="1"/>
    <col min="4099" max="4343" width="9.26953125" style="19"/>
    <col min="4344" max="4344" width="8.7265625" style="19" customWidth="1"/>
    <col min="4345" max="4345" width="9.7265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7265625" style="19" customWidth="1"/>
    <col min="4352" max="4352" width="11.26953125" style="19" customWidth="1"/>
    <col min="4353" max="4353" width="2.7265625" style="19" customWidth="1"/>
    <col min="4354" max="4354" width="3.54296875" style="19" customWidth="1"/>
    <col min="4355" max="4599" width="9.26953125" style="19"/>
    <col min="4600" max="4600" width="8.7265625" style="19" customWidth="1"/>
    <col min="4601" max="4601" width="9.7265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7265625" style="19" customWidth="1"/>
    <col min="4608" max="4608" width="11.26953125" style="19" customWidth="1"/>
    <col min="4609" max="4609" width="2.7265625" style="19" customWidth="1"/>
    <col min="4610" max="4610" width="3.54296875" style="19" customWidth="1"/>
    <col min="4611" max="4855" width="9.26953125" style="19"/>
    <col min="4856" max="4856" width="8.7265625" style="19" customWidth="1"/>
    <col min="4857" max="4857" width="9.7265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7265625" style="19" customWidth="1"/>
    <col min="4864" max="4864" width="11.26953125" style="19" customWidth="1"/>
    <col min="4865" max="4865" width="2.7265625" style="19" customWidth="1"/>
    <col min="4866" max="4866" width="3.54296875" style="19" customWidth="1"/>
    <col min="4867" max="5111" width="9.26953125" style="19"/>
    <col min="5112" max="5112" width="8.7265625" style="19" customWidth="1"/>
    <col min="5113" max="5113" width="9.7265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7265625" style="19" customWidth="1"/>
    <col min="5120" max="5120" width="11.26953125" style="19" customWidth="1"/>
    <col min="5121" max="5121" width="2.7265625" style="19" customWidth="1"/>
    <col min="5122" max="5122" width="3.54296875" style="19" customWidth="1"/>
    <col min="5123" max="5367" width="9.26953125" style="19"/>
    <col min="5368" max="5368" width="8.7265625" style="19" customWidth="1"/>
    <col min="5369" max="5369" width="9.7265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7265625" style="19" customWidth="1"/>
    <col min="5376" max="5376" width="11.26953125" style="19" customWidth="1"/>
    <col min="5377" max="5377" width="2.7265625" style="19" customWidth="1"/>
    <col min="5378" max="5378" width="3.54296875" style="19" customWidth="1"/>
    <col min="5379" max="5623" width="9.26953125" style="19"/>
    <col min="5624" max="5624" width="8.7265625" style="19" customWidth="1"/>
    <col min="5625" max="5625" width="9.7265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7265625" style="19" customWidth="1"/>
    <col min="5632" max="5632" width="11.26953125" style="19" customWidth="1"/>
    <col min="5633" max="5633" width="2.7265625" style="19" customWidth="1"/>
    <col min="5634" max="5634" width="3.54296875" style="19" customWidth="1"/>
    <col min="5635" max="5879" width="9.26953125" style="19"/>
    <col min="5880" max="5880" width="8.7265625" style="19" customWidth="1"/>
    <col min="5881" max="5881" width="9.7265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7265625" style="19" customWidth="1"/>
    <col min="5888" max="5888" width="11.26953125" style="19" customWidth="1"/>
    <col min="5889" max="5889" width="2.7265625" style="19" customWidth="1"/>
    <col min="5890" max="5890" width="3.54296875" style="19" customWidth="1"/>
    <col min="5891" max="6135" width="9.26953125" style="19"/>
    <col min="6136" max="6136" width="8.7265625" style="19" customWidth="1"/>
    <col min="6137" max="6137" width="9.7265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7265625" style="19" customWidth="1"/>
    <col min="6144" max="6144" width="11.26953125" style="19" customWidth="1"/>
    <col min="6145" max="6145" width="2.7265625" style="19" customWidth="1"/>
    <col min="6146" max="6146" width="3.54296875" style="19" customWidth="1"/>
    <col min="6147" max="6391" width="9.26953125" style="19"/>
    <col min="6392" max="6392" width="8.7265625" style="19" customWidth="1"/>
    <col min="6393" max="6393" width="9.7265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7265625" style="19" customWidth="1"/>
    <col min="6400" max="6400" width="11.26953125" style="19" customWidth="1"/>
    <col min="6401" max="6401" width="2.7265625" style="19" customWidth="1"/>
    <col min="6402" max="6402" width="3.54296875" style="19" customWidth="1"/>
    <col min="6403" max="6647" width="9.26953125" style="19"/>
    <col min="6648" max="6648" width="8.7265625" style="19" customWidth="1"/>
    <col min="6649" max="6649" width="9.7265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7265625" style="19" customWidth="1"/>
    <col min="6656" max="6656" width="11.26953125" style="19" customWidth="1"/>
    <col min="6657" max="6657" width="2.7265625" style="19" customWidth="1"/>
    <col min="6658" max="6658" width="3.54296875" style="19" customWidth="1"/>
    <col min="6659" max="6903" width="9.26953125" style="19"/>
    <col min="6904" max="6904" width="8.7265625" style="19" customWidth="1"/>
    <col min="6905" max="6905" width="9.7265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7265625" style="19" customWidth="1"/>
    <col min="6912" max="6912" width="11.26953125" style="19" customWidth="1"/>
    <col min="6913" max="6913" width="2.7265625" style="19" customWidth="1"/>
    <col min="6914" max="6914" width="3.54296875" style="19" customWidth="1"/>
    <col min="6915" max="7159" width="9.26953125" style="19"/>
    <col min="7160" max="7160" width="8.7265625" style="19" customWidth="1"/>
    <col min="7161" max="7161" width="9.7265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7265625" style="19" customWidth="1"/>
    <col min="7168" max="7168" width="11.26953125" style="19" customWidth="1"/>
    <col min="7169" max="7169" width="2.7265625" style="19" customWidth="1"/>
    <col min="7170" max="7170" width="3.54296875" style="19" customWidth="1"/>
    <col min="7171" max="7415" width="9.26953125" style="19"/>
    <col min="7416" max="7416" width="8.7265625" style="19" customWidth="1"/>
    <col min="7417" max="7417" width="9.7265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7265625" style="19" customWidth="1"/>
    <col min="7424" max="7424" width="11.26953125" style="19" customWidth="1"/>
    <col min="7425" max="7425" width="2.7265625" style="19" customWidth="1"/>
    <col min="7426" max="7426" width="3.54296875" style="19" customWidth="1"/>
    <col min="7427" max="7671" width="9.26953125" style="19"/>
    <col min="7672" max="7672" width="8.7265625" style="19" customWidth="1"/>
    <col min="7673" max="7673" width="9.7265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7265625" style="19" customWidth="1"/>
    <col min="7680" max="7680" width="11.26953125" style="19" customWidth="1"/>
    <col min="7681" max="7681" width="2.7265625" style="19" customWidth="1"/>
    <col min="7682" max="7682" width="3.54296875" style="19" customWidth="1"/>
    <col min="7683" max="7927" width="9.26953125" style="19"/>
    <col min="7928" max="7928" width="8.7265625" style="19" customWidth="1"/>
    <col min="7929" max="7929" width="9.7265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7265625" style="19" customWidth="1"/>
    <col min="7936" max="7936" width="11.26953125" style="19" customWidth="1"/>
    <col min="7937" max="7937" width="2.7265625" style="19" customWidth="1"/>
    <col min="7938" max="7938" width="3.54296875" style="19" customWidth="1"/>
    <col min="7939" max="8183" width="9.26953125" style="19"/>
    <col min="8184" max="8184" width="8.7265625" style="19" customWidth="1"/>
    <col min="8185" max="8185" width="9.7265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7265625" style="19" customWidth="1"/>
    <col min="8192" max="8192" width="11.26953125" style="19" customWidth="1"/>
    <col min="8193" max="8193" width="2.7265625" style="19" customWidth="1"/>
    <col min="8194" max="8194" width="3.54296875" style="19" customWidth="1"/>
    <col min="8195" max="8439" width="9.26953125" style="19"/>
    <col min="8440" max="8440" width="8.7265625" style="19" customWidth="1"/>
    <col min="8441" max="8441" width="9.7265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7265625" style="19" customWidth="1"/>
    <col min="8448" max="8448" width="11.26953125" style="19" customWidth="1"/>
    <col min="8449" max="8449" width="2.7265625" style="19" customWidth="1"/>
    <col min="8450" max="8450" width="3.54296875" style="19" customWidth="1"/>
    <col min="8451" max="8695" width="9.26953125" style="19"/>
    <col min="8696" max="8696" width="8.7265625" style="19" customWidth="1"/>
    <col min="8697" max="8697" width="9.7265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7265625" style="19" customWidth="1"/>
    <col min="8704" max="8704" width="11.26953125" style="19" customWidth="1"/>
    <col min="8705" max="8705" width="2.7265625" style="19" customWidth="1"/>
    <col min="8706" max="8706" width="3.54296875" style="19" customWidth="1"/>
    <col min="8707" max="8951" width="9.26953125" style="19"/>
    <col min="8952" max="8952" width="8.7265625" style="19" customWidth="1"/>
    <col min="8953" max="8953" width="9.7265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7265625" style="19" customWidth="1"/>
    <col min="8960" max="8960" width="11.26953125" style="19" customWidth="1"/>
    <col min="8961" max="8961" width="2.7265625" style="19" customWidth="1"/>
    <col min="8962" max="8962" width="3.54296875" style="19" customWidth="1"/>
    <col min="8963" max="9207" width="9.26953125" style="19"/>
    <col min="9208" max="9208" width="8.7265625" style="19" customWidth="1"/>
    <col min="9209" max="9209" width="9.7265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7265625" style="19" customWidth="1"/>
    <col min="9216" max="9216" width="11.26953125" style="19" customWidth="1"/>
    <col min="9217" max="9217" width="2.7265625" style="19" customWidth="1"/>
    <col min="9218" max="9218" width="3.54296875" style="19" customWidth="1"/>
    <col min="9219" max="9463" width="9.26953125" style="19"/>
    <col min="9464" max="9464" width="8.7265625" style="19" customWidth="1"/>
    <col min="9465" max="9465" width="9.7265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7265625" style="19" customWidth="1"/>
    <col min="9472" max="9472" width="11.26953125" style="19" customWidth="1"/>
    <col min="9473" max="9473" width="2.7265625" style="19" customWidth="1"/>
    <col min="9474" max="9474" width="3.54296875" style="19" customWidth="1"/>
    <col min="9475" max="9719" width="9.26953125" style="19"/>
    <col min="9720" max="9720" width="8.7265625" style="19" customWidth="1"/>
    <col min="9721" max="9721" width="9.7265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7265625" style="19" customWidth="1"/>
    <col min="9728" max="9728" width="11.26953125" style="19" customWidth="1"/>
    <col min="9729" max="9729" width="2.7265625" style="19" customWidth="1"/>
    <col min="9730" max="9730" width="3.54296875" style="19" customWidth="1"/>
    <col min="9731" max="9975" width="9.26953125" style="19"/>
    <col min="9976" max="9976" width="8.7265625" style="19" customWidth="1"/>
    <col min="9977" max="9977" width="9.7265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7265625" style="19" customWidth="1"/>
    <col min="9984" max="9984" width="11.26953125" style="19" customWidth="1"/>
    <col min="9985" max="9985" width="2.7265625" style="19" customWidth="1"/>
    <col min="9986" max="9986" width="3.54296875" style="19" customWidth="1"/>
    <col min="9987" max="10231" width="9.26953125" style="19"/>
    <col min="10232" max="10232" width="8.7265625" style="19" customWidth="1"/>
    <col min="10233" max="10233" width="9.7265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7265625" style="19" customWidth="1"/>
    <col min="10240" max="10240" width="11.26953125" style="19" customWidth="1"/>
    <col min="10241" max="10241" width="2.7265625" style="19" customWidth="1"/>
    <col min="10242" max="10242" width="3.54296875" style="19" customWidth="1"/>
    <col min="10243" max="10487" width="9.26953125" style="19"/>
    <col min="10488" max="10488" width="8.7265625" style="19" customWidth="1"/>
    <col min="10489" max="10489" width="9.7265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7265625" style="19" customWidth="1"/>
    <col min="10496" max="10496" width="11.26953125" style="19" customWidth="1"/>
    <col min="10497" max="10497" width="2.7265625" style="19" customWidth="1"/>
    <col min="10498" max="10498" width="3.54296875" style="19" customWidth="1"/>
    <col min="10499" max="10743" width="9.26953125" style="19"/>
    <col min="10744" max="10744" width="8.7265625" style="19" customWidth="1"/>
    <col min="10745" max="10745" width="9.7265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7265625" style="19" customWidth="1"/>
    <col min="10752" max="10752" width="11.26953125" style="19" customWidth="1"/>
    <col min="10753" max="10753" width="2.7265625" style="19" customWidth="1"/>
    <col min="10754" max="10754" width="3.54296875" style="19" customWidth="1"/>
    <col min="10755" max="10999" width="9.26953125" style="19"/>
    <col min="11000" max="11000" width="8.7265625" style="19" customWidth="1"/>
    <col min="11001" max="11001" width="9.7265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7265625" style="19" customWidth="1"/>
    <col min="11008" max="11008" width="11.26953125" style="19" customWidth="1"/>
    <col min="11009" max="11009" width="2.7265625" style="19" customWidth="1"/>
    <col min="11010" max="11010" width="3.54296875" style="19" customWidth="1"/>
    <col min="11011" max="11255" width="9.26953125" style="19"/>
    <col min="11256" max="11256" width="8.7265625" style="19" customWidth="1"/>
    <col min="11257" max="11257" width="9.7265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7265625" style="19" customWidth="1"/>
    <col min="11264" max="11264" width="11.26953125" style="19" customWidth="1"/>
    <col min="11265" max="11265" width="2.7265625" style="19" customWidth="1"/>
    <col min="11266" max="11266" width="3.54296875" style="19" customWidth="1"/>
    <col min="11267" max="11511" width="9.26953125" style="19"/>
    <col min="11512" max="11512" width="8.7265625" style="19" customWidth="1"/>
    <col min="11513" max="11513" width="9.7265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7265625" style="19" customWidth="1"/>
    <col min="11520" max="11520" width="11.26953125" style="19" customWidth="1"/>
    <col min="11521" max="11521" width="2.7265625" style="19" customWidth="1"/>
    <col min="11522" max="11522" width="3.54296875" style="19" customWidth="1"/>
    <col min="11523" max="11767" width="9.26953125" style="19"/>
    <col min="11768" max="11768" width="8.7265625" style="19" customWidth="1"/>
    <col min="11769" max="11769" width="9.7265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7265625" style="19" customWidth="1"/>
    <col min="11776" max="11776" width="11.26953125" style="19" customWidth="1"/>
    <col min="11777" max="11777" width="2.7265625" style="19" customWidth="1"/>
    <col min="11778" max="11778" width="3.54296875" style="19" customWidth="1"/>
    <col min="11779" max="12023" width="9.26953125" style="19"/>
    <col min="12024" max="12024" width="8.7265625" style="19" customWidth="1"/>
    <col min="12025" max="12025" width="9.7265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7265625" style="19" customWidth="1"/>
    <col min="12032" max="12032" width="11.26953125" style="19" customWidth="1"/>
    <col min="12033" max="12033" width="2.7265625" style="19" customWidth="1"/>
    <col min="12034" max="12034" width="3.54296875" style="19" customWidth="1"/>
    <col min="12035" max="12279" width="9.26953125" style="19"/>
    <col min="12280" max="12280" width="8.7265625" style="19" customWidth="1"/>
    <col min="12281" max="12281" width="9.7265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7265625" style="19" customWidth="1"/>
    <col min="12288" max="12288" width="11.26953125" style="19" customWidth="1"/>
    <col min="12289" max="12289" width="2.7265625" style="19" customWidth="1"/>
    <col min="12290" max="12290" width="3.54296875" style="19" customWidth="1"/>
    <col min="12291" max="12535" width="9.26953125" style="19"/>
    <col min="12536" max="12536" width="8.7265625" style="19" customWidth="1"/>
    <col min="12537" max="12537" width="9.7265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7265625" style="19" customWidth="1"/>
    <col min="12544" max="12544" width="11.26953125" style="19" customWidth="1"/>
    <col min="12545" max="12545" width="2.7265625" style="19" customWidth="1"/>
    <col min="12546" max="12546" width="3.54296875" style="19" customWidth="1"/>
    <col min="12547" max="12791" width="9.26953125" style="19"/>
    <col min="12792" max="12792" width="8.7265625" style="19" customWidth="1"/>
    <col min="12793" max="12793" width="9.7265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7265625" style="19" customWidth="1"/>
    <col min="12800" max="12800" width="11.26953125" style="19" customWidth="1"/>
    <col min="12801" max="12801" width="2.7265625" style="19" customWidth="1"/>
    <col min="12802" max="12802" width="3.54296875" style="19" customWidth="1"/>
    <col min="12803" max="13047" width="9.26953125" style="19"/>
    <col min="13048" max="13048" width="8.7265625" style="19" customWidth="1"/>
    <col min="13049" max="13049" width="9.7265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7265625" style="19" customWidth="1"/>
    <col min="13056" max="13056" width="11.26953125" style="19" customWidth="1"/>
    <col min="13057" max="13057" width="2.7265625" style="19" customWidth="1"/>
    <col min="13058" max="13058" width="3.54296875" style="19" customWidth="1"/>
    <col min="13059" max="13303" width="9.26953125" style="19"/>
    <col min="13304" max="13304" width="8.7265625" style="19" customWidth="1"/>
    <col min="13305" max="13305" width="9.7265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7265625" style="19" customWidth="1"/>
    <col min="13312" max="13312" width="11.26953125" style="19" customWidth="1"/>
    <col min="13313" max="13313" width="2.7265625" style="19" customWidth="1"/>
    <col min="13314" max="13314" width="3.54296875" style="19" customWidth="1"/>
    <col min="13315" max="13559" width="9.26953125" style="19"/>
    <col min="13560" max="13560" width="8.7265625" style="19" customWidth="1"/>
    <col min="13561" max="13561" width="9.7265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7265625" style="19" customWidth="1"/>
    <col min="13568" max="13568" width="11.26953125" style="19" customWidth="1"/>
    <col min="13569" max="13569" width="2.7265625" style="19" customWidth="1"/>
    <col min="13570" max="13570" width="3.54296875" style="19" customWidth="1"/>
    <col min="13571" max="13815" width="9.26953125" style="19"/>
    <col min="13816" max="13816" width="8.7265625" style="19" customWidth="1"/>
    <col min="13817" max="13817" width="9.7265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7265625" style="19" customWidth="1"/>
    <col min="13824" max="13824" width="11.26953125" style="19" customWidth="1"/>
    <col min="13825" max="13825" width="2.7265625" style="19" customWidth="1"/>
    <col min="13826" max="13826" width="3.54296875" style="19" customWidth="1"/>
    <col min="13827" max="14071" width="9.26953125" style="19"/>
    <col min="14072" max="14072" width="8.7265625" style="19" customWidth="1"/>
    <col min="14073" max="14073" width="9.7265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7265625" style="19" customWidth="1"/>
    <col min="14080" max="14080" width="11.26953125" style="19" customWidth="1"/>
    <col min="14081" max="14081" width="2.7265625" style="19" customWidth="1"/>
    <col min="14082" max="14082" width="3.54296875" style="19" customWidth="1"/>
    <col min="14083" max="14327" width="9.26953125" style="19"/>
    <col min="14328" max="14328" width="8.7265625" style="19" customWidth="1"/>
    <col min="14329" max="14329" width="9.7265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7265625" style="19" customWidth="1"/>
    <col min="14336" max="14336" width="11.26953125" style="19" customWidth="1"/>
    <col min="14337" max="14337" width="2.7265625" style="19" customWidth="1"/>
    <col min="14338" max="14338" width="3.54296875" style="19" customWidth="1"/>
    <col min="14339" max="14583" width="9.26953125" style="19"/>
    <col min="14584" max="14584" width="8.7265625" style="19" customWidth="1"/>
    <col min="14585" max="14585" width="9.7265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7265625" style="19" customWidth="1"/>
    <col min="14592" max="14592" width="11.26953125" style="19" customWidth="1"/>
    <col min="14593" max="14593" width="2.7265625" style="19" customWidth="1"/>
    <col min="14594" max="14594" width="3.54296875" style="19" customWidth="1"/>
    <col min="14595" max="14839" width="9.26953125" style="19"/>
    <col min="14840" max="14840" width="8.7265625" style="19" customWidth="1"/>
    <col min="14841" max="14841" width="9.7265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7265625" style="19" customWidth="1"/>
    <col min="14848" max="14848" width="11.26953125" style="19" customWidth="1"/>
    <col min="14849" max="14849" width="2.7265625" style="19" customWidth="1"/>
    <col min="14850" max="14850" width="3.54296875" style="19" customWidth="1"/>
    <col min="14851" max="15095" width="9.26953125" style="19"/>
    <col min="15096" max="15096" width="8.7265625" style="19" customWidth="1"/>
    <col min="15097" max="15097" width="9.7265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7265625" style="19" customWidth="1"/>
    <col min="15104" max="15104" width="11.26953125" style="19" customWidth="1"/>
    <col min="15105" max="15105" width="2.7265625" style="19" customWidth="1"/>
    <col min="15106" max="15106" width="3.54296875" style="19" customWidth="1"/>
    <col min="15107" max="15351" width="9.26953125" style="19"/>
    <col min="15352" max="15352" width="8.7265625" style="19" customWidth="1"/>
    <col min="15353" max="15353" width="9.7265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7265625" style="19" customWidth="1"/>
    <col min="15360" max="15360" width="11.26953125" style="19" customWidth="1"/>
    <col min="15361" max="15361" width="2.7265625" style="19" customWidth="1"/>
    <col min="15362" max="15362" width="3.54296875" style="19" customWidth="1"/>
    <col min="15363" max="15607" width="9.26953125" style="19"/>
    <col min="15608" max="15608" width="8.7265625" style="19" customWidth="1"/>
    <col min="15609" max="15609" width="9.7265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7265625" style="19" customWidth="1"/>
    <col min="15616" max="15616" width="11.26953125" style="19" customWidth="1"/>
    <col min="15617" max="15617" width="2.7265625" style="19" customWidth="1"/>
    <col min="15618" max="15618" width="3.54296875" style="19" customWidth="1"/>
    <col min="15619" max="15863" width="9.26953125" style="19"/>
    <col min="15864" max="15864" width="8.7265625" style="19" customWidth="1"/>
    <col min="15865" max="15865" width="9.7265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7265625" style="19" customWidth="1"/>
    <col min="15872" max="15872" width="11.26953125" style="19" customWidth="1"/>
    <col min="15873" max="15873" width="2.7265625" style="19" customWidth="1"/>
    <col min="15874" max="15874" width="3.54296875" style="19" customWidth="1"/>
    <col min="15875" max="16119" width="9.26953125" style="19"/>
    <col min="16120" max="16120" width="8.7265625" style="19" customWidth="1"/>
    <col min="16121" max="16121" width="9.7265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7265625" style="19" customWidth="1"/>
    <col min="16128" max="16128" width="11.26953125" style="19" customWidth="1"/>
    <col min="16129" max="16129" width="2.7265625" style="19" customWidth="1"/>
    <col min="16130" max="16130" width="3.54296875" style="19" customWidth="1"/>
    <col min="16131" max="16384" width="9.26953125" style="19"/>
  </cols>
  <sheetData>
    <row r="1" spans="1:8" ht="46.5" customHeight="1" x14ac:dyDescent="0.35">
      <c r="A1" s="154" t="s">
        <v>237</v>
      </c>
      <c r="B1" s="154"/>
      <c r="C1" s="154"/>
      <c r="D1" s="154"/>
      <c r="E1" s="154"/>
      <c r="F1" s="154"/>
      <c r="G1" s="154"/>
      <c r="H1" s="154"/>
    </row>
    <row r="2" spans="1:8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x14ac:dyDescent="0.35">
      <c r="A3" s="142" t="s">
        <v>1</v>
      </c>
      <c r="B3" s="142"/>
      <c r="C3" s="142"/>
      <c r="D3" s="142"/>
      <c r="E3" s="142" t="str">
        <f ca="1">TEXT(TODAY(),"DD/MM/YYYY")</f>
        <v>15/07/2025</v>
      </c>
      <c r="F3" s="142"/>
      <c r="G3" s="142"/>
      <c r="H3" s="142"/>
    </row>
    <row r="4" spans="1:8" ht="15" customHeight="1" x14ac:dyDescent="0.35">
      <c r="A4" s="142" t="s">
        <v>2</v>
      </c>
      <c r="B4" s="142"/>
      <c r="C4" s="142"/>
      <c r="D4" s="142"/>
      <c r="E4" s="142" t="s">
        <v>191</v>
      </c>
      <c r="F4" s="142"/>
      <c r="G4" s="142"/>
      <c r="H4" s="142"/>
    </row>
    <row r="5" spans="1:8" x14ac:dyDescent="0.35">
      <c r="A5" s="142" t="s">
        <v>3</v>
      </c>
      <c r="B5" s="142"/>
      <c r="C5" s="142"/>
      <c r="D5" s="142"/>
      <c r="E5" s="153">
        <v>45848</v>
      </c>
      <c r="F5" s="142"/>
      <c r="G5" s="142"/>
      <c r="H5" s="142"/>
    </row>
    <row r="6" spans="1:8" ht="16.5" customHeight="1" x14ac:dyDescent="0.35">
      <c r="A6" s="142" t="s">
        <v>4</v>
      </c>
      <c r="B6" s="142"/>
      <c r="C6" s="142"/>
      <c r="D6" s="142"/>
      <c r="E6" s="142" t="s">
        <v>226</v>
      </c>
      <c r="F6" s="142"/>
      <c r="G6" s="142"/>
      <c r="H6" s="142"/>
    </row>
    <row r="7" spans="1:8" ht="15" customHeight="1" x14ac:dyDescent="0.35">
      <c r="A7" s="142" t="s">
        <v>5</v>
      </c>
      <c r="B7" s="142"/>
      <c r="C7" s="142"/>
      <c r="D7" s="142"/>
      <c r="E7" s="142" t="str">
        <f>E6</f>
        <v>M/s.Shreenath Enterprises</v>
      </c>
      <c r="F7" s="142"/>
      <c r="G7" s="142"/>
      <c r="H7" s="142"/>
    </row>
    <row r="8" spans="1:8" x14ac:dyDescent="0.35">
      <c r="A8" s="142" t="s">
        <v>6</v>
      </c>
      <c r="B8" s="142"/>
      <c r="C8" s="142"/>
      <c r="D8" s="142"/>
      <c r="E8" s="122" t="s">
        <v>192</v>
      </c>
      <c r="F8" s="122"/>
      <c r="G8" s="122"/>
      <c r="H8" s="122"/>
    </row>
    <row r="9" spans="1:8" x14ac:dyDescent="0.35">
      <c r="A9" s="142" t="s">
        <v>127</v>
      </c>
      <c r="B9" s="142"/>
      <c r="C9" s="142"/>
      <c r="D9" s="142"/>
      <c r="E9" s="142" t="s">
        <v>193</v>
      </c>
      <c r="F9" s="142"/>
      <c r="G9" s="142"/>
      <c r="H9" s="142"/>
    </row>
    <row r="10" spans="1:8" ht="33.75" customHeight="1" x14ac:dyDescent="0.35">
      <c r="A10" s="142" t="s">
        <v>7</v>
      </c>
      <c r="B10" s="142"/>
      <c r="C10" s="142"/>
      <c r="D10" s="142"/>
      <c r="E10" s="141" t="s">
        <v>194</v>
      </c>
      <c r="F10" s="142"/>
      <c r="G10" s="142"/>
      <c r="H10" s="142"/>
    </row>
    <row r="11" spans="1:8" x14ac:dyDescent="0.35">
      <c r="A11" s="77" t="s">
        <v>8</v>
      </c>
      <c r="B11" s="77"/>
      <c r="C11" s="77"/>
      <c r="D11" s="77"/>
      <c r="E11" s="141" t="s">
        <v>195</v>
      </c>
      <c r="F11" s="141"/>
      <c r="G11" s="141"/>
      <c r="H11" s="141"/>
    </row>
    <row r="12" spans="1:8" x14ac:dyDescent="0.35">
      <c r="A12" s="77" t="s">
        <v>9</v>
      </c>
      <c r="B12" s="77"/>
      <c r="C12" s="77"/>
      <c r="D12" s="77"/>
      <c r="E12" s="141" t="s">
        <v>196</v>
      </c>
      <c r="F12" s="142"/>
      <c r="G12" s="142"/>
      <c r="H12" s="142"/>
    </row>
    <row r="13" spans="1:8" ht="32.25" customHeight="1" x14ac:dyDescent="0.35">
      <c r="A13" s="141" t="s">
        <v>10</v>
      </c>
      <c r="B13" s="141"/>
      <c r="C13" s="141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Parasnath Corner, Gut No.92, 168 &amp; 169, Hissa No. 1, near Parasnath Nagari, Internal road, Umroli, Umroli east, Palghar, Palghar - 401205.</v>
      </c>
      <c r="D13" s="141"/>
      <c r="E13" s="141"/>
      <c r="F13" s="141"/>
      <c r="G13" s="141"/>
      <c r="H13" s="141"/>
    </row>
    <row r="14" spans="1:8" x14ac:dyDescent="0.35">
      <c r="A14" s="141" t="s">
        <v>227</v>
      </c>
      <c r="B14" s="141"/>
      <c r="C14" s="141" t="s">
        <v>228</v>
      </c>
      <c r="D14" s="141"/>
      <c r="E14" s="141"/>
      <c r="F14" s="141"/>
      <c r="G14" s="141"/>
      <c r="H14" s="141"/>
    </row>
    <row r="15" spans="1:8" ht="15.75" customHeight="1" x14ac:dyDescent="0.35">
      <c r="A15" s="141" t="s">
        <v>11</v>
      </c>
      <c r="B15" s="141"/>
      <c r="C15" s="142" t="s">
        <v>200</v>
      </c>
      <c r="D15" s="142"/>
      <c r="E15" s="141" t="s">
        <v>77</v>
      </c>
      <c r="F15" s="141"/>
      <c r="G15" s="141" t="s">
        <v>197</v>
      </c>
      <c r="H15" s="141"/>
    </row>
    <row r="16" spans="1:8" x14ac:dyDescent="0.35">
      <c r="A16" s="142" t="s">
        <v>13</v>
      </c>
      <c r="B16" s="142"/>
      <c r="C16" s="141" t="s">
        <v>199</v>
      </c>
      <c r="D16" s="141"/>
      <c r="E16" s="141" t="s">
        <v>12</v>
      </c>
      <c r="F16" s="141"/>
      <c r="G16" s="152" t="s">
        <v>198</v>
      </c>
      <c r="H16" s="152"/>
    </row>
    <row r="17" spans="1:8" x14ac:dyDescent="0.35">
      <c r="A17" s="142" t="s">
        <v>78</v>
      </c>
      <c r="B17" s="142"/>
      <c r="C17" s="141" t="s">
        <v>198</v>
      </c>
      <c r="D17" s="141"/>
      <c r="E17" s="141" t="s">
        <v>14</v>
      </c>
      <c r="F17" s="141"/>
      <c r="G17" s="141">
        <v>401205</v>
      </c>
      <c r="H17" s="141"/>
    </row>
    <row r="18" spans="1:8" ht="32.25" customHeight="1" x14ac:dyDescent="0.35">
      <c r="A18" s="142" t="s">
        <v>128</v>
      </c>
      <c r="B18" s="142"/>
      <c r="C18" s="141" t="s">
        <v>201</v>
      </c>
      <c r="D18" s="141"/>
      <c r="E18" s="141" t="s">
        <v>15</v>
      </c>
      <c r="F18" s="141"/>
      <c r="G18" s="141" t="s">
        <v>202</v>
      </c>
      <c r="H18" s="141"/>
    </row>
    <row r="19" spans="1:8" ht="15" customHeight="1" x14ac:dyDescent="0.35">
      <c r="A19" s="141" t="s">
        <v>81</v>
      </c>
      <c r="B19" s="141"/>
      <c r="C19" s="141"/>
      <c r="D19" s="141"/>
      <c r="E19" s="142" t="s">
        <v>16</v>
      </c>
      <c r="F19" s="142"/>
      <c r="G19" s="142"/>
      <c r="H19" s="142"/>
    </row>
    <row r="20" spans="1:8" ht="18.75" customHeight="1" x14ac:dyDescent="0.35">
      <c r="A20" s="141"/>
      <c r="B20" s="141"/>
      <c r="C20" s="141"/>
      <c r="D20" s="141"/>
      <c r="E20" s="142"/>
      <c r="F20" s="142"/>
      <c r="G20" s="142"/>
      <c r="H20" s="142"/>
    </row>
    <row r="21" spans="1:8" ht="15" customHeight="1" x14ac:dyDescent="0.35">
      <c r="A21" s="141" t="s">
        <v>17</v>
      </c>
      <c r="B21" s="141"/>
      <c r="C21" s="141"/>
      <c r="D21" s="141"/>
      <c r="E21" s="141" t="s">
        <v>18</v>
      </c>
      <c r="F21" s="141"/>
      <c r="G21" s="141"/>
      <c r="H21" s="141"/>
    </row>
    <row r="22" spans="1:8" ht="15" customHeight="1" x14ac:dyDescent="0.35">
      <c r="A22" s="77" t="s">
        <v>19</v>
      </c>
      <c r="B22" s="77"/>
      <c r="C22" s="77"/>
      <c r="D22" s="77"/>
      <c r="E22" s="141" t="str">
        <f>IF(AND(G16="Mumbai"),"Upper Class","Middle Class")</f>
        <v>Middle Class</v>
      </c>
      <c r="F22" s="141"/>
      <c r="G22" s="141"/>
      <c r="H22" s="141"/>
    </row>
    <row r="23" spans="1:8" x14ac:dyDescent="0.35">
      <c r="A23" s="77" t="s">
        <v>20</v>
      </c>
      <c r="B23" s="77"/>
      <c r="C23" s="77"/>
      <c r="D23" s="77"/>
      <c r="E23" s="141" t="s">
        <v>21</v>
      </c>
      <c r="F23" s="141"/>
      <c r="G23" s="141"/>
      <c r="H23" s="141"/>
    </row>
    <row r="24" spans="1:8" ht="15.75" customHeight="1" x14ac:dyDescent="0.35">
      <c r="A24" s="77" t="s">
        <v>22</v>
      </c>
      <c r="B24" s="77"/>
      <c r="C24" s="77"/>
      <c r="D24" s="77"/>
      <c r="E24" s="141" t="str">
        <f>IF(AND(G16="Mumbai"),"Developed","Developing")</f>
        <v>Developing</v>
      </c>
      <c r="F24" s="141"/>
      <c r="G24" s="141"/>
      <c r="H24" s="141"/>
    </row>
    <row r="25" spans="1:8" x14ac:dyDescent="0.35">
      <c r="A25" s="77" t="s">
        <v>23</v>
      </c>
      <c r="B25" s="77"/>
      <c r="C25" s="77"/>
      <c r="D25" s="77"/>
      <c r="E25" s="141" t="s">
        <v>24</v>
      </c>
      <c r="F25" s="141"/>
      <c r="G25" s="141"/>
      <c r="H25" s="141"/>
    </row>
    <row r="26" spans="1:8" ht="15.75" customHeight="1" x14ac:dyDescent="0.35">
      <c r="A26" s="77" t="s">
        <v>85</v>
      </c>
      <c r="B26" s="77"/>
      <c r="C26" s="77"/>
      <c r="D26" s="77"/>
      <c r="E26" s="141" t="s">
        <v>86</v>
      </c>
      <c r="F26" s="141"/>
      <c r="G26" s="141"/>
      <c r="H26" s="141"/>
    </row>
    <row r="27" spans="1:8" ht="15" customHeight="1" x14ac:dyDescent="0.35">
      <c r="A27" s="77" t="s">
        <v>35</v>
      </c>
      <c r="B27" s="77"/>
      <c r="C27" s="77"/>
      <c r="D27" s="77"/>
      <c r="E27" s="141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 + Commercial</v>
      </c>
      <c r="F27" s="141"/>
      <c r="G27" s="141"/>
      <c r="H27" s="141"/>
    </row>
    <row r="28" spans="1:8" ht="15.75" customHeight="1" x14ac:dyDescent="0.35">
      <c r="A28" s="77" t="s">
        <v>97</v>
      </c>
      <c r="B28" s="77"/>
      <c r="C28" s="77"/>
      <c r="D28" s="77"/>
      <c r="E28" s="141" t="s">
        <v>36</v>
      </c>
      <c r="F28" s="141"/>
      <c r="G28" s="141"/>
      <c r="H28" s="141"/>
    </row>
    <row r="29" spans="1:8" s="20" customFormat="1" x14ac:dyDescent="0.35">
      <c r="A29" s="136" t="s">
        <v>98</v>
      </c>
      <c r="B29" s="136"/>
      <c r="C29" s="131" t="s">
        <v>29</v>
      </c>
      <c r="D29" s="131"/>
      <c r="E29" s="131"/>
      <c r="F29" s="131" t="s">
        <v>31</v>
      </c>
      <c r="G29" s="131"/>
      <c r="H29" s="131"/>
    </row>
    <row r="30" spans="1:8" s="20" customFormat="1" x14ac:dyDescent="0.35">
      <c r="A30" s="135" t="s">
        <v>25</v>
      </c>
      <c r="B30" s="135" t="s">
        <v>30</v>
      </c>
      <c r="C30" s="130" t="s">
        <v>30</v>
      </c>
      <c r="D30" s="130"/>
      <c r="E30" s="130"/>
      <c r="F30" s="130" t="s">
        <v>204</v>
      </c>
      <c r="G30" s="130"/>
      <c r="H30" s="130"/>
    </row>
    <row r="31" spans="1:8" x14ac:dyDescent="0.35">
      <c r="A31" s="135" t="s">
        <v>26</v>
      </c>
      <c r="B31" s="135" t="s">
        <v>30</v>
      </c>
      <c r="C31" s="130" t="s">
        <v>30</v>
      </c>
      <c r="D31" s="130"/>
      <c r="E31" s="130"/>
      <c r="F31" s="130" t="s">
        <v>203</v>
      </c>
      <c r="G31" s="130"/>
      <c r="H31" s="130"/>
    </row>
    <row r="32" spans="1:8" s="20" customFormat="1" x14ac:dyDescent="0.35">
      <c r="A32" s="135" t="s">
        <v>28</v>
      </c>
      <c r="B32" s="135" t="s">
        <v>30</v>
      </c>
      <c r="C32" s="130" t="s">
        <v>30</v>
      </c>
      <c r="D32" s="130"/>
      <c r="E32" s="130"/>
      <c r="F32" s="130" t="s">
        <v>205</v>
      </c>
      <c r="G32" s="130"/>
      <c r="H32" s="130"/>
    </row>
    <row r="33" spans="1:8" x14ac:dyDescent="0.35">
      <c r="A33" s="135" t="s">
        <v>27</v>
      </c>
      <c r="B33" s="135" t="s">
        <v>30</v>
      </c>
      <c r="C33" s="130" t="s">
        <v>30</v>
      </c>
      <c r="D33" s="130"/>
      <c r="E33" s="130"/>
      <c r="F33" s="130" t="s">
        <v>206</v>
      </c>
      <c r="G33" s="130"/>
      <c r="H33" s="130"/>
    </row>
    <row r="34" spans="1:8" x14ac:dyDescent="0.35">
      <c r="A34" s="77" t="s">
        <v>32</v>
      </c>
      <c r="B34" s="77"/>
      <c r="C34" s="77"/>
      <c r="D34" s="77"/>
      <c r="E34" s="77"/>
      <c r="F34" s="77"/>
      <c r="G34" s="77"/>
      <c r="H34" s="77"/>
    </row>
    <row r="35" spans="1:8" ht="15.75" customHeight="1" x14ac:dyDescent="0.35">
      <c r="A35" s="132" t="s">
        <v>33</v>
      </c>
      <c r="B35" s="132"/>
      <c r="C35" s="133">
        <v>19.754279</v>
      </c>
      <c r="D35" s="133"/>
      <c r="E35" s="132" t="s">
        <v>34</v>
      </c>
      <c r="F35" s="132"/>
      <c r="G35" s="134">
        <v>72.763001000000003</v>
      </c>
      <c r="H35" s="134"/>
    </row>
    <row r="36" spans="1:8" s="58" customFormat="1" ht="15.75" customHeight="1" x14ac:dyDescent="0.35">
      <c r="A36" s="132" t="s">
        <v>234</v>
      </c>
      <c r="B36" s="132"/>
      <c r="C36" s="138" t="s">
        <v>235</v>
      </c>
      <c r="D36" s="139"/>
      <c r="E36" s="139"/>
      <c r="F36" s="139"/>
      <c r="G36" s="139"/>
      <c r="H36" s="140"/>
    </row>
    <row r="37" spans="1:8" x14ac:dyDescent="0.35">
      <c r="A37" s="137" t="s">
        <v>37</v>
      </c>
      <c r="B37" s="137"/>
      <c r="C37" s="137"/>
      <c r="D37" s="137"/>
      <c r="E37" s="137"/>
      <c r="F37" s="137"/>
      <c r="G37" s="137"/>
      <c r="H37" s="137"/>
    </row>
    <row r="38" spans="1:8" x14ac:dyDescent="0.35">
      <c r="A38" s="77" t="s">
        <v>38</v>
      </c>
      <c r="B38" s="77"/>
      <c r="C38" s="77"/>
      <c r="D38" s="77"/>
      <c r="E38" s="129">
        <v>5276.3</v>
      </c>
      <c r="F38" s="129"/>
      <c r="G38" s="129"/>
      <c r="H38" s="129"/>
    </row>
    <row r="39" spans="1:8" x14ac:dyDescent="0.35">
      <c r="A39" s="77" t="s">
        <v>39</v>
      </c>
      <c r="B39" s="77"/>
      <c r="C39" s="77"/>
      <c r="D39" s="77"/>
      <c r="E39" s="151">
        <v>1</v>
      </c>
      <c r="F39" s="151"/>
      <c r="G39" s="151"/>
      <c r="H39" s="151"/>
    </row>
    <row r="40" spans="1:8" x14ac:dyDescent="0.35">
      <c r="A40" s="77" t="s">
        <v>40</v>
      </c>
      <c r="B40" s="77"/>
      <c r="C40" s="77"/>
      <c r="D40" s="77"/>
      <c r="E40" s="151">
        <f>E42/E38-E39</f>
        <v>-1.9720258514489331E-2</v>
      </c>
      <c r="F40" s="151"/>
      <c r="G40" s="151"/>
      <c r="H40" s="151"/>
    </row>
    <row r="41" spans="1:8" x14ac:dyDescent="0.35">
      <c r="A41" s="77" t="s">
        <v>41</v>
      </c>
      <c r="B41" s="77"/>
      <c r="C41" s="77"/>
      <c r="D41" s="77"/>
      <c r="E41" s="151">
        <f>E39+E40</f>
        <v>0.98027974148551067</v>
      </c>
      <c r="F41" s="151"/>
      <c r="G41" s="151"/>
      <c r="H41" s="151"/>
    </row>
    <row r="42" spans="1:8" x14ac:dyDescent="0.35">
      <c r="A42" s="77" t="s">
        <v>96</v>
      </c>
      <c r="B42" s="77"/>
      <c r="C42" s="77"/>
      <c r="D42" s="77"/>
      <c r="E42" s="156">
        <v>5172.25</v>
      </c>
      <c r="F42" s="156"/>
      <c r="G42" s="156"/>
      <c r="H42" s="156"/>
    </row>
    <row r="43" spans="1:8" x14ac:dyDescent="0.35">
      <c r="A43" s="142" t="s">
        <v>42</v>
      </c>
      <c r="B43" s="142"/>
      <c r="C43" s="142"/>
      <c r="D43" s="142"/>
      <c r="E43" s="142" t="s">
        <v>207</v>
      </c>
      <c r="F43" s="142"/>
      <c r="G43" s="142"/>
      <c r="H43" s="142"/>
    </row>
    <row r="44" spans="1:8" x14ac:dyDescent="0.35">
      <c r="A44" s="122" t="s">
        <v>43</v>
      </c>
      <c r="B44" s="122"/>
      <c r="C44" s="122"/>
      <c r="D44" s="122"/>
      <c r="E44" s="122"/>
      <c r="F44" s="122"/>
      <c r="G44" s="122"/>
      <c r="H44" s="122"/>
    </row>
    <row r="45" spans="1:8" ht="33.75" customHeight="1" x14ac:dyDescent="0.35">
      <c r="A45" s="69" t="s">
        <v>157</v>
      </c>
      <c r="B45" s="70"/>
      <c r="C45" s="71" t="s">
        <v>208</v>
      </c>
      <c r="D45" s="72"/>
      <c r="E45" s="72"/>
      <c r="F45" s="72"/>
      <c r="G45" s="72"/>
      <c r="H45" s="73"/>
    </row>
    <row r="46" spans="1:8" ht="15.75" customHeight="1" x14ac:dyDescent="0.35">
      <c r="A46" s="148" t="s">
        <v>44</v>
      </c>
      <c r="B46" s="150"/>
      <c r="C46" s="148" t="s">
        <v>209</v>
      </c>
      <c r="D46" s="149"/>
      <c r="E46" s="150"/>
      <c r="F46" s="18" t="s">
        <v>45</v>
      </c>
      <c r="G46" s="160">
        <v>43276</v>
      </c>
      <c r="H46" s="150"/>
    </row>
    <row r="47" spans="1:8" x14ac:dyDescent="0.35">
      <c r="A47" s="148" t="s">
        <v>46</v>
      </c>
      <c r="B47" s="150"/>
      <c r="C47" s="148" t="str">
        <f>C46</f>
        <v>Mahsul/K-1/Mej-1/BSP/SR/CR/233/17</v>
      </c>
      <c r="D47" s="149"/>
      <c r="E47" s="150"/>
      <c r="F47" s="18" t="s">
        <v>45</v>
      </c>
      <c r="G47" s="160">
        <f>G46</f>
        <v>43276</v>
      </c>
      <c r="H47" s="161"/>
    </row>
    <row r="48" spans="1:8" s="21" customFormat="1" ht="15.75" customHeight="1" x14ac:dyDescent="0.35">
      <c r="A48" s="162" t="s">
        <v>161</v>
      </c>
      <c r="B48" s="163"/>
      <c r="C48" s="148" t="s">
        <v>223</v>
      </c>
      <c r="D48" s="149"/>
      <c r="E48" s="150"/>
      <c r="F48" s="18" t="s">
        <v>45</v>
      </c>
      <c r="G48" s="160">
        <v>43276</v>
      </c>
      <c r="H48" s="161"/>
    </row>
    <row r="49" spans="1:14" s="21" customFormat="1" ht="48.75" customHeight="1" x14ac:dyDescent="0.35">
      <c r="A49" s="164"/>
      <c r="B49" s="165"/>
      <c r="C49" s="148" t="s">
        <v>211</v>
      </c>
      <c r="D49" s="149"/>
      <c r="E49" s="149"/>
      <c r="F49" s="149"/>
      <c r="G49" s="149"/>
      <c r="H49" s="150"/>
    </row>
    <row r="50" spans="1:14" x14ac:dyDescent="0.35">
      <c r="A50" s="184" t="s">
        <v>47</v>
      </c>
      <c r="B50" s="185"/>
      <c r="C50" s="184" t="s">
        <v>109</v>
      </c>
      <c r="D50" s="186"/>
      <c r="E50" s="185"/>
      <c r="F50" s="45" t="s">
        <v>45</v>
      </c>
      <c r="G50" s="143" t="s">
        <v>30</v>
      </c>
      <c r="H50" s="144"/>
    </row>
    <row r="51" spans="1:14" x14ac:dyDescent="0.35">
      <c r="A51" s="166" t="s">
        <v>49</v>
      </c>
      <c r="B51" s="166"/>
      <c r="C51" s="166"/>
      <c r="D51" s="166"/>
      <c r="E51" s="166"/>
      <c r="F51" s="166"/>
      <c r="G51" s="166"/>
      <c r="H51" s="166"/>
    </row>
    <row r="52" spans="1:14" x14ac:dyDescent="0.35">
      <c r="A52" s="167" t="s">
        <v>95</v>
      </c>
      <c r="B52" s="167"/>
      <c r="C52" s="167"/>
      <c r="D52" s="77">
        <f>E42</f>
        <v>5172.25</v>
      </c>
      <c r="E52" s="77"/>
      <c r="F52" s="77"/>
      <c r="G52" s="77"/>
      <c r="H52" s="77"/>
    </row>
    <row r="53" spans="1:14" x14ac:dyDescent="0.35">
      <c r="A53" s="141" t="s">
        <v>50</v>
      </c>
      <c r="B53" s="142"/>
      <c r="C53" s="142"/>
      <c r="D53" s="142" t="s">
        <v>210</v>
      </c>
      <c r="E53" s="142"/>
      <c r="F53" s="142"/>
      <c r="G53" s="142"/>
      <c r="H53" s="142"/>
      <c r="I53" s="22"/>
    </row>
    <row r="54" spans="1:14" ht="48.75" customHeight="1" x14ac:dyDescent="0.35">
      <c r="A54" s="157" t="s">
        <v>51</v>
      </c>
      <c r="B54" s="158"/>
      <c r="C54" s="159"/>
      <c r="D54" s="141" t="s">
        <v>211</v>
      </c>
      <c r="E54" s="142"/>
      <c r="F54" s="142"/>
      <c r="G54" s="142"/>
      <c r="H54" s="142"/>
    </row>
    <row r="55" spans="1:14" ht="15.75" customHeight="1" x14ac:dyDescent="0.35">
      <c r="A55" s="141" t="s">
        <v>93</v>
      </c>
      <c r="B55" s="141"/>
      <c r="C55" s="141"/>
      <c r="D55" s="181" t="s">
        <v>216</v>
      </c>
      <c r="E55" s="182"/>
      <c r="F55" s="182"/>
      <c r="G55" s="182"/>
      <c r="H55" s="183"/>
    </row>
    <row r="56" spans="1:14" ht="15.75" customHeight="1" x14ac:dyDescent="0.35">
      <c r="A56" s="141"/>
      <c r="B56" s="141"/>
      <c r="C56" s="141"/>
      <c r="D56" s="145" t="s">
        <v>212</v>
      </c>
      <c r="E56" s="146"/>
      <c r="F56" s="146"/>
      <c r="G56" s="146"/>
      <c r="H56" s="147"/>
    </row>
    <row r="57" spans="1:14" ht="15.75" customHeight="1" x14ac:dyDescent="0.35">
      <c r="A57" s="141"/>
      <c r="B57" s="141"/>
      <c r="C57" s="141"/>
      <c r="D57" s="145" t="s">
        <v>213</v>
      </c>
      <c r="E57" s="146"/>
      <c r="F57" s="146"/>
      <c r="G57" s="146"/>
      <c r="H57" s="147"/>
    </row>
    <row r="58" spans="1:14" ht="15.75" customHeight="1" x14ac:dyDescent="0.35">
      <c r="A58" s="141"/>
      <c r="B58" s="141"/>
      <c r="C58" s="141"/>
      <c r="D58" s="145" t="s">
        <v>214</v>
      </c>
      <c r="E58" s="146"/>
      <c r="F58" s="146"/>
      <c r="G58" s="146"/>
      <c r="H58" s="147"/>
    </row>
    <row r="59" spans="1:14" ht="15.75" customHeight="1" x14ac:dyDescent="0.35">
      <c r="A59" s="141"/>
      <c r="B59" s="141"/>
      <c r="C59" s="141"/>
      <c r="D59" s="194" t="s">
        <v>215</v>
      </c>
      <c r="E59" s="195"/>
      <c r="F59" s="195"/>
      <c r="G59" s="195"/>
      <c r="H59" s="196"/>
    </row>
    <row r="60" spans="1:14" ht="15.75" customHeight="1" x14ac:dyDescent="0.35">
      <c r="A60" s="77" t="s">
        <v>48</v>
      </c>
      <c r="B60" s="77"/>
      <c r="C60" s="77"/>
      <c r="D60" s="141" t="s">
        <v>236</v>
      </c>
      <c r="E60" s="141"/>
      <c r="F60" s="141"/>
      <c r="G60" s="141"/>
      <c r="H60" s="141"/>
      <c r="J60" s="23"/>
      <c r="K60" s="22"/>
      <c r="N60" s="22"/>
    </row>
    <row r="61" spans="1:14" ht="15.75" customHeight="1" x14ac:dyDescent="0.35">
      <c r="A61" s="77" t="s">
        <v>91</v>
      </c>
      <c r="B61" s="77"/>
      <c r="C61" s="77"/>
      <c r="D61" s="155" t="str">
        <f>(IF(G50="NA","60 Years After Completion",IF(G50&lt;&gt;"NA",""&amp;60-ROUNDDOWN((E3-G50)/360,0)&amp;" Years"," ")))</f>
        <v>60 Years After Completion</v>
      </c>
      <c r="E61" s="155"/>
      <c r="F61" s="155"/>
      <c r="G61" s="155"/>
      <c r="H61" s="155"/>
      <c r="N61" s="22"/>
    </row>
    <row r="62" spans="1:14" ht="15.75" customHeight="1" x14ac:dyDescent="0.35">
      <c r="A62" s="77" t="s">
        <v>92</v>
      </c>
      <c r="B62" s="77"/>
      <c r="C62" s="77"/>
      <c r="D62" s="167" t="s">
        <v>24</v>
      </c>
      <c r="E62" s="167"/>
      <c r="F62" s="167"/>
      <c r="G62" s="167"/>
      <c r="H62" s="167"/>
      <c r="J62" s="24"/>
      <c r="K62" s="24"/>
    </row>
    <row r="63" spans="1:14" ht="30.75" customHeight="1" x14ac:dyDescent="0.35">
      <c r="A63" s="77" t="s">
        <v>79</v>
      </c>
      <c r="B63" s="77"/>
      <c r="C63" s="77"/>
      <c r="D63" s="141" t="s">
        <v>229</v>
      </c>
      <c r="E63" s="167"/>
      <c r="F63" s="167"/>
      <c r="G63" s="167"/>
      <c r="H63" s="167"/>
    </row>
    <row r="64" spans="1:14" x14ac:dyDescent="0.35">
      <c r="A64" s="167" t="s">
        <v>154</v>
      </c>
      <c r="B64" s="167"/>
      <c r="C64" s="167"/>
      <c r="D64" s="167" t="s">
        <v>30</v>
      </c>
      <c r="E64" s="167"/>
      <c r="F64" s="167"/>
      <c r="G64" s="167"/>
      <c r="H64" s="167"/>
      <c r="I64" s="25"/>
      <c r="J64" s="25"/>
      <c r="K64" s="25"/>
      <c r="L64" s="25"/>
      <c r="M64" s="25"/>
      <c r="N64" s="25"/>
    </row>
    <row r="65" spans="1:10" ht="15.75" customHeight="1" x14ac:dyDescent="0.35">
      <c r="A65" s="77" t="s">
        <v>90</v>
      </c>
      <c r="B65" s="77"/>
      <c r="C65" s="77"/>
      <c r="D65" s="141" t="str">
        <f ca="1">(IF(G71&gt;95%,"Nothing",IF(G71&gt;0%,"Cement, Aggregate, Steel, etc",IF(G71=0%,"Work not yet Started"))))</f>
        <v>Cement, Aggregate, Steel, etc</v>
      </c>
      <c r="E65" s="141"/>
      <c r="F65" s="141"/>
      <c r="G65" s="141"/>
      <c r="H65" s="141"/>
      <c r="J65" s="24"/>
    </row>
    <row r="66" spans="1:10" ht="33.75" customHeight="1" thickBot="1" x14ac:dyDescent="0.4">
      <c r="A66" s="167" t="s">
        <v>122</v>
      </c>
      <c r="B66" s="167"/>
      <c r="C66" s="167"/>
      <c r="D66" s="141" t="str">
        <f ca="1">(IF(D65="Nothing","Yes",IF(D65="Cement, Aggregate, Steel, etc","Under Construction",IF(D65="Work not yet Started","Work not yet Started"))))</f>
        <v>Under Construction</v>
      </c>
      <c r="E66" s="141"/>
      <c r="F66" s="141" t="str">
        <f ca="1">(IF(D65="Nothing","Yes",IF(D65="Cement, Aggregate, Steel, etc","Under Construction",IF(D65="Work not yet Started","Work not yet Started"))))</f>
        <v>Under Construction</v>
      </c>
      <c r="G66" s="141"/>
      <c r="H66" s="141"/>
    </row>
    <row r="67" spans="1:10" ht="15.75" customHeight="1" x14ac:dyDescent="0.35">
      <c r="A67" s="123" t="s">
        <v>146</v>
      </c>
      <c r="B67" s="123"/>
      <c r="C67" s="123" t="str">
        <f>D55</f>
        <v>Building No. 1 (Wing A &amp; B) = G/St + 1st to 4th Floor</v>
      </c>
      <c r="D67" s="123"/>
      <c r="E67" s="123"/>
      <c r="F67" s="123"/>
      <c r="G67" s="123"/>
      <c r="H67" s="123"/>
      <c r="I67" s="61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3 Floor, Painting upto 3.5 Floor Completed</v>
      </c>
      <c r="J67" s="4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3 Floor, Painting upto 3.5 Floor</v>
      </c>
    </row>
    <row r="68" spans="1:10" x14ac:dyDescent="0.35">
      <c r="A68" s="59" t="s">
        <v>148</v>
      </c>
      <c r="B68" s="59">
        <v>0</v>
      </c>
      <c r="C68" s="59" t="s">
        <v>76</v>
      </c>
      <c r="D68" s="59">
        <v>1</v>
      </c>
      <c r="E68" s="59" t="s">
        <v>75</v>
      </c>
      <c r="F68" s="59">
        <v>0</v>
      </c>
      <c r="G68" s="59" t="s">
        <v>84</v>
      </c>
      <c r="H68" s="59">
        <f ca="1">--TRIM(RIGHT(SUBSTITUTE(LEFT(C67,_xlfn.AGGREGATE(16,6,FIND({0,1,2,3,4,5,6,7,8,9},C67,ROW(INDIRECT("1:"&amp;LEN(C67)))),1))," ",REPT(" ",LEN(C67))),LEN(C67)))</f>
        <v>4</v>
      </c>
      <c r="I68" s="6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" customHeight="1" x14ac:dyDescent="0.35">
      <c r="A69" s="121" t="s">
        <v>94</v>
      </c>
      <c r="B69" s="122"/>
      <c r="C69" s="123" t="str">
        <f ca="1">(IF($G$50="NA",I67,"All work Completed. OC Received."))</f>
        <v>Excavation, Plinth, RCC Slab, Brickwork, Internal Plaster, External Plaster Completed, Flooring upto 3 Floor, Painting upto 3.5 Floor Completed</v>
      </c>
      <c r="D69" s="123"/>
      <c r="E69" s="123"/>
      <c r="F69" s="123"/>
      <c r="G69" s="123"/>
      <c r="H69" s="124"/>
      <c r="I69" s="41" t="str">
        <f ca="1">IF(I68&lt;&gt;""," Completed","")</f>
        <v xml:space="preserve"> Completed</v>
      </c>
      <c r="J69" s="42" t="str">
        <f ca="1">IF(J67&lt;&gt;"","Completed","")</f>
        <v>Completed</v>
      </c>
    </row>
    <row r="70" spans="1:10" ht="15.75" customHeight="1" x14ac:dyDescent="0.35">
      <c r="A70" s="74" t="s">
        <v>52</v>
      </c>
      <c r="B70" s="75"/>
      <c r="C70" s="49" t="s">
        <v>145</v>
      </c>
      <c r="D70" s="49" t="s">
        <v>87</v>
      </c>
      <c r="E70" s="75" t="s">
        <v>89</v>
      </c>
      <c r="F70" s="75"/>
      <c r="G70" s="75" t="s">
        <v>88</v>
      </c>
      <c r="H70" s="83"/>
      <c r="I70" s="14" t="s">
        <v>147</v>
      </c>
      <c r="J70" s="26">
        <f ca="1">H68*25%</f>
        <v>1</v>
      </c>
    </row>
    <row r="71" spans="1:10" x14ac:dyDescent="0.35">
      <c r="A71" s="74" t="s">
        <v>134</v>
      </c>
      <c r="B71" s="75"/>
      <c r="C71" s="49">
        <f ca="1">J72</f>
        <v>4</v>
      </c>
      <c r="D71" s="50">
        <f ca="1">((100/H68)*C71)/100</f>
        <v>1</v>
      </c>
      <c r="E71" s="84">
        <f ca="1">(((C72/H68*10)+(40/(D68+F68+H68)*C73)+(7.5/(H68)*C74)+(7.5/(H68)*C75)+(10/H68*C76)+(10/H68*C77)+(5/H68*C78)+(5/H68*C79)+(5/H68*C80))/100)</f>
        <v>0.86875000000000002</v>
      </c>
      <c r="F71" s="85"/>
      <c r="G71" s="84">
        <f ca="1">((((C71/H68)*20)+((C72/H68)*25)+(30/(H68+F68+D68)*C73)+(5/H68*C74)+(5/H68*C75)+(5/H68*C76)+(5/H68*C77)+(0/H68*C78)+(0/H68*C79)+(5/H68*C80))/100)</f>
        <v>0.9375</v>
      </c>
      <c r="H71" s="126"/>
      <c r="I71" s="14" t="s">
        <v>104</v>
      </c>
      <c r="J71" s="27">
        <f ca="1">H68*50%</f>
        <v>2</v>
      </c>
    </row>
    <row r="72" spans="1:10" x14ac:dyDescent="0.35">
      <c r="A72" s="74" t="s">
        <v>53</v>
      </c>
      <c r="B72" s="75"/>
      <c r="C72" s="49">
        <f ca="1">J80</f>
        <v>4</v>
      </c>
      <c r="D72" s="50">
        <f ca="1">((100/H68)*C72)/100</f>
        <v>1</v>
      </c>
      <c r="E72" s="86"/>
      <c r="F72" s="87"/>
      <c r="G72" s="86"/>
      <c r="H72" s="127"/>
      <c r="I72" s="14" t="s">
        <v>105</v>
      </c>
      <c r="J72" s="27">
        <f ca="1">H68</f>
        <v>4</v>
      </c>
    </row>
    <row r="73" spans="1:10" ht="15.75" customHeight="1" x14ac:dyDescent="0.35">
      <c r="A73" s="74" t="s">
        <v>135</v>
      </c>
      <c r="B73" s="75"/>
      <c r="C73" s="49">
        <v>5</v>
      </c>
      <c r="D73" s="50">
        <f ca="1">((100/(D68+F68+H68))*C73)/100</f>
        <v>1</v>
      </c>
      <c r="E73" s="86"/>
      <c r="F73" s="87"/>
      <c r="G73" s="86"/>
      <c r="H73" s="127"/>
      <c r="I73" s="14" t="s">
        <v>106</v>
      </c>
      <c r="J73" s="28">
        <f ca="1">(IF(B68&gt;1,(H68/(B68+2)),H68/4))</f>
        <v>1</v>
      </c>
    </row>
    <row r="74" spans="1:10" ht="15.75" customHeight="1" x14ac:dyDescent="0.35">
      <c r="A74" s="74" t="s">
        <v>142</v>
      </c>
      <c r="B74" s="75" t="s">
        <v>136</v>
      </c>
      <c r="C74" s="49">
        <v>4</v>
      </c>
      <c r="D74" s="50">
        <f ca="1">((100/H68)*C74)/100</f>
        <v>1</v>
      </c>
      <c r="E74" s="86"/>
      <c r="F74" s="87"/>
      <c r="G74" s="86"/>
      <c r="H74" s="127"/>
      <c r="I74" s="14" t="s">
        <v>107</v>
      </c>
      <c r="J74" s="28">
        <f ca="1">(IF(B68&gt;1,(H68/(B68+2)+J73),H68/4+J73))</f>
        <v>2</v>
      </c>
    </row>
    <row r="75" spans="1:10" ht="15.75" customHeight="1" x14ac:dyDescent="0.35">
      <c r="A75" s="74" t="s">
        <v>143</v>
      </c>
      <c r="B75" s="75" t="s">
        <v>136</v>
      </c>
      <c r="C75" s="49">
        <v>4</v>
      </c>
      <c r="D75" s="50">
        <f ca="1">((100/H68)*C75)/100</f>
        <v>1</v>
      </c>
      <c r="E75" s="86"/>
      <c r="F75" s="87"/>
      <c r="G75" s="86"/>
      <c r="H75" s="127"/>
      <c r="I75" s="14" t="s">
        <v>152</v>
      </c>
      <c r="J75" s="28">
        <f>(IF(B68&gt;1,(H68/(B68+2)+J74),0))</f>
        <v>0</v>
      </c>
    </row>
    <row r="76" spans="1:10" ht="15" customHeight="1" x14ac:dyDescent="0.35">
      <c r="A76" s="74" t="s">
        <v>141</v>
      </c>
      <c r="B76" s="75" t="s">
        <v>138</v>
      </c>
      <c r="C76" s="49">
        <v>4</v>
      </c>
      <c r="D76" s="50">
        <f ca="1">((100/(H68))*C76)/100</f>
        <v>1</v>
      </c>
      <c r="E76" s="86"/>
      <c r="F76" s="87"/>
      <c r="G76" s="86"/>
      <c r="H76" s="127"/>
      <c r="I76" s="14" t="s">
        <v>149</v>
      </c>
      <c r="J76" s="28">
        <f>(IF(B68&gt;2,(H68/(B68+2)+J75),0))</f>
        <v>0</v>
      </c>
    </row>
    <row r="77" spans="1:10" ht="15.75" customHeight="1" x14ac:dyDescent="0.35">
      <c r="A77" s="74" t="s">
        <v>137</v>
      </c>
      <c r="B77" s="75" t="s">
        <v>137</v>
      </c>
      <c r="C77" s="49">
        <v>3</v>
      </c>
      <c r="D77" s="50">
        <f ca="1">((100/H68)*C77)/100</f>
        <v>0.75</v>
      </c>
      <c r="E77" s="86"/>
      <c r="F77" s="87"/>
      <c r="G77" s="86"/>
      <c r="H77" s="127"/>
      <c r="I77" s="14" t="s">
        <v>150</v>
      </c>
      <c r="J77" s="29">
        <f>(IF(B68&gt;3,(H68/(B68+2)+J76),0))</f>
        <v>0</v>
      </c>
    </row>
    <row r="78" spans="1:10" ht="15.75" customHeight="1" x14ac:dyDescent="0.35">
      <c r="A78" s="74" t="s">
        <v>144</v>
      </c>
      <c r="B78" s="75"/>
      <c r="C78" s="49">
        <v>3.5</v>
      </c>
      <c r="D78" s="50">
        <f ca="1">((100/H68)*C78)/100</f>
        <v>0.875</v>
      </c>
      <c r="E78" s="86"/>
      <c r="F78" s="87"/>
      <c r="G78" s="86"/>
      <c r="H78" s="127"/>
      <c r="I78" s="14" t="s">
        <v>151</v>
      </c>
      <c r="J78" s="28">
        <f>(IF(B68&gt;4,(H68/(B68+2)+J77),0))</f>
        <v>0</v>
      </c>
    </row>
    <row r="79" spans="1:10" ht="15.75" customHeight="1" x14ac:dyDescent="0.35">
      <c r="A79" s="74" t="s">
        <v>139</v>
      </c>
      <c r="B79" s="75" t="s">
        <v>139</v>
      </c>
      <c r="C79" s="49">
        <v>0</v>
      </c>
      <c r="D79" s="50">
        <f ca="1">((100/(H68))*C79)/100</f>
        <v>0</v>
      </c>
      <c r="E79" s="86"/>
      <c r="F79" s="87"/>
      <c r="G79" s="86"/>
      <c r="H79" s="127"/>
      <c r="I79" s="14" t="s">
        <v>153</v>
      </c>
      <c r="J79" s="28">
        <f ca="1">(IF(B68=1,(H68/(B68+3)+J74),IF(B68=0,(H68/4+J74),IF(B68&gt;1,0))))</f>
        <v>3</v>
      </c>
    </row>
    <row r="80" spans="1:10" ht="16" thickBot="1" x14ac:dyDescent="0.4">
      <c r="A80" s="97" t="s">
        <v>140</v>
      </c>
      <c r="B80" s="98"/>
      <c r="C80" s="51">
        <v>0</v>
      </c>
      <c r="D80" s="52">
        <f ca="1">((100/(H68))*C80)/100</f>
        <v>0</v>
      </c>
      <c r="E80" s="88"/>
      <c r="F80" s="89"/>
      <c r="G80" s="88"/>
      <c r="H80" s="128"/>
      <c r="I80" s="15" t="s">
        <v>108</v>
      </c>
      <c r="J80" s="30">
        <f ca="1">(IF(B68&gt;1.5,(H68/(B68+2)+J74+MAX(0,J75-J74)+MAX(0,J76-J75)+MAX(0,J77-J76)+MAX(0,J78-J77)+MAX(0,J79-J78)),IF(B68=1,(H68/(B68+3)+J79),IF(B68=0,H68/4+J79))))</f>
        <v>4</v>
      </c>
    </row>
    <row r="81" spans="1:10" ht="15.75" customHeight="1" x14ac:dyDescent="0.35">
      <c r="A81" s="107" t="s">
        <v>146</v>
      </c>
      <c r="B81" s="108"/>
      <c r="C81" s="109" t="str">
        <f>D56</f>
        <v>Building No. 1 (Wing C) = G/St + 1st to 4th Floor</v>
      </c>
      <c r="D81" s="110"/>
      <c r="E81" s="110"/>
      <c r="F81" s="110"/>
      <c r="G81" s="110"/>
      <c r="H81" s="111"/>
      <c r="I81" s="55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3.5 Floor, Flooring upto 0.5 Floor Completed</v>
      </c>
      <c r="J81" s="4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3.5 Floor, Flooring upto 0.5 Floor</v>
      </c>
    </row>
    <row r="82" spans="1:10" x14ac:dyDescent="0.35">
      <c r="A82" s="16" t="s">
        <v>148</v>
      </c>
      <c r="B82" s="47">
        <v>0</v>
      </c>
      <c r="C82" s="47" t="s">
        <v>76</v>
      </c>
      <c r="D82" s="47">
        <v>1</v>
      </c>
      <c r="E82" s="47" t="s">
        <v>75</v>
      </c>
      <c r="F82" s="47">
        <v>0</v>
      </c>
      <c r="G82" s="47" t="s">
        <v>84</v>
      </c>
      <c r="H82" s="17">
        <f ca="1">--TRIM(RIGHT(SUBSTITUTE(LEFT(C81,_xlfn.AGGREGATE(16,6,FIND({0,1,2,3,4,5,6,7,8,9},C81,ROW(INDIRECT("1:"&amp;LEN(C81)))),1))," ",REPT(" ",LEN(C81))),LEN(C81)))</f>
        <v>4</v>
      </c>
      <c r="I82" s="4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4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.15" customHeight="1" x14ac:dyDescent="0.35">
      <c r="A83" s="121" t="s">
        <v>94</v>
      </c>
      <c r="B83" s="122"/>
      <c r="C83" s="123" t="str">
        <f ca="1">(IF($G$50="NA",I81,"All work Completed. OC Received."))</f>
        <v>Excavation, Plinth, RCC Slab, Brickwork, Internal Plaster Completed, External Plaster upto 3.5 Floor, Flooring upto 0.5 Floor Completed</v>
      </c>
      <c r="D83" s="123"/>
      <c r="E83" s="123"/>
      <c r="F83" s="123"/>
      <c r="G83" s="123"/>
      <c r="H83" s="124"/>
      <c r="I83" s="41" t="str">
        <f ca="1">IF(I82&lt;&gt;""," Completed","")</f>
        <v xml:space="preserve"> Completed</v>
      </c>
      <c r="J83" s="42" t="str">
        <f ca="1">IF(J81&lt;&gt;"","Completed","")</f>
        <v>Completed</v>
      </c>
    </row>
    <row r="84" spans="1:10" ht="15.75" customHeight="1" x14ac:dyDescent="0.35">
      <c r="A84" s="74" t="s">
        <v>52</v>
      </c>
      <c r="B84" s="75"/>
      <c r="C84" s="49" t="s">
        <v>145</v>
      </c>
      <c r="D84" s="49" t="s">
        <v>87</v>
      </c>
      <c r="E84" s="75" t="s">
        <v>89</v>
      </c>
      <c r="F84" s="75"/>
      <c r="G84" s="75" t="s">
        <v>88</v>
      </c>
      <c r="H84" s="83"/>
      <c r="I84" s="14" t="s">
        <v>147</v>
      </c>
      <c r="J84" s="26">
        <f ca="1">H82*25%</f>
        <v>1</v>
      </c>
    </row>
    <row r="85" spans="1:10" x14ac:dyDescent="0.35">
      <c r="A85" s="74" t="s">
        <v>134</v>
      </c>
      <c r="B85" s="75"/>
      <c r="C85" s="49">
        <f ca="1">J86</f>
        <v>4</v>
      </c>
      <c r="D85" s="50">
        <f ca="1">((100/H82)*C85)/100</f>
        <v>1</v>
      </c>
      <c r="E85" s="84">
        <f ca="1">(((C86/H82*10)+(40/(D82+F82+H82)*C87)+(7.5/(H82)*C88)+(7.5/(H82)*C89)+(10/H82*C90)+(10/H82*C91)+(5/H82*C92)+(5/H82*C93)+(5/H82*C94))/100)</f>
        <v>0.75</v>
      </c>
      <c r="F85" s="85"/>
      <c r="G85" s="84">
        <f ca="1">((((C85/H82)*20)+((C86/H82)*25)+(30/(H82+F82+D82)*C87)+(5/H82*C88)+(5/H82*C89)+(5/H82*C90)+(5/H82*C91)+(0/H82*C92)+(0/H82*C93)+(5/H82*C94))/100)</f>
        <v>0.9</v>
      </c>
      <c r="H85" s="126"/>
      <c r="I85" s="14" t="s">
        <v>104</v>
      </c>
      <c r="J85" s="27">
        <f ca="1">H82*50%</f>
        <v>2</v>
      </c>
    </row>
    <row r="86" spans="1:10" x14ac:dyDescent="0.35">
      <c r="A86" s="74" t="s">
        <v>53</v>
      </c>
      <c r="B86" s="75"/>
      <c r="C86" s="49">
        <f ca="1">J94</f>
        <v>4</v>
      </c>
      <c r="D86" s="50">
        <f ca="1">((100/H82)*C86)/100</f>
        <v>1</v>
      </c>
      <c r="E86" s="86"/>
      <c r="F86" s="87"/>
      <c r="G86" s="86"/>
      <c r="H86" s="127"/>
      <c r="I86" s="14" t="s">
        <v>105</v>
      </c>
      <c r="J86" s="27">
        <f ca="1">H82</f>
        <v>4</v>
      </c>
    </row>
    <row r="87" spans="1:10" ht="15.75" customHeight="1" x14ac:dyDescent="0.35">
      <c r="A87" s="74" t="s">
        <v>135</v>
      </c>
      <c r="B87" s="75"/>
      <c r="C87" s="49">
        <v>5</v>
      </c>
      <c r="D87" s="50">
        <f ca="1">((100/(D82+F82+H82))*C87)/100</f>
        <v>1</v>
      </c>
      <c r="E87" s="86"/>
      <c r="F87" s="87"/>
      <c r="G87" s="86"/>
      <c r="H87" s="127"/>
      <c r="I87" s="14" t="s">
        <v>106</v>
      </c>
      <c r="J87" s="28">
        <f ca="1">(IF(B82&gt;1,(H82/(B82+2)),H82/4))</f>
        <v>1</v>
      </c>
    </row>
    <row r="88" spans="1:10" ht="15.75" customHeight="1" x14ac:dyDescent="0.35">
      <c r="A88" s="74" t="s">
        <v>142</v>
      </c>
      <c r="B88" s="75" t="s">
        <v>136</v>
      </c>
      <c r="C88" s="49">
        <v>4</v>
      </c>
      <c r="D88" s="50">
        <f ca="1">((100/H82)*C88)/100</f>
        <v>1</v>
      </c>
      <c r="E88" s="86"/>
      <c r="F88" s="87"/>
      <c r="G88" s="86"/>
      <c r="H88" s="127"/>
      <c r="I88" s="14" t="s">
        <v>107</v>
      </c>
      <c r="J88" s="28">
        <f ca="1">(IF(B82&gt;1,(H82/(B82+2)+J87),H82/4+J87))</f>
        <v>2</v>
      </c>
    </row>
    <row r="89" spans="1:10" ht="15.75" customHeight="1" x14ac:dyDescent="0.35">
      <c r="A89" s="74" t="s">
        <v>143</v>
      </c>
      <c r="B89" s="75" t="s">
        <v>136</v>
      </c>
      <c r="C89" s="49">
        <v>4</v>
      </c>
      <c r="D89" s="50">
        <f ca="1">((100/H82)*C89)/100</f>
        <v>1</v>
      </c>
      <c r="E89" s="86"/>
      <c r="F89" s="87"/>
      <c r="G89" s="86"/>
      <c r="H89" s="127"/>
      <c r="I89" s="14" t="s">
        <v>152</v>
      </c>
      <c r="J89" s="28">
        <f>(IF(B82&gt;1,(H82/(B82+2)+J88),0))</f>
        <v>0</v>
      </c>
    </row>
    <row r="90" spans="1:10" ht="15" customHeight="1" x14ac:dyDescent="0.35">
      <c r="A90" s="74" t="s">
        <v>141</v>
      </c>
      <c r="B90" s="75" t="s">
        <v>138</v>
      </c>
      <c r="C90" s="49">
        <v>3.5</v>
      </c>
      <c r="D90" s="50">
        <f ca="1">((100/(H82))*C90)/100</f>
        <v>0.875</v>
      </c>
      <c r="E90" s="86"/>
      <c r="F90" s="87"/>
      <c r="G90" s="86"/>
      <c r="H90" s="127"/>
      <c r="I90" s="14" t="s">
        <v>149</v>
      </c>
      <c r="J90" s="28">
        <f>(IF(B82&gt;2,(H82/(B82+2)+J89),0))</f>
        <v>0</v>
      </c>
    </row>
    <row r="91" spans="1:10" ht="15.75" customHeight="1" x14ac:dyDescent="0.35">
      <c r="A91" s="74" t="s">
        <v>137</v>
      </c>
      <c r="B91" s="75" t="s">
        <v>137</v>
      </c>
      <c r="C91" s="49">
        <v>0.5</v>
      </c>
      <c r="D91" s="50">
        <f ca="1">((100/H82)*C91)/100</f>
        <v>0.125</v>
      </c>
      <c r="E91" s="86"/>
      <c r="F91" s="87"/>
      <c r="G91" s="86"/>
      <c r="H91" s="127"/>
      <c r="I91" s="14" t="s">
        <v>150</v>
      </c>
      <c r="J91" s="29">
        <f>(IF(B82&gt;3,(H82/(B82+2)+J90),0))</f>
        <v>0</v>
      </c>
    </row>
    <row r="92" spans="1:10" ht="15.75" customHeight="1" x14ac:dyDescent="0.35">
      <c r="A92" s="74" t="s">
        <v>144</v>
      </c>
      <c r="B92" s="75"/>
      <c r="C92" s="49">
        <v>0</v>
      </c>
      <c r="D92" s="50">
        <f ca="1">((100/H82)*C92)/100</f>
        <v>0</v>
      </c>
      <c r="E92" s="86"/>
      <c r="F92" s="87"/>
      <c r="G92" s="86"/>
      <c r="H92" s="127"/>
      <c r="I92" s="14" t="s">
        <v>151</v>
      </c>
      <c r="J92" s="28">
        <f>(IF(B82&gt;4,(H82/(B82+2)+J91),0))</f>
        <v>0</v>
      </c>
    </row>
    <row r="93" spans="1:10" ht="15.75" customHeight="1" x14ac:dyDescent="0.35">
      <c r="A93" s="74" t="s">
        <v>139</v>
      </c>
      <c r="B93" s="75" t="s">
        <v>139</v>
      </c>
      <c r="C93" s="49">
        <v>0</v>
      </c>
      <c r="D93" s="50">
        <f ca="1">((100/(H82))*C93)/100</f>
        <v>0</v>
      </c>
      <c r="E93" s="86"/>
      <c r="F93" s="87"/>
      <c r="G93" s="86"/>
      <c r="H93" s="127"/>
      <c r="I93" s="14" t="s">
        <v>153</v>
      </c>
      <c r="J93" s="28">
        <f ca="1">(IF(B82=1,(H82/(B82+3)+J88),IF(B82=0,(H82/4+J88),IF(B82&gt;1,0))))</f>
        <v>3</v>
      </c>
    </row>
    <row r="94" spans="1:10" ht="16" thickBot="1" x14ac:dyDescent="0.4">
      <c r="A94" s="97" t="s">
        <v>140</v>
      </c>
      <c r="B94" s="98"/>
      <c r="C94" s="51">
        <v>0</v>
      </c>
      <c r="D94" s="52">
        <f ca="1">((100/(H82))*C94)/100</f>
        <v>0</v>
      </c>
      <c r="E94" s="88"/>
      <c r="F94" s="89"/>
      <c r="G94" s="88"/>
      <c r="H94" s="128"/>
      <c r="I94" s="15" t="s">
        <v>108</v>
      </c>
      <c r="J94" s="30">
        <f ca="1">(IF(B82&gt;1.5,(H82/(B82+2)+J88+MAX(0,J89-J88)+MAX(0,J90-J89)+MAX(0,J91-J90)+MAX(0,J92-J91)+MAX(0,J93-J92)),IF(B82=1,(H82/(B82+3)+J93),IF(B82=0,H82/4+J93))))</f>
        <v>4</v>
      </c>
    </row>
    <row r="95" spans="1:10" ht="15.75" customHeight="1" x14ac:dyDescent="0.35">
      <c r="A95" s="107" t="s">
        <v>146</v>
      </c>
      <c r="B95" s="108"/>
      <c r="C95" s="109" t="str">
        <f>D57</f>
        <v>Building No. 1 (Wing D) = G/St + 1st to 4th Floor</v>
      </c>
      <c r="D95" s="110"/>
      <c r="E95" s="110"/>
      <c r="F95" s="110"/>
      <c r="G95" s="110"/>
      <c r="H95" s="111"/>
      <c r="I95" s="55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 Completed, External Plaster upto 2.5 Floor, Flooring upto 0.5 Floor Completed</v>
      </c>
      <c r="J95" s="40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External Plaster upto 2.5 Floor, Flooring upto 0.5 Floor</v>
      </c>
    </row>
    <row r="96" spans="1:10" x14ac:dyDescent="0.35">
      <c r="A96" s="16" t="s">
        <v>148</v>
      </c>
      <c r="B96" s="47">
        <v>0</v>
      </c>
      <c r="C96" s="47" t="s">
        <v>76</v>
      </c>
      <c r="D96" s="47">
        <v>1</v>
      </c>
      <c r="E96" s="47" t="s">
        <v>75</v>
      </c>
      <c r="F96" s="47">
        <v>0</v>
      </c>
      <c r="G96" s="47" t="s">
        <v>84</v>
      </c>
      <c r="H96" s="17">
        <f ca="1">--TRIM(RIGHT(SUBSTITUTE(LEFT(C95,_xlfn.AGGREGATE(16,6,FIND({0,1,2,3,4,5,6,7,8,9},C95,ROW(INDIRECT("1:"&amp;LEN(C95)))),1))," ",REPT(" ",LEN(C95))),LEN(C95)))</f>
        <v>4</v>
      </c>
      <c r="I96" s="41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</v>
      </c>
      <c r="J96" s="42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5" customHeight="1" x14ac:dyDescent="0.35">
      <c r="A97" s="122" t="s">
        <v>94</v>
      </c>
      <c r="B97" s="122"/>
      <c r="C97" s="123" t="str">
        <f ca="1">(IF($G$50="NA",I95,"All work Completed. OC Received."))</f>
        <v>Excavation, Plinth, RCC Slab, Brickwork, Internal Plaster Completed, External Plaster upto 2.5 Floor, Flooring upto 0.5 Floor Completed</v>
      </c>
      <c r="D97" s="123"/>
      <c r="E97" s="123"/>
      <c r="F97" s="123"/>
      <c r="G97" s="123"/>
      <c r="H97" s="123"/>
      <c r="I97" s="62" t="str">
        <f ca="1">IF(I96&lt;&gt;""," Completed","")</f>
        <v xml:space="preserve"> Completed</v>
      </c>
      <c r="J97" s="42" t="str">
        <f ca="1">IF(J95&lt;&gt;"","Completed","")</f>
        <v>Completed</v>
      </c>
    </row>
    <row r="98" spans="1:10" ht="15.75" customHeight="1" x14ac:dyDescent="0.35">
      <c r="A98" s="75" t="s">
        <v>52</v>
      </c>
      <c r="B98" s="75"/>
      <c r="C98" s="60" t="s">
        <v>145</v>
      </c>
      <c r="D98" s="60" t="s">
        <v>87</v>
      </c>
      <c r="E98" s="75" t="s">
        <v>89</v>
      </c>
      <c r="F98" s="75"/>
      <c r="G98" s="75" t="s">
        <v>88</v>
      </c>
      <c r="H98" s="75"/>
      <c r="I98" s="14" t="s">
        <v>147</v>
      </c>
      <c r="J98" s="26">
        <f ca="1">H96*25%</f>
        <v>1</v>
      </c>
    </row>
    <row r="99" spans="1:10" x14ac:dyDescent="0.35">
      <c r="A99" s="75" t="s">
        <v>134</v>
      </c>
      <c r="B99" s="75"/>
      <c r="C99" s="60">
        <f ca="1">J100</f>
        <v>4</v>
      </c>
      <c r="D99" s="50">
        <f ca="1">((100/H96)*C99)/100</f>
        <v>1</v>
      </c>
      <c r="E99" s="197">
        <f ca="1">(((C100/H96*10)+(40/(D96+F96+H96)*C101)+(7.5/(H96)*C102)+(7.5/(H96)*C103)+(10/H96*C104)+(10/H96*C105)+(5/H96*C106)+(5/H96*C107)+(5/H96*C108))/100)</f>
        <v>0.72499999999999998</v>
      </c>
      <c r="F99" s="197"/>
      <c r="G99" s="197">
        <f ca="1">((((C99/H96)*20)+((C100/H96)*25)+(30/(H96+F96+D96)*C101)+(5/H96*C102)+(5/H96*C103)+(5/H96*C104)+(5/H96*C105)+(0/H96*C106)+(0/H96*C107)+(5/H96*C108))/100)</f>
        <v>0.88749999999999996</v>
      </c>
      <c r="H99" s="197"/>
      <c r="I99" s="14" t="s">
        <v>104</v>
      </c>
      <c r="J99" s="27">
        <f ca="1">H96*50%</f>
        <v>2</v>
      </c>
    </row>
    <row r="100" spans="1:10" x14ac:dyDescent="0.35">
      <c r="A100" s="75" t="s">
        <v>53</v>
      </c>
      <c r="B100" s="75"/>
      <c r="C100" s="60">
        <f ca="1">J108</f>
        <v>4</v>
      </c>
      <c r="D100" s="50">
        <f ca="1">((100/H96)*C100)/100</f>
        <v>1</v>
      </c>
      <c r="E100" s="197"/>
      <c r="F100" s="197"/>
      <c r="G100" s="197"/>
      <c r="H100" s="197"/>
      <c r="I100" s="14" t="s">
        <v>105</v>
      </c>
      <c r="J100" s="27">
        <f ca="1">H96</f>
        <v>4</v>
      </c>
    </row>
    <row r="101" spans="1:10" ht="15.75" customHeight="1" x14ac:dyDescent="0.35">
      <c r="A101" s="75" t="s">
        <v>135</v>
      </c>
      <c r="B101" s="75"/>
      <c r="C101" s="60">
        <v>5</v>
      </c>
      <c r="D101" s="50">
        <f ca="1">((100/(D96+F96+H96))*C101)/100</f>
        <v>1</v>
      </c>
      <c r="E101" s="197"/>
      <c r="F101" s="197"/>
      <c r="G101" s="197"/>
      <c r="H101" s="197"/>
      <c r="I101" s="14" t="s">
        <v>106</v>
      </c>
      <c r="J101" s="28">
        <f ca="1">(IF(B96&gt;1,(H96/(B96+2)),H96/4))</f>
        <v>1</v>
      </c>
    </row>
    <row r="102" spans="1:10" ht="15.75" customHeight="1" x14ac:dyDescent="0.35">
      <c r="A102" s="75" t="s">
        <v>142</v>
      </c>
      <c r="B102" s="75" t="s">
        <v>136</v>
      </c>
      <c r="C102" s="60">
        <v>4</v>
      </c>
      <c r="D102" s="50">
        <f ca="1">((100/H96)*C102)/100</f>
        <v>1</v>
      </c>
      <c r="E102" s="197"/>
      <c r="F102" s="197"/>
      <c r="G102" s="197"/>
      <c r="H102" s="197"/>
      <c r="I102" s="14" t="s">
        <v>107</v>
      </c>
      <c r="J102" s="28">
        <f ca="1">(IF(B96&gt;1,(H96/(B96+2)+J101),H96/4+J101))</f>
        <v>2</v>
      </c>
    </row>
    <row r="103" spans="1:10" ht="15.75" customHeight="1" x14ac:dyDescent="0.35">
      <c r="A103" s="75" t="s">
        <v>143</v>
      </c>
      <c r="B103" s="75" t="s">
        <v>136</v>
      </c>
      <c r="C103" s="60">
        <v>4</v>
      </c>
      <c r="D103" s="50">
        <f ca="1">((100/H96)*C103)/100</f>
        <v>1</v>
      </c>
      <c r="E103" s="197"/>
      <c r="F103" s="197"/>
      <c r="G103" s="197"/>
      <c r="H103" s="197"/>
      <c r="I103" s="14" t="s">
        <v>152</v>
      </c>
      <c r="J103" s="28">
        <f>(IF(B96&gt;1,(H96/(B96+2)+J102),0))</f>
        <v>0</v>
      </c>
    </row>
    <row r="104" spans="1:10" ht="15" customHeight="1" x14ac:dyDescent="0.35">
      <c r="A104" s="75" t="s">
        <v>141</v>
      </c>
      <c r="B104" s="75" t="s">
        <v>138</v>
      </c>
      <c r="C104" s="60">
        <v>2.5</v>
      </c>
      <c r="D104" s="50">
        <f ca="1">((100/(H96))*C104)/100</f>
        <v>0.625</v>
      </c>
      <c r="E104" s="197"/>
      <c r="F104" s="197"/>
      <c r="G104" s="197"/>
      <c r="H104" s="197"/>
      <c r="I104" s="14" t="s">
        <v>149</v>
      </c>
      <c r="J104" s="28">
        <f>(IF(B96&gt;2,(H96/(B96+2)+J103),0))</f>
        <v>0</v>
      </c>
    </row>
    <row r="105" spans="1:10" ht="15.75" customHeight="1" x14ac:dyDescent="0.35">
      <c r="A105" s="75" t="s">
        <v>137</v>
      </c>
      <c r="B105" s="75" t="s">
        <v>137</v>
      </c>
      <c r="C105" s="60">
        <v>0.5</v>
      </c>
      <c r="D105" s="50">
        <f ca="1">((100/H96)*C105)/100</f>
        <v>0.125</v>
      </c>
      <c r="E105" s="197"/>
      <c r="F105" s="197"/>
      <c r="G105" s="197"/>
      <c r="H105" s="197"/>
      <c r="I105" s="14" t="s">
        <v>150</v>
      </c>
      <c r="J105" s="29">
        <f>(IF(B96&gt;3,(H96/(B96+2)+J104),0))</f>
        <v>0</v>
      </c>
    </row>
    <row r="106" spans="1:10" ht="15.75" customHeight="1" x14ac:dyDescent="0.35">
      <c r="A106" s="75" t="s">
        <v>144</v>
      </c>
      <c r="B106" s="75"/>
      <c r="C106" s="60">
        <v>0</v>
      </c>
      <c r="D106" s="50">
        <f ca="1">((100/H96)*C106)/100</f>
        <v>0</v>
      </c>
      <c r="E106" s="197"/>
      <c r="F106" s="197"/>
      <c r="G106" s="197"/>
      <c r="H106" s="197"/>
      <c r="I106" s="14" t="s">
        <v>151</v>
      </c>
      <c r="J106" s="28">
        <f>(IF(B96&gt;4,(H96/(B96+2)+J105),0))</f>
        <v>0</v>
      </c>
    </row>
    <row r="107" spans="1:10" ht="15.75" customHeight="1" x14ac:dyDescent="0.35">
      <c r="A107" s="75" t="s">
        <v>139</v>
      </c>
      <c r="B107" s="75" t="s">
        <v>139</v>
      </c>
      <c r="C107" s="60">
        <v>0</v>
      </c>
      <c r="D107" s="50">
        <f ca="1">((100/(H96))*C107)/100</f>
        <v>0</v>
      </c>
      <c r="E107" s="197"/>
      <c r="F107" s="197"/>
      <c r="G107" s="197"/>
      <c r="H107" s="197"/>
      <c r="I107" s="14" t="s">
        <v>153</v>
      </c>
      <c r="J107" s="28">
        <f ca="1">(IF(B96=1,(H96/(B96+3)+J102),IF(B96=0,(H96/4+J102),IF(B96&gt;1,0))))</f>
        <v>3</v>
      </c>
    </row>
    <row r="108" spans="1:10" ht="16" thickBot="1" x14ac:dyDescent="0.4">
      <c r="A108" s="75" t="s">
        <v>140</v>
      </c>
      <c r="B108" s="75"/>
      <c r="C108" s="60">
        <v>0</v>
      </c>
      <c r="D108" s="50">
        <f ca="1">((100/(H96))*C108)/100</f>
        <v>0</v>
      </c>
      <c r="E108" s="197"/>
      <c r="F108" s="197"/>
      <c r="G108" s="197"/>
      <c r="H108" s="197"/>
      <c r="I108" s="15" t="s">
        <v>108</v>
      </c>
      <c r="J108" s="30">
        <f ca="1">(IF(B96&gt;1.5,(H96/(B96+2)+J102+MAX(0,J103-J102)+MAX(0,J104-J103)+MAX(0,J105-J104)+MAX(0,J106-J105)+MAX(0,J107-J106)),IF(B96=1,(H96/(B96+3)+J107),IF(B96=0,H96/4+J107))))</f>
        <v>4</v>
      </c>
    </row>
    <row r="109" spans="1:10" ht="15.75" customHeight="1" x14ac:dyDescent="0.35">
      <c r="A109" s="198" t="s">
        <v>146</v>
      </c>
      <c r="B109" s="199"/>
      <c r="C109" s="200" t="str">
        <f>D58</f>
        <v>Building No. 1 (Wing E) = G/St + 1st to 4th Floor</v>
      </c>
      <c r="D109" s="201"/>
      <c r="E109" s="201"/>
      <c r="F109" s="201"/>
      <c r="G109" s="201"/>
      <c r="H109" s="202"/>
      <c r="I109" s="55" t="str">
        <f ca="1">IF(D122=100%,"All work Completed. Possession granted to the Building.",IF(D121=100%,"All work Completed, Waiting for OC",I110&amp;""&amp;I111&amp;""&amp;J110&amp;""&amp;J109&amp;" "&amp;J111))</f>
        <v>Excavation, Plinth, RCC Slab Completed, Brickwork upto 2.5 Floor Completed</v>
      </c>
      <c r="J109" s="40" t="str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>, Brickwork upto 2.5 Floor</v>
      </c>
    </row>
    <row r="110" spans="1:10" x14ac:dyDescent="0.35">
      <c r="A110" s="16" t="s">
        <v>148</v>
      </c>
      <c r="B110" s="47">
        <v>0</v>
      </c>
      <c r="C110" s="47" t="s">
        <v>76</v>
      </c>
      <c r="D110" s="47">
        <v>1</v>
      </c>
      <c r="E110" s="47" t="s">
        <v>75</v>
      </c>
      <c r="F110" s="47">
        <v>0</v>
      </c>
      <c r="G110" s="47" t="s">
        <v>84</v>
      </c>
      <c r="H110" s="17">
        <f ca="1">--TRIM(RIGHT(SUBSTITUTE(LEFT(C109,_xlfn.AGGREGATE(16,6,FIND({0,1,2,3,4,5,6,7,8,9},C109,ROW(INDIRECT("1:"&amp;LEN(C109)))),1))," ",REPT(" ",LEN(C109))),LEN(C109)))</f>
        <v>4</v>
      </c>
      <c r="I110" s="41" t="str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Excavation, Plinth, RCC Slab</v>
      </c>
      <c r="J110" s="42" t="str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/>
      </c>
    </row>
    <row r="111" spans="1:10" x14ac:dyDescent="0.35">
      <c r="A111" s="121" t="s">
        <v>94</v>
      </c>
      <c r="B111" s="122"/>
      <c r="C111" s="123" t="str">
        <f ca="1">(IF($G$50="NA",I109,"All work Completed. OC Received."))</f>
        <v>Excavation, Plinth, RCC Slab Completed, Brickwork upto 2.5 Floor Completed</v>
      </c>
      <c r="D111" s="123"/>
      <c r="E111" s="123"/>
      <c r="F111" s="123"/>
      <c r="G111" s="123"/>
      <c r="H111" s="124"/>
      <c r="I111" s="41" t="str">
        <f ca="1">IF(I110&lt;&gt;""," Completed","")</f>
        <v xml:space="preserve"> Completed</v>
      </c>
      <c r="J111" s="42" t="str">
        <f ca="1">IF(J109&lt;&gt;"","Completed","")</f>
        <v>Completed</v>
      </c>
    </row>
    <row r="112" spans="1:10" ht="15.75" customHeight="1" x14ac:dyDescent="0.35">
      <c r="A112" s="74" t="s">
        <v>52</v>
      </c>
      <c r="B112" s="75"/>
      <c r="C112" s="49" t="s">
        <v>145</v>
      </c>
      <c r="D112" s="49" t="s">
        <v>87</v>
      </c>
      <c r="E112" s="75" t="s">
        <v>89</v>
      </c>
      <c r="F112" s="75"/>
      <c r="G112" s="75" t="s">
        <v>88</v>
      </c>
      <c r="H112" s="83"/>
      <c r="I112" s="14" t="s">
        <v>147</v>
      </c>
      <c r="J112" s="26">
        <f ca="1">H110*25%</f>
        <v>1</v>
      </c>
    </row>
    <row r="113" spans="1:10" x14ac:dyDescent="0.35">
      <c r="A113" s="74" t="s">
        <v>134</v>
      </c>
      <c r="B113" s="75"/>
      <c r="C113" s="49">
        <f ca="1">J114</f>
        <v>4</v>
      </c>
      <c r="D113" s="50">
        <f ca="1">((100/H110)*C113)/100</f>
        <v>1</v>
      </c>
      <c r="E113" s="84">
        <f ca="1">(((C114/H110*10)+(40/(D110+F110+H110)*C115)+(7.5/(H110)*C116)+(7.5/(H110)*C117)+(10/H110*C118)+(10/H110*C119)+(5/H110*C120)+(5/H110*C121)+(5/H110*C122))/100)</f>
        <v>0.546875</v>
      </c>
      <c r="F113" s="85"/>
      <c r="G113" s="84">
        <f ca="1">((((C113/H110)*20)+((C114/H110)*25)+(30/(H110+F110+D110)*C115)+(5/H110*C116)+(5/H110*C117)+(5/H110*C118)+(5/H110*C119)+(0/H110*C120)+(0/H110*C121)+(5/H110*C122))/100)</f>
        <v>0.78125</v>
      </c>
      <c r="H113" s="126"/>
      <c r="I113" s="14" t="s">
        <v>104</v>
      </c>
      <c r="J113" s="27">
        <f ca="1">H110*50%</f>
        <v>2</v>
      </c>
    </row>
    <row r="114" spans="1:10" x14ac:dyDescent="0.35">
      <c r="A114" s="74" t="s">
        <v>53</v>
      </c>
      <c r="B114" s="75"/>
      <c r="C114" s="49">
        <f ca="1">J122</f>
        <v>4</v>
      </c>
      <c r="D114" s="50">
        <f ca="1">((100/H110)*C114)/100</f>
        <v>1</v>
      </c>
      <c r="E114" s="86"/>
      <c r="F114" s="87"/>
      <c r="G114" s="86"/>
      <c r="H114" s="127"/>
      <c r="I114" s="14" t="s">
        <v>105</v>
      </c>
      <c r="J114" s="27">
        <f ca="1">H110</f>
        <v>4</v>
      </c>
    </row>
    <row r="115" spans="1:10" ht="15.75" customHeight="1" x14ac:dyDescent="0.35">
      <c r="A115" s="74" t="s">
        <v>135</v>
      </c>
      <c r="B115" s="75"/>
      <c r="C115" s="49">
        <v>5</v>
      </c>
      <c r="D115" s="50">
        <f ca="1">((100/(D110+F110+H110))*C115)/100</f>
        <v>1</v>
      </c>
      <c r="E115" s="86"/>
      <c r="F115" s="87"/>
      <c r="G115" s="86"/>
      <c r="H115" s="127"/>
      <c r="I115" s="14" t="s">
        <v>106</v>
      </c>
      <c r="J115" s="28">
        <f ca="1">(IF(B110&gt;1,(H110/(B110+2)),H110/4))</f>
        <v>1</v>
      </c>
    </row>
    <row r="116" spans="1:10" ht="15.75" customHeight="1" x14ac:dyDescent="0.35">
      <c r="A116" s="74" t="s">
        <v>142</v>
      </c>
      <c r="B116" s="75" t="s">
        <v>136</v>
      </c>
      <c r="C116" s="49">
        <v>2.5</v>
      </c>
      <c r="D116" s="50">
        <f ca="1">((100/H110)*C116)/100</f>
        <v>0.625</v>
      </c>
      <c r="E116" s="86"/>
      <c r="F116" s="87"/>
      <c r="G116" s="86"/>
      <c r="H116" s="127"/>
      <c r="I116" s="14" t="s">
        <v>107</v>
      </c>
      <c r="J116" s="28">
        <f ca="1">(IF(B110&gt;1,(H110/(B110+2)+J115),H110/4+J115))</f>
        <v>2</v>
      </c>
    </row>
    <row r="117" spans="1:10" ht="15.75" customHeight="1" x14ac:dyDescent="0.35">
      <c r="A117" s="74" t="s">
        <v>143</v>
      </c>
      <c r="B117" s="75" t="s">
        <v>136</v>
      </c>
      <c r="C117" s="49">
        <v>0</v>
      </c>
      <c r="D117" s="50">
        <f ca="1">((100/H110)*C117)/100</f>
        <v>0</v>
      </c>
      <c r="E117" s="86"/>
      <c r="F117" s="87"/>
      <c r="G117" s="86"/>
      <c r="H117" s="127"/>
      <c r="I117" s="14" t="s">
        <v>152</v>
      </c>
      <c r="J117" s="28">
        <f>(IF(B110&gt;1,(H110/(B110+2)+J116),0))</f>
        <v>0</v>
      </c>
    </row>
    <row r="118" spans="1:10" ht="15" customHeight="1" x14ac:dyDescent="0.35">
      <c r="A118" s="74" t="s">
        <v>141</v>
      </c>
      <c r="B118" s="75" t="s">
        <v>138</v>
      </c>
      <c r="C118" s="49">
        <v>0</v>
      </c>
      <c r="D118" s="50">
        <f ca="1">((100/(H110))*C118)/100</f>
        <v>0</v>
      </c>
      <c r="E118" s="86"/>
      <c r="F118" s="87"/>
      <c r="G118" s="86"/>
      <c r="H118" s="127"/>
      <c r="I118" s="14" t="s">
        <v>149</v>
      </c>
      <c r="J118" s="28">
        <f>(IF(B110&gt;2,(H110/(B110+2)+J117),0))</f>
        <v>0</v>
      </c>
    </row>
    <row r="119" spans="1:10" ht="15.75" customHeight="1" x14ac:dyDescent="0.35">
      <c r="A119" s="74" t="s">
        <v>137</v>
      </c>
      <c r="B119" s="75" t="s">
        <v>137</v>
      </c>
      <c r="C119" s="49">
        <v>0</v>
      </c>
      <c r="D119" s="50">
        <f ca="1">((100/H110)*C119)/100</f>
        <v>0</v>
      </c>
      <c r="E119" s="86"/>
      <c r="F119" s="87"/>
      <c r="G119" s="86"/>
      <c r="H119" s="127"/>
      <c r="I119" s="14" t="s">
        <v>150</v>
      </c>
      <c r="J119" s="29">
        <f>(IF(B110&gt;3,(H110/(B110+2)+J118),0))</f>
        <v>0</v>
      </c>
    </row>
    <row r="120" spans="1:10" ht="15.75" customHeight="1" x14ac:dyDescent="0.35">
      <c r="A120" s="74" t="s">
        <v>144</v>
      </c>
      <c r="B120" s="75"/>
      <c r="C120" s="49">
        <v>0</v>
      </c>
      <c r="D120" s="50">
        <f ca="1">((100/H110)*C120)/100</f>
        <v>0</v>
      </c>
      <c r="E120" s="86"/>
      <c r="F120" s="87"/>
      <c r="G120" s="86"/>
      <c r="H120" s="127"/>
      <c r="I120" s="14" t="s">
        <v>151</v>
      </c>
      <c r="J120" s="28">
        <f>(IF(B110&gt;4,(H110/(B110+2)+J119),0))</f>
        <v>0</v>
      </c>
    </row>
    <row r="121" spans="1:10" ht="15.75" customHeight="1" x14ac:dyDescent="0.35">
      <c r="A121" s="74" t="s">
        <v>139</v>
      </c>
      <c r="B121" s="75" t="s">
        <v>139</v>
      </c>
      <c r="C121" s="49">
        <v>0</v>
      </c>
      <c r="D121" s="50">
        <f ca="1">((100/(H110))*C121)/100</f>
        <v>0</v>
      </c>
      <c r="E121" s="86"/>
      <c r="F121" s="87"/>
      <c r="G121" s="86"/>
      <c r="H121" s="127"/>
      <c r="I121" s="14" t="s">
        <v>153</v>
      </c>
      <c r="J121" s="28">
        <f ca="1">(IF(B110=1,(H110/(B110+3)+J116),IF(B110=0,(H110/4+J116),IF(B110&gt;1,0))))</f>
        <v>3</v>
      </c>
    </row>
    <row r="122" spans="1:10" ht="16" thickBot="1" x14ac:dyDescent="0.4">
      <c r="A122" s="97" t="s">
        <v>140</v>
      </c>
      <c r="B122" s="98"/>
      <c r="C122" s="51">
        <v>0</v>
      </c>
      <c r="D122" s="52">
        <f ca="1">((100/(H110))*C122)/100</f>
        <v>0</v>
      </c>
      <c r="E122" s="88"/>
      <c r="F122" s="89"/>
      <c r="G122" s="88"/>
      <c r="H122" s="128"/>
      <c r="I122" s="15" t="s">
        <v>108</v>
      </c>
      <c r="J122" s="30">
        <f ca="1">(IF(B110&gt;1.5,(H110/(B110+2)+J116+MAX(0,J117-J116)+MAX(0,J118-J117)+MAX(0,J119-J118)+MAX(0,J120-J119)+MAX(0,J121-J120)),IF(B110=1,(H110/(B110+3)+J121),IF(B110=0,H110/4+J121))))</f>
        <v>4</v>
      </c>
    </row>
    <row r="123" spans="1:10" ht="15.75" customHeight="1" x14ac:dyDescent="0.35">
      <c r="A123" s="107" t="s">
        <v>146</v>
      </c>
      <c r="B123" s="108"/>
      <c r="C123" s="109" t="str">
        <f>D59</f>
        <v>Building No. 2 (Wing A) = G/St + 1st to 4th Floor</v>
      </c>
      <c r="D123" s="110"/>
      <c r="E123" s="110"/>
      <c r="F123" s="110"/>
      <c r="G123" s="110"/>
      <c r="H123" s="111"/>
      <c r="I123" s="55" t="str">
        <f ca="1">IF(D136=100%,"All work Completed. Possession granted to the Building.",IF(D135=100%,"All work Completed, Waiting for OC",I124&amp;""&amp;I125&amp;""&amp;J124&amp;""&amp;J123&amp;" "&amp;J125))</f>
        <v xml:space="preserve">Excavation, Plinth Completed </v>
      </c>
      <c r="J123" s="40" t="str">
        <f ca="1">(IF(C129=(D124+F124+H124),"",IF(C129&gt;0,", RCC upto "&amp;C129&amp;" Slab","")))&amp;(IF(C130=H124,"",IF(C130&gt;0,", Brickwork upto "&amp;C130&amp;" Floor","")))&amp;(IF(C131=H124,"",IF(C131&gt;0,", Internal Plaster upto "&amp;C131&amp;" Floor","")))&amp;(IF(C132=H124,"",IF(C132&gt;0,", External Plaster upto "&amp;C132&amp;" Floor","")))&amp;(IF(C133=H124,"",IF(C133&gt;0,", Flooring upto "&amp;C133&amp;" Floor","")))&amp;(IF(C134=H124,"",IF(C134&gt;0,", Painting upto "&amp;C134&amp;" Floor","")))&amp;(IF(C135=H124,"",IF(C135&gt;0,", Finishing upto "&amp;C135&amp;" Floor","")))&amp;(IF(C136=H124,"",IF(C136&gt;0,", Possession upto "&amp;C136&amp;" Floor","")))</f>
        <v/>
      </c>
    </row>
    <row r="124" spans="1:10" x14ac:dyDescent="0.35">
      <c r="A124" s="16" t="s">
        <v>148</v>
      </c>
      <c r="B124" s="47">
        <v>0</v>
      </c>
      <c r="C124" s="47" t="s">
        <v>76</v>
      </c>
      <c r="D124" s="47">
        <v>1</v>
      </c>
      <c r="E124" s="47" t="s">
        <v>75</v>
      </c>
      <c r="F124" s="47">
        <v>0</v>
      </c>
      <c r="G124" s="47" t="s">
        <v>84</v>
      </c>
      <c r="H124" s="17">
        <f ca="1">--TRIM(RIGHT(SUBSTITUTE(LEFT(C123,_xlfn.AGGREGATE(16,6,FIND({0,1,2,3,4,5,6,7,8,9},C123,ROW(INDIRECT("1:"&amp;LEN(C123)))),1))," ",REPT(" ",LEN(C123))),LEN(C123)))</f>
        <v>4</v>
      </c>
      <c r="I124" s="41" t="str">
        <f ca="1">IF(D127=100%,"Excavation","")&amp;IF(D128=100%,", Plinth","")&amp;IF(D129=100%,", RCC Slab","")&amp;IF(D130=100%,", Brickwork","")&amp;IF(D131=100%,", Internal Plaster","")&amp;IF(D132=100%,", External Plaster","")&amp;IF(D133=100%,", Flooring","")&amp;IF(D134=100%,", Painting","")&amp;IF(D135=100%,", Building common Amenities","")</f>
        <v>Excavation, Plinth</v>
      </c>
      <c r="J124" s="42" t="str">
        <f ca="1">(IF(C127=0,"Work not yet Started.",IF(D127=25%,"Piling work in process",IF(D127=50%,"Excavation work in process",IF(D127=100%,"","0")))))&amp;(IF(C128=0%,"",IF(C128=J129,", Footing work is process",IF(C128=J130,", Footing work Completed",IF(C128=J131,", 1st Basement Completed",IF(C128=J132,", 1st &amp; 2nd Basement Completed",IF(C128=J133,", 1st to 3rd Basement Completed",IF(C128=J134,", 1st to 4th Basement Completed",IF(C128=J135,", Plinth work is process",IF(C128=J136,"","0"))))))))))</f>
        <v/>
      </c>
    </row>
    <row r="125" spans="1:10" x14ac:dyDescent="0.35">
      <c r="A125" s="121" t="s">
        <v>94</v>
      </c>
      <c r="B125" s="122"/>
      <c r="C125" s="123" t="str">
        <f ca="1">(IF($G$50="NA",I123,"All work Completed. OC Received."))</f>
        <v xml:space="preserve">Excavation, Plinth Completed </v>
      </c>
      <c r="D125" s="123"/>
      <c r="E125" s="123"/>
      <c r="F125" s="123"/>
      <c r="G125" s="123"/>
      <c r="H125" s="124"/>
      <c r="I125" s="41" t="str">
        <f ca="1">IF(I124&lt;&gt;""," Completed","")</f>
        <v xml:space="preserve"> Completed</v>
      </c>
      <c r="J125" s="42" t="str">
        <f ca="1">IF(J123&lt;&gt;"","Completed","")</f>
        <v/>
      </c>
    </row>
    <row r="126" spans="1:10" ht="15.75" customHeight="1" x14ac:dyDescent="0.35">
      <c r="A126" s="74" t="s">
        <v>52</v>
      </c>
      <c r="B126" s="75"/>
      <c r="C126" s="49" t="s">
        <v>145</v>
      </c>
      <c r="D126" s="49" t="s">
        <v>87</v>
      </c>
      <c r="E126" s="75" t="s">
        <v>89</v>
      </c>
      <c r="F126" s="75"/>
      <c r="G126" s="75" t="s">
        <v>88</v>
      </c>
      <c r="H126" s="83"/>
      <c r="I126" s="14" t="s">
        <v>147</v>
      </c>
      <c r="J126" s="26">
        <f ca="1">H124*25%</f>
        <v>1</v>
      </c>
    </row>
    <row r="127" spans="1:10" x14ac:dyDescent="0.35">
      <c r="A127" s="74" t="s">
        <v>134</v>
      </c>
      <c r="B127" s="75"/>
      <c r="C127" s="49">
        <f ca="1">J128</f>
        <v>4</v>
      </c>
      <c r="D127" s="50">
        <f ca="1">((100/H124)*C127)/100</f>
        <v>1</v>
      </c>
      <c r="E127" s="84">
        <f ca="1">(((C128/H124*10)+(40/(D124+F124+H124)*C129)+(7.5/(H124)*C130)+(7.5/(H124)*C131)+(10/H124*C132)+(10/H124*C133)+(5/H124*C134)+(5/H124*C135)+(5/H124*C136))/100)</f>
        <v>0.1</v>
      </c>
      <c r="F127" s="85"/>
      <c r="G127" s="84">
        <f ca="1">((((C127/H124)*20)+((C128/H124)*25)+(30/(H124+F124+D124)*C129)+(5/H124*C130)+(5/H124*C131)+(5/H124*C132)+(5/H124*C133)+(0/H124*C134)+(0/H124*C135)+(5/H124*C136))/100)</f>
        <v>0.45</v>
      </c>
      <c r="H127" s="126"/>
      <c r="I127" s="14" t="s">
        <v>104</v>
      </c>
      <c r="J127" s="27">
        <f ca="1">H124*50%</f>
        <v>2</v>
      </c>
    </row>
    <row r="128" spans="1:10" x14ac:dyDescent="0.35">
      <c r="A128" s="74" t="s">
        <v>53</v>
      </c>
      <c r="B128" s="75"/>
      <c r="C128" s="53">
        <v>4</v>
      </c>
      <c r="D128" s="50">
        <f ca="1">((100/H124)*C128)/100</f>
        <v>1</v>
      </c>
      <c r="E128" s="86"/>
      <c r="F128" s="87"/>
      <c r="G128" s="86"/>
      <c r="H128" s="127"/>
      <c r="I128" s="14" t="s">
        <v>105</v>
      </c>
      <c r="J128" s="27">
        <f ca="1">H124</f>
        <v>4</v>
      </c>
    </row>
    <row r="129" spans="1:13" ht="15.75" customHeight="1" x14ac:dyDescent="0.35">
      <c r="A129" s="74" t="s">
        <v>135</v>
      </c>
      <c r="B129" s="75"/>
      <c r="C129" s="53">
        <v>0</v>
      </c>
      <c r="D129" s="50">
        <f ca="1">((100/(D124+F124+H124))*C129)/100</f>
        <v>0</v>
      </c>
      <c r="E129" s="86"/>
      <c r="F129" s="87"/>
      <c r="G129" s="86"/>
      <c r="H129" s="127"/>
      <c r="I129" s="14" t="s">
        <v>106</v>
      </c>
      <c r="J129" s="28">
        <f ca="1">(IF(B124&gt;1,(H124/(B124+2)),H124/4))</f>
        <v>1</v>
      </c>
    </row>
    <row r="130" spans="1:13" ht="15.75" customHeight="1" x14ac:dyDescent="0.35">
      <c r="A130" s="74" t="s">
        <v>142</v>
      </c>
      <c r="B130" s="75" t="s">
        <v>136</v>
      </c>
      <c r="C130" s="49">
        <v>0</v>
      </c>
      <c r="D130" s="50">
        <f ca="1">((100/H124)*C130)/100</f>
        <v>0</v>
      </c>
      <c r="E130" s="86"/>
      <c r="F130" s="87"/>
      <c r="G130" s="86"/>
      <c r="H130" s="127"/>
      <c r="I130" s="14" t="s">
        <v>107</v>
      </c>
      <c r="J130" s="28">
        <f ca="1">(IF(B124&gt;1,(H124/(B124+2)+J129),H124/4+J129))</f>
        <v>2</v>
      </c>
    </row>
    <row r="131" spans="1:13" ht="15.75" customHeight="1" x14ac:dyDescent="0.35">
      <c r="A131" s="74" t="s">
        <v>143</v>
      </c>
      <c r="B131" s="75" t="s">
        <v>136</v>
      </c>
      <c r="C131" s="49">
        <v>0</v>
      </c>
      <c r="D131" s="50">
        <f ca="1">((100/H124)*C131)/100</f>
        <v>0</v>
      </c>
      <c r="E131" s="86"/>
      <c r="F131" s="87"/>
      <c r="G131" s="86"/>
      <c r="H131" s="127"/>
      <c r="I131" s="14" t="s">
        <v>152</v>
      </c>
      <c r="J131" s="28">
        <f>(IF(B124&gt;1,(H124/(B124+2)+J130),0))</f>
        <v>0</v>
      </c>
    </row>
    <row r="132" spans="1:13" ht="15" customHeight="1" x14ac:dyDescent="0.35">
      <c r="A132" s="74" t="s">
        <v>141</v>
      </c>
      <c r="B132" s="75" t="s">
        <v>138</v>
      </c>
      <c r="C132" s="49">
        <v>0</v>
      </c>
      <c r="D132" s="50">
        <f ca="1">((100/(H124))*C132)/100</f>
        <v>0</v>
      </c>
      <c r="E132" s="86"/>
      <c r="F132" s="87"/>
      <c r="G132" s="86"/>
      <c r="H132" s="127"/>
      <c r="I132" s="14" t="s">
        <v>149</v>
      </c>
      <c r="J132" s="28">
        <f>(IF(B124&gt;2,(H124/(B124+2)+J131),0))</f>
        <v>0</v>
      </c>
    </row>
    <row r="133" spans="1:13" ht="15.75" customHeight="1" x14ac:dyDescent="0.35">
      <c r="A133" s="74" t="s">
        <v>137</v>
      </c>
      <c r="B133" s="75" t="s">
        <v>137</v>
      </c>
      <c r="C133" s="49">
        <v>0</v>
      </c>
      <c r="D133" s="50">
        <f ca="1">((100/H124)*C133)/100</f>
        <v>0</v>
      </c>
      <c r="E133" s="86"/>
      <c r="F133" s="87"/>
      <c r="G133" s="86"/>
      <c r="H133" s="127"/>
      <c r="I133" s="14" t="s">
        <v>150</v>
      </c>
      <c r="J133" s="29">
        <f>(IF(B124&gt;3,(H124/(B124+2)+J132),0))</f>
        <v>0</v>
      </c>
    </row>
    <row r="134" spans="1:13" ht="15.75" customHeight="1" x14ac:dyDescent="0.35">
      <c r="A134" s="74" t="s">
        <v>144</v>
      </c>
      <c r="B134" s="75"/>
      <c r="C134" s="49">
        <v>0</v>
      </c>
      <c r="D134" s="50">
        <f ca="1">((100/H124)*C134)/100</f>
        <v>0</v>
      </c>
      <c r="E134" s="86"/>
      <c r="F134" s="87"/>
      <c r="G134" s="86"/>
      <c r="H134" s="127"/>
      <c r="I134" s="14" t="s">
        <v>151</v>
      </c>
      <c r="J134" s="28">
        <f>(IF(B124&gt;4,(H124/(B124+2)+J133),0))</f>
        <v>0</v>
      </c>
    </row>
    <row r="135" spans="1:13" ht="15.75" customHeight="1" x14ac:dyDescent="0.35">
      <c r="A135" s="74" t="s">
        <v>139</v>
      </c>
      <c r="B135" s="75" t="s">
        <v>139</v>
      </c>
      <c r="C135" s="49">
        <v>0</v>
      </c>
      <c r="D135" s="50">
        <f ca="1">((100/(H124))*C135)/100</f>
        <v>0</v>
      </c>
      <c r="E135" s="86"/>
      <c r="F135" s="87"/>
      <c r="G135" s="86"/>
      <c r="H135" s="127"/>
      <c r="I135" s="14" t="s">
        <v>153</v>
      </c>
      <c r="J135" s="28">
        <f ca="1">(IF(B124=1,(H124/(B124+3)+J130),IF(B124=0,(H124/4+J130),IF(B124&gt;1,0))))</f>
        <v>3</v>
      </c>
    </row>
    <row r="136" spans="1:13" ht="16" thickBot="1" x14ac:dyDescent="0.4">
      <c r="A136" s="97" t="s">
        <v>140</v>
      </c>
      <c r="B136" s="98"/>
      <c r="C136" s="51">
        <v>0</v>
      </c>
      <c r="D136" s="52">
        <f ca="1">((100/(H124))*C136)/100</f>
        <v>0</v>
      </c>
      <c r="E136" s="88"/>
      <c r="F136" s="89"/>
      <c r="G136" s="88"/>
      <c r="H136" s="128"/>
      <c r="I136" s="15" t="s">
        <v>108</v>
      </c>
      <c r="J136" s="30">
        <f ca="1">(IF(B124&gt;1.5,(H124/(B124+2)+J130+MAX(0,J131-J130)+MAX(0,J132-J131)+MAX(0,J133-J132)+MAX(0,J134-J133)+MAX(0,J135-J134)),IF(B124=1,(H124/(B124+3)+J135),IF(B124=0,H124/4+J135))))</f>
        <v>4</v>
      </c>
    </row>
    <row r="137" spans="1:13" x14ac:dyDescent="0.35">
      <c r="A137" s="125" t="s">
        <v>163</v>
      </c>
      <c r="B137" s="125"/>
      <c r="C137" s="125"/>
      <c r="D137" s="125"/>
      <c r="E137" s="125"/>
      <c r="F137" s="82" t="s">
        <v>168</v>
      </c>
      <c r="G137" s="82"/>
      <c r="H137" s="82"/>
    </row>
    <row r="138" spans="1:13" x14ac:dyDescent="0.35">
      <c r="A138" s="77" t="s">
        <v>166</v>
      </c>
      <c r="B138" s="77"/>
      <c r="C138" s="77"/>
      <c r="D138" s="77"/>
      <c r="E138" s="77"/>
      <c r="F138" s="180">
        <v>3500</v>
      </c>
      <c r="G138" s="180"/>
      <c r="H138" s="180"/>
      <c r="I138" s="56" t="s">
        <v>230</v>
      </c>
      <c r="J138" s="56"/>
      <c r="K138" s="56" t="s">
        <v>231</v>
      </c>
      <c r="L138" s="56" t="s">
        <v>233</v>
      </c>
      <c r="M138" s="57">
        <v>44978</v>
      </c>
    </row>
    <row r="139" spans="1:13" x14ac:dyDescent="0.35">
      <c r="A139" s="77" t="s">
        <v>165</v>
      </c>
      <c r="B139" s="77"/>
      <c r="C139" s="77"/>
      <c r="D139" s="77"/>
      <c r="E139" s="77"/>
      <c r="F139" s="76">
        <v>5500</v>
      </c>
      <c r="G139" s="76"/>
      <c r="H139" s="76"/>
    </row>
    <row r="140" spans="1:13" hidden="1" x14ac:dyDescent="0.35">
      <c r="A140" s="77" t="s">
        <v>167</v>
      </c>
      <c r="B140" s="77"/>
      <c r="C140" s="77"/>
      <c r="D140" s="77"/>
      <c r="E140" s="77"/>
      <c r="F140" s="76"/>
      <c r="G140" s="76"/>
      <c r="H140" s="76"/>
    </row>
    <row r="141" spans="1:13" s="31" customFormat="1" hidden="1" x14ac:dyDescent="0.3">
      <c r="A141" s="77" t="s">
        <v>164</v>
      </c>
      <c r="B141" s="77"/>
      <c r="C141" s="77"/>
      <c r="D141" s="77"/>
      <c r="E141" s="77"/>
      <c r="F141" s="76"/>
      <c r="G141" s="76"/>
      <c r="H141" s="76"/>
    </row>
    <row r="142" spans="1:13" s="31" customFormat="1" x14ac:dyDescent="0.3">
      <c r="A142" s="77" t="s">
        <v>232</v>
      </c>
      <c r="B142" s="77"/>
      <c r="C142" s="77"/>
      <c r="D142" s="77"/>
      <c r="E142" s="77"/>
      <c r="F142" s="76">
        <v>170000</v>
      </c>
      <c r="G142" s="76"/>
      <c r="H142" s="76"/>
    </row>
    <row r="143" spans="1:13" s="31" customFormat="1" hidden="1" x14ac:dyDescent="0.3">
      <c r="A143" s="77" t="s">
        <v>99</v>
      </c>
      <c r="B143" s="77"/>
      <c r="C143" s="77"/>
      <c r="D143" s="77"/>
      <c r="E143" s="77"/>
      <c r="F143" s="76"/>
      <c r="G143" s="76"/>
      <c r="H143" s="76"/>
    </row>
    <row r="144" spans="1:13" s="31" customFormat="1" hidden="1" x14ac:dyDescent="0.3">
      <c r="A144" s="77" t="s">
        <v>169</v>
      </c>
      <c r="B144" s="77"/>
      <c r="C144" s="77"/>
      <c r="D144" s="77"/>
      <c r="E144" s="77"/>
      <c r="F144" s="76"/>
      <c r="G144" s="76"/>
      <c r="H144" s="76"/>
    </row>
    <row r="145" spans="1:10" s="31" customFormat="1" hidden="1" x14ac:dyDescent="0.3">
      <c r="A145" s="77" t="s">
        <v>100</v>
      </c>
      <c r="B145" s="77"/>
      <c r="C145" s="77"/>
      <c r="D145" s="77"/>
      <c r="E145" s="77"/>
      <c r="F145" s="76"/>
      <c r="G145" s="76"/>
      <c r="H145" s="76"/>
    </row>
    <row r="146" spans="1:10" s="31" customFormat="1" hidden="1" x14ac:dyDescent="0.3">
      <c r="A146" s="77" t="s">
        <v>101</v>
      </c>
      <c r="B146" s="77"/>
      <c r="C146" s="77"/>
      <c r="D146" s="77"/>
      <c r="E146" s="77"/>
      <c r="F146" s="76"/>
      <c r="G146" s="76"/>
      <c r="H146" s="76"/>
    </row>
    <row r="147" spans="1:10" s="31" customFormat="1" x14ac:dyDescent="0.3">
      <c r="A147" s="77" t="s">
        <v>102</v>
      </c>
      <c r="B147" s="77"/>
      <c r="C147" s="77"/>
      <c r="D147" s="77"/>
      <c r="E147" s="77"/>
      <c r="F147" s="76">
        <v>50000</v>
      </c>
      <c r="G147" s="76"/>
      <c r="H147" s="76"/>
    </row>
    <row r="148" spans="1:10" s="31" customFormat="1" x14ac:dyDescent="0.3">
      <c r="A148" s="77" t="s">
        <v>103</v>
      </c>
      <c r="B148" s="77"/>
      <c r="C148" s="77"/>
      <c r="D148" s="77"/>
      <c r="E148" s="77"/>
      <c r="F148" s="76">
        <v>50000</v>
      </c>
      <c r="G148" s="76"/>
      <c r="H148" s="76"/>
    </row>
    <row r="149" spans="1:10" x14ac:dyDescent="0.35">
      <c r="A149" s="77" t="s">
        <v>54</v>
      </c>
      <c r="B149" s="77"/>
      <c r="C149" s="77"/>
      <c r="D149" s="77"/>
      <c r="E149" s="77"/>
      <c r="F149" s="76">
        <v>100000</v>
      </c>
      <c r="G149" s="76"/>
      <c r="H149" s="76"/>
      <c r="I149" s="19" t="s">
        <v>219</v>
      </c>
      <c r="J149" s="19" t="s">
        <v>221</v>
      </c>
    </row>
    <row r="150" spans="1:10" s="32" customFormat="1" x14ac:dyDescent="0.35">
      <c r="A150" s="137" t="s">
        <v>55</v>
      </c>
      <c r="B150" s="137"/>
      <c r="C150" s="137"/>
      <c r="D150" s="137"/>
      <c r="E150" s="137"/>
      <c r="F150" s="76">
        <f>F138*0.8</f>
        <v>2800</v>
      </c>
      <c r="G150" s="76"/>
      <c r="H150" s="76"/>
      <c r="I150" s="19" t="s">
        <v>220</v>
      </c>
      <c r="J150" s="31" t="s">
        <v>222</v>
      </c>
    </row>
    <row r="151" spans="1:10" s="33" customFormat="1" ht="15.75" customHeight="1" x14ac:dyDescent="0.35">
      <c r="A151" s="94" t="s">
        <v>80</v>
      </c>
      <c r="B151" s="94"/>
      <c r="C151" s="94"/>
      <c r="D151" s="94"/>
      <c r="E151" s="94"/>
      <c r="F151" s="94"/>
      <c r="G151" s="94"/>
      <c r="H151" s="94"/>
    </row>
    <row r="152" spans="1:10" s="33" customFormat="1" ht="15.75" customHeight="1" x14ac:dyDescent="0.35">
      <c r="A152" s="93" t="s">
        <v>56</v>
      </c>
      <c r="B152" s="93"/>
      <c r="C152" s="92" t="s">
        <v>224</v>
      </c>
      <c r="D152" s="92"/>
      <c r="E152" s="96" t="s">
        <v>57</v>
      </c>
      <c r="F152" s="96"/>
      <c r="G152" s="93" t="s">
        <v>58</v>
      </c>
      <c r="H152" s="93"/>
    </row>
    <row r="153" spans="1:10" s="33" customFormat="1" x14ac:dyDescent="0.35">
      <c r="A153" s="174" t="s">
        <v>170</v>
      </c>
      <c r="B153" s="46" t="s">
        <v>186</v>
      </c>
      <c r="C153" s="99">
        <f>COUNT(D173:D177)</f>
        <v>5</v>
      </c>
      <c r="D153" s="90"/>
      <c r="E153" s="91">
        <f>SUM(D173:D177)</f>
        <v>829.58147999999983</v>
      </c>
      <c r="F153" s="172"/>
      <c r="G153" s="91">
        <f>SUM(F173:F177)</f>
        <v>1244.3722199999997</v>
      </c>
      <c r="H153" s="172"/>
    </row>
    <row r="154" spans="1:10" s="33" customFormat="1" x14ac:dyDescent="0.35">
      <c r="A154" s="174"/>
      <c r="B154" s="46" t="s">
        <v>187</v>
      </c>
      <c r="C154" s="99">
        <f>COUNT(D180:D185)</f>
        <v>6</v>
      </c>
      <c r="D154" s="90"/>
      <c r="E154" s="91">
        <f>SUM(D180:D185)</f>
        <v>1126.66788</v>
      </c>
      <c r="F154" s="172"/>
      <c r="G154" s="91">
        <f>SUM(F180:F185)</f>
        <v>1690.00182</v>
      </c>
      <c r="H154" s="172"/>
    </row>
    <row r="155" spans="1:10" s="33" customFormat="1" x14ac:dyDescent="0.35">
      <c r="A155" s="174"/>
      <c r="B155" s="46" t="s">
        <v>188</v>
      </c>
      <c r="C155" s="99">
        <f>COUNT(D188:D192)</f>
        <v>5</v>
      </c>
      <c r="D155" s="90"/>
      <c r="E155" s="91">
        <f>SUM(D188:D192)</f>
        <v>961.11755999999991</v>
      </c>
      <c r="F155" s="172"/>
      <c r="G155" s="91">
        <f>SUM(F188:F192)</f>
        <v>1441.67634</v>
      </c>
      <c r="H155" s="172"/>
    </row>
    <row r="156" spans="1:10" s="33" customFormat="1" x14ac:dyDescent="0.35">
      <c r="A156" s="94" t="s">
        <v>156</v>
      </c>
      <c r="B156" s="94"/>
      <c r="C156" s="173">
        <f>SUM(C153:C155)</f>
        <v>16</v>
      </c>
      <c r="D156" s="92"/>
      <c r="E156" s="95">
        <f>SUM(E153:E155)</f>
        <v>2917.3669199999995</v>
      </c>
      <c r="F156" s="96"/>
      <c r="G156" s="93">
        <f>SUM(G153:G155)</f>
        <v>4376.0503799999997</v>
      </c>
      <c r="H156" s="93"/>
    </row>
    <row r="157" spans="1:10" s="33" customFormat="1" x14ac:dyDescent="0.35">
      <c r="A157" s="94" t="s">
        <v>74</v>
      </c>
      <c r="B157" s="94"/>
      <c r="C157" s="94"/>
      <c r="D157" s="94"/>
      <c r="E157" s="94"/>
      <c r="F157" s="94"/>
      <c r="G157" s="94"/>
      <c r="H157" s="94"/>
    </row>
    <row r="158" spans="1:10" s="33" customFormat="1" ht="15.75" customHeight="1" x14ac:dyDescent="0.35">
      <c r="A158" s="93" t="s">
        <v>56</v>
      </c>
      <c r="B158" s="93"/>
      <c r="C158" s="92" t="s">
        <v>225</v>
      </c>
      <c r="D158" s="92"/>
      <c r="E158" s="96" t="s">
        <v>57</v>
      </c>
      <c r="F158" s="96"/>
      <c r="G158" s="93" t="s">
        <v>58</v>
      </c>
      <c r="H158" s="93"/>
    </row>
    <row r="159" spans="1:10" s="33" customFormat="1" x14ac:dyDescent="0.35">
      <c r="A159" s="101" t="s">
        <v>170</v>
      </c>
      <c r="B159" s="46" t="s">
        <v>186</v>
      </c>
      <c r="C159" s="90">
        <f>COUNT(D199)+COUNT(D201:D203)*4</f>
        <v>13</v>
      </c>
      <c r="D159" s="90"/>
      <c r="E159" s="91">
        <f>SUM(D199)+SUM(D201:D203)*4</f>
        <v>5373.0658800000001</v>
      </c>
      <c r="F159" s="91"/>
      <c r="G159" s="91">
        <f>SUM(F199)+SUM(F201:F203)*4</f>
        <v>7790.9455260000004</v>
      </c>
      <c r="H159" s="91"/>
    </row>
    <row r="160" spans="1:10" s="33" customFormat="1" x14ac:dyDescent="0.35">
      <c r="A160" s="102"/>
      <c r="B160" s="46" t="s">
        <v>187</v>
      </c>
      <c r="C160" s="90">
        <f>COUNT(D206)+COUNT(D208:D211)*4</f>
        <v>17</v>
      </c>
      <c r="D160" s="90"/>
      <c r="E160" s="91">
        <f>SUM(D206)+SUM(D208:D211)*4</f>
        <v>5820.7406399999991</v>
      </c>
      <c r="F160" s="91"/>
      <c r="G160" s="91">
        <f>SUM(F206)+SUM(F208:F211)*4</f>
        <v>8440.073927999998</v>
      </c>
      <c r="H160" s="91"/>
    </row>
    <row r="161" spans="1:14" s="33" customFormat="1" x14ac:dyDescent="0.35">
      <c r="A161" s="102"/>
      <c r="B161" s="46" t="s">
        <v>188</v>
      </c>
      <c r="C161" s="90">
        <f>COUNT(D214:D218)+COUNT(D220:D227)*4</f>
        <v>37</v>
      </c>
      <c r="D161" s="90"/>
      <c r="E161" s="91">
        <f>SUM(D214:D218)+SUM(D220:D227)*4</f>
        <v>12125.000159999998</v>
      </c>
      <c r="F161" s="91"/>
      <c r="G161" s="91">
        <f>SUM(F214:F218)+SUM(F220:F227)*4</f>
        <v>17581.250231999999</v>
      </c>
      <c r="H161" s="91"/>
    </row>
    <row r="162" spans="1:14" s="33" customFormat="1" x14ac:dyDescent="0.35">
      <c r="A162" s="102"/>
      <c r="B162" s="46" t="s">
        <v>189</v>
      </c>
      <c r="C162" s="90">
        <f>COUNT(D230:D234)+COUNT(D236:D241)*4</f>
        <v>29</v>
      </c>
      <c r="D162" s="90"/>
      <c r="E162" s="91">
        <f>SUM(D230:D234)+SUM(D236:D241)*4</f>
        <v>10368.85356</v>
      </c>
      <c r="F162" s="91"/>
      <c r="G162" s="91">
        <f>SUM(F230:F234)+SUM(F236:F241)*4</f>
        <v>15034.837661999998</v>
      </c>
      <c r="H162" s="91"/>
    </row>
    <row r="163" spans="1:14" s="33" customFormat="1" x14ac:dyDescent="0.35">
      <c r="A163" s="103"/>
      <c r="B163" s="46" t="s">
        <v>190</v>
      </c>
      <c r="C163" s="90">
        <f>COUNT(D244:D249)+COUNT(D251:D258)*2</f>
        <v>22</v>
      </c>
      <c r="D163" s="90"/>
      <c r="E163" s="91">
        <f>SUM(D244:D249)+SUM(D251:D258)*2</f>
        <v>6738.156359999999</v>
      </c>
      <c r="F163" s="91"/>
      <c r="G163" s="91">
        <f>SUM(F244:F249)+SUM(F251:F258)*2</f>
        <v>9770.326721999998</v>
      </c>
      <c r="H163" s="91"/>
    </row>
    <row r="164" spans="1:14" s="33" customFormat="1" ht="31" x14ac:dyDescent="0.35">
      <c r="A164" s="46" t="s">
        <v>184</v>
      </c>
      <c r="B164" s="46" t="s">
        <v>186</v>
      </c>
      <c r="C164" s="99">
        <f>COUNT(D262:D267)</f>
        <v>6</v>
      </c>
      <c r="D164" s="90"/>
      <c r="E164" s="100">
        <f>SUM(D262:D267)</f>
        <v>2113.8343199999999</v>
      </c>
      <c r="F164" s="100"/>
      <c r="G164" s="100">
        <f>SUM(F262:F267)</f>
        <v>3065.0597639999992</v>
      </c>
      <c r="H164" s="100"/>
    </row>
    <row r="165" spans="1:14" s="33" customFormat="1" x14ac:dyDescent="0.35">
      <c r="A165" s="94" t="s">
        <v>156</v>
      </c>
      <c r="B165" s="94"/>
      <c r="C165" s="92">
        <f>SUM(C159:C164)</f>
        <v>124</v>
      </c>
      <c r="D165" s="92"/>
      <c r="E165" s="95">
        <f>SUM(E159:E164)</f>
        <v>42539.65092</v>
      </c>
      <c r="F165" s="96"/>
      <c r="G165" s="93">
        <f>SUM(G159:G164)</f>
        <v>61682.493833999994</v>
      </c>
      <c r="H165" s="93"/>
    </row>
    <row r="166" spans="1:14" s="32" customFormat="1" x14ac:dyDescent="0.35">
      <c r="A166" s="132" t="s">
        <v>59</v>
      </c>
      <c r="B166" s="132"/>
      <c r="C166" s="132"/>
      <c r="D166" s="132"/>
      <c r="E166" s="132"/>
      <c r="F166" s="132"/>
      <c r="G166" s="132"/>
      <c r="H166" s="132"/>
    </row>
    <row r="167" spans="1:14" x14ac:dyDescent="0.35">
      <c r="A167" s="132" t="s">
        <v>60</v>
      </c>
      <c r="B167" s="132"/>
      <c r="C167" s="132"/>
      <c r="D167" s="132"/>
      <c r="E167" s="132"/>
      <c r="F167" s="132"/>
      <c r="G167" s="132"/>
      <c r="H167" s="132"/>
    </row>
    <row r="168" spans="1:14" ht="47.25" customHeight="1" x14ac:dyDescent="0.35">
      <c r="A168" s="78" t="s">
        <v>124</v>
      </c>
      <c r="B168" s="78" t="s">
        <v>123</v>
      </c>
      <c r="C168" s="78" t="s">
        <v>61</v>
      </c>
      <c r="D168" s="78" t="s">
        <v>62</v>
      </c>
      <c r="E168" s="115" t="s">
        <v>162</v>
      </c>
      <c r="F168" s="44" t="s">
        <v>155</v>
      </c>
      <c r="G168" s="117" t="s">
        <v>64</v>
      </c>
      <c r="H168" s="118"/>
    </row>
    <row r="169" spans="1:14" s="35" customFormat="1" x14ac:dyDescent="0.35">
      <c r="A169" s="79"/>
      <c r="B169" s="79"/>
      <c r="C169" s="79"/>
      <c r="D169" s="79"/>
      <c r="E169" s="116"/>
      <c r="F169" s="13">
        <v>0.5</v>
      </c>
      <c r="G169" s="119"/>
      <c r="H169" s="120"/>
    </row>
    <row r="170" spans="1:14" x14ac:dyDescent="0.35">
      <c r="A170" s="132" t="s">
        <v>170</v>
      </c>
      <c r="B170" s="132"/>
      <c r="C170" s="132"/>
      <c r="D170" s="132"/>
      <c r="E170" s="132"/>
      <c r="F170" s="132"/>
      <c r="G170" s="132"/>
      <c r="H170" s="132"/>
    </row>
    <row r="171" spans="1:14" x14ac:dyDescent="0.35">
      <c r="A171" s="132" t="s">
        <v>171</v>
      </c>
      <c r="B171" s="132"/>
      <c r="C171" s="132"/>
      <c r="D171" s="132"/>
      <c r="E171" s="132"/>
      <c r="F171" s="132"/>
      <c r="G171" s="132"/>
      <c r="H171" s="132"/>
    </row>
    <row r="172" spans="1:14" s="35" customFormat="1" x14ac:dyDescent="0.35">
      <c r="A172" s="112" t="s">
        <v>172</v>
      </c>
      <c r="B172" s="113"/>
      <c r="C172" s="113"/>
      <c r="D172" s="113"/>
      <c r="E172" s="113"/>
      <c r="F172" s="113"/>
      <c r="G172" s="113"/>
      <c r="H172" s="114"/>
      <c r="J172" s="34"/>
    </row>
    <row r="173" spans="1:14" s="35" customFormat="1" ht="15.75" customHeight="1" x14ac:dyDescent="0.35">
      <c r="A173" s="80">
        <v>1</v>
      </c>
      <c r="B173" s="81"/>
      <c r="C173" s="43" t="s">
        <v>173</v>
      </c>
      <c r="D173" s="43">
        <f>(11.58)*10.764</f>
        <v>124.64711999999999</v>
      </c>
      <c r="E173" s="43">
        <v>0</v>
      </c>
      <c r="F173" s="43">
        <f>(D173+E173)*(($F$169)+1)</f>
        <v>186.97067999999999</v>
      </c>
      <c r="G173" s="188" t="str">
        <f>A172</f>
        <v>Ground Floor for Commercial &amp; Parking</v>
      </c>
      <c r="H173" s="189"/>
      <c r="I173" s="34"/>
      <c r="L173" s="104"/>
      <c r="M173" s="104"/>
      <c r="N173" s="34"/>
    </row>
    <row r="174" spans="1:14" s="35" customFormat="1" ht="15.75" customHeight="1" x14ac:dyDescent="0.35">
      <c r="A174" s="80">
        <f t="shared" ref="A174:A177" si="0">A173+1</f>
        <v>2</v>
      </c>
      <c r="B174" s="81"/>
      <c r="C174" s="43" t="s">
        <v>173</v>
      </c>
      <c r="D174" s="43">
        <f>(14.02)*10.764</f>
        <v>150.91127999999998</v>
      </c>
      <c r="E174" s="43">
        <v>0</v>
      </c>
      <c r="F174" s="43">
        <f t="shared" ref="F174:F176" si="1">(D174+E174)*(($F$169)+1)</f>
        <v>226.36691999999996</v>
      </c>
      <c r="G174" s="190"/>
      <c r="H174" s="191"/>
      <c r="I174" s="34"/>
      <c r="L174" s="104"/>
      <c r="M174" s="104"/>
      <c r="N174" s="34"/>
    </row>
    <row r="175" spans="1:14" s="35" customFormat="1" ht="15.75" customHeight="1" x14ac:dyDescent="0.35">
      <c r="A175" s="80">
        <f t="shared" si="0"/>
        <v>3</v>
      </c>
      <c r="B175" s="81"/>
      <c r="C175" s="43" t="s">
        <v>173</v>
      </c>
      <c r="D175" s="43">
        <f>(19.8)*10.764</f>
        <v>213.12719999999999</v>
      </c>
      <c r="E175" s="43">
        <v>0</v>
      </c>
      <c r="F175" s="43">
        <f t="shared" si="1"/>
        <v>319.69079999999997</v>
      </c>
      <c r="G175" s="190"/>
      <c r="H175" s="191"/>
      <c r="I175" s="34"/>
      <c r="L175" s="104"/>
      <c r="M175" s="104"/>
      <c r="N175" s="34"/>
    </row>
    <row r="176" spans="1:14" s="35" customFormat="1" ht="15.75" customHeight="1" x14ac:dyDescent="0.35">
      <c r="A176" s="80">
        <f t="shared" si="0"/>
        <v>4</v>
      </c>
      <c r="B176" s="81"/>
      <c r="C176" s="43" t="s">
        <v>173</v>
      </c>
      <c r="D176" s="43">
        <f>(17.31)*10.764</f>
        <v>186.32483999999997</v>
      </c>
      <c r="E176" s="43">
        <v>0</v>
      </c>
      <c r="F176" s="43">
        <f t="shared" si="1"/>
        <v>279.48725999999994</v>
      </c>
      <c r="G176" s="190"/>
      <c r="H176" s="191"/>
      <c r="I176" s="34"/>
      <c r="L176" s="104"/>
      <c r="M176" s="104"/>
      <c r="N176" s="34"/>
    </row>
    <row r="177" spans="1:14" s="35" customFormat="1" ht="15.75" customHeight="1" x14ac:dyDescent="0.35">
      <c r="A177" s="80">
        <f t="shared" si="0"/>
        <v>5</v>
      </c>
      <c r="B177" s="81"/>
      <c r="C177" s="43" t="s">
        <v>173</v>
      </c>
      <c r="D177" s="43">
        <f>(14.36)*10.764</f>
        <v>154.57103999999998</v>
      </c>
      <c r="E177" s="43">
        <v>0</v>
      </c>
      <c r="F177" s="43">
        <f t="shared" ref="F177" si="2">(D177+E177)*(($F$169)+1)</f>
        <v>231.85655999999997</v>
      </c>
      <c r="G177" s="192"/>
      <c r="H177" s="193"/>
      <c r="I177" s="34">
        <f>(2.45*5.75)*10.764</f>
        <v>151.63784999999999</v>
      </c>
      <c r="L177" s="104"/>
      <c r="M177" s="104"/>
      <c r="N177" s="34"/>
    </row>
    <row r="178" spans="1:14" x14ac:dyDescent="0.35">
      <c r="A178" s="132" t="s">
        <v>177</v>
      </c>
      <c r="B178" s="132"/>
      <c r="C178" s="132"/>
      <c r="D178" s="132"/>
      <c r="E178" s="132"/>
      <c r="F178" s="132"/>
      <c r="G178" s="132"/>
      <c r="H178" s="132"/>
    </row>
    <row r="179" spans="1:14" s="35" customFormat="1" x14ac:dyDescent="0.35">
      <c r="A179" s="112" t="s">
        <v>172</v>
      </c>
      <c r="B179" s="113"/>
      <c r="C179" s="113"/>
      <c r="D179" s="113"/>
      <c r="E179" s="113"/>
      <c r="F179" s="113"/>
      <c r="G179" s="113"/>
      <c r="H179" s="114"/>
      <c r="J179" s="34"/>
    </row>
    <row r="180" spans="1:14" s="35" customFormat="1" ht="15.75" customHeight="1" x14ac:dyDescent="0.35">
      <c r="A180" s="80">
        <v>1</v>
      </c>
      <c r="B180" s="81"/>
      <c r="C180" s="43" t="s">
        <v>173</v>
      </c>
      <c r="D180" s="43">
        <f>(17.67)*10.764</f>
        <v>190.19988000000001</v>
      </c>
      <c r="E180" s="43">
        <v>0</v>
      </c>
      <c r="F180" s="43">
        <f>(D180+E180)*(($F$169)+1)</f>
        <v>285.29982000000001</v>
      </c>
      <c r="G180" s="188" t="str">
        <f>A179</f>
        <v>Ground Floor for Commercial &amp; Parking</v>
      </c>
      <c r="H180" s="189"/>
      <c r="I180" s="34"/>
      <c r="L180" s="104"/>
      <c r="M180" s="104"/>
      <c r="N180" s="34"/>
    </row>
    <row r="181" spans="1:14" s="35" customFormat="1" ht="15.75" customHeight="1" x14ac:dyDescent="0.35">
      <c r="A181" s="80">
        <f t="shared" ref="A181:A185" si="3">A180+1</f>
        <v>2</v>
      </c>
      <c r="B181" s="81"/>
      <c r="C181" s="43" t="s">
        <v>173</v>
      </c>
      <c r="D181" s="43">
        <f>(17.31)*10.764</f>
        <v>186.32483999999997</v>
      </c>
      <c r="E181" s="43">
        <v>0</v>
      </c>
      <c r="F181" s="43">
        <f t="shared" ref="F181:F184" si="4">(D181+E181)*(($F$169)+1)</f>
        <v>279.48725999999994</v>
      </c>
      <c r="G181" s="190"/>
      <c r="H181" s="191"/>
      <c r="I181" s="34"/>
      <c r="L181" s="104"/>
      <c r="M181" s="104"/>
      <c r="N181" s="34"/>
    </row>
    <row r="182" spans="1:14" s="35" customFormat="1" ht="15.75" customHeight="1" x14ac:dyDescent="0.35">
      <c r="A182" s="80">
        <f t="shared" si="3"/>
        <v>3</v>
      </c>
      <c r="B182" s="81"/>
      <c r="C182" s="43" t="s">
        <v>173</v>
      </c>
      <c r="D182" s="43">
        <f>(19.79)*10.764</f>
        <v>213.01955999999998</v>
      </c>
      <c r="E182" s="43">
        <v>0</v>
      </c>
      <c r="F182" s="43">
        <f t="shared" si="4"/>
        <v>319.52933999999999</v>
      </c>
      <c r="G182" s="190"/>
      <c r="H182" s="191"/>
      <c r="I182" s="34"/>
      <c r="L182" s="104"/>
      <c r="M182" s="104"/>
      <c r="N182" s="34"/>
    </row>
    <row r="183" spans="1:14" s="35" customFormat="1" ht="15.75" customHeight="1" x14ac:dyDescent="0.35">
      <c r="A183" s="80">
        <f t="shared" si="3"/>
        <v>4</v>
      </c>
      <c r="B183" s="81"/>
      <c r="C183" s="43" t="s">
        <v>173</v>
      </c>
      <c r="D183" s="43">
        <f>(14.02)*10.764</f>
        <v>150.91127999999998</v>
      </c>
      <c r="E183" s="43">
        <v>0</v>
      </c>
      <c r="F183" s="43">
        <f t="shared" si="4"/>
        <v>226.36691999999996</v>
      </c>
      <c r="G183" s="190"/>
      <c r="H183" s="191"/>
      <c r="I183" s="34"/>
      <c r="L183" s="104"/>
      <c r="M183" s="104"/>
      <c r="N183" s="34"/>
    </row>
    <row r="184" spans="1:14" s="35" customFormat="1" ht="15.75" customHeight="1" x14ac:dyDescent="0.35">
      <c r="A184" s="80">
        <f t="shared" si="3"/>
        <v>5</v>
      </c>
      <c r="B184" s="81"/>
      <c r="C184" s="43" t="s">
        <v>173</v>
      </c>
      <c r="D184" s="43">
        <f>(19.8)*10.764</f>
        <v>213.12719999999999</v>
      </c>
      <c r="E184" s="43">
        <v>0</v>
      </c>
      <c r="F184" s="43">
        <f t="shared" si="4"/>
        <v>319.69079999999997</v>
      </c>
      <c r="G184" s="190"/>
      <c r="H184" s="191"/>
      <c r="I184" s="34">
        <f>(2.45*5.75)*10.764</f>
        <v>151.63784999999999</v>
      </c>
      <c r="L184" s="104"/>
      <c r="M184" s="104"/>
      <c r="N184" s="34"/>
    </row>
    <row r="185" spans="1:14" s="35" customFormat="1" ht="15.75" customHeight="1" x14ac:dyDescent="0.35">
      <c r="A185" s="80">
        <f t="shared" si="3"/>
        <v>6</v>
      </c>
      <c r="B185" s="81"/>
      <c r="C185" s="43" t="s">
        <v>173</v>
      </c>
      <c r="D185" s="43">
        <f>(16.08)*10.764</f>
        <v>173.08511999999996</v>
      </c>
      <c r="E185" s="43">
        <v>0</v>
      </c>
      <c r="F185" s="43">
        <f t="shared" ref="F185" si="5">(D185+E185)*(($F$169)+1)</f>
        <v>259.62767999999994</v>
      </c>
      <c r="G185" s="192"/>
      <c r="H185" s="193"/>
      <c r="I185" s="34">
        <f>(2.45*5.75)*10.764</f>
        <v>151.63784999999999</v>
      </c>
      <c r="L185" s="104"/>
      <c r="M185" s="104"/>
      <c r="N185" s="34"/>
    </row>
    <row r="186" spans="1:14" x14ac:dyDescent="0.35">
      <c r="A186" s="132" t="s">
        <v>180</v>
      </c>
      <c r="B186" s="132"/>
      <c r="C186" s="132"/>
      <c r="D186" s="132"/>
      <c r="E186" s="132"/>
      <c r="F186" s="132"/>
      <c r="G186" s="132"/>
      <c r="H186" s="132"/>
    </row>
    <row r="187" spans="1:14" s="35" customFormat="1" x14ac:dyDescent="0.35">
      <c r="A187" s="187" t="s">
        <v>172</v>
      </c>
      <c r="B187" s="187"/>
      <c r="C187" s="187"/>
      <c r="D187" s="187"/>
      <c r="E187" s="187"/>
      <c r="F187" s="187"/>
      <c r="G187" s="187"/>
      <c r="H187" s="187"/>
      <c r="J187" s="34"/>
    </row>
    <row r="188" spans="1:14" s="35" customFormat="1" ht="15.75" customHeight="1" x14ac:dyDescent="0.35">
      <c r="A188" s="106">
        <v>1</v>
      </c>
      <c r="B188" s="106"/>
      <c r="C188" s="43" t="s">
        <v>173</v>
      </c>
      <c r="D188" s="43">
        <f>(19.79)*10.764</f>
        <v>213.01955999999998</v>
      </c>
      <c r="E188" s="43">
        <v>0</v>
      </c>
      <c r="F188" s="43">
        <f>(D188+E188)*(($F$169)+1)</f>
        <v>319.52933999999999</v>
      </c>
      <c r="G188" s="106" t="str">
        <f>A187</f>
        <v>Ground Floor for Commercial &amp; Parking</v>
      </c>
      <c r="H188" s="106"/>
      <c r="I188" s="34"/>
      <c r="L188" s="104"/>
      <c r="M188" s="104"/>
      <c r="N188" s="34"/>
    </row>
    <row r="189" spans="1:14" s="35" customFormat="1" ht="15.75" customHeight="1" x14ac:dyDescent="0.35">
      <c r="A189" s="106">
        <f t="shared" ref="A189:A192" si="6">A188+1</f>
        <v>2</v>
      </c>
      <c r="B189" s="106"/>
      <c r="C189" s="43" t="s">
        <v>173</v>
      </c>
      <c r="D189" s="43">
        <f>(19.79)*10.764</f>
        <v>213.01955999999998</v>
      </c>
      <c r="E189" s="43">
        <v>0</v>
      </c>
      <c r="F189" s="43">
        <f t="shared" ref="F189:F192" si="7">(D189+E189)*(($F$169)+1)</f>
        <v>319.52933999999999</v>
      </c>
      <c r="G189" s="106"/>
      <c r="H189" s="106"/>
      <c r="I189" s="34"/>
      <c r="L189" s="104"/>
      <c r="M189" s="104"/>
      <c r="N189" s="34"/>
    </row>
    <row r="190" spans="1:14" s="35" customFormat="1" ht="15.75" customHeight="1" x14ac:dyDescent="0.35">
      <c r="A190" s="106">
        <f t="shared" si="6"/>
        <v>3</v>
      </c>
      <c r="B190" s="106"/>
      <c r="C190" s="43" t="s">
        <v>173</v>
      </c>
      <c r="D190" s="43">
        <f>(13.66)*10.764</f>
        <v>147.03623999999999</v>
      </c>
      <c r="E190" s="43">
        <v>0</v>
      </c>
      <c r="F190" s="43">
        <f t="shared" si="7"/>
        <v>220.55435999999997</v>
      </c>
      <c r="G190" s="106"/>
      <c r="H190" s="106"/>
      <c r="I190" s="34"/>
      <c r="L190" s="104"/>
      <c r="M190" s="104"/>
      <c r="N190" s="34"/>
    </row>
    <row r="191" spans="1:14" s="35" customFormat="1" ht="15.75" customHeight="1" x14ac:dyDescent="0.35">
      <c r="A191" s="106">
        <f t="shared" si="6"/>
        <v>4</v>
      </c>
      <c r="B191" s="106"/>
      <c r="C191" s="43" t="s">
        <v>173</v>
      </c>
      <c r="D191" s="43">
        <f>(16.25)*10.764</f>
        <v>174.91499999999999</v>
      </c>
      <c r="E191" s="43">
        <v>0</v>
      </c>
      <c r="F191" s="43">
        <f t="shared" si="7"/>
        <v>262.3725</v>
      </c>
      <c r="G191" s="106"/>
      <c r="H191" s="106"/>
      <c r="I191" s="34"/>
      <c r="L191" s="104"/>
      <c r="M191" s="104"/>
      <c r="N191" s="34"/>
    </row>
    <row r="192" spans="1:14" s="35" customFormat="1" ht="15.75" customHeight="1" x14ac:dyDescent="0.35">
      <c r="A192" s="106">
        <f t="shared" si="6"/>
        <v>5</v>
      </c>
      <c r="B192" s="106"/>
      <c r="C192" s="43" t="s">
        <v>173</v>
      </c>
      <c r="D192" s="43">
        <f>(19.8)*10.764</f>
        <v>213.12719999999999</v>
      </c>
      <c r="E192" s="43">
        <v>0</v>
      </c>
      <c r="F192" s="43">
        <f t="shared" si="7"/>
        <v>319.69079999999997</v>
      </c>
      <c r="G192" s="106"/>
      <c r="H192" s="106"/>
      <c r="I192" s="34">
        <f>(2.45*5.75)*10.764</f>
        <v>151.63784999999999</v>
      </c>
      <c r="L192" s="104"/>
      <c r="M192" s="104"/>
      <c r="N192" s="34"/>
    </row>
    <row r="193" spans="1:14" s="35" customFormat="1" x14ac:dyDescent="0.35">
      <c r="A193" s="106"/>
      <c r="B193" s="106"/>
      <c r="C193" s="106"/>
      <c r="D193" s="106"/>
      <c r="E193" s="106"/>
      <c r="F193" s="106"/>
      <c r="G193" s="106"/>
      <c r="H193" s="106"/>
      <c r="I193" s="34"/>
      <c r="N193" s="34"/>
    </row>
    <row r="194" spans="1:14" ht="47.25" customHeight="1" x14ac:dyDescent="0.35">
      <c r="A194" s="171" t="s">
        <v>125</v>
      </c>
      <c r="B194" s="171" t="s">
        <v>126</v>
      </c>
      <c r="C194" s="171" t="s">
        <v>61</v>
      </c>
      <c r="D194" s="171" t="s">
        <v>62</v>
      </c>
      <c r="E194" s="179" t="s">
        <v>63</v>
      </c>
      <c r="F194" s="63" t="s">
        <v>155</v>
      </c>
      <c r="G194" s="171" t="s">
        <v>64</v>
      </c>
      <c r="H194" s="171"/>
      <c r="I194" s="34"/>
    </row>
    <row r="195" spans="1:14" s="35" customFormat="1" x14ac:dyDescent="0.35">
      <c r="A195" s="171"/>
      <c r="B195" s="171"/>
      <c r="C195" s="171"/>
      <c r="D195" s="171"/>
      <c r="E195" s="179"/>
      <c r="F195" s="64">
        <v>0.45</v>
      </c>
      <c r="G195" s="171"/>
      <c r="H195" s="171"/>
      <c r="I195" s="34"/>
    </row>
    <row r="196" spans="1:14" x14ac:dyDescent="0.35">
      <c r="A196" s="132" t="s">
        <v>170</v>
      </c>
      <c r="B196" s="132"/>
      <c r="C196" s="132"/>
      <c r="D196" s="132"/>
      <c r="E196" s="132"/>
      <c r="F196" s="132"/>
      <c r="G196" s="132"/>
      <c r="H196" s="132"/>
    </row>
    <row r="197" spans="1:14" x14ac:dyDescent="0.35">
      <c r="A197" s="132" t="s">
        <v>171</v>
      </c>
      <c r="B197" s="132"/>
      <c r="C197" s="132"/>
      <c r="D197" s="132"/>
      <c r="E197" s="132"/>
      <c r="F197" s="132"/>
      <c r="G197" s="132"/>
      <c r="H197" s="132"/>
    </row>
    <row r="198" spans="1:14" s="35" customFormat="1" x14ac:dyDescent="0.35">
      <c r="A198" s="112" t="s">
        <v>174</v>
      </c>
      <c r="B198" s="113"/>
      <c r="C198" s="113"/>
      <c r="D198" s="113"/>
      <c r="E198" s="113"/>
      <c r="F198" s="113"/>
      <c r="G198" s="113"/>
      <c r="H198" s="114"/>
      <c r="J198" s="34"/>
    </row>
    <row r="199" spans="1:14" s="35" customFormat="1" x14ac:dyDescent="0.35">
      <c r="A199" s="80">
        <v>1</v>
      </c>
      <c r="B199" s="81"/>
      <c r="C199" s="43" t="s">
        <v>175</v>
      </c>
      <c r="D199" s="43">
        <f>(35.81)*10.764</f>
        <v>385.45884000000001</v>
      </c>
      <c r="E199" s="43">
        <v>0</v>
      </c>
      <c r="F199" s="43">
        <f>D199*(($F$195)+1)+(IF(E199&lt;101,E199,IF(E199&lt;201,E199/2,IF(E199&lt;=301,E199/3,E199/4))))</f>
        <v>558.91531799999996</v>
      </c>
      <c r="G199" s="80" t="str">
        <f>A198</f>
        <v>Ground Floor for Residential &amp; Parking</v>
      </c>
      <c r="H199" s="81"/>
      <c r="I199" s="34"/>
      <c r="L199" s="104"/>
      <c r="M199" s="104"/>
      <c r="N199" s="34"/>
    </row>
    <row r="200" spans="1:14" s="35" customFormat="1" x14ac:dyDescent="0.35">
      <c r="A200" s="112" t="s">
        <v>178</v>
      </c>
      <c r="B200" s="113"/>
      <c r="C200" s="113"/>
      <c r="D200" s="113"/>
      <c r="E200" s="113"/>
      <c r="F200" s="113"/>
      <c r="G200" s="113"/>
      <c r="H200" s="114"/>
    </row>
    <row r="201" spans="1:14" s="35" customFormat="1" ht="15.75" customHeight="1" x14ac:dyDescent="0.35">
      <c r="A201" s="80">
        <v>1</v>
      </c>
      <c r="B201" s="81"/>
      <c r="C201" s="43" t="s">
        <v>175</v>
      </c>
      <c r="D201" s="48">
        <f>(31.4)*10.764</f>
        <v>337.98959999999994</v>
      </c>
      <c r="E201" s="43">
        <v>0</v>
      </c>
      <c r="F201" s="43">
        <f>D201*(($F$195)+1)+(IF(E201&lt;101,E201,IF(E201&lt;201,E201/2,IF(E201&lt;=301,E201/3,E201/4))))</f>
        <v>490.0849199999999</v>
      </c>
      <c r="G201" s="188" t="str">
        <f>A200</f>
        <v>1st to 4th Floor for Residential</v>
      </c>
      <c r="H201" s="189"/>
      <c r="I201" s="34"/>
      <c r="J201" s="34"/>
    </row>
    <row r="202" spans="1:14" s="35" customFormat="1" ht="15.75" customHeight="1" x14ac:dyDescent="0.35">
      <c r="A202" s="80">
        <v>2</v>
      </c>
      <c r="B202" s="81"/>
      <c r="C202" s="43" t="s">
        <v>176</v>
      </c>
      <c r="D202" s="48">
        <f>(40.52)*10.764</f>
        <v>436.15728000000001</v>
      </c>
      <c r="E202" s="43">
        <v>0</v>
      </c>
      <c r="F202" s="43">
        <f>D202*(($F$195)+1)+(IF(E202&lt;101,E202,IF(E202&lt;201,E202/2,IF(E202&lt;=301,E202/3,E202/4))))</f>
        <v>632.42805599999997</v>
      </c>
      <c r="G202" s="190"/>
      <c r="H202" s="191"/>
      <c r="I202" s="34"/>
      <c r="J202" s="34"/>
    </row>
    <row r="203" spans="1:14" s="35" customFormat="1" ht="15.75" customHeight="1" x14ac:dyDescent="0.35">
      <c r="A203" s="80">
        <v>3</v>
      </c>
      <c r="B203" s="81"/>
      <c r="C203" s="43" t="s">
        <v>175</v>
      </c>
      <c r="D203" s="48">
        <f>(43.92)*10.764</f>
        <v>472.75488000000001</v>
      </c>
      <c r="E203" s="43">
        <v>0</v>
      </c>
      <c r="F203" s="43">
        <f>D203*(($F$195)+1)+(IF(E203&lt;101,E203,IF(E203&lt;201,E203/2,IF(E203&lt;=301,E203/3,E203/4))))</f>
        <v>685.49457600000005</v>
      </c>
      <c r="G203" s="192"/>
      <c r="H203" s="193"/>
      <c r="I203" s="34"/>
      <c r="J203" s="34"/>
    </row>
    <row r="204" spans="1:14" x14ac:dyDescent="0.35">
      <c r="A204" s="132" t="s">
        <v>177</v>
      </c>
      <c r="B204" s="132"/>
      <c r="C204" s="132"/>
      <c r="D204" s="132"/>
      <c r="E204" s="132"/>
      <c r="F204" s="132"/>
      <c r="G204" s="132"/>
      <c r="H204" s="132"/>
    </row>
    <row r="205" spans="1:14" s="35" customFormat="1" x14ac:dyDescent="0.35">
      <c r="A205" s="112" t="s">
        <v>174</v>
      </c>
      <c r="B205" s="113"/>
      <c r="C205" s="113"/>
      <c r="D205" s="113"/>
      <c r="E205" s="113"/>
      <c r="F205" s="113"/>
      <c r="G205" s="113"/>
      <c r="H205" s="114"/>
      <c r="J205" s="34"/>
    </row>
    <row r="206" spans="1:14" s="35" customFormat="1" x14ac:dyDescent="0.35">
      <c r="A206" s="80">
        <v>4</v>
      </c>
      <c r="B206" s="81"/>
      <c r="C206" s="43" t="s">
        <v>175</v>
      </c>
      <c r="D206" s="43">
        <f>(31.4)*10.764</f>
        <v>337.98959999999994</v>
      </c>
      <c r="E206" s="43">
        <v>0</v>
      </c>
      <c r="F206" s="43">
        <f>D206*(($F$195)+1)+(IF(E206&lt;101,E206,IF(E206&lt;201,E206/2,IF(E206&lt;=301,E206/3,E206/4))))</f>
        <v>490.0849199999999</v>
      </c>
      <c r="G206" s="80" t="str">
        <f>A205</f>
        <v>Ground Floor for Residential &amp; Parking</v>
      </c>
      <c r="H206" s="81"/>
      <c r="I206" s="34"/>
      <c r="L206" s="104"/>
      <c r="M206" s="104"/>
      <c r="N206" s="34"/>
    </row>
    <row r="207" spans="1:14" s="35" customFormat="1" x14ac:dyDescent="0.35">
      <c r="A207" s="112" t="s">
        <v>178</v>
      </c>
      <c r="B207" s="113"/>
      <c r="C207" s="113"/>
      <c r="D207" s="113"/>
      <c r="E207" s="113"/>
      <c r="F207" s="113"/>
      <c r="G207" s="113"/>
      <c r="H207" s="114"/>
    </row>
    <row r="208" spans="1:14" s="35" customFormat="1" ht="15.75" customHeight="1" x14ac:dyDescent="0.35">
      <c r="A208" s="80">
        <v>1</v>
      </c>
      <c r="B208" s="81"/>
      <c r="C208" s="43" t="s">
        <v>179</v>
      </c>
      <c r="D208" s="48">
        <f>(23.97)*10.764</f>
        <v>258.01307999999995</v>
      </c>
      <c r="E208" s="43">
        <v>0</v>
      </c>
      <c r="F208" s="43">
        <f>D208*(($F$195)+1)+(IF(E208&lt;101,E208,IF(E208&lt;201,E208/2,IF(E208&lt;=301,E208/3,E208/4))))</f>
        <v>374.11896599999989</v>
      </c>
      <c r="G208" s="188" t="str">
        <f>A207</f>
        <v>1st to 4th Floor for Residential</v>
      </c>
      <c r="H208" s="189"/>
      <c r="I208" s="34"/>
      <c r="J208" s="34"/>
    </row>
    <row r="209" spans="1:14" s="35" customFormat="1" ht="15.75" customHeight="1" x14ac:dyDescent="0.35">
      <c r="A209" s="80">
        <v>2</v>
      </c>
      <c r="B209" s="81"/>
      <c r="C209" s="43" t="s">
        <v>179</v>
      </c>
      <c r="D209" s="48">
        <f>(31.45)*10.764</f>
        <v>338.52779999999996</v>
      </c>
      <c r="E209" s="43">
        <v>0</v>
      </c>
      <c r="F209" s="43">
        <f>D209*(($F$195)+1)+(IF(E209&lt;101,E209,IF(E209&lt;201,E209/2,IF(E209&lt;=301,E209/3,E209/4))))</f>
        <v>490.86530999999991</v>
      </c>
      <c r="G209" s="190"/>
      <c r="H209" s="191"/>
      <c r="I209" s="34"/>
      <c r="J209" s="34"/>
    </row>
    <row r="210" spans="1:14" s="35" customFormat="1" ht="15.75" customHeight="1" x14ac:dyDescent="0.35">
      <c r="A210" s="80">
        <v>3</v>
      </c>
      <c r="B210" s="81"/>
      <c r="C210" s="43" t="s">
        <v>176</v>
      </c>
      <c r="D210" s="48">
        <f>(40.52)*10.764</f>
        <v>436.15728000000001</v>
      </c>
      <c r="E210" s="43">
        <v>0</v>
      </c>
      <c r="F210" s="43">
        <f>D210*(($F$195)+1)+(IF(E210&lt;101,E210,IF(E210&lt;201,E210/2,IF(E210&lt;=301,E210/3,E210/4))))</f>
        <v>632.42805599999997</v>
      </c>
      <c r="G210" s="190"/>
      <c r="H210" s="191"/>
      <c r="I210" s="34"/>
      <c r="J210" s="34"/>
    </row>
    <row r="211" spans="1:14" s="35" customFormat="1" ht="15.75" customHeight="1" x14ac:dyDescent="0.35">
      <c r="A211" s="80">
        <v>4</v>
      </c>
      <c r="B211" s="81"/>
      <c r="C211" s="43" t="s">
        <v>175</v>
      </c>
      <c r="D211" s="48">
        <f>(31.4)*10.764</f>
        <v>337.98959999999994</v>
      </c>
      <c r="E211" s="43">
        <v>0</v>
      </c>
      <c r="F211" s="43">
        <f>D211*(($F$195)+1)+(IF(E211&lt;101,E211,IF(E211&lt;201,E211/2,IF(E211&lt;=301,E211/3,E211/4))))</f>
        <v>490.0849199999999</v>
      </c>
      <c r="G211" s="192"/>
      <c r="H211" s="193"/>
      <c r="I211" s="34"/>
      <c r="J211" s="34"/>
    </row>
    <row r="212" spans="1:14" x14ac:dyDescent="0.35">
      <c r="A212" s="132" t="s">
        <v>180</v>
      </c>
      <c r="B212" s="132"/>
      <c r="C212" s="132"/>
      <c r="D212" s="132"/>
      <c r="E212" s="132"/>
      <c r="F212" s="132"/>
      <c r="G212" s="132"/>
      <c r="H212" s="132"/>
    </row>
    <row r="213" spans="1:14" s="35" customFormat="1" x14ac:dyDescent="0.35">
      <c r="A213" s="112" t="s">
        <v>174</v>
      </c>
      <c r="B213" s="113"/>
      <c r="C213" s="113"/>
      <c r="D213" s="113"/>
      <c r="E213" s="113"/>
      <c r="F213" s="113"/>
      <c r="G213" s="113"/>
      <c r="H213" s="114"/>
      <c r="J213" s="34"/>
    </row>
    <row r="214" spans="1:14" s="35" customFormat="1" ht="15.75" customHeight="1" x14ac:dyDescent="0.35">
      <c r="A214" s="80">
        <v>1</v>
      </c>
      <c r="B214" s="81"/>
      <c r="C214" s="43" t="s">
        <v>175</v>
      </c>
      <c r="D214" s="43">
        <f>(31.4)*10.764</f>
        <v>337.98959999999994</v>
      </c>
      <c r="E214" s="43">
        <v>0</v>
      </c>
      <c r="F214" s="43">
        <f>D214*(($F$195)+1)+(IF(E214&lt;101,E214,IF(E214&lt;201,E214/2,IF(E214&lt;=301,E214/3,E214/4))))</f>
        <v>490.0849199999999</v>
      </c>
      <c r="G214" s="188" t="str">
        <f>A213</f>
        <v>Ground Floor for Residential &amp; Parking</v>
      </c>
      <c r="H214" s="189"/>
      <c r="I214" s="34"/>
      <c r="L214" s="104"/>
      <c r="M214" s="104"/>
      <c r="N214" s="34"/>
    </row>
    <row r="215" spans="1:14" s="35" customFormat="1" ht="15.75" customHeight="1" x14ac:dyDescent="0.35">
      <c r="A215" s="80">
        <v>2</v>
      </c>
      <c r="B215" s="81"/>
      <c r="C215" s="43" t="s">
        <v>175</v>
      </c>
      <c r="D215" s="43">
        <f>(30.24)*10.764</f>
        <v>325.50335999999999</v>
      </c>
      <c r="E215" s="43">
        <v>0</v>
      </c>
      <c r="F215" s="43">
        <f>D215*(($F$195)+1)+(IF(E215&lt;101,E215,IF(E215&lt;201,E215/2,IF(E215&lt;=301,E215/3,E215/4))))</f>
        <v>471.97987199999994</v>
      </c>
      <c r="G215" s="190"/>
      <c r="H215" s="191"/>
      <c r="I215" s="34"/>
      <c r="L215" s="104"/>
      <c r="M215" s="104"/>
      <c r="N215" s="34"/>
    </row>
    <row r="216" spans="1:14" s="35" customFormat="1" ht="15.75" customHeight="1" x14ac:dyDescent="0.35">
      <c r="A216" s="80">
        <v>3</v>
      </c>
      <c r="B216" s="81"/>
      <c r="C216" s="43" t="s">
        <v>175</v>
      </c>
      <c r="D216" s="43">
        <f>(31.4)*10.764</f>
        <v>337.98959999999994</v>
      </c>
      <c r="E216" s="43">
        <v>0</v>
      </c>
      <c r="F216" s="43">
        <f>D216*(($F$195)+1)+(IF(E216&lt;101,E216,IF(E216&lt;201,E216/2,IF(E216&lt;=301,E216/3,E216/4))))</f>
        <v>490.0849199999999</v>
      </c>
      <c r="G216" s="190"/>
      <c r="H216" s="191"/>
      <c r="I216" s="34"/>
      <c r="L216" s="104"/>
      <c r="M216" s="104"/>
      <c r="N216" s="34"/>
    </row>
    <row r="217" spans="1:14" s="35" customFormat="1" ht="15.75" customHeight="1" x14ac:dyDescent="0.35">
      <c r="A217" s="80">
        <v>4</v>
      </c>
      <c r="B217" s="81"/>
      <c r="C217" s="43" t="s">
        <v>175</v>
      </c>
      <c r="D217" s="43">
        <f>(31.4)*10.764</f>
        <v>337.98959999999994</v>
      </c>
      <c r="E217" s="43">
        <v>0</v>
      </c>
      <c r="F217" s="43">
        <f>D217*(($F$195)+1)+(IF(E217&lt;101,E217,IF(E217&lt;201,E217/2,IF(E217&lt;=301,E217/3,E217/4))))</f>
        <v>490.0849199999999</v>
      </c>
      <c r="G217" s="190"/>
      <c r="H217" s="191"/>
      <c r="I217" s="34"/>
      <c r="L217" s="104"/>
      <c r="M217" s="104"/>
      <c r="N217" s="34"/>
    </row>
    <row r="218" spans="1:14" s="35" customFormat="1" ht="15.75" customHeight="1" x14ac:dyDescent="0.35">
      <c r="A218" s="80">
        <v>5</v>
      </c>
      <c r="B218" s="81"/>
      <c r="C218" s="43" t="s">
        <v>175</v>
      </c>
      <c r="D218" s="43">
        <f>(31.4)*10.764</f>
        <v>337.98959999999994</v>
      </c>
      <c r="E218" s="43">
        <v>0</v>
      </c>
      <c r="F218" s="43">
        <f>D218*(($F$195)+1)+(IF(E218&lt;101,E218,IF(E218&lt;201,E218/2,IF(E218&lt;=301,E218/3,E218/4))))</f>
        <v>490.0849199999999</v>
      </c>
      <c r="G218" s="192"/>
      <c r="H218" s="193"/>
      <c r="I218" s="34"/>
      <c r="L218" s="104"/>
      <c r="M218" s="104"/>
      <c r="N218" s="34"/>
    </row>
    <row r="219" spans="1:14" s="35" customFormat="1" x14ac:dyDescent="0.35">
      <c r="A219" s="112" t="s">
        <v>178</v>
      </c>
      <c r="B219" s="113"/>
      <c r="C219" s="113"/>
      <c r="D219" s="113"/>
      <c r="E219" s="113"/>
      <c r="F219" s="113"/>
      <c r="G219" s="113"/>
      <c r="H219" s="114"/>
    </row>
    <row r="220" spans="1:14" s="35" customFormat="1" ht="15.75" customHeight="1" x14ac:dyDescent="0.35">
      <c r="A220" s="80">
        <v>1</v>
      </c>
      <c r="B220" s="81"/>
      <c r="C220" s="43" t="s">
        <v>175</v>
      </c>
      <c r="D220" s="48">
        <f>(31.4)*10.764</f>
        <v>337.98959999999994</v>
      </c>
      <c r="E220" s="43">
        <v>0</v>
      </c>
      <c r="F220" s="43">
        <f t="shared" ref="F220:F227" si="8">D220*(($F$195)+1)+(IF(E220&lt;101,E220,IF(E220&lt;201,E220/2,IF(E220&lt;=301,E220/3,E220/4))))</f>
        <v>490.0849199999999</v>
      </c>
      <c r="G220" s="188" t="str">
        <f>A219</f>
        <v>1st to 4th Floor for Residential</v>
      </c>
      <c r="H220" s="189"/>
      <c r="I220" s="34"/>
      <c r="J220" s="34"/>
    </row>
    <row r="221" spans="1:14" s="35" customFormat="1" ht="15.75" customHeight="1" x14ac:dyDescent="0.35">
      <c r="A221" s="80">
        <v>2</v>
      </c>
      <c r="B221" s="81"/>
      <c r="C221" s="43" t="s">
        <v>175</v>
      </c>
      <c r="D221" s="48">
        <f>(30.24)*10.764</f>
        <v>325.50335999999999</v>
      </c>
      <c r="E221" s="43">
        <v>0</v>
      </c>
      <c r="F221" s="43">
        <f t="shared" si="8"/>
        <v>471.97987199999994</v>
      </c>
      <c r="G221" s="190"/>
      <c r="H221" s="191"/>
      <c r="I221" s="34"/>
      <c r="J221" s="34"/>
    </row>
    <row r="222" spans="1:14" s="35" customFormat="1" ht="15.75" customHeight="1" x14ac:dyDescent="0.35">
      <c r="A222" s="80">
        <v>3</v>
      </c>
      <c r="B222" s="81"/>
      <c r="C222" s="43" t="s">
        <v>175</v>
      </c>
      <c r="D222" s="48">
        <f>(31.4)*10.764</f>
        <v>337.98959999999994</v>
      </c>
      <c r="E222" s="43">
        <v>0</v>
      </c>
      <c r="F222" s="43">
        <f t="shared" si="8"/>
        <v>490.0849199999999</v>
      </c>
      <c r="G222" s="190"/>
      <c r="H222" s="191"/>
      <c r="I222" s="34"/>
      <c r="J222" s="34"/>
    </row>
    <row r="223" spans="1:14" s="35" customFormat="1" ht="15.75" customHeight="1" x14ac:dyDescent="0.35">
      <c r="A223" s="80">
        <v>4</v>
      </c>
      <c r="B223" s="81"/>
      <c r="C223" s="43" t="s">
        <v>175</v>
      </c>
      <c r="D223" s="48">
        <f t="shared" ref="D223:D225" si="9">(31.4)*10.764</f>
        <v>337.98959999999994</v>
      </c>
      <c r="E223" s="43">
        <v>0</v>
      </c>
      <c r="F223" s="43">
        <f t="shared" si="8"/>
        <v>490.0849199999999</v>
      </c>
      <c r="G223" s="190"/>
      <c r="H223" s="191"/>
      <c r="I223" s="34"/>
      <c r="J223" s="34"/>
    </row>
    <row r="224" spans="1:14" s="35" customFormat="1" ht="15.75" customHeight="1" x14ac:dyDescent="0.35">
      <c r="A224" s="80">
        <v>5</v>
      </c>
      <c r="B224" s="81"/>
      <c r="C224" s="43" t="s">
        <v>175</v>
      </c>
      <c r="D224" s="48">
        <f t="shared" si="9"/>
        <v>337.98959999999994</v>
      </c>
      <c r="E224" s="43">
        <v>0</v>
      </c>
      <c r="F224" s="43">
        <f t="shared" si="8"/>
        <v>490.0849199999999</v>
      </c>
      <c r="G224" s="190"/>
      <c r="H224" s="191"/>
      <c r="I224" s="34"/>
      <c r="J224" s="34"/>
    </row>
    <row r="225" spans="1:14" s="35" customFormat="1" ht="15.75" customHeight="1" x14ac:dyDescent="0.35">
      <c r="A225" s="80">
        <v>6</v>
      </c>
      <c r="B225" s="81"/>
      <c r="C225" s="43" t="s">
        <v>175</v>
      </c>
      <c r="D225" s="48">
        <f t="shared" si="9"/>
        <v>337.98959999999994</v>
      </c>
      <c r="E225" s="43">
        <v>0</v>
      </c>
      <c r="F225" s="43">
        <f t="shared" si="8"/>
        <v>490.0849199999999</v>
      </c>
      <c r="G225" s="190"/>
      <c r="H225" s="191"/>
      <c r="I225" s="34"/>
      <c r="J225" s="34"/>
    </row>
    <row r="226" spans="1:14" s="35" customFormat="1" ht="15.75" customHeight="1" x14ac:dyDescent="0.35">
      <c r="A226" s="80">
        <v>7</v>
      </c>
      <c r="B226" s="81"/>
      <c r="C226" s="43" t="s">
        <v>175</v>
      </c>
      <c r="D226" s="48">
        <f>(31.44)*10.764</f>
        <v>338.42016000000001</v>
      </c>
      <c r="E226" s="43">
        <v>0</v>
      </c>
      <c r="F226" s="43">
        <f t="shared" si="8"/>
        <v>490.70923199999999</v>
      </c>
      <c r="G226" s="190"/>
      <c r="H226" s="191"/>
      <c r="I226" s="34"/>
      <c r="J226" s="34"/>
    </row>
    <row r="227" spans="1:14" s="35" customFormat="1" ht="15.75" customHeight="1" x14ac:dyDescent="0.35">
      <c r="A227" s="80">
        <v>8</v>
      </c>
      <c r="B227" s="81"/>
      <c r="C227" s="43" t="s">
        <v>179</v>
      </c>
      <c r="D227" s="48">
        <f>(23.97)*10.764</f>
        <v>258.01307999999995</v>
      </c>
      <c r="E227" s="43">
        <v>0</v>
      </c>
      <c r="F227" s="43">
        <f t="shared" si="8"/>
        <v>374.11896599999989</v>
      </c>
      <c r="G227" s="192"/>
      <c r="H227" s="193"/>
      <c r="I227" s="34"/>
      <c r="J227" s="34"/>
    </row>
    <row r="228" spans="1:14" x14ac:dyDescent="0.35">
      <c r="A228" s="132" t="s">
        <v>181</v>
      </c>
      <c r="B228" s="132"/>
      <c r="C228" s="132"/>
      <c r="D228" s="132"/>
      <c r="E228" s="132"/>
      <c r="F228" s="132"/>
      <c r="G228" s="132"/>
      <c r="H228" s="132"/>
    </row>
    <row r="229" spans="1:14" s="35" customFormat="1" x14ac:dyDescent="0.35">
      <c r="A229" s="187" t="s">
        <v>174</v>
      </c>
      <c r="B229" s="187"/>
      <c r="C229" s="187"/>
      <c r="D229" s="187"/>
      <c r="E229" s="187"/>
      <c r="F229" s="187"/>
      <c r="G229" s="187"/>
      <c r="H229" s="187"/>
      <c r="J229" s="34"/>
    </row>
    <row r="230" spans="1:14" s="35" customFormat="1" ht="15.75" customHeight="1" x14ac:dyDescent="0.35">
      <c r="A230" s="106">
        <v>1</v>
      </c>
      <c r="B230" s="106"/>
      <c r="C230" s="43" t="s">
        <v>175</v>
      </c>
      <c r="D230" s="43">
        <f>(33.27)*10.764</f>
        <v>358.11828000000003</v>
      </c>
      <c r="E230" s="43">
        <v>0</v>
      </c>
      <c r="F230" s="43">
        <f>D230*(($F$195)+1)+(IF(E230&lt;101,E230,IF(E230&lt;201,E230/2,IF(E230&lt;=301,E230/3,E230/4))))</f>
        <v>519.27150600000004</v>
      </c>
      <c r="G230" s="106" t="str">
        <f>A229</f>
        <v>Ground Floor for Residential &amp; Parking</v>
      </c>
      <c r="H230" s="106"/>
      <c r="I230" s="34"/>
      <c r="L230" s="104"/>
      <c r="M230" s="104"/>
      <c r="N230" s="34"/>
    </row>
    <row r="231" spans="1:14" s="35" customFormat="1" ht="15.75" customHeight="1" x14ac:dyDescent="0.35">
      <c r="A231" s="106">
        <v>2</v>
      </c>
      <c r="B231" s="106"/>
      <c r="C231" s="43" t="s">
        <v>175</v>
      </c>
      <c r="D231" s="43">
        <f>(31.4)*10.764</f>
        <v>337.98959999999994</v>
      </c>
      <c r="E231" s="43">
        <v>0</v>
      </c>
      <c r="F231" s="43">
        <f>D231*(($F$195)+1)+(IF(E231&lt;101,E231,IF(E231&lt;201,E231/2,IF(E231&lt;=301,E231/3,E231/4))))</f>
        <v>490.0849199999999</v>
      </c>
      <c r="G231" s="106"/>
      <c r="H231" s="106"/>
      <c r="I231" s="34"/>
      <c r="L231" s="104"/>
      <c r="M231" s="104"/>
      <c r="N231" s="34"/>
    </row>
    <row r="232" spans="1:14" s="35" customFormat="1" ht="15.75" customHeight="1" x14ac:dyDescent="0.35">
      <c r="A232" s="106">
        <v>3</v>
      </c>
      <c r="B232" s="106"/>
      <c r="C232" s="43" t="s">
        <v>175</v>
      </c>
      <c r="D232" s="43">
        <f>(31.4)*10.764</f>
        <v>337.98959999999994</v>
      </c>
      <c r="E232" s="43">
        <v>0</v>
      </c>
      <c r="F232" s="43">
        <f>D232*(($F$195)+1)+(IF(E232&lt;101,E232,IF(E232&lt;201,E232/2,IF(E232&lt;=301,E232/3,E232/4))))</f>
        <v>490.0849199999999</v>
      </c>
      <c r="G232" s="106"/>
      <c r="H232" s="106"/>
      <c r="I232" s="34"/>
      <c r="L232" s="104"/>
      <c r="M232" s="104"/>
      <c r="N232" s="34"/>
    </row>
    <row r="233" spans="1:14" s="35" customFormat="1" ht="15.75" customHeight="1" x14ac:dyDescent="0.35">
      <c r="A233" s="106">
        <v>4</v>
      </c>
      <c r="B233" s="106"/>
      <c r="C233" s="43" t="s">
        <v>176</v>
      </c>
      <c r="D233" s="43">
        <f>(40.06)*10.764</f>
        <v>431.20584000000002</v>
      </c>
      <c r="E233" s="43">
        <v>0</v>
      </c>
      <c r="F233" s="43">
        <f>D233*(($F$195)+1)+(IF(E233&lt;101,E233,IF(E233&lt;201,E233/2,IF(E233&lt;=301,E233/3,E233/4))))</f>
        <v>625.248468</v>
      </c>
      <c r="G233" s="106"/>
      <c r="H233" s="106"/>
      <c r="I233" s="34"/>
      <c r="L233" s="104"/>
      <c r="M233" s="104"/>
      <c r="N233" s="34"/>
    </row>
    <row r="234" spans="1:14" s="35" customFormat="1" ht="15.75" customHeight="1" x14ac:dyDescent="0.35">
      <c r="A234" s="106">
        <v>5</v>
      </c>
      <c r="B234" s="106"/>
      <c r="C234" s="43" t="s">
        <v>175</v>
      </c>
      <c r="D234" s="43">
        <f>(31.4)*10.764</f>
        <v>337.98959999999994</v>
      </c>
      <c r="E234" s="43">
        <v>0</v>
      </c>
      <c r="F234" s="43">
        <f>D234*(($F$195)+1)+(IF(E234&lt;101,E234,IF(E234&lt;201,E234/2,IF(E234&lt;=301,E234/3,E234/4))))</f>
        <v>490.0849199999999</v>
      </c>
      <c r="G234" s="106"/>
      <c r="H234" s="106"/>
      <c r="I234" s="34"/>
      <c r="L234" s="104"/>
      <c r="M234" s="104"/>
      <c r="N234" s="34"/>
    </row>
    <row r="235" spans="1:14" s="35" customFormat="1" x14ac:dyDescent="0.35">
      <c r="A235" s="187" t="s">
        <v>178</v>
      </c>
      <c r="B235" s="187"/>
      <c r="C235" s="187"/>
      <c r="D235" s="187"/>
      <c r="E235" s="187"/>
      <c r="F235" s="187"/>
      <c r="G235" s="187"/>
      <c r="H235" s="187"/>
    </row>
    <row r="236" spans="1:14" s="35" customFormat="1" ht="15.75" customHeight="1" x14ac:dyDescent="0.35">
      <c r="A236" s="106">
        <v>1</v>
      </c>
      <c r="B236" s="106"/>
      <c r="C236" s="43" t="s">
        <v>175</v>
      </c>
      <c r="D236" s="48">
        <f>(33.27)*10.764</f>
        <v>358.11828000000003</v>
      </c>
      <c r="E236" s="43">
        <v>0</v>
      </c>
      <c r="F236" s="43">
        <f t="shared" ref="F236:F241" si="10">D236*(($F$195)+1)+(IF(E236&lt;101,E236,IF(E236&lt;201,E236/2,IF(E236&lt;=301,E236/3,E236/4))))</f>
        <v>519.27150600000004</v>
      </c>
      <c r="G236" s="106" t="str">
        <f>A235</f>
        <v>1st to 4th Floor for Residential</v>
      </c>
      <c r="H236" s="106"/>
      <c r="I236" s="34"/>
      <c r="J236" s="34"/>
    </row>
    <row r="237" spans="1:14" s="35" customFormat="1" ht="15.75" customHeight="1" x14ac:dyDescent="0.35">
      <c r="A237" s="106">
        <v>2</v>
      </c>
      <c r="B237" s="106"/>
      <c r="C237" s="43" t="s">
        <v>175</v>
      </c>
      <c r="D237" s="48">
        <f>(31.4)*10.764</f>
        <v>337.98959999999994</v>
      </c>
      <c r="E237" s="43">
        <v>0</v>
      </c>
      <c r="F237" s="43">
        <f t="shared" si="10"/>
        <v>490.0849199999999</v>
      </c>
      <c r="G237" s="106"/>
      <c r="H237" s="106"/>
      <c r="I237" s="34"/>
      <c r="J237" s="34"/>
    </row>
    <row r="238" spans="1:14" s="35" customFormat="1" ht="15.75" customHeight="1" x14ac:dyDescent="0.35">
      <c r="A238" s="106">
        <v>3</v>
      </c>
      <c r="B238" s="106"/>
      <c r="C238" s="43" t="s">
        <v>175</v>
      </c>
      <c r="D238" s="48">
        <f>(31.4)*10.764</f>
        <v>337.98959999999994</v>
      </c>
      <c r="E238" s="43">
        <v>0</v>
      </c>
      <c r="F238" s="43">
        <f t="shared" si="10"/>
        <v>490.0849199999999</v>
      </c>
      <c r="G238" s="106"/>
      <c r="H238" s="106"/>
      <c r="I238" s="34"/>
      <c r="J238" s="34"/>
    </row>
    <row r="239" spans="1:14" s="35" customFormat="1" ht="15.75" customHeight="1" x14ac:dyDescent="0.35">
      <c r="A239" s="106">
        <v>4</v>
      </c>
      <c r="B239" s="106"/>
      <c r="C239" s="43" t="s">
        <v>176</v>
      </c>
      <c r="D239" s="48">
        <f>(40.07)*10.764</f>
        <v>431.31347999999997</v>
      </c>
      <c r="E239" s="43">
        <v>0</v>
      </c>
      <c r="F239" s="43">
        <f t="shared" si="10"/>
        <v>625.40454599999998</v>
      </c>
      <c r="G239" s="106"/>
      <c r="H239" s="106"/>
      <c r="I239" s="34"/>
      <c r="J239" s="34"/>
    </row>
    <row r="240" spans="1:14" s="35" customFormat="1" ht="15.75" customHeight="1" x14ac:dyDescent="0.35">
      <c r="A240" s="106">
        <v>5</v>
      </c>
      <c r="B240" s="106"/>
      <c r="C240" s="43" t="s">
        <v>175</v>
      </c>
      <c r="D240" s="48">
        <f>(31.4)*10.764</f>
        <v>337.98959999999994</v>
      </c>
      <c r="E240" s="43">
        <v>0</v>
      </c>
      <c r="F240" s="43">
        <f t="shared" si="10"/>
        <v>490.0849199999999</v>
      </c>
      <c r="G240" s="106"/>
      <c r="H240" s="106"/>
      <c r="I240" s="34"/>
      <c r="J240" s="34"/>
    </row>
    <row r="241" spans="1:14" s="35" customFormat="1" ht="15.75" customHeight="1" x14ac:dyDescent="0.35">
      <c r="A241" s="106">
        <v>6</v>
      </c>
      <c r="B241" s="106"/>
      <c r="C241" s="43" t="s">
        <v>175</v>
      </c>
      <c r="D241" s="48">
        <f>(31.4)*10.764</f>
        <v>337.98959999999994</v>
      </c>
      <c r="E241" s="43">
        <v>0</v>
      </c>
      <c r="F241" s="43">
        <f t="shared" si="10"/>
        <v>490.0849199999999</v>
      </c>
      <c r="G241" s="106"/>
      <c r="H241" s="106"/>
      <c r="I241" s="34"/>
      <c r="J241" s="34"/>
    </row>
    <row r="242" spans="1:14" x14ac:dyDescent="0.35">
      <c r="A242" s="132" t="s">
        <v>182</v>
      </c>
      <c r="B242" s="132"/>
      <c r="C242" s="132"/>
      <c r="D242" s="132"/>
      <c r="E242" s="132"/>
      <c r="F242" s="132"/>
      <c r="G242" s="132"/>
      <c r="H242" s="132"/>
    </row>
    <row r="243" spans="1:14" s="35" customFormat="1" x14ac:dyDescent="0.35">
      <c r="A243" s="112" t="s">
        <v>174</v>
      </c>
      <c r="B243" s="113"/>
      <c r="C243" s="113"/>
      <c r="D243" s="113"/>
      <c r="E243" s="113"/>
      <c r="F243" s="113"/>
      <c r="G243" s="113"/>
      <c r="H243" s="114"/>
      <c r="J243" s="34"/>
    </row>
    <row r="244" spans="1:14" s="35" customFormat="1" ht="15.75" customHeight="1" x14ac:dyDescent="0.35">
      <c r="A244" s="80">
        <v>1</v>
      </c>
      <c r="B244" s="81"/>
      <c r="C244" s="43" t="s">
        <v>175</v>
      </c>
      <c r="D244" s="43">
        <f>(31.4)*10.764</f>
        <v>337.98959999999994</v>
      </c>
      <c r="E244" s="43">
        <v>0</v>
      </c>
      <c r="F244" s="43">
        <f t="shared" ref="F244:F249" si="11">D244*(($F$195)+1)+(IF(E244&lt;101,E244,IF(E244&lt;201,E244/2,IF(E244&lt;=301,E244/3,E244/4))))</f>
        <v>490.0849199999999</v>
      </c>
      <c r="G244" s="188" t="str">
        <f>A243</f>
        <v>Ground Floor for Residential &amp; Parking</v>
      </c>
      <c r="H244" s="189"/>
      <c r="I244" s="34"/>
      <c r="L244" s="104"/>
      <c r="M244" s="104"/>
      <c r="N244" s="34"/>
    </row>
    <row r="245" spans="1:14" s="35" customFormat="1" ht="15.75" customHeight="1" x14ac:dyDescent="0.35">
      <c r="A245" s="80">
        <v>2</v>
      </c>
      <c r="B245" s="81"/>
      <c r="C245" s="43" t="s">
        <v>175</v>
      </c>
      <c r="D245" s="43">
        <f>(30.57)*10.764</f>
        <v>329.05547999999999</v>
      </c>
      <c r="E245" s="43">
        <v>0</v>
      </c>
      <c r="F245" s="43">
        <f t="shared" si="11"/>
        <v>477.13044599999995</v>
      </c>
      <c r="G245" s="190"/>
      <c r="H245" s="191"/>
      <c r="I245" s="34"/>
      <c r="L245" s="104"/>
      <c r="M245" s="104"/>
      <c r="N245" s="34"/>
    </row>
    <row r="246" spans="1:14" s="35" customFormat="1" ht="15.75" customHeight="1" x14ac:dyDescent="0.35">
      <c r="A246" s="80">
        <v>3</v>
      </c>
      <c r="B246" s="81"/>
      <c r="C246" s="43" t="s">
        <v>175</v>
      </c>
      <c r="D246" s="43">
        <f>(30)*10.764</f>
        <v>322.91999999999996</v>
      </c>
      <c r="E246" s="43">
        <v>0</v>
      </c>
      <c r="F246" s="43">
        <f t="shared" si="11"/>
        <v>468.23399999999992</v>
      </c>
      <c r="G246" s="190"/>
      <c r="H246" s="191"/>
      <c r="I246" s="34"/>
      <c r="L246" s="104"/>
      <c r="M246" s="104"/>
      <c r="N246" s="34"/>
    </row>
    <row r="247" spans="1:14" s="35" customFormat="1" ht="15.75" customHeight="1" x14ac:dyDescent="0.35">
      <c r="A247" s="80">
        <v>4</v>
      </c>
      <c r="B247" s="81"/>
      <c r="C247" s="43" t="s">
        <v>175</v>
      </c>
      <c r="D247" s="43">
        <f>(31.4)*10.764</f>
        <v>337.98959999999994</v>
      </c>
      <c r="E247" s="43">
        <v>0</v>
      </c>
      <c r="F247" s="43">
        <f t="shared" si="11"/>
        <v>490.0849199999999</v>
      </c>
      <c r="G247" s="190"/>
      <c r="H247" s="191"/>
      <c r="I247" s="34"/>
      <c r="L247" s="104"/>
      <c r="M247" s="104"/>
      <c r="N247" s="34"/>
    </row>
    <row r="248" spans="1:14" s="35" customFormat="1" ht="15.75" customHeight="1" x14ac:dyDescent="0.35">
      <c r="A248" s="80">
        <v>5</v>
      </c>
      <c r="B248" s="81"/>
      <c r="C248" s="43" t="s">
        <v>179</v>
      </c>
      <c r="D248" s="43">
        <f>(22.24)*10.764</f>
        <v>239.39135999999996</v>
      </c>
      <c r="E248" s="43">
        <v>0</v>
      </c>
      <c r="F248" s="43">
        <f t="shared" si="11"/>
        <v>347.11747199999996</v>
      </c>
      <c r="G248" s="190"/>
      <c r="H248" s="191"/>
      <c r="I248" s="34"/>
      <c r="L248" s="104"/>
      <c r="M248" s="104"/>
      <c r="N248" s="34"/>
    </row>
    <row r="249" spans="1:14" s="35" customFormat="1" ht="15.75" customHeight="1" x14ac:dyDescent="0.35">
      <c r="A249" s="80">
        <v>6</v>
      </c>
      <c r="B249" s="81"/>
      <c r="C249" s="43" t="s">
        <v>175</v>
      </c>
      <c r="D249" s="43">
        <f>(31.4)*10.764</f>
        <v>337.98959999999994</v>
      </c>
      <c r="E249" s="43">
        <v>0</v>
      </c>
      <c r="F249" s="43">
        <f t="shared" si="11"/>
        <v>490.0849199999999</v>
      </c>
      <c r="G249" s="192"/>
      <c r="H249" s="193"/>
      <c r="I249" s="34"/>
      <c r="L249" s="104"/>
      <c r="M249" s="104"/>
      <c r="N249" s="34"/>
    </row>
    <row r="250" spans="1:14" s="35" customFormat="1" x14ac:dyDescent="0.35">
      <c r="A250" s="112" t="s">
        <v>183</v>
      </c>
      <c r="B250" s="113"/>
      <c r="C250" s="113"/>
      <c r="D250" s="113"/>
      <c r="E250" s="113"/>
      <c r="F250" s="113"/>
      <c r="G250" s="113"/>
      <c r="H250" s="114"/>
    </row>
    <row r="251" spans="1:14" s="35" customFormat="1" ht="15.75" customHeight="1" x14ac:dyDescent="0.35">
      <c r="A251" s="80">
        <v>1</v>
      </c>
      <c r="B251" s="81"/>
      <c r="C251" s="43" t="s">
        <v>175</v>
      </c>
      <c r="D251" s="48">
        <f>(31.4)*10.764</f>
        <v>337.98959999999994</v>
      </c>
      <c r="E251" s="43">
        <v>0</v>
      </c>
      <c r="F251" s="43">
        <f t="shared" ref="F251:F258" si="12">D251*(($F$195)+1)+(IF(E251&lt;101,E251,IF(E251&lt;201,E251/2,IF(E251&lt;=301,E251/3,E251/4))))</f>
        <v>490.0849199999999</v>
      </c>
      <c r="G251" s="188" t="str">
        <f>A250</f>
        <v>1st &amp; 2nd Floor for Residential</v>
      </c>
      <c r="H251" s="189"/>
      <c r="I251" s="34"/>
      <c r="J251" s="34"/>
    </row>
    <row r="252" spans="1:14" s="35" customFormat="1" ht="15.75" customHeight="1" x14ac:dyDescent="0.35">
      <c r="A252" s="80">
        <v>2</v>
      </c>
      <c r="B252" s="81"/>
      <c r="C252" s="43" t="s">
        <v>179</v>
      </c>
      <c r="D252" s="48">
        <f>22.24*10.764</f>
        <v>239.39135999999996</v>
      </c>
      <c r="E252" s="43">
        <v>0</v>
      </c>
      <c r="F252" s="43">
        <f t="shared" si="12"/>
        <v>347.11747199999996</v>
      </c>
      <c r="G252" s="190"/>
      <c r="H252" s="191"/>
      <c r="I252" s="34"/>
      <c r="J252" s="34"/>
    </row>
    <row r="253" spans="1:14" s="35" customFormat="1" ht="15.75" customHeight="1" x14ac:dyDescent="0.35">
      <c r="A253" s="80">
        <v>3</v>
      </c>
      <c r="B253" s="81"/>
      <c r="C253" s="43" t="s">
        <v>175</v>
      </c>
      <c r="D253" s="48">
        <f>(31.57)*10.764</f>
        <v>339.81948</v>
      </c>
      <c r="E253" s="43">
        <v>0</v>
      </c>
      <c r="F253" s="43">
        <f t="shared" si="12"/>
        <v>492.738246</v>
      </c>
      <c r="G253" s="190"/>
      <c r="H253" s="191"/>
      <c r="I253" s="34"/>
      <c r="J253" s="34"/>
    </row>
    <row r="254" spans="1:14" s="35" customFormat="1" ht="15.75" customHeight="1" x14ac:dyDescent="0.35">
      <c r="A254" s="80">
        <v>4</v>
      </c>
      <c r="B254" s="81"/>
      <c r="C254" s="43" t="s">
        <v>175</v>
      </c>
      <c r="D254" s="48">
        <f>(30)*10.764</f>
        <v>322.91999999999996</v>
      </c>
      <c r="E254" s="43">
        <v>0</v>
      </c>
      <c r="F254" s="43">
        <f t="shared" si="12"/>
        <v>468.23399999999992</v>
      </c>
      <c r="G254" s="190"/>
      <c r="H254" s="191"/>
      <c r="I254" s="34"/>
      <c r="J254" s="34"/>
    </row>
    <row r="255" spans="1:14" s="35" customFormat="1" ht="15.75" customHeight="1" x14ac:dyDescent="0.35">
      <c r="A255" s="80">
        <v>5</v>
      </c>
      <c r="B255" s="81"/>
      <c r="C255" s="43" t="s">
        <v>175</v>
      </c>
      <c r="D255" s="48">
        <f>(31.4)*10.764</f>
        <v>337.98959999999994</v>
      </c>
      <c r="E255" s="43">
        <v>0</v>
      </c>
      <c r="F255" s="43">
        <f t="shared" si="12"/>
        <v>490.0849199999999</v>
      </c>
      <c r="G255" s="190"/>
      <c r="H255" s="191"/>
      <c r="I255" s="34"/>
      <c r="J255" s="34"/>
    </row>
    <row r="256" spans="1:14" s="35" customFormat="1" ht="15.75" customHeight="1" x14ac:dyDescent="0.35">
      <c r="A256" s="80">
        <v>6</v>
      </c>
      <c r="B256" s="81"/>
      <c r="C256" s="43" t="s">
        <v>179</v>
      </c>
      <c r="D256" s="48">
        <f>(22.24)*10.764</f>
        <v>239.39135999999996</v>
      </c>
      <c r="E256" s="43">
        <v>0</v>
      </c>
      <c r="F256" s="43">
        <f t="shared" si="12"/>
        <v>347.11747199999996</v>
      </c>
      <c r="G256" s="190"/>
      <c r="H256" s="191"/>
      <c r="I256" s="34"/>
      <c r="J256" s="34"/>
    </row>
    <row r="257" spans="1:15" s="35" customFormat="1" ht="15.75" customHeight="1" x14ac:dyDescent="0.35">
      <c r="A257" s="80">
        <v>7</v>
      </c>
      <c r="B257" s="81"/>
      <c r="C257" s="43" t="s">
        <v>179</v>
      </c>
      <c r="D257" s="48">
        <f>(24.24)*10.764</f>
        <v>260.91935999999998</v>
      </c>
      <c r="E257" s="43">
        <v>0</v>
      </c>
      <c r="F257" s="43">
        <f t="shared" si="12"/>
        <v>378.33307199999996</v>
      </c>
      <c r="G257" s="190"/>
      <c r="H257" s="191"/>
      <c r="I257" s="34"/>
      <c r="J257" s="34"/>
    </row>
    <row r="258" spans="1:15" s="35" customFormat="1" ht="15.75" customHeight="1" x14ac:dyDescent="0.35">
      <c r="A258" s="80">
        <v>8</v>
      </c>
      <c r="B258" s="81"/>
      <c r="C258" s="43" t="s">
        <v>175</v>
      </c>
      <c r="D258" s="48">
        <f>(31.4)*10.764</f>
        <v>337.98959999999994</v>
      </c>
      <c r="E258" s="43">
        <v>0</v>
      </c>
      <c r="F258" s="43">
        <f t="shared" si="12"/>
        <v>490.0849199999999</v>
      </c>
      <c r="G258" s="192"/>
      <c r="H258" s="193"/>
      <c r="I258" s="34"/>
      <c r="J258" s="34"/>
    </row>
    <row r="259" spans="1:15" x14ac:dyDescent="0.35">
      <c r="A259" s="132" t="s">
        <v>184</v>
      </c>
      <c r="B259" s="132"/>
      <c r="C259" s="132"/>
      <c r="D259" s="132"/>
      <c r="E259" s="132"/>
      <c r="F259" s="132"/>
      <c r="G259" s="132"/>
      <c r="H259" s="132"/>
    </row>
    <row r="260" spans="1:15" x14ac:dyDescent="0.35">
      <c r="A260" s="132" t="s">
        <v>185</v>
      </c>
      <c r="B260" s="132"/>
      <c r="C260" s="132"/>
      <c r="D260" s="132"/>
      <c r="E260" s="132"/>
      <c r="F260" s="132"/>
      <c r="G260" s="132"/>
      <c r="H260" s="132"/>
    </row>
    <row r="261" spans="1:15" s="35" customFormat="1" x14ac:dyDescent="0.35">
      <c r="A261" s="112" t="s">
        <v>174</v>
      </c>
      <c r="B261" s="113"/>
      <c r="C261" s="113"/>
      <c r="D261" s="113"/>
      <c r="E261" s="113"/>
      <c r="F261" s="113"/>
      <c r="G261" s="113"/>
      <c r="H261" s="114"/>
      <c r="J261" s="34"/>
    </row>
    <row r="262" spans="1:15" s="35" customFormat="1" ht="15.75" customHeight="1" x14ac:dyDescent="0.35">
      <c r="A262" s="80">
        <v>1</v>
      </c>
      <c r="B262" s="81"/>
      <c r="C262" s="43" t="s">
        <v>175</v>
      </c>
      <c r="D262" s="43">
        <f>(31.4)*10.764</f>
        <v>337.98959999999994</v>
      </c>
      <c r="E262" s="43">
        <v>0</v>
      </c>
      <c r="F262" s="43">
        <f t="shared" ref="F262:F267" si="13">D262*(($F$195)+1)+(IF(E262&lt;101,E262,IF(E262&lt;201,E262/2,IF(E262&lt;=301,E262/3,E262/4))))</f>
        <v>490.0849199999999</v>
      </c>
      <c r="G262" s="188" t="str">
        <f>A261</f>
        <v>Ground Floor for Residential &amp; Parking</v>
      </c>
      <c r="H262" s="189"/>
      <c r="I262" s="34"/>
      <c r="L262" s="104"/>
      <c r="M262" s="104"/>
      <c r="N262" s="34"/>
    </row>
    <row r="263" spans="1:15" s="35" customFormat="1" ht="15.75" customHeight="1" x14ac:dyDescent="0.35">
      <c r="A263" s="80">
        <v>2</v>
      </c>
      <c r="B263" s="81"/>
      <c r="C263" s="43" t="s">
        <v>176</v>
      </c>
      <c r="D263" s="43">
        <f>(41.04)*10.764</f>
        <v>441.75455999999997</v>
      </c>
      <c r="E263" s="43">
        <v>0</v>
      </c>
      <c r="F263" s="43">
        <f t="shared" si="13"/>
        <v>640.54411199999993</v>
      </c>
      <c r="G263" s="190"/>
      <c r="H263" s="191"/>
      <c r="I263" s="34"/>
      <c r="L263" s="104"/>
      <c r="M263" s="104"/>
      <c r="N263" s="34"/>
    </row>
    <row r="264" spans="1:15" s="35" customFormat="1" ht="15.75" customHeight="1" x14ac:dyDescent="0.35">
      <c r="A264" s="80">
        <v>3</v>
      </c>
      <c r="B264" s="81"/>
      <c r="C264" s="43" t="s">
        <v>176</v>
      </c>
      <c r="D264" s="43">
        <f>(39.76)*10.764</f>
        <v>427.97663999999997</v>
      </c>
      <c r="E264" s="43">
        <v>0</v>
      </c>
      <c r="F264" s="43">
        <f t="shared" si="13"/>
        <v>620.56612799999994</v>
      </c>
      <c r="G264" s="190"/>
      <c r="H264" s="191"/>
      <c r="I264" s="34"/>
      <c r="L264" s="104"/>
      <c r="M264" s="104"/>
      <c r="N264" s="34"/>
    </row>
    <row r="265" spans="1:15" s="35" customFormat="1" ht="15.75" customHeight="1" x14ac:dyDescent="0.35">
      <c r="A265" s="80">
        <v>4</v>
      </c>
      <c r="B265" s="81"/>
      <c r="C265" s="43" t="s">
        <v>175</v>
      </c>
      <c r="D265" s="43">
        <f>(31.4)*10.764</f>
        <v>337.98959999999994</v>
      </c>
      <c r="E265" s="43">
        <v>0</v>
      </c>
      <c r="F265" s="43">
        <f t="shared" si="13"/>
        <v>490.0849199999999</v>
      </c>
      <c r="G265" s="190"/>
      <c r="H265" s="191"/>
      <c r="I265" s="34"/>
      <c r="L265" s="104"/>
      <c r="M265" s="104"/>
      <c r="N265" s="34"/>
    </row>
    <row r="266" spans="1:15" s="35" customFormat="1" ht="15.75" customHeight="1" x14ac:dyDescent="0.35">
      <c r="A266" s="80">
        <v>5</v>
      </c>
      <c r="B266" s="81"/>
      <c r="C266" s="43" t="s">
        <v>179</v>
      </c>
      <c r="D266" s="43">
        <f>(21.38)*10.764</f>
        <v>230.13431999999997</v>
      </c>
      <c r="E266" s="43">
        <v>0</v>
      </c>
      <c r="F266" s="43">
        <f t="shared" si="13"/>
        <v>333.69476399999996</v>
      </c>
      <c r="G266" s="190"/>
      <c r="H266" s="191"/>
      <c r="I266" s="34"/>
      <c r="L266" s="104"/>
      <c r="M266" s="104"/>
      <c r="N266" s="34"/>
    </row>
    <row r="267" spans="1:15" s="35" customFormat="1" ht="15.75" customHeight="1" x14ac:dyDescent="0.35">
      <c r="A267" s="80">
        <v>6</v>
      </c>
      <c r="B267" s="81"/>
      <c r="C267" s="43" t="s">
        <v>175</v>
      </c>
      <c r="D267" s="43">
        <f>(31.4)*10.764</f>
        <v>337.98959999999994</v>
      </c>
      <c r="E267" s="43">
        <v>0</v>
      </c>
      <c r="F267" s="43">
        <f t="shared" si="13"/>
        <v>490.0849199999999</v>
      </c>
      <c r="G267" s="192"/>
      <c r="H267" s="193"/>
      <c r="I267" s="34"/>
      <c r="L267" s="104"/>
      <c r="M267" s="104"/>
      <c r="N267" s="34"/>
    </row>
    <row r="268" spans="1:15" s="33" customFormat="1" x14ac:dyDescent="0.35">
      <c r="A268" s="170" t="s">
        <v>72</v>
      </c>
      <c r="B268" s="170"/>
      <c r="C268" s="170"/>
      <c r="D268" s="170"/>
      <c r="E268" s="170"/>
      <c r="F268" s="170"/>
      <c r="G268" s="170"/>
      <c r="H268" s="170"/>
    </row>
    <row r="269" spans="1:15" s="33" customFormat="1" ht="48.5" customHeight="1" x14ac:dyDescent="0.35">
      <c r="A269" s="54" t="s">
        <v>159</v>
      </c>
      <c r="B269" s="105" t="s">
        <v>242</v>
      </c>
      <c r="C269" s="105"/>
      <c r="D269" s="105"/>
      <c r="E269" s="105"/>
      <c r="F269" s="105"/>
      <c r="G269" s="105"/>
      <c r="H269" s="105"/>
    </row>
    <row r="270" spans="1:15" s="33" customFormat="1" x14ac:dyDescent="0.35">
      <c r="A270" s="54" t="s">
        <v>159</v>
      </c>
      <c r="B270" s="105" t="str">
        <f>(IF(F194="Saleable area Loading :","We have considered Saleable area of Flats as per our Calculation.","We considered Saleable area of Flat as per Builder area Sheet."))</f>
        <v>We have considered Saleable area of Flats as per our Calculation.</v>
      </c>
      <c r="C270" s="105"/>
      <c r="D270" s="105"/>
      <c r="E270" s="105"/>
      <c r="F270" s="105"/>
      <c r="G270" s="105"/>
      <c r="H270" s="105"/>
      <c r="I270" s="65" t="s">
        <v>238</v>
      </c>
      <c r="J270" s="66"/>
      <c r="K270" s="66"/>
      <c r="L270" s="66"/>
      <c r="M270" s="66"/>
      <c r="N270" s="66"/>
      <c r="O270" s="67"/>
    </row>
    <row r="271" spans="1:15" s="33" customFormat="1" x14ac:dyDescent="0.35">
      <c r="A271" s="54" t="s">
        <v>159</v>
      </c>
      <c r="B271" s="105" t="str">
        <f>(IF(F168="Saleable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1" s="105"/>
      <c r="D271" s="105"/>
      <c r="E271" s="105"/>
      <c r="F271" s="105"/>
      <c r="G271" s="105"/>
      <c r="H271" s="105"/>
    </row>
    <row r="272" spans="1:15" s="33" customFormat="1" x14ac:dyDescent="0.35">
      <c r="A272" s="46" t="s">
        <v>159</v>
      </c>
      <c r="B272" s="68" t="s">
        <v>129</v>
      </c>
      <c r="C272" s="68"/>
      <c r="D272" s="68"/>
      <c r="E272" s="68"/>
      <c r="F272" s="68"/>
      <c r="G272" s="68"/>
      <c r="H272" s="68"/>
    </row>
    <row r="273" spans="1:15" s="33" customFormat="1" x14ac:dyDescent="0.35">
      <c r="A273" s="46" t="s">
        <v>159</v>
      </c>
      <c r="B273" s="68" t="s">
        <v>217</v>
      </c>
      <c r="C273" s="68"/>
      <c r="D273" s="68"/>
      <c r="E273" s="68"/>
      <c r="F273" s="68"/>
      <c r="G273" s="68"/>
      <c r="H273" s="68"/>
    </row>
    <row r="274" spans="1:15" s="33" customFormat="1" x14ac:dyDescent="0.35">
      <c r="A274" s="46" t="s">
        <v>159</v>
      </c>
      <c r="B274" s="68" t="s">
        <v>158</v>
      </c>
      <c r="C274" s="68"/>
      <c r="D274" s="68"/>
      <c r="E274" s="68"/>
      <c r="F274" s="68"/>
      <c r="G274" s="68"/>
      <c r="H274" s="68"/>
    </row>
    <row r="275" spans="1:15" s="33" customFormat="1" x14ac:dyDescent="0.35">
      <c r="A275" s="46" t="s">
        <v>159</v>
      </c>
      <c r="B275" s="68" t="s">
        <v>130</v>
      </c>
      <c r="C275" s="68"/>
      <c r="D275" s="68"/>
      <c r="E275" s="68"/>
      <c r="F275" s="68"/>
      <c r="G275" s="68"/>
      <c r="H275" s="68"/>
    </row>
    <row r="276" spans="1:15" s="33" customFormat="1" ht="34.5" customHeight="1" x14ac:dyDescent="0.35">
      <c r="A276" s="46" t="s">
        <v>159</v>
      </c>
      <c r="B276" s="68" t="s">
        <v>160</v>
      </c>
      <c r="C276" s="68"/>
      <c r="D276" s="68"/>
      <c r="E276" s="68"/>
      <c r="F276" s="68"/>
      <c r="G276" s="68"/>
      <c r="H276" s="68"/>
    </row>
    <row r="277" spans="1:15" s="33" customFormat="1" x14ac:dyDescent="0.35">
      <c r="A277" s="46" t="s">
        <v>159</v>
      </c>
      <c r="B277" s="175" t="s">
        <v>131</v>
      </c>
      <c r="C277" s="176"/>
      <c r="D277" s="176"/>
      <c r="E277" s="176"/>
      <c r="F277" s="176"/>
      <c r="G277" s="176"/>
      <c r="H277" s="177"/>
      <c r="I277" s="65" t="s">
        <v>218</v>
      </c>
      <c r="J277" s="66"/>
      <c r="K277" s="66"/>
      <c r="L277" s="66"/>
      <c r="M277" s="66"/>
      <c r="N277" s="66"/>
      <c r="O277" s="67"/>
    </row>
    <row r="278" spans="1:15" s="33" customFormat="1" x14ac:dyDescent="0.35">
      <c r="A278" s="46" t="s">
        <v>159</v>
      </c>
      <c r="B278" s="65" t="s">
        <v>239</v>
      </c>
      <c r="C278" s="66"/>
      <c r="D278" s="66"/>
      <c r="E278" s="66"/>
      <c r="F278" s="66"/>
      <c r="G278" s="66"/>
      <c r="H278" s="67"/>
    </row>
    <row r="279" spans="1:15" s="33" customFormat="1" x14ac:dyDescent="0.35">
      <c r="A279" s="46" t="s">
        <v>159</v>
      </c>
      <c r="B279" s="65" t="s">
        <v>241</v>
      </c>
      <c r="C279" s="66"/>
      <c r="D279" s="66"/>
      <c r="E279" s="66"/>
      <c r="F279" s="66"/>
      <c r="G279" s="66"/>
      <c r="H279" s="67"/>
    </row>
    <row r="280" spans="1:15" x14ac:dyDescent="0.35">
      <c r="A280" s="166" t="s">
        <v>65</v>
      </c>
      <c r="B280" s="166"/>
      <c r="C280" s="166"/>
      <c r="D280" s="166"/>
      <c r="E280" s="166"/>
      <c r="F280" s="166"/>
      <c r="G280" s="166"/>
      <c r="H280" s="166"/>
    </row>
    <row r="281" spans="1:15" x14ac:dyDescent="0.35">
      <c r="A281" s="77" t="s">
        <v>66</v>
      </c>
      <c r="B281" s="77"/>
      <c r="C281" s="77"/>
      <c r="D281" s="77"/>
      <c r="E281" s="77"/>
      <c r="F281" s="77"/>
      <c r="G281" s="77"/>
      <c r="H281" s="77"/>
    </row>
    <row r="282" spans="1:15" ht="15.75" customHeight="1" x14ac:dyDescent="0.35">
      <c r="A282" s="178" t="s">
        <v>67</v>
      </c>
      <c r="B282" s="178"/>
      <c r="C282" s="178"/>
      <c r="D282" s="178"/>
      <c r="E282" s="178"/>
      <c r="F282" s="178"/>
      <c r="G282" s="178"/>
      <c r="H282" s="178"/>
    </row>
    <row r="283" spans="1:15" x14ac:dyDescent="0.35">
      <c r="A283" s="77" t="s">
        <v>68</v>
      </c>
      <c r="B283" s="77"/>
      <c r="C283" s="77"/>
      <c r="D283" s="77"/>
      <c r="E283" s="77"/>
      <c r="F283" s="77"/>
      <c r="G283" s="77"/>
      <c r="H283" s="77"/>
    </row>
    <row r="284" spans="1:15" x14ac:dyDescent="0.35">
      <c r="A284" s="77" t="s">
        <v>69</v>
      </c>
      <c r="B284" s="77"/>
      <c r="C284" s="77"/>
      <c r="D284" s="77"/>
      <c r="E284" s="77"/>
      <c r="F284" s="77"/>
      <c r="G284" s="77"/>
      <c r="H284" s="77"/>
    </row>
    <row r="285" spans="1:15" x14ac:dyDescent="0.35">
      <c r="A285" s="77" t="s">
        <v>132</v>
      </c>
      <c r="B285" s="77"/>
      <c r="C285" s="77"/>
      <c r="D285" s="77"/>
      <c r="E285" s="77"/>
      <c r="F285" s="77"/>
      <c r="G285" s="77"/>
      <c r="H285" s="77"/>
    </row>
    <row r="286" spans="1:15" ht="35.25" customHeight="1" x14ac:dyDescent="0.35">
      <c r="A286" s="167" t="s">
        <v>133</v>
      </c>
      <c r="B286" s="167"/>
      <c r="C286" s="167"/>
      <c r="D286" s="167"/>
      <c r="E286" s="167"/>
      <c r="F286" s="167"/>
      <c r="G286" s="167"/>
      <c r="H286" s="167"/>
    </row>
    <row r="287" spans="1:15" x14ac:dyDescent="0.35">
      <c r="A287" s="169" t="s">
        <v>82</v>
      </c>
      <c r="B287" s="169"/>
      <c r="C287" s="169" t="s">
        <v>243</v>
      </c>
      <c r="D287" s="169"/>
      <c r="E287" s="169" t="s">
        <v>110</v>
      </c>
      <c r="F287" s="169"/>
      <c r="G287" s="169" t="s">
        <v>240</v>
      </c>
      <c r="H287" s="169"/>
    </row>
    <row r="288" spans="1:15" x14ac:dyDescent="0.35">
      <c r="A288" s="168" t="s">
        <v>83</v>
      </c>
      <c r="B288" s="168"/>
      <c r="C288" s="168"/>
      <c r="D288" s="168"/>
      <c r="E288" s="168"/>
      <c r="F288" s="168"/>
      <c r="G288" s="168"/>
      <c r="H288" s="168"/>
    </row>
    <row r="289" spans="1:8" x14ac:dyDescent="0.35">
      <c r="A289" s="168"/>
      <c r="B289" s="168"/>
      <c r="C289" s="168"/>
      <c r="D289" s="168"/>
      <c r="E289" s="168"/>
      <c r="F289" s="168"/>
      <c r="G289" s="168"/>
      <c r="H289" s="168"/>
    </row>
    <row r="290" spans="1:8" x14ac:dyDescent="0.35">
      <c r="A290" s="168"/>
      <c r="B290" s="168"/>
      <c r="C290" s="168"/>
      <c r="D290" s="168"/>
      <c r="E290" s="168"/>
      <c r="F290" s="168"/>
      <c r="G290" s="168"/>
      <c r="H290" s="168"/>
    </row>
    <row r="291" spans="1:8" x14ac:dyDescent="0.35">
      <c r="A291" s="168"/>
      <c r="B291" s="168"/>
      <c r="C291" s="168"/>
      <c r="D291" s="168"/>
      <c r="E291" s="168"/>
      <c r="F291" s="168"/>
      <c r="G291" s="168"/>
      <c r="H291" s="168"/>
    </row>
    <row r="292" spans="1:8" x14ac:dyDescent="0.35">
      <c r="A292" s="36" t="s">
        <v>70</v>
      </c>
      <c r="B292" s="37"/>
      <c r="C292" s="37"/>
      <c r="D292" s="36" t="str">
        <f>E8</f>
        <v>Parasnath Corner</v>
      </c>
      <c r="F292" s="37"/>
      <c r="G292" s="37"/>
      <c r="H292" s="37"/>
    </row>
    <row r="293" spans="1:8" x14ac:dyDescent="0.35">
      <c r="A293" s="37"/>
      <c r="B293" s="37"/>
      <c r="C293" s="37"/>
      <c r="D293" s="37"/>
      <c r="E293" s="37"/>
      <c r="F293" s="37"/>
      <c r="G293" s="37"/>
      <c r="H293" s="37"/>
    </row>
    <row r="294" spans="1:8" x14ac:dyDescent="0.35">
      <c r="A294" s="37"/>
      <c r="B294" s="37"/>
      <c r="C294" s="37"/>
      <c r="D294" s="37"/>
      <c r="E294" s="37"/>
      <c r="F294" s="37"/>
      <c r="G294" s="37"/>
      <c r="H294" s="37"/>
    </row>
    <row r="295" spans="1:8" ht="15" customHeight="1" x14ac:dyDescent="0.35"/>
    <row r="334" spans="1:1" x14ac:dyDescent="0.35">
      <c r="A334" s="39" t="s">
        <v>71</v>
      </c>
    </row>
  </sheetData>
  <mergeCells count="498">
    <mergeCell ref="A198:H198"/>
    <mergeCell ref="A212:H212"/>
    <mergeCell ref="A213:H213"/>
    <mergeCell ref="A131:B131"/>
    <mergeCell ref="G201:H203"/>
    <mergeCell ref="G208:H211"/>
    <mergeCell ref="G214:H218"/>
    <mergeCell ref="G220:H227"/>
    <mergeCell ref="G230:H234"/>
    <mergeCell ref="A229:H229"/>
    <mergeCell ref="A230:B230"/>
    <mergeCell ref="A219:H219"/>
    <mergeCell ref="A220:B220"/>
    <mergeCell ref="A221:B221"/>
    <mergeCell ref="A217:B217"/>
    <mergeCell ref="A222:B222"/>
    <mergeCell ref="A223:B223"/>
    <mergeCell ref="A117:B117"/>
    <mergeCell ref="A118:B118"/>
    <mergeCell ref="A119:B119"/>
    <mergeCell ref="A120:B120"/>
    <mergeCell ref="A121:B121"/>
    <mergeCell ref="A122:B122"/>
    <mergeCell ref="A129:B129"/>
    <mergeCell ref="G173:H177"/>
    <mergeCell ref="G180:H185"/>
    <mergeCell ref="A180:B180"/>
    <mergeCell ref="D60:H60"/>
    <mergeCell ref="E71:F80"/>
    <mergeCell ref="G71:H80"/>
    <mergeCell ref="A79:B79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C67:H67"/>
    <mergeCell ref="A75:B75"/>
    <mergeCell ref="A62:C62"/>
    <mergeCell ref="D62:H62"/>
    <mergeCell ref="C69:H69"/>
    <mergeCell ref="A250:H250"/>
    <mergeCell ref="A251:B251"/>
    <mergeCell ref="A252:B252"/>
    <mergeCell ref="A253:B253"/>
    <mergeCell ref="A254:B254"/>
    <mergeCell ref="A255:B255"/>
    <mergeCell ref="G251:H258"/>
    <mergeCell ref="D57:H57"/>
    <mergeCell ref="D58:H58"/>
    <mergeCell ref="D59:H59"/>
    <mergeCell ref="A55:C59"/>
    <mergeCell ref="A95:B95"/>
    <mergeCell ref="C95:H95"/>
    <mergeCell ref="A97:B97"/>
    <mergeCell ref="C97:H97"/>
    <mergeCell ref="A132:B132"/>
    <mergeCell ref="A123:B123"/>
    <mergeCell ref="C123:H123"/>
    <mergeCell ref="C125:H125"/>
    <mergeCell ref="A126:B126"/>
    <mergeCell ref="E126:F126"/>
    <mergeCell ref="G126:H126"/>
    <mergeCell ref="A127:B127"/>
    <mergeCell ref="A125:B125"/>
    <mergeCell ref="A214:B214"/>
    <mergeCell ref="E127:F136"/>
    <mergeCell ref="G127:H136"/>
    <mergeCell ref="A128:B128"/>
    <mergeCell ref="A263:B263"/>
    <mergeCell ref="L263:M263"/>
    <mergeCell ref="A249:B249"/>
    <mergeCell ref="L249:M249"/>
    <mergeCell ref="G244:H249"/>
    <mergeCell ref="A243:H243"/>
    <mergeCell ref="A244:B244"/>
    <mergeCell ref="L244:M244"/>
    <mergeCell ref="A245:B245"/>
    <mergeCell ref="L245:M245"/>
    <mergeCell ref="A246:B246"/>
    <mergeCell ref="L246:M246"/>
    <mergeCell ref="L231:M231"/>
    <mergeCell ref="A232:B232"/>
    <mergeCell ref="L232:M232"/>
    <mergeCell ref="A224:B224"/>
    <mergeCell ref="A260:H260"/>
    <mergeCell ref="A261:H261"/>
    <mergeCell ref="A262:B262"/>
    <mergeCell ref="L262:M262"/>
    <mergeCell ref="A242:H242"/>
    <mergeCell ref="A235:H235"/>
    <mergeCell ref="A236:B236"/>
    <mergeCell ref="A237:B237"/>
    <mergeCell ref="A238:B238"/>
    <mergeCell ref="A239:B239"/>
    <mergeCell ref="A233:B233"/>
    <mergeCell ref="A264:B264"/>
    <mergeCell ref="L264:M264"/>
    <mergeCell ref="G262:H267"/>
    <mergeCell ref="A265:B265"/>
    <mergeCell ref="L265:M265"/>
    <mergeCell ref="A266:B266"/>
    <mergeCell ref="L266:M266"/>
    <mergeCell ref="A267:B267"/>
    <mergeCell ref="L267:M267"/>
    <mergeCell ref="A247:B247"/>
    <mergeCell ref="L247:M247"/>
    <mergeCell ref="A248:B248"/>
    <mergeCell ref="L248:M248"/>
    <mergeCell ref="A256:B256"/>
    <mergeCell ref="A257:B257"/>
    <mergeCell ref="A258:B258"/>
    <mergeCell ref="A259:H259"/>
    <mergeCell ref="A241:B241"/>
    <mergeCell ref="G236:H241"/>
    <mergeCell ref="L191:M191"/>
    <mergeCell ref="A192:B192"/>
    <mergeCell ref="A170:H170"/>
    <mergeCell ref="A171:H171"/>
    <mergeCell ref="A177:B177"/>
    <mergeCell ref="L177:M177"/>
    <mergeCell ref="L180:M180"/>
    <mergeCell ref="L181:M181"/>
    <mergeCell ref="L182:M182"/>
    <mergeCell ref="L183:M183"/>
    <mergeCell ref="L176:M176"/>
    <mergeCell ref="L175:M175"/>
    <mergeCell ref="L174:M174"/>
    <mergeCell ref="L173:M173"/>
    <mergeCell ref="L192:M192"/>
    <mergeCell ref="L184:M184"/>
    <mergeCell ref="A185:B185"/>
    <mergeCell ref="L185:M185"/>
    <mergeCell ref="A225:B225"/>
    <mergeCell ref="A226:B226"/>
    <mergeCell ref="A227:B227"/>
    <mergeCell ref="A228:H228"/>
    <mergeCell ref="A186:H186"/>
    <mergeCell ref="A187:H187"/>
    <mergeCell ref="A181:B181"/>
    <mergeCell ref="A182:B182"/>
    <mergeCell ref="A183:B183"/>
    <mergeCell ref="L190:M190"/>
    <mergeCell ref="L188:M188"/>
    <mergeCell ref="A189:B189"/>
    <mergeCell ref="L189:M189"/>
    <mergeCell ref="A190:B190"/>
    <mergeCell ref="G188:H192"/>
    <mergeCell ref="A191:B191"/>
    <mergeCell ref="A188:B188"/>
    <mergeCell ref="A39:D39"/>
    <mergeCell ref="A285:H285"/>
    <mergeCell ref="A282:H282"/>
    <mergeCell ref="A158:B158"/>
    <mergeCell ref="D194:D195"/>
    <mergeCell ref="E194:E195"/>
    <mergeCell ref="G194:H195"/>
    <mergeCell ref="A91:B91"/>
    <mergeCell ref="A76:B76"/>
    <mergeCell ref="F138:H138"/>
    <mergeCell ref="G153:H153"/>
    <mergeCell ref="A94:B94"/>
    <mergeCell ref="A46:B46"/>
    <mergeCell ref="C46:E46"/>
    <mergeCell ref="G46:H46"/>
    <mergeCell ref="G48:H48"/>
    <mergeCell ref="D52:H52"/>
    <mergeCell ref="C48:E48"/>
    <mergeCell ref="D55:H55"/>
    <mergeCell ref="C47:E47"/>
    <mergeCell ref="A50:B50"/>
    <mergeCell ref="C50:E50"/>
    <mergeCell ref="A196:H196"/>
    <mergeCell ref="A280:H280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97:H197"/>
    <mergeCell ref="A200:H200"/>
    <mergeCell ref="A203:B203"/>
    <mergeCell ref="A178:H178"/>
    <mergeCell ref="A179:H179"/>
    <mergeCell ref="A281:H281"/>
    <mergeCell ref="E158:F158"/>
    <mergeCell ref="E152:F152"/>
    <mergeCell ref="A166:H166"/>
    <mergeCell ref="A152:B152"/>
    <mergeCell ref="B168:B169"/>
    <mergeCell ref="A168:A169"/>
    <mergeCell ref="C194:C195"/>
    <mergeCell ref="B277:H277"/>
    <mergeCell ref="B278:H278"/>
    <mergeCell ref="A204:H204"/>
    <mergeCell ref="A184:B184"/>
    <mergeCell ref="A193:H193"/>
    <mergeCell ref="A194:A195"/>
    <mergeCell ref="G199:H199"/>
    <mergeCell ref="A205:H205"/>
    <mergeCell ref="A206:B206"/>
    <mergeCell ref="G206:H206"/>
    <mergeCell ref="A207:H207"/>
    <mergeCell ref="A167:H167"/>
    <mergeCell ref="G152:H152"/>
    <mergeCell ref="A147:E147"/>
    <mergeCell ref="C153:D153"/>
    <mergeCell ref="E153:F153"/>
    <mergeCell ref="G165:H165"/>
    <mergeCell ref="C154:D154"/>
    <mergeCell ref="E154:F154"/>
    <mergeCell ref="G154:H154"/>
    <mergeCell ref="A156:B156"/>
    <mergeCell ref="C156:D156"/>
    <mergeCell ref="E156:F156"/>
    <mergeCell ref="G156:H156"/>
    <mergeCell ref="C161:D161"/>
    <mergeCell ref="E161:F161"/>
    <mergeCell ref="G161:H161"/>
    <mergeCell ref="C155:D155"/>
    <mergeCell ref="E155:F155"/>
    <mergeCell ref="G155:H155"/>
    <mergeCell ref="A153:A155"/>
    <mergeCell ref="A288:H291"/>
    <mergeCell ref="A287:B287"/>
    <mergeCell ref="E287:F287"/>
    <mergeCell ref="C287:D287"/>
    <mergeCell ref="G287:H287"/>
    <mergeCell ref="A151:H151"/>
    <mergeCell ref="A149:E149"/>
    <mergeCell ref="F149:H149"/>
    <mergeCell ref="A150:E150"/>
    <mergeCell ref="F150:H150"/>
    <mergeCell ref="A283:H283"/>
    <mergeCell ref="A157:H157"/>
    <mergeCell ref="A286:H286"/>
    <mergeCell ref="A284:H284"/>
    <mergeCell ref="A268:H268"/>
    <mergeCell ref="C168:C169"/>
    <mergeCell ref="B194:B195"/>
    <mergeCell ref="C159:D159"/>
    <mergeCell ref="E159:F159"/>
    <mergeCell ref="G159:H159"/>
    <mergeCell ref="A208:B208"/>
    <mergeCell ref="A209:B209"/>
    <mergeCell ref="A215:B215"/>
    <mergeCell ref="A216:B216"/>
    <mergeCell ref="A80:B80"/>
    <mergeCell ref="D61:H61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7:B77"/>
    <mergeCell ref="A70:B70"/>
    <mergeCell ref="A73:B73"/>
    <mergeCell ref="A69:B69"/>
    <mergeCell ref="A67:B67"/>
    <mergeCell ref="A78:B78"/>
    <mergeCell ref="A47:B47"/>
    <mergeCell ref="A51:H51"/>
    <mergeCell ref="A52:C5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60:C60"/>
    <mergeCell ref="A61:C61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53:C53"/>
    <mergeCell ref="D53:H53"/>
    <mergeCell ref="G50:H50"/>
    <mergeCell ref="D56:H56"/>
    <mergeCell ref="C49:H49"/>
    <mergeCell ref="E39:H39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A81:B81"/>
    <mergeCell ref="C81:H81"/>
    <mergeCell ref="A172:H172"/>
    <mergeCell ref="E168:E169"/>
    <mergeCell ref="G168:H169"/>
    <mergeCell ref="A83:B83"/>
    <mergeCell ref="C83:H83"/>
    <mergeCell ref="A84:B84"/>
    <mergeCell ref="E84:F84"/>
    <mergeCell ref="A143:E143"/>
    <mergeCell ref="F143:H143"/>
    <mergeCell ref="A144:E144"/>
    <mergeCell ref="A146:E146"/>
    <mergeCell ref="F140:H140"/>
    <mergeCell ref="A145:E145"/>
    <mergeCell ref="A88:B88"/>
    <mergeCell ref="A89:B89"/>
    <mergeCell ref="A90:B90"/>
    <mergeCell ref="A92:B92"/>
    <mergeCell ref="A93:B93"/>
    <mergeCell ref="A140:E140"/>
    <mergeCell ref="A137:E137"/>
    <mergeCell ref="G85:H94"/>
    <mergeCell ref="A135:B135"/>
    <mergeCell ref="L199:M199"/>
    <mergeCell ref="A201:B201"/>
    <mergeCell ref="L215:M215"/>
    <mergeCell ref="L216:M216"/>
    <mergeCell ref="B275:H275"/>
    <mergeCell ref="B271:H271"/>
    <mergeCell ref="B269:H269"/>
    <mergeCell ref="B270:H270"/>
    <mergeCell ref="B272:H272"/>
    <mergeCell ref="B273:H273"/>
    <mergeCell ref="A199:B199"/>
    <mergeCell ref="A210:B210"/>
    <mergeCell ref="A211:B211"/>
    <mergeCell ref="L214:M214"/>
    <mergeCell ref="L206:M206"/>
    <mergeCell ref="L217:M217"/>
    <mergeCell ref="A218:B218"/>
    <mergeCell ref="L218:M218"/>
    <mergeCell ref="L230:M230"/>
    <mergeCell ref="A231:B231"/>
    <mergeCell ref="L233:M233"/>
    <mergeCell ref="A234:B234"/>
    <mergeCell ref="L234:M234"/>
    <mergeCell ref="A240:B240"/>
    <mergeCell ref="A165:B165"/>
    <mergeCell ref="E165:F165"/>
    <mergeCell ref="C165:D165"/>
    <mergeCell ref="F144:H144"/>
    <mergeCell ref="A138:E138"/>
    <mergeCell ref="A136:B136"/>
    <mergeCell ref="C162:D162"/>
    <mergeCell ref="E162:F162"/>
    <mergeCell ref="G162:H162"/>
    <mergeCell ref="C163:D163"/>
    <mergeCell ref="E163:F163"/>
    <mergeCell ref="G163:H163"/>
    <mergeCell ref="C164:D164"/>
    <mergeCell ref="E164:F164"/>
    <mergeCell ref="G164:H164"/>
    <mergeCell ref="A159:A163"/>
    <mergeCell ref="F145:H145"/>
    <mergeCell ref="C152:D152"/>
    <mergeCell ref="F148:H148"/>
    <mergeCell ref="F146:H146"/>
    <mergeCell ref="A85:B85"/>
    <mergeCell ref="E85:F94"/>
    <mergeCell ref="A148:E148"/>
    <mergeCell ref="A130:B130"/>
    <mergeCell ref="C160:D160"/>
    <mergeCell ref="E160:F160"/>
    <mergeCell ref="G160:H160"/>
    <mergeCell ref="C158:D158"/>
    <mergeCell ref="G158:H158"/>
    <mergeCell ref="A133:B133"/>
    <mergeCell ref="A134:B134"/>
    <mergeCell ref="A109:B109"/>
    <mergeCell ref="C109:H109"/>
    <mergeCell ref="A111:B111"/>
    <mergeCell ref="C111:H111"/>
    <mergeCell ref="A112:B112"/>
    <mergeCell ref="E112:F112"/>
    <mergeCell ref="G112:H112"/>
    <mergeCell ref="A113:B113"/>
    <mergeCell ref="E113:F122"/>
    <mergeCell ref="G113:H122"/>
    <mergeCell ref="A114:B114"/>
    <mergeCell ref="A115:B115"/>
    <mergeCell ref="A116:B116"/>
    <mergeCell ref="B279:H279"/>
    <mergeCell ref="I277:O277"/>
    <mergeCell ref="I270:O270"/>
    <mergeCell ref="B276:H276"/>
    <mergeCell ref="A45:B45"/>
    <mergeCell ref="C45:H45"/>
    <mergeCell ref="B274:H274"/>
    <mergeCell ref="A86:B86"/>
    <mergeCell ref="A87:B87"/>
    <mergeCell ref="F139:H139"/>
    <mergeCell ref="A139:E139"/>
    <mergeCell ref="D168:D169"/>
    <mergeCell ref="A141:E141"/>
    <mergeCell ref="A173:B173"/>
    <mergeCell ref="A174:B174"/>
    <mergeCell ref="A175:B175"/>
    <mergeCell ref="A176:B176"/>
    <mergeCell ref="A142:E142"/>
    <mergeCell ref="F147:H147"/>
    <mergeCell ref="A202:B202"/>
    <mergeCell ref="F137:H137"/>
    <mergeCell ref="F142:H142"/>
    <mergeCell ref="F141:H141"/>
    <mergeCell ref="G84:H84"/>
  </mergeCells>
  <hyperlinks>
    <hyperlink ref="C36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6" max="16383" man="1"/>
    <brk id="291" max="16383" man="1"/>
    <brk id="33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I44" sqref="I44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3" t="s">
        <v>111</v>
      </c>
      <c r="C3" s="203"/>
      <c r="D3" s="203"/>
      <c r="E3" s="203"/>
      <c r="F3" s="203"/>
      <c r="G3" s="203"/>
      <c r="H3" s="203"/>
    </row>
    <row r="4" spans="1:9" x14ac:dyDescent="0.3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2025-07-15T06:07:52Z</cp:lastPrinted>
  <dcterms:created xsi:type="dcterms:W3CDTF">2019-07-16T09:29:46Z</dcterms:created>
  <dcterms:modified xsi:type="dcterms:W3CDTF">2025-07-15T06:08:37Z</dcterms:modified>
</cp:coreProperties>
</file>