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2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7" i="1" l="1"/>
  <c r="D120" i="1" l="1"/>
  <c r="F120" i="1" s="1"/>
  <c r="J120" i="1"/>
  <c r="I120" i="1"/>
  <c r="D118" i="1"/>
  <c r="F118" i="1" s="1"/>
  <c r="D117" i="1"/>
  <c r="D116" i="1"/>
  <c r="D115" i="1"/>
  <c r="D114" i="1"/>
  <c r="D113" i="1"/>
  <c r="D112" i="1"/>
  <c r="D111" i="1"/>
  <c r="C50" i="1"/>
  <c r="C97" i="1" l="1"/>
  <c r="E97" i="1"/>
  <c r="G189" i="1"/>
  <c r="G185" i="1"/>
  <c r="G181" i="1"/>
  <c r="G177" i="1"/>
  <c r="G173" i="1"/>
  <c r="G169" i="1"/>
  <c r="G165" i="1"/>
  <c r="A191" i="1"/>
  <c r="D187" i="1"/>
  <c r="F187" i="1" s="1"/>
  <c r="D186" i="1"/>
  <c r="F186" i="1" s="1"/>
  <c r="A186" i="1"/>
  <c r="A187" i="1" s="1"/>
  <c r="D183" i="1"/>
  <c r="F183" i="1" s="1"/>
  <c r="D182" i="1"/>
  <c r="F182" i="1" s="1"/>
  <c r="D181" i="1"/>
  <c r="F181" i="1" s="1"/>
  <c r="J181" i="1" s="1"/>
  <c r="A182" i="1"/>
  <c r="A183" i="1" s="1"/>
  <c r="D179" i="1"/>
  <c r="F179" i="1" s="1"/>
  <c r="D177" i="1"/>
  <c r="F177" i="1" s="1"/>
  <c r="A178" i="1"/>
  <c r="A179" i="1" s="1"/>
  <c r="D175" i="1"/>
  <c r="F175" i="1" s="1"/>
  <c r="D174" i="1"/>
  <c r="F174" i="1" s="1"/>
  <c r="D173" i="1"/>
  <c r="F173" i="1" s="1"/>
  <c r="A174" i="1"/>
  <c r="A175" i="1" s="1"/>
  <c r="D171" i="1"/>
  <c r="F171" i="1" s="1"/>
  <c r="D169" i="1"/>
  <c r="F169" i="1" s="1"/>
  <c r="A170" i="1"/>
  <c r="A171" i="1" s="1"/>
  <c r="D167" i="1"/>
  <c r="F167" i="1" s="1"/>
  <c r="J167" i="1" s="1"/>
  <c r="D166" i="1"/>
  <c r="F166" i="1" s="1"/>
  <c r="J166" i="1" s="1"/>
  <c r="D165" i="1"/>
  <c r="F165" i="1" s="1"/>
  <c r="J165" i="1" s="1"/>
  <c r="A166" i="1"/>
  <c r="A167" i="1" s="1"/>
  <c r="K165" i="1" l="1"/>
  <c r="G102" i="1"/>
  <c r="E102" i="1"/>
  <c r="C102" i="1"/>
  <c r="K82" i="1"/>
  <c r="D154" i="1"/>
  <c r="F154" i="1" s="1"/>
  <c r="D153" i="1"/>
  <c r="F153" i="1" s="1"/>
  <c r="D152" i="1"/>
  <c r="F152" i="1" s="1"/>
  <c r="J152" i="1" s="1"/>
  <c r="D150" i="1"/>
  <c r="F150" i="1" s="1"/>
  <c r="D149" i="1"/>
  <c r="F149" i="1" s="1"/>
  <c r="D148" i="1"/>
  <c r="F148" i="1" s="1"/>
  <c r="D147" i="1"/>
  <c r="F147" i="1" s="1"/>
  <c r="J148" i="1" s="1"/>
  <c r="D145" i="1"/>
  <c r="F145" i="1" s="1"/>
  <c r="D144" i="1"/>
  <c r="F144" i="1" s="1"/>
  <c r="D142" i="1"/>
  <c r="F142" i="1" s="1"/>
  <c r="D140" i="1"/>
  <c r="D139" i="1"/>
  <c r="D138" i="1"/>
  <c r="D137" i="1"/>
  <c r="D135" i="1"/>
  <c r="D134" i="1"/>
  <c r="D132" i="1"/>
  <c r="D130" i="1"/>
  <c r="D129" i="1"/>
  <c r="D128" i="1"/>
  <c r="D127" i="1"/>
  <c r="A158" i="1"/>
  <c r="A159" i="1" s="1"/>
  <c r="A160" i="1" s="1"/>
  <c r="G157" i="1"/>
  <c r="A153" i="1"/>
  <c r="A154" i="1" s="1"/>
  <c r="A155" i="1" s="1"/>
  <c r="G152" i="1"/>
  <c r="A148" i="1"/>
  <c r="A149" i="1" s="1"/>
  <c r="A150" i="1" s="1"/>
  <c r="G147" i="1"/>
  <c r="A143" i="1"/>
  <c r="A144" i="1" s="1"/>
  <c r="A145" i="1" s="1"/>
  <c r="G142" i="1"/>
  <c r="I137" i="1"/>
  <c r="I127" i="1"/>
  <c r="L148" i="1" l="1"/>
  <c r="L149" i="1" s="1"/>
  <c r="C101" i="1"/>
  <c r="C103" i="1" s="1"/>
  <c r="E101" i="1"/>
  <c r="E103" i="1" s="1"/>
  <c r="C98" i="1"/>
  <c r="E98" i="1"/>
  <c r="F140" i="1"/>
  <c r="F139" i="1"/>
  <c r="F138" i="1"/>
  <c r="A138" i="1"/>
  <c r="A139" i="1" s="1"/>
  <c r="A140" i="1" s="1"/>
  <c r="G137" i="1"/>
  <c r="F137" i="1"/>
  <c r="J137" i="1" s="1"/>
  <c r="F135" i="1"/>
  <c r="F134" i="1"/>
  <c r="A133" i="1"/>
  <c r="A134" i="1" s="1"/>
  <c r="A135" i="1" s="1"/>
  <c r="G132" i="1"/>
  <c r="F132" i="1"/>
  <c r="I128" i="1"/>
  <c r="F117" i="1"/>
  <c r="F116" i="1"/>
  <c r="F115" i="1"/>
  <c r="J111" i="1"/>
  <c r="I111" i="1"/>
  <c r="C104" i="1" l="1"/>
  <c r="F127" i="1"/>
  <c r="F111" i="1"/>
  <c r="J127" i="1" l="1"/>
  <c r="E104" i="1"/>
  <c r="E43" i="1" l="1"/>
  <c r="E44" i="1" s="1"/>
  <c r="C15" i="1" l="1"/>
  <c r="E30" i="1" l="1"/>
  <c r="F128" i="1" l="1"/>
  <c r="F129" i="1"/>
  <c r="J129" i="1" s="1"/>
  <c r="F130" i="1"/>
  <c r="J130" i="1" s="1"/>
  <c r="A128" i="1"/>
  <c r="A129" i="1" s="1"/>
  <c r="A130" i="1" s="1"/>
  <c r="G127" i="1"/>
  <c r="G101" i="1" l="1"/>
  <c r="G103" i="1" s="1"/>
  <c r="J128" i="1"/>
  <c r="L82" i="1" s="1"/>
  <c r="I82" i="1" s="1"/>
  <c r="F94" i="1"/>
  <c r="F112" i="1" l="1"/>
  <c r="F113" i="1"/>
  <c r="F114" i="1"/>
  <c r="G97" i="1" l="1"/>
  <c r="G98" i="1" s="1"/>
  <c r="G104" i="1" s="1"/>
  <c r="B194" i="1"/>
  <c r="B195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8" i="1"/>
  <c r="A112" i="1"/>
  <c r="A113" i="1" s="1"/>
  <c r="A114" i="1" s="1"/>
  <c r="A115" i="1" s="1"/>
  <c r="A116" i="1" s="1"/>
  <c r="G111" i="1"/>
  <c r="B68" i="1"/>
  <c r="D56" i="1"/>
  <c r="G50" i="1"/>
  <c r="E27" i="1"/>
  <c r="E25" i="1"/>
  <c r="E7" i="1"/>
  <c r="E3" i="1"/>
  <c r="H68" i="1"/>
  <c r="D61" i="1" l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J75" i="1" l="1"/>
  <c r="J76" i="1" s="1"/>
  <c r="J77" i="1" s="1"/>
  <c r="J78" i="1" s="1"/>
  <c r="D73" i="1"/>
  <c r="J69" i="1"/>
  <c r="D71" i="1"/>
  <c r="G71" i="1" l="1"/>
  <c r="D65" i="1" s="1"/>
  <c r="D66" i="1" s="1"/>
  <c r="J68" i="1" l="1"/>
  <c r="D72" i="1"/>
  <c r="I68" i="1" s="1"/>
  <c r="I69" i="1" s="1"/>
  <c r="E71" i="1"/>
  <c r="F66" i="1"/>
  <c r="I67" i="1" l="1"/>
  <c r="C69" i="1" s="1"/>
</calcChain>
</file>

<file path=xl/sharedStrings.xml><?xml version="1.0" encoding="utf-8"?>
<sst xmlns="http://schemas.openxmlformats.org/spreadsheetml/2006/main" count="352" uniqueCount="251">
  <si>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</si>
  <si>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</si>
  <si>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</si>
  <si>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</si>
  <si>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</si>
  <si>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</si>
  <si>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</si>
  <si>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</si>
  <si>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</si>
  <si>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</si>
  <si>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</si>
  <si>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</si>
  <si>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</si>
  <si>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</si>
  <si>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</si>
  <si>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</si>
  <si>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</si>
  <si>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</si>
  <si>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</si>
  <si>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</si>
  <si>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</si>
  <si>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</si>
  <si>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</si>
  <si>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</si>
  <si>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</si>
  <si>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</si>
  <si>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</si>
  <si>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</si>
  <si>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</si>
  <si>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</si>
  <si>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</si>
  <si>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</si>
  <si>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</si>
  <si>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</si>
  <si>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</si>
  <si>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</si>
  <si>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</si>
  <si>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</si>
  <si>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</si>
  <si>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</si>
  <si>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</si>
  <si>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</si>
  <si>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</si>
  <si>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</si>
  <si>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</si>
  <si>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</si>
  <si>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</si>
  <si>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</si>
  <si>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</si>
  <si>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</si>
  <si>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</si>
  <si>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</si>
  <si>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</si>
  <si>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</si>
  <si>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</si>
  <si>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</si>
  <si>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</si>
  <si>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</si>
  <si>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</si>
  <si>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</si>
  <si>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</si>
  <si>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</si>
  <si>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</si>
  <si>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</si>
  <si>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</si>
  <si>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</si>
  <si>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</si>
  <si>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</si>
  <si>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</si>
  <si>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</si>
  <si>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</si>
  <si>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</si>
  <si>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</si>
  <si>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</si>
  <si>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</si>
  <si>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</si>
  <si>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</si>
  <si>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</si>
  <si>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</si>
  <si>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</si>
  <si>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</si>
  <si>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</si>
  <si>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</si>
  <si>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</si>
  <si>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</si>
  <si>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</si>
  <si>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</si>
  <si>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</si>
  <si>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</si>
  <si>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</si>
  <si>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</si>
  <si>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</si>
  <si>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</si>
  <si>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</si>
  <si>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</si>
  <si>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</si>
  <si>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</si>
  <si>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</si>
  <si>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</si>
  <si>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</si>
  <si>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</si>
  <si>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</si>
  <si>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</si>
  <si>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</si>
  <si>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</si>
  <si>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</si>
  <si>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</si>
  <si>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</si>
  <si>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</si>
  <si>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</si>
  <si>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</si>
  <si>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</si>
  <si>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</si>
  <si>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</si>
  <si>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</si>
  <si>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</si>
  <si>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</si>
  <si>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</si>
  <si>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</si>
  <si>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</si>
  <si>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</si>
  <si>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</si>
  <si>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</si>
  <si>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</si>
  <si>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</si>
  <si>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</si>
  <si>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</si>
  <si>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</si>
  <si>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</si>
  <si>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</si>
  <si>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</si>
  <si>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</si>
  <si>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</si>
  <si>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</si>
  <si>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</si>
  <si>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</si>
  <si>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</si>
  <si>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</si>
  <si>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</si>
  <si>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</si>
  <si>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</si>
  <si>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</si>
  <si>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</si>
  <si>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</si>
  <si>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</si>
  <si>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</si>
  <si>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</si>
  <si>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</si>
  <si>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</si>
  <si>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</si>
  <si>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</si>
  <si>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</si>
  <si>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</si>
  <si>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</si>
  <si>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</si>
  <si>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</si>
  <si>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</si>
  <si>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</si>
  <si>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</si>
  <si>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</si>
  <si>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</si>
  <si>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</si>
  <si>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</si>
  <si>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</si>
  <si>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</si>
  <si>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</si>
  <si>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</si>
  <si>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</si>
  <si>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</si>
  <si>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</si>
  <si>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</si>
  <si>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</si>
  <si>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</si>
  <si>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</si>
  <si>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</si>
  <si>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</si>
  <si>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</si>
  <si>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Riddhi Constructions</t>
  </si>
  <si>
    <t>Rajendra Nagar Swagat CHSL</t>
  </si>
  <si>
    <t>9821046229 / 8888355444</t>
  </si>
  <si>
    <t>P51800034540</t>
  </si>
  <si>
    <t>Maharashtra Housing and Area Development Authority.</t>
  </si>
  <si>
    <t>As per RERA - 31/12/2025</t>
  </si>
  <si>
    <t>Wing A &amp; B</t>
  </si>
  <si>
    <t>CTS No</t>
  </si>
  <si>
    <t>Magathane</t>
  </si>
  <si>
    <t>88, Plot No. 17 &amp; Redevelopment of Rajendra Nagar Swagat CHSL</t>
  </si>
  <si>
    <t>Borivali (East)</t>
  </si>
  <si>
    <t>Mumbai</t>
  </si>
  <si>
    <t>Borivali</t>
  </si>
  <si>
    <t>https://goo.gl/maps/dmot7vMuSvkvb55d8</t>
  </si>
  <si>
    <t>Rajendra Nagar Road</t>
  </si>
  <si>
    <t>1.2 KM from Borivali Railway Station</t>
  </si>
  <si>
    <t>Ekta Apartment</t>
  </si>
  <si>
    <t>Name of Existing Building</t>
  </si>
  <si>
    <t>Slum</t>
  </si>
  <si>
    <t>Road No.03</t>
  </si>
  <si>
    <t>Rajendra Nagar Byp. Road</t>
  </si>
  <si>
    <t>02 Wings</t>
  </si>
  <si>
    <t>Mhada-86/942/2022</t>
  </si>
  <si>
    <t>Wing A + B</t>
  </si>
  <si>
    <t>Shop</t>
  </si>
  <si>
    <t>Shop
Duplex with 1st Floor</t>
  </si>
  <si>
    <t>Ground Floor for Commercial &amp; Parking</t>
  </si>
  <si>
    <t>Ground Floor (Duplex with 1st Floor) for Commercial &amp; Parking</t>
  </si>
  <si>
    <t>2nd to 6th &amp; 8th to 12th Floor for Residential</t>
  </si>
  <si>
    <t>2BHK</t>
  </si>
  <si>
    <t>1BHK</t>
  </si>
  <si>
    <t>7th Floor (Part Refuge Area)</t>
  </si>
  <si>
    <t>Refuge Area</t>
  </si>
  <si>
    <t>13th Floor</t>
  </si>
  <si>
    <t>14th Floor (Part Refuge Area)</t>
  </si>
  <si>
    <t>3BHK</t>
  </si>
  <si>
    <t>15th to 18th Floor</t>
  </si>
  <si>
    <t xml:space="preserve">19th Floor </t>
  </si>
  <si>
    <t>Fitness Center</t>
  </si>
  <si>
    <t>20th Floor (Part Terrace Area)</t>
  </si>
  <si>
    <t>Terrace Area</t>
  </si>
  <si>
    <t>We considered Gross carpet area = Net carpet.</t>
  </si>
  <si>
    <t>Wing A = Gr/Stilt + 1st to 19th Floor
Wing B = Gr/Stilt + 1st to 20th Floor</t>
  </si>
  <si>
    <t>Gymnasium, Kids Fun Area, Power back up for lifts &amp; common area, Fire fighting system, Security access, Sitout area, Yoga &amp; Meditation zone.</t>
  </si>
  <si>
    <t>Approved Plans, CC, Sale Plans</t>
  </si>
  <si>
    <t>MIS</t>
  </si>
  <si>
    <t>Inspection</t>
  </si>
  <si>
    <t>Online</t>
  </si>
  <si>
    <t>1st Floor for Commercial &amp; Parking</t>
  </si>
  <si>
    <t>Wing B</t>
  </si>
  <si>
    <t>A Wing</t>
  </si>
  <si>
    <t>B Wing</t>
  </si>
  <si>
    <t>The parking tower is adjacent to the tower.</t>
  </si>
  <si>
    <t>MIG Colony</t>
  </si>
  <si>
    <t>Mhada-86/942/2023</t>
  </si>
  <si>
    <t>7A</t>
  </si>
  <si>
    <t>7B</t>
  </si>
  <si>
    <t>1st Floor for Commercial &amp; Society Office</t>
  </si>
  <si>
    <t>1st Floor</t>
  </si>
  <si>
    <t>Approved Floor plan No. 
Gr + 1st to 12th Floor</t>
  </si>
  <si>
    <t>Approved Floor plan No.
13th to 19th Floor</t>
  </si>
  <si>
    <t>Flats - 120, Shops - 9</t>
  </si>
  <si>
    <t xml:space="preserve">As the project is redevelopement project but rehab statement or rehab flats is not mentioned approved layout plan &amp; floor plan.
</t>
  </si>
  <si>
    <t xml:space="preserve">We have updated revised plans (Gr + 1st to 12th Floor) (on 19/10/2023).
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</si>
  <si>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</si>
  <si>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19.2207564,72.8581868</t>
  </si>
  <si>
    <t>Please provide latest approved CC &amp; Plans.</t>
  </si>
  <si>
    <t>MH/EE/(BP)/GM/MHADA-86/942/2024/FCC/3/Amend</t>
  </si>
  <si>
    <t>This Further CC is granted for entire work of building consisting of two wings namely Wing A and Wing B comprising of Ground (pt. for Lower Level of Shops) + Stilt (pt. for Services) + 1st floor (pt. for Upper Level of Shops &amp; pt. for society office) + 2nd to 20th + 21st (pt. for fitness center + pt. for residential user) + 22nd upper floors for residential user + Parking Tower with height 69.90m AGL (Total building height 75.15m AGL) as per amended IOA dtd. 15.01.2024</t>
  </si>
  <si>
    <t>Wing A &amp; B = Gr/Stilt + 1st to 22nd Floor</t>
  </si>
  <si>
    <t>Finishing work is in process.</t>
  </si>
  <si>
    <t>Pooja</t>
  </si>
  <si>
    <t>Ms. Veena 8976557233</t>
  </si>
  <si>
    <t>Sanket Salvi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</si>
</sst>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2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4" xfId="0" applyFont="1" applyFill="1" applyBorder="1"/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15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1" applyFont="1" applyFill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7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1" fontId="8" fillId="0" borderId="28" xfId="0" applyNumberFormat="1" applyFont="1" applyBorder="1" applyAlignment="1" applyProtection="1">
      <alignment horizontal="center" vertical="center" wrapText="1"/>
      <protection locked="0"/>
    </xf>
    <xf numFmtId="1" fontId="10" fillId="0" borderId="28" xfId="0" applyNumberFormat="1" applyFont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center" vertical="center"/>
      <protection locked="0"/>
    </xf>
    <xf numFmtId="1" fontId="10" fillId="0" borderId="28" xfId="0" applyNumberFormat="1" applyFont="1" applyBorder="1" applyAlignment="1" applyProtection="1">
      <alignment horizontal="center" vertical="top" wrapText="1"/>
      <protection locked="0"/>
    </xf>
    <xf numFmtId="1" fontId="8" fillId="0" borderId="28" xfId="0" applyNumberFormat="1" applyFont="1" applyBorder="1" applyAlignment="1" applyProtection="1">
      <alignment horizontal="center" vertical="top" wrapText="1"/>
      <protection locked="0"/>
    </xf>
    <xf numFmtId="1" fontId="8" fillId="0" borderId="29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3" borderId="7" xfId="1" applyFont="1" applyFill="1" applyBorder="1" applyAlignment="1" applyProtection="1">
      <alignment horizontal="left" vertical="top" wrapText="1"/>
      <protection locked="0"/>
    </xf>
    <xf numFmtId="0" fontId="6" fillId="3" borderId="8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9" fontId="12" fillId="0" borderId="13" xfId="8" applyFont="1" applyFill="1" applyBorder="1" applyAlignment="1" applyProtection="1">
      <alignment horizontal="center" vertical="center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9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7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6" fillId="3" borderId="17" xfId="1" applyFont="1" applyFill="1" applyBorder="1" applyAlignment="1" applyProtection="1">
      <alignment horizontal="left" vertical="top" wrapText="1"/>
      <protection locked="0"/>
    </xf>
    <xf numFmtId="14" fontId="6" fillId="3" borderId="7" xfId="1" applyNumberFormat="1" applyFont="1" applyFill="1" applyBorder="1" applyAlignment="1" applyProtection="1">
      <alignment horizontal="left" vertical="top" wrapText="1"/>
      <protection locked="0"/>
    </xf>
    <xf numFmtId="14" fontId="6" fillId="3" borderId="8" xfId="1" applyNumberFormat="1" applyFont="1" applyFill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center" vertical="top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2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8" fillId="0" borderId="30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3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121801</xdr:colOff>
      <xdr:row>323</xdr:row>
      <xdr:rowOff>36752</xdr:rowOff>
    </xdr:from>
    <xdr:to>
      <xdr:col>6</xdr:col>
      <xdr:colOff>698496</xdr:colOff>
      <xdr:row>339</xdr:row>
      <xdr:rowOff>152207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3801" y="65880479"/>
          <a:ext cx="4724400" cy="330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528201</xdr:colOff>
      <xdr:row>302</xdr:row>
      <xdr:rowOff>121226</xdr:rowOff>
    </xdr:from>
    <xdr:to>
      <xdr:col>7</xdr:col>
      <xdr:colOff>274778</xdr:colOff>
      <xdr:row>322</xdr:row>
      <xdr:rowOff>1152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201" y="61782612"/>
          <a:ext cx="5435600" cy="3860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573452</xdr:colOff>
      <xdr:row>329</xdr:row>
      <xdr:rowOff>6381</xdr:rowOff>
    </xdr:from>
    <xdr:to>
      <xdr:col>4</xdr:col>
      <xdr:colOff>734422</xdr:colOff>
      <xdr:row>335</xdr:row>
      <xdr:rowOff>114550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450070">
          <a:off x="2980679" y="67045063"/>
          <a:ext cx="1104811" cy="1303123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744677</xdr:colOff>
      <xdr:row>260</xdr:row>
      <xdr:rowOff>77931</xdr:rowOff>
    </xdr:from>
    <xdr:to>
      <xdr:col>7</xdr:col>
      <xdr:colOff>95654</xdr:colOff>
      <xdr:row>281</xdr:row>
      <xdr:rowOff>180611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677" y="53573795"/>
          <a:ext cx="5040000" cy="42850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441887</xdr:colOff>
      <xdr:row>282</xdr:row>
      <xdr:rowOff>79144</xdr:rowOff>
    </xdr:from>
    <xdr:to>
      <xdr:col>5</xdr:col>
      <xdr:colOff>521677</xdr:colOff>
      <xdr:row>299</xdr:row>
      <xdr:rowOff>174641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7949" y="60839852"/>
          <a:ext cx="2717482" cy="34834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43154</xdr:colOff>
      <xdr:row>290</xdr:row>
      <xdr:rowOff>157293</xdr:rowOff>
    </xdr:from>
    <xdr:to>
      <xdr:col>4</xdr:col>
      <xdr:colOff>355920</xdr:colOff>
      <xdr:row>292</xdr:row>
      <xdr:rowOff>174548</xdr:rowOff>
    </xdr:to>
    <xdr:sp macro="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1450070">
          <a:off x="3483877" y="62512339"/>
          <a:ext cx="312766" cy="41584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368300</xdr:colOff>
      <xdr:row>218</xdr:row>
      <xdr:rowOff>88900</xdr:rowOff>
    </xdr:from>
    <xdr:to>
      <xdr:col>7</xdr:col>
      <xdr:colOff>468400</xdr:colOff>
      <xdr:row>252</xdr:row>
      <xdr:rowOff>6510</xdr:rowOff>
    </xdr:to>
    <xdr:grpSp>
      <xdr:nvGrpSpPr>
        <xdr:cNvPr id="9" name="Group 8"/>
        <xdr:cNvGrpSpPr/>
      </xdr:nvGrpSpPr>
      <xdr:grpSpPr>
        <a:xfrm>
          <a:off x="368300" y="47720250"/>
          <a:ext cx="6075450" cy="6604160"/>
          <a:chOff x="368300" y="47720250"/>
          <a:chExt cx="6075450" cy="6604160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6843" y="51804410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8300" y="477202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6843" y="477202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47175" y="51804410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145678</xdr:rowOff>
    </xdr:from>
    <xdr:to>
      <xdr:col>4</xdr:col>
      <xdr:colOff>693530</xdr:colOff>
      <xdr:row>29</xdr:row>
      <xdr:rowOff>133696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33384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61130</xdr:colOff>
      <xdr:row>13</xdr:row>
      <xdr:rowOff>145678</xdr:rowOff>
    </xdr:from>
    <xdr:to>
      <xdr:col>11</xdr:col>
      <xdr:colOff>351247</xdr:colOff>
      <xdr:row>29</xdr:row>
      <xdr:rowOff>133696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2306" y="2633384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480847</xdr:colOff>
      <xdr:row>13</xdr:row>
      <xdr:rowOff>145678</xdr:rowOff>
    </xdr:from>
    <xdr:to>
      <xdr:col>21</xdr:col>
      <xdr:colOff>53788</xdr:colOff>
      <xdr:row>29</xdr:row>
      <xdr:rowOff>133696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06" y="2633384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30</xdr:row>
      <xdr:rowOff>81039</xdr:rowOff>
    </xdr:from>
    <xdr:to>
      <xdr:col>4</xdr:col>
      <xdr:colOff>693530</xdr:colOff>
      <xdr:row>46</xdr:row>
      <xdr:rowOff>69057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5807245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61130</xdr:colOff>
      <xdr:row>30</xdr:row>
      <xdr:rowOff>81039</xdr:rowOff>
    </xdr:from>
    <xdr:to>
      <xdr:col>11</xdr:col>
      <xdr:colOff>351247</xdr:colOff>
      <xdr:row>46</xdr:row>
      <xdr:rowOff>69057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2306" y="5807245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480847</xdr:colOff>
      <xdr:row>30</xdr:row>
      <xdr:rowOff>81039</xdr:rowOff>
    </xdr:from>
    <xdr:to>
      <xdr:col>21</xdr:col>
      <xdr:colOff>53788</xdr:colOff>
      <xdr:row>46</xdr:row>
      <xdr:rowOff>69057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06" y="5807245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47</xdr:row>
      <xdr:rowOff>16400</xdr:rowOff>
    </xdr:from>
    <xdr:to>
      <xdr:col>4</xdr:col>
      <xdr:colOff>693530</xdr:colOff>
      <xdr:row>63</xdr:row>
      <xdr:rowOff>4418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89811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61130</xdr:colOff>
      <xdr:row>47</xdr:row>
      <xdr:rowOff>16400</xdr:rowOff>
    </xdr:from>
    <xdr:to>
      <xdr:col>11</xdr:col>
      <xdr:colOff>351247</xdr:colOff>
      <xdr:row>63</xdr:row>
      <xdr:rowOff>4418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2306" y="89811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500957</xdr:colOff>
      <xdr:row>42</xdr:row>
      <xdr:rowOff>67236</xdr:rowOff>
    </xdr:from>
    <xdr:to>
      <xdr:col>7</xdr:col>
      <xdr:colOff>555243</xdr:colOff>
      <xdr:row>53</xdr:row>
      <xdr:rowOff>131736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28133" y="8079442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754955</xdr:colOff>
      <xdr:row>54</xdr:row>
      <xdr:rowOff>92321</xdr:rowOff>
    </xdr:from>
    <xdr:to>
      <xdr:col>10</xdr:col>
      <xdr:colOff>69653</xdr:colOff>
      <xdr:row>65</xdr:row>
      <xdr:rowOff>156821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06131" y="10390527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694765</xdr:colOff>
      <xdr:row>54</xdr:row>
      <xdr:rowOff>92321</xdr:rowOff>
    </xdr:from>
    <xdr:to>
      <xdr:col>5</xdr:col>
      <xdr:colOff>547346</xdr:colOff>
      <xdr:row>65</xdr:row>
      <xdr:rowOff>156821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6647" y="10390527"/>
          <a:ext cx="3841875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mot7vMuSvkvb55d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30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7265625" style="38" customWidth="1"/>
    <col min="4" max="4" width="14.1796875" style="38" customWidth="1"/>
    <col min="5" max="7" width="11.7265625" style="38" customWidth="1"/>
    <col min="8" max="8" width="12.453125" style="38" customWidth="1"/>
    <col min="9" max="9" width="17.453125" style="19" customWidth="1"/>
    <col min="10" max="10" width="11.453125" style="19" customWidth="1"/>
    <col min="11" max="11" width="10.54296875" style="19" bestFit="1" customWidth="1"/>
    <col min="12" max="12" width="10.54296875" style="19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7265625" style="19" customWidth="1"/>
    <col min="17" max="247" width="9.1796875" style="19"/>
    <col min="248" max="248" width="8.7265625" style="19" customWidth="1"/>
    <col min="249" max="249" width="9.81640625" style="19" customWidth="1"/>
    <col min="250" max="250" width="14.453125" style="19" customWidth="1"/>
    <col min="251" max="251" width="7.2695312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7265625" style="19" customWidth="1"/>
    <col min="505" max="505" width="9.81640625" style="19" customWidth="1"/>
    <col min="506" max="506" width="14.453125" style="19" customWidth="1"/>
    <col min="507" max="507" width="7.2695312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7265625" style="19" customWidth="1"/>
    <col min="761" max="761" width="9.81640625" style="19" customWidth="1"/>
    <col min="762" max="762" width="14.453125" style="19" customWidth="1"/>
    <col min="763" max="763" width="7.2695312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7265625" style="19" customWidth="1"/>
    <col min="1017" max="1017" width="9.81640625" style="19" customWidth="1"/>
    <col min="1018" max="1018" width="14.453125" style="19" customWidth="1"/>
    <col min="1019" max="1019" width="7.2695312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7265625" style="19" customWidth="1"/>
    <col min="1273" max="1273" width="9.81640625" style="19" customWidth="1"/>
    <col min="1274" max="1274" width="14.453125" style="19" customWidth="1"/>
    <col min="1275" max="1275" width="7.2695312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7265625" style="19" customWidth="1"/>
    <col min="1529" max="1529" width="9.81640625" style="19" customWidth="1"/>
    <col min="1530" max="1530" width="14.453125" style="19" customWidth="1"/>
    <col min="1531" max="1531" width="7.2695312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7265625" style="19" customWidth="1"/>
    <col min="1785" max="1785" width="9.81640625" style="19" customWidth="1"/>
    <col min="1786" max="1786" width="14.453125" style="19" customWidth="1"/>
    <col min="1787" max="1787" width="7.2695312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7265625" style="19" customWidth="1"/>
    <col min="2041" max="2041" width="9.81640625" style="19" customWidth="1"/>
    <col min="2042" max="2042" width="14.453125" style="19" customWidth="1"/>
    <col min="2043" max="2043" width="7.2695312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7265625" style="19" customWidth="1"/>
    <col min="2297" max="2297" width="9.81640625" style="19" customWidth="1"/>
    <col min="2298" max="2298" width="14.453125" style="19" customWidth="1"/>
    <col min="2299" max="2299" width="7.2695312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7265625" style="19" customWidth="1"/>
    <col min="2553" max="2553" width="9.81640625" style="19" customWidth="1"/>
    <col min="2554" max="2554" width="14.453125" style="19" customWidth="1"/>
    <col min="2555" max="2555" width="7.2695312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7265625" style="19" customWidth="1"/>
    <col min="2809" max="2809" width="9.81640625" style="19" customWidth="1"/>
    <col min="2810" max="2810" width="14.453125" style="19" customWidth="1"/>
    <col min="2811" max="2811" width="7.2695312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7265625" style="19" customWidth="1"/>
    <col min="3065" max="3065" width="9.81640625" style="19" customWidth="1"/>
    <col min="3066" max="3066" width="14.453125" style="19" customWidth="1"/>
    <col min="3067" max="3067" width="7.2695312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7265625" style="19" customWidth="1"/>
    <col min="3321" max="3321" width="9.81640625" style="19" customWidth="1"/>
    <col min="3322" max="3322" width="14.453125" style="19" customWidth="1"/>
    <col min="3323" max="3323" width="7.2695312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7265625" style="19" customWidth="1"/>
    <col min="3577" max="3577" width="9.81640625" style="19" customWidth="1"/>
    <col min="3578" max="3578" width="14.453125" style="19" customWidth="1"/>
    <col min="3579" max="3579" width="7.2695312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7265625" style="19" customWidth="1"/>
    <col min="3833" max="3833" width="9.81640625" style="19" customWidth="1"/>
    <col min="3834" max="3834" width="14.453125" style="19" customWidth="1"/>
    <col min="3835" max="3835" width="7.2695312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7265625" style="19" customWidth="1"/>
    <col min="4089" max="4089" width="9.81640625" style="19" customWidth="1"/>
    <col min="4090" max="4090" width="14.453125" style="19" customWidth="1"/>
    <col min="4091" max="4091" width="7.2695312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7265625" style="19" customWidth="1"/>
    <col min="4345" max="4345" width="9.81640625" style="19" customWidth="1"/>
    <col min="4346" max="4346" width="14.453125" style="19" customWidth="1"/>
    <col min="4347" max="4347" width="7.2695312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7265625" style="19" customWidth="1"/>
    <col min="4601" max="4601" width="9.81640625" style="19" customWidth="1"/>
    <col min="4602" max="4602" width="14.453125" style="19" customWidth="1"/>
    <col min="4603" max="4603" width="7.2695312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7265625" style="19" customWidth="1"/>
    <col min="4857" max="4857" width="9.81640625" style="19" customWidth="1"/>
    <col min="4858" max="4858" width="14.453125" style="19" customWidth="1"/>
    <col min="4859" max="4859" width="7.2695312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7265625" style="19" customWidth="1"/>
    <col min="5113" max="5113" width="9.81640625" style="19" customWidth="1"/>
    <col min="5114" max="5114" width="14.453125" style="19" customWidth="1"/>
    <col min="5115" max="5115" width="7.2695312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7265625" style="19" customWidth="1"/>
    <col min="5369" max="5369" width="9.81640625" style="19" customWidth="1"/>
    <col min="5370" max="5370" width="14.453125" style="19" customWidth="1"/>
    <col min="5371" max="5371" width="7.2695312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7265625" style="19" customWidth="1"/>
    <col min="5625" max="5625" width="9.81640625" style="19" customWidth="1"/>
    <col min="5626" max="5626" width="14.453125" style="19" customWidth="1"/>
    <col min="5627" max="5627" width="7.2695312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7265625" style="19" customWidth="1"/>
    <col min="5881" max="5881" width="9.81640625" style="19" customWidth="1"/>
    <col min="5882" max="5882" width="14.453125" style="19" customWidth="1"/>
    <col min="5883" max="5883" width="7.2695312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7265625" style="19" customWidth="1"/>
    <col min="6137" max="6137" width="9.81640625" style="19" customWidth="1"/>
    <col min="6138" max="6138" width="14.453125" style="19" customWidth="1"/>
    <col min="6139" max="6139" width="7.2695312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7265625" style="19" customWidth="1"/>
    <col min="6393" max="6393" width="9.81640625" style="19" customWidth="1"/>
    <col min="6394" max="6394" width="14.453125" style="19" customWidth="1"/>
    <col min="6395" max="6395" width="7.2695312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7265625" style="19" customWidth="1"/>
    <col min="6649" max="6649" width="9.81640625" style="19" customWidth="1"/>
    <col min="6650" max="6650" width="14.453125" style="19" customWidth="1"/>
    <col min="6651" max="6651" width="7.2695312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7265625" style="19" customWidth="1"/>
    <col min="6905" max="6905" width="9.81640625" style="19" customWidth="1"/>
    <col min="6906" max="6906" width="14.453125" style="19" customWidth="1"/>
    <col min="6907" max="6907" width="7.2695312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7265625" style="19" customWidth="1"/>
    <col min="7161" max="7161" width="9.81640625" style="19" customWidth="1"/>
    <col min="7162" max="7162" width="14.453125" style="19" customWidth="1"/>
    <col min="7163" max="7163" width="7.2695312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7265625" style="19" customWidth="1"/>
    <col min="7417" max="7417" width="9.81640625" style="19" customWidth="1"/>
    <col min="7418" max="7418" width="14.453125" style="19" customWidth="1"/>
    <col min="7419" max="7419" width="7.2695312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7265625" style="19" customWidth="1"/>
    <col min="7673" max="7673" width="9.81640625" style="19" customWidth="1"/>
    <col min="7674" max="7674" width="14.453125" style="19" customWidth="1"/>
    <col min="7675" max="7675" width="7.2695312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7265625" style="19" customWidth="1"/>
    <col min="7929" max="7929" width="9.81640625" style="19" customWidth="1"/>
    <col min="7930" max="7930" width="14.453125" style="19" customWidth="1"/>
    <col min="7931" max="7931" width="7.2695312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7265625" style="19" customWidth="1"/>
    <col min="8185" max="8185" width="9.81640625" style="19" customWidth="1"/>
    <col min="8186" max="8186" width="14.453125" style="19" customWidth="1"/>
    <col min="8187" max="8187" width="7.2695312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7265625" style="19" customWidth="1"/>
    <col min="8441" max="8441" width="9.81640625" style="19" customWidth="1"/>
    <col min="8442" max="8442" width="14.453125" style="19" customWidth="1"/>
    <col min="8443" max="8443" width="7.2695312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7265625" style="19" customWidth="1"/>
    <col min="8697" max="8697" width="9.81640625" style="19" customWidth="1"/>
    <col min="8698" max="8698" width="14.453125" style="19" customWidth="1"/>
    <col min="8699" max="8699" width="7.2695312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7265625" style="19" customWidth="1"/>
    <col min="8953" max="8953" width="9.81640625" style="19" customWidth="1"/>
    <col min="8954" max="8954" width="14.453125" style="19" customWidth="1"/>
    <col min="8955" max="8955" width="7.2695312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7265625" style="19" customWidth="1"/>
    <col min="9209" max="9209" width="9.81640625" style="19" customWidth="1"/>
    <col min="9210" max="9210" width="14.453125" style="19" customWidth="1"/>
    <col min="9211" max="9211" width="7.2695312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7265625" style="19" customWidth="1"/>
    <col min="9465" max="9465" width="9.81640625" style="19" customWidth="1"/>
    <col min="9466" max="9466" width="14.453125" style="19" customWidth="1"/>
    <col min="9467" max="9467" width="7.2695312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7265625" style="19" customWidth="1"/>
    <col min="9721" max="9721" width="9.81640625" style="19" customWidth="1"/>
    <col min="9722" max="9722" width="14.453125" style="19" customWidth="1"/>
    <col min="9723" max="9723" width="7.2695312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7265625" style="19" customWidth="1"/>
    <col min="9977" max="9977" width="9.81640625" style="19" customWidth="1"/>
    <col min="9978" max="9978" width="14.453125" style="19" customWidth="1"/>
    <col min="9979" max="9979" width="7.2695312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7265625" style="19" customWidth="1"/>
    <col min="10233" max="10233" width="9.81640625" style="19" customWidth="1"/>
    <col min="10234" max="10234" width="14.453125" style="19" customWidth="1"/>
    <col min="10235" max="10235" width="7.2695312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7265625" style="19" customWidth="1"/>
    <col min="10489" max="10489" width="9.81640625" style="19" customWidth="1"/>
    <col min="10490" max="10490" width="14.453125" style="19" customWidth="1"/>
    <col min="10491" max="10491" width="7.2695312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7265625" style="19" customWidth="1"/>
    <col min="10745" max="10745" width="9.81640625" style="19" customWidth="1"/>
    <col min="10746" max="10746" width="14.453125" style="19" customWidth="1"/>
    <col min="10747" max="10747" width="7.2695312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7265625" style="19" customWidth="1"/>
    <col min="11001" max="11001" width="9.81640625" style="19" customWidth="1"/>
    <col min="11002" max="11002" width="14.453125" style="19" customWidth="1"/>
    <col min="11003" max="11003" width="7.2695312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7265625" style="19" customWidth="1"/>
    <col min="11257" max="11257" width="9.81640625" style="19" customWidth="1"/>
    <col min="11258" max="11258" width="14.453125" style="19" customWidth="1"/>
    <col min="11259" max="11259" width="7.2695312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7265625" style="19" customWidth="1"/>
    <col min="11513" max="11513" width="9.81640625" style="19" customWidth="1"/>
    <col min="11514" max="11514" width="14.453125" style="19" customWidth="1"/>
    <col min="11515" max="11515" width="7.2695312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7265625" style="19" customWidth="1"/>
    <col min="11769" max="11769" width="9.81640625" style="19" customWidth="1"/>
    <col min="11770" max="11770" width="14.453125" style="19" customWidth="1"/>
    <col min="11771" max="11771" width="7.2695312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7265625" style="19" customWidth="1"/>
    <col min="12025" max="12025" width="9.81640625" style="19" customWidth="1"/>
    <col min="12026" max="12026" width="14.453125" style="19" customWidth="1"/>
    <col min="12027" max="12027" width="7.2695312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7265625" style="19" customWidth="1"/>
    <col min="12281" max="12281" width="9.81640625" style="19" customWidth="1"/>
    <col min="12282" max="12282" width="14.453125" style="19" customWidth="1"/>
    <col min="12283" max="12283" width="7.2695312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7265625" style="19" customWidth="1"/>
    <col min="12537" max="12537" width="9.81640625" style="19" customWidth="1"/>
    <col min="12538" max="12538" width="14.453125" style="19" customWidth="1"/>
    <col min="12539" max="12539" width="7.2695312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7265625" style="19" customWidth="1"/>
    <col min="12793" max="12793" width="9.81640625" style="19" customWidth="1"/>
    <col min="12794" max="12794" width="14.453125" style="19" customWidth="1"/>
    <col min="12795" max="12795" width="7.2695312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7265625" style="19" customWidth="1"/>
    <col min="13049" max="13049" width="9.81640625" style="19" customWidth="1"/>
    <col min="13050" max="13050" width="14.453125" style="19" customWidth="1"/>
    <col min="13051" max="13051" width="7.2695312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7265625" style="19" customWidth="1"/>
    <col min="13305" max="13305" width="9.81640625" style="19" customWidth="1"/>
    <col min="13306" max="13306" width="14.453125" style="19" customWidth="1"/>
    <col min="13307" max="13307" width="7.2695312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7265625" style="19" customWidth="1"/>
    <col min="13561" max="13561" width="9.81640625" style="19" customWidth="1"/>
    <col min="13562" max="13562" width="14.453125" style="19" customWidth="1"/>
    <col min="13563" max="13563" width="7.2695312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7265625" style="19" customWidth="1"/>
    <col min="13817" max="13817" width="9.81640625" style="19" customWidth="1"/>
    <col min="13818" max="13818" width="14.453125" style="19" customWidth="1"/>
    <col min="13819" max="13819" width="7.2695312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7265625" style="19" customWidth="1"/>
    <col min="14073" max="14073" width="9.81640625" style="19" customWidth="1"/>
    <col min="14074" max="14074" width="14.453125" style="19" customWidth="1"/>
    <col min="14075" max="14075" width="7.2695312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7265625" style="19" customWidth="1"/>
    <col min="14329" max="14329" width="9.81640625" style="19" customWidth="1"/>
    <col min="14330" max="14330" width="14.453125" style="19" customWidth="1"/>
    <col min="14331" max="14331" width="7.2695312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7265625" style="19" customWidth="1"/>
    <col min="14585" max="14585" width="9.81640625" style="19" customWidth="1"/>
    <col min="14586" max="14586" width="14.453125" style="19" customWidth="1"/>
    <col min="14587" max="14587" width="7.2695312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7265625" style="19" customWidth="1"/>
    <col min="14841" max="14841" width="9.81640625" style="19" customWidth="1"/>
    <col min="14842" max="14842" width="14.453125" style="19" customWidth="1"/>
    <col min="14843" max="14843" width="7.2695312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7265625" style="19" customWidth="1"/>
    <col min="15097" max="15097" width="9.81640625" style="19" customWidth="1"/>
    <col min="15098" max="15098" width="14.453125" style="19" customWidth="1"/>
    <col min="15099" max="15099" width="7.2695312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7265625" style="19" customWidth="1"/>
    <col min="15353" max="15353" width="9.81640625" style="19" customWidth="1"/>
    <col min="15354" max="15354" width="14.453125" style="19" customWidth="1"/>
    <col min="15355" max="15355" width="7.2695312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7265625" style="19" customWidth="1"/>
    <col min="15609" max="15609" width="9.81640625" style="19" customWidth="1"/>
    <col min="15610" max="15610" width="14.453125" style="19" customWidth="1"/>
    <col min="15611" max="15611" width="7.2695312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7265625" style="19" customWidth="1"/>
    <col min="15865" max="15865" width="9.81640625" style="19" customWidth="1"/>
    <col min="15866" max="15866" width="14.453125" style="19" customWidth="1"/>
    <col min="15867" max="15867" width="7.2695312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7265625" style="19" customWidth="1"/>
    <col min="16121" max="16121" width="9.81640625" style="19" customWidth="1"/>
    <col min="16122" max="16122" width="14.453125" style="19" customWidth="1"/>
    <col min="16123" max="16123" width="7.2695312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8" ht="46.5" customHeight="1" x14ac:dyDescent="0.35">
      <c r="A1" s="145" t="s">
        <v>241</v>
      </c>
      <c r="B1" s="145"/>
      <c r="C1" s="145"/>
      <c r="D1" s="145"/>
      <c r="E1" s="145"/>
      <c r="F1" s="145"/>
      <c r="G1" s="145"/>
      <c r="H1" s="145"/>
    </row>
    <row r="2" spans="1:8" ht="16.5" customHeight="1" x14ac:dyDescent="0.35">
      <c r="A2" s="120" t="s">
        <v>0</v>
      </c>
      <c r="B2" s="120"/>
      <c r="C2" s="120"/>
      <c r="D2" s="120"/>
      <c r="E2" s="120"/>
      <c r="F2" s="120"/>
      <c r="G2" s="120"/>
      <c r="H2" s="120"/>
    </row>
    <row r="3" spans="1:8" x14ac:dyDescent="0.35">
      <c r="A3" s="123" t="s">
        <v>1</v>
      </c>
      <c r="B3" s="123"/>
      <c r="C3" s="123"/>
      <c r="D3" s="123"/>
      <c r="E3" s="123" t="str">
        <f ca="1">TEXT(TODAY(),"DD/MM/YYYY")</f>
        <v>12/07/2025</v>
      </c>
      <c r="F3" s="123"/>
      <c r="G3" s="123"/>
      <c r="H3" s="123"/>
    </row>
    <row r="4" spans="1:8" ht="15" customHeight="1" x14ac:dyDescent="0.35">
      <c r="A4" s="123" t="s">
        <v>2</v>
      </c>
      <c r="B4" s="123"/>
      <c r="C4" s="123"/>
      <c r="D4" s="123"/>
      <c r="E4" s="123" t="s">
        <v>176</v>
      </c>
      <c r="F4" s="123"/>
      <c r="G4" s="123"/>
      <c r="H4" s="123"/>
    </row>
    <row r="5" spans="1:8" x14ac:dyDescent="0.35">
      <c r="A5" s="123" t="s">
        <v>3</v>
      </c>
      <c r="B5" s="123"/>
      <c r="C5" s="123"/>
      <c r="D5" s="123"/>
      <c r="E5" s="147">
        <v>45848</v>
      </c>
      <c r="F5" s="123"/>
      <c r="G5" s="123"/>
      <c r="H5" s="123"/>
    </row>
    <row r="6" spans="1:8" ht="16.5" customHeight="1" x14ac:dyDescent="0.35">
      <c r="A6" s="123" t="s">
        <v>4</v>
      </c>
      <c r="B6" s="123"/>
      <c r="C6" s="123"/>
      <c r="D6" s="123"/>
      <c r="E6" s="123" t="s">
        <v>177</v>
      </c>
      <c r="F6" s="123"/>
      <c r="G6" s="123"/>
      <c r="H6" s="123"/>
    </row>
    <row r="7" spans="1:8" ht="15" customHeight="1" x14ac:dyDescent="0.35">
      <c r="A7" s="123" t="s">
        <v>5</v>
      </c>
      <c r="B7" s="123"/>
      <c r="C7" s="123"/>
      <c r="D7" s="123"/>
      <c r="E7" s="123" t="str">
        <f>E6</f>
        <v>Riddhi Constructions</v>
      </c>
      <c r="F7" s="123"/>
      <c r="G7" s="123"/>
      <c r="H7" s="123"/>
    </row>
    <row r="8" spans="1:8" x14ac:dyDescent="0.35">
      <c r="A8" s="123" t="s">
        <v>6</v>
      </c>
      <c r="B8" s="123"/>
      <c r="C8" s="123"/>
      <c r="D8" s="123"/>
      <c r="E8" s="146" t="s">
        <v>178</v>
      </c>
      <c r="F8" s="146"/>
      <c r="G8" s="146"/>
      <c r="H8" s="146"/>
    </row>
    <row r="9" spans="1:8" x14ac:dyDescent="0.35">
      <c r="A9" s="123" t="s">
        <v>174</v>
      </c>
      <c r="B9" s="123"/>
      <c r="C9" s="123"/>
      <c r="D9" s="123"/>
      <c r="E9" s="123" t="s">
        <v>179</v>
      </c>
      <c r="F9" s="123"/>
      <c r="G9" s="123"/>
      <c r="H9" s="123"/>
    </row>
    <row r="10" spans="1:8" x14ac:dyDescent="0.35">
      <c r="A10" s="123" t="s">
        <v>175</v>
      </c>
      <c r="B10" s="123"/>
      <c r="C10" s="123"/>
      <c r="D10" s="123"/>
      <c r="E10" s="123" t="s">
        <v>249</v>
      </c>
      <c r="F10" s="123"/>
      <c r="G10" s="123"/>
      <c r="H10" s="123"/>
    </row>
    <row r="11" spans="1:8" x14ac:dyDescent="0.35">
      <c r="A11" s="123" t="s">
        <v>7</v>
      </c>
      <c r="B11" s="123"/>
      <c r="C11" s="123"/>
      <c r="D11" s="123"/>
      <c r="E11" s="123" t="s">
        <v>183</v>
      </c>
      <c r="F11" s="123"/>
      <c r="G11" s="123"/>
      <c r="H11" s="123"/>
    </row>
    <row r="12" spans="1:8" x14ac:dyDescent="0.35">
      <c r="A12" s="123" t="s">
        <v>194</v>
      </c>
      <c r="B12" s="123"/>
      <c r="C12" s="123"/>
      <c r="D12" s="123"/>
      <c r="E12" s="123" t="s">
        <v>178</v>
      </c>
      <c r="F12" s="123"/>
      <c r="G12" s="123"/>
      <c r="H12" s="123"/>
    </row>
    <row r="13" spans="1:8" s="21" customFormat="1" x14ac:dyDescent="0.35">
      <c r="A13" s="123" t="s">
        <v>8</v>
      </c>
      <c r="B13" s="123"/>
      <c r="C13" s="123"/>
      <c r="D13" s="123"/>
      <c r="E13" s="122" t="s">
        <v>221</v>
      </c>
      <c r="F13" s="122"/>
      <c r="G13" s="122"/>
      <c r="H13" s="122"/>
    </row>
    <row r="14" spans="1:8" x14ac:dyDescent="0.35">
      <c r="A14" s="95" t="s">
        <v>9</v>
      </c>
      <c r="B14" s="95"/>
      <c r="C14" s="95"/>
      <c r="D14" s="95"/>
      <c r="E14" s="122" t="s">
        <v>180</v>
      </c>
      <c r="F14" s="123"/>
      <c r="G14" s="123"/>
      <c r="H14" s="123"/>
    </row>
    <row r="15" spans="1:8" ht="48.75" customHeight="1" x14ac:dyDescent="0.35">
      <c r="A15" s="122" t="s">
        <v>10</v>
      </c>
      <c r="B15" s="122"/>
      <c r="C15" s="122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Rajendra Nagar Swagat CHSL, CTS No.88, Plot No. 17 &amp; Redevelopment of Rajendra Nagar Swagat CHSL, near Ekta Apartment, Rajendra Nagar Road, MIG Colony, Magathane, Borivali (East), Borivali, Mumbai - 400066.</v>
      </c>
      <c r="D15" s="122"/>
      <c r="E15" s="122"/>
      <c r="F15" s="122"/>
      <c r="G15" s="122"/>
      <c r="H15" s="122"/>
    </row>
    <row r="16" spans="1:8" x14ac:dyDescent="0.35">
      <c r="A16" s="122" t="s">
        <v>184</v>
      </c>
      <c r="B16" s="122"/>
      <c r="C16" s="122" t="s">
        <v>186</v>
      </c>
      <c r="D16" s="122"/>
      <c r="E16" s="122"/>
      <c r="F16" s="122"/>
      <c r="G16" s="122"/>
      <c r="H16" s="122"/>
    </row>
    <row r="17" spans="1:8" ht="15.75" customHeight="1" x14ac:dyDescent="0.35">
      <c r="A17" s="122" t="s">
        <v>170</v>
      </c>
      <c r="B17" s="122"/>
      <c r="C17" s="122" t="s">
        <v>230</v>
      </c>
      <c r="D17" s="122"/>
      <c r="E17" s="122"/>
      <c r="F17" s="122"/>
      <c r="G17" s="122"/>
      <c r="H17" s="122"/>
    </row>
    <row r="18" spans="1:8" ht="15.75" customHeight="1" x14ac:dyDescent="0.35">
      <c r="A18" s="122" t="s">
        <v>11</v>
      </c>
      <c r="B18" s="122"/>
      <c r="C18" s="123" t="s">
        <v>191</v>
      </c>
      <c r="D18" s="123"/>
      <c r="E18" s="122" t="s">
        <v>74</v>
      </c>
      <c r="F18" s="122"/>
      <c r="G18" s="122" t="s">
        <v>185</v>
      </c>
      <c r="H18" s="122"/>
    </row>
    <row r="19" spans="1:8" x14ac:dyDescent="0.35">
      <c r="A19" s="95" t="s">
        <v>13</v>
      </c>
      <c r="B19" s="95"/>
      <c r="C19" s="122" t="s">
        <v>187</v>
      </c>
      <c r="D19" s="122"/>
      <c r="E19" s="131" t="s">
        <v>12</v>
      </c>
      <c r="F19" s="131"/>
      <c r="G19" s="148" t="s">
        <v>188</v>
      </c>
      <c r="H19" s="148"/>
    </row>
    <row r="20" spans="1:8" x14ac:dyDescent="0.35">
      <c r="A20" s="95" t="s">
        <v>75</v>
      </c>
      <c r="B20" s="95"/>
      <c r="C20" s="122" t="s">
        <v>189</v>
      </c>
      <c r="D20" s="122"/>
      <c r="E20" s="131" t="s">
        <v>14</v>
      </c>
      <c r="F20" s="131"/>
      <c r="G20" s="122">
        <v>400066</v>
      </c>
      <c r="H20" s="122"/>
    </row>
    <row r="21" spans="1:8" ht="32.25" customHeight="1" x14ac:dyDescent="0.35">
      <c r="A21" s="95" t="s">
        <v>127</v>
      </c>
      <c r="B21" s="95"/>
      <c r="C21" s="122" t="s">
        <v>193</v>
      </c>
      <c r="D21" s="122"/>
      <c r="E21" s="131" t="s">
        <v>15</v>
      </c>
      <c r="F21" s="131"/>
      <c r="G21" s="122" t="s">
        <v>192</v>
      </c>
      <c r="H21" s="122"/>
    </row>
    <row r="22" spans="1:8" ht="15" customHeight="1" x14ac:dyDescent="0.35">
      <c r="A22" s="131" t="s">
        <v>78</v>
      </c>
      <c r="B22" s="131"/>
      <c r="C22" s="131"/>
      <c r="D22" s="131"/>
      <c r="E22" s="123" t="s">
        <v>16</v>
      </c>
      <c r="F22" s="123"/>
      <c r="G22" s="123"/>
      <c r="H22" s="123"/>
    </row>
    <row r="23" spans="1:8" ht="18.75" customHeight="1" x14ac:dyDescent="0.35">
      <c r="A23" s="131"/>
      <c r="B23" s="131"/>
      <c r="C23" s="131"/>
      <c r="D23" s="131"/>
      <c r="E23" s="123"/>
      <c r="F23" s="123"/>
      <c r="G23" s="123"/>
      <c r="H23" s="123"/>
    </row>
    <row r="24" spans="1:8" ht="15" customHeight="1" x14ac:dyDescent="0.35">
      <c r="A24" s="131" t="s">
        <v>17</v>
      </c>
      <c r="B24" s="131"/>
      <c r="C24" s="131"/>
      <c r="D24" s="131"/>
      <c r="E24" s="122" t="s">
        <v>18</v>
      </c>
      <c r="F24" s="122"/>
      <c r="G24" s="122"/>
      <c r="H24" s="122"/>
    </row>
    <row r="25" spans="1:8" ht="15" customHeight="1" x14ac:dyDescent="0.35">
      <c r="A25" s="95" t="s">
        <v>19</v>
      </c>
      <c r="B25" s="95"/>
      <c r="C25" s="95"/>
      <c r="D25" s="95"/>
      <c r="E25" s="122" t="str">
        <f>IF(AND(G19="Mumbai"),"Upper Class","Middle Class")</f>
        <v>Upper Class</v>
      </c>
      <c r="F25" s="122"/>
      <c r="G25" s="122"/>
      <c r="H25" s="122"/>
    </row>
    <row r="26" spans="1:8" x14ac:dyDescent="0.35">
      <c r="A26" s="95" t="s">
        <v>20</v>
      </c>
      <c r="B26" s="95"/>
      <c r="C26" s="95"/>
      <c r="D26" s="95"/>
      <c r="E26" s="122" t="s">
        <v>21</v>
      </c>
      <c r="F26" s="122"/>
      <c r="G26" s="122"/>
      <c r="H26" s="122"/>
    </row>
    <row r="27" spans="1:8" ht="15.75" customHeight="1" x14ac:dyDescent="0.35">
      <c r="A27" s="95" t="s">
        <v>22</v>
      </c>
      <c r="B27" s="95"/>
      <c r="C27" s="95"/>
      <c r="D27" s="95"/>
      <c r="E27" s="122" t="str">
        <f>IF(AND(G19="Mumbai"),"Developed","Developing")</f>
        <v>Developed</v>
      </c>
      <c r="F27" s="122"/>
      <c r="G27" s="122"/>
      <c r="H27" s="122"/>
    </row>
    <row r="28" spans="1:8" x14ac:dyDescent="0.35">
      <c r="A28" s="95" t="s">
        <v>23</v>
      </c>
      <c r="B28" s="95"/>
      <c r="C28" s="95"/>
      <c r="D28" s="95"/>
      <c r="E28" s="122" t="s">
        <v>24</v>
      </c>
      <c r="F28" s="122"/>
      <c r="G28" s="122"/>
      <c r="H28" s="122"/>
    </row>
    <row r="29" spans="1:8" ht="15.75" customHeight="1" x14ac:dyDescent="0.35">
      <c r="A29" s="95" t="s">
        <v>83</v>
      </c>
      <c r="B29" s="95"/>
      <c r="C29" s="95"/>
      <c r="D29" s="95"/>
      <c r="E29" s="122" t="s">
        <v>84</v>
      </c>
      <c r="F29" s="122"/>
      <c r="G29" s="122"/>
      <c r="H29" s="122"/>
    </row>
    <row r="30" spans="1:8" ht="15" customHeight="1" x14ac:dyDescent="0.35">
      <c r="A30" s="95" t="s">
        <v>33</v>
      </c>
      <c r="B30" s="95"/>
      <c r="C30" s="95"/>
      <c r="D30" s="95"/>
      <c r="E30" s="122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30" s="122"/>
      <c r="G30" s="122"/>
      <c r="H30" s="122"/>
    </row>
    <row r="31" spans="1:8" ht="15.75" customHeight="1" x14ac:dyDescent="0.35">
      <c r="A31" s="95" t="s">
        <v>95</v>
      </c>
      <c r="B31" s="95"/>
      <c r="C31" s="95"/>
      <c r="D31" s="95"/>
      <c r="E31" s="122" t="s">
        <v>34</v>
      </c>
      <c r="F31" s="122"/>
      <c r="G31" s="122"/>
      <c r="H31" s="122"/>
    </row>
    <row r="32" spans="1:8" s="20" customFormat="1" x14ac:dyDescent="0.35">
      <c r="A32" s="152" t="s">
        <v>96</v>
      </c>
      <c r="B32" s="152"/>
      <c r="C32" s="151" t="s">
        <v>29</v>
      </c>
      <c r="D32" s="151"/>
      <c r="E32" s="151"/>
      <c r="F32" s="151" t="s">
        <v>31</v>
      </c>
      <c r="G32" s="151"/>
      <c r="H32" s="151"/>
    </row>
    <row r="33" spans="1:8" s="20" customFormat="1" x14ac:dyDescent="0.35">
      <c r="A33" s="149" t="s">
        <v>25</v>
      </c>
      <c r="B33" s="149" t="s">
        <v>30</v>
      </c>
      <c r="C33" s="150" t="s">
        <v>30</v>
      </c>
      <c r="D33" s="150"/>
      <c r="E33" s="150"/>
      <c r="F33" s="150" t="s">
        <v>195</v>
      </c>
      <c r="G33" s="150"/>
      <c r="H33" s="150"/>
    </row>
    <row r="34" spans="1:8" x14ac:dyDescent="0.35">
      <c r="A34" s="149" t="s">
        <v>26</v>
      </c>
      <c r="B34" s="149" t="s">
        <v>30</v>
      </c>
      <c r="C34" s="150" t="s">
        <v>30</v>
      </c>
      <c r="D34" s="150"/>
      <c r="E34" s="150"/>
      <c r="F34" s="150" t="s">
        <v>196</v>
      </c>
      <c r="G34" s="150"/>
      <c r="H34" s="150"/>
    </row>
    <row r="35" spans="1:8" s="20" customFormat="1" x14ac:dyDescent="0.35">
      <c r="A35" s="149" t="s">
        <v>28</v>
      </c>
      <c r="B35" s="149" t="s">
        <v>30</v>
      </c>
      <c r="C35" s="150" t="s">
        <v>30</v>
      </c>
      <c r="D35" s="150"/>
      <c r="E35" s="150"/>
      <c r="F35" s="150" t="s">
        <v>197</v>
      </c>
      <c r="G35" s="150"/>
      <c r="H35" s="150"/>
    </row>
    <row r="36" spans="1:8" x14ac:dyDescent="0.35">
      <c r="A36" s="149" t="s">
        <v>27</v>
      </c>
      <c r="B36" s="149" t="s">
        <v>30</v>
      </c>
      <c r="C36" s="150" t="s">
        <v>30</v>
      </c>
      <c r="D36" s="150"/>
      <c r="E36" s="150"/>
      <c r="F36" s="150" t="s">
        <v>193</v>
      </c>
      <c r="G36" s="150"/>
      <c r="H36" s="150"/>
    </row>
    <row r="37" spans="1:8" x14ac:dyDescent="0.35">
      <c r="A37" s="95" t="s">
        <v>32</v>
      </c>
      <c r="B37" s="95"/>
      <c r="C37" s="95"/>
      <c r="D37" s="95"/>
      <c r="E37" s="95"/>
      <c r="F37" s="95"/>
      <c r="G37" s="95"/>
      <c r="H37" s="95"/>
    </row>
    <row r="38" spans="1:8" ht="15.75" customHeight="1" x14ac:dyDescent="0.35">
      <c r="A38" s="142" t="s">
        <v>172</v>
      </c>
      <c r="B38" s="142"/>
      <c r="C38" s="95" t="s">
        <v>242</v>
      </c>
      <c r="D38" s="95"/>
      <c r="E38" s="95"/>
      <c r="F38" s="95"/>
      <c r="G38" s="95"/>
      <c r="H38" s="95"/>
    </row>
    <row r="39" spans="1:8" x14ac:dyDescent="0.35">
      <c r="A39" s="142" t="s">
        <v>169</v>
      </c>
      <c r="B39" s="142"/>
      <c r="C39" s="179" t="s">
        <v>190</v>
      </c>
      <c r="D39" s="122"/>
      <c r="E39" s="122"/>
      <c r="F39" s="122"/>
      <c r="G39" s="122"/>
      <c r="H39" s="122"/>
    </row>
    <row r="40" spans="1:8" x14ac:dyDescent="0.35">
      <c r="A40" s="142" t="s">
        <v>35</v>
      </c>
      <c r="B40" s="142"/>
      <c r="C40" s="142"/>
      <c r="D40" s="142"/>
      <c r="E40" s="142"/>
      <c r="F40" s="142"/>
      <c r="G40" s="142"/>
      <c r="H40" s="142"/>
    </row>
    <row r="41" spans="1:8" x14ac:dyDescent="0.35">
      <c r="A41" s="95" t="s">
        <v>36</v>
      </c>
      <c r="B41" s="95"/>
      <c r="C41" s="95"/>
      <c r="D41" s="95"/>
      <c r="E41" s="160">
        <v>1097.92</v>
      </c>
      <c r="F41" s="160"/>
      <c r="G41" s="160"/>
      <c r="H41" s="160"/>
    </row>
    <row r="42" spans="1:8" x14ac:dyDescent="0.35">
      <c r="A42" s="95" t="s">
        <v>37</v>
      </c>
      <c r="B42" s="95"/>
      <c r="C42" s="95"/>
      <c r="D42" s="95"/>
      <c r="E42" s="157">
        <v>3</v>
      </c>
      <c r="F42" s="157"/>
      <c r="G42" s="157"/>
      <c r="H42" s="157"/>
    </row>
    <row r="43" spans="1:8" x14ac:dyDescent="0.35">
      <c r="A43" s="95" t="s">
        <v>38</v>
      </c>
      <c r="B43" s="95"/>
      <c r="C43" s="95"/>
      <c r="D43" s="95"/>
      <c r="E43" s="157">
        <f>E45/E41-E42</f>
        <v>1.2179393762751385</v>
      </c>
      <c r="F43" s="157"/>
      <c r="G43" s="157"/>
      <c r="H43" s="157"/>
    </row>
    <row r="44" spans="1:8" x14ac:dyDescent="0.35">
      <c r="A44" s="95" t="s">
        <v>39</v>
      </c>
      <c r="B44" s="95"/>
      <c r="C44" s="95"/>
      <c r="D44" s="95"/>
      <c r="E44" s="157">
        <f>E42+E43</f>
        <v>4.2179393762751385</v>
      </c>
      <c r="F44" s="157"/>
      <c r="G44" s="157"/>
      <c r="H44" s="157"/>
    </row>
    <row r="45" spans="1:8" x14ac:dyDescent="0.35">
      <c r="A45" s="95" t="s">
        <v>94</v>
      </c>
      <c r="B45" s="95"/>
      <c r="C45" s="95"/>
      <c r="D45" s="95"/>
      <c r="E45" s="158">
        <v>4630.96</v>
      </c>
      <c r="F45" s="158"/>
      <c r="G45" s="158"/>
      <c r="H45" s="158"/>
    </row>
    <row r="46" spans="1:8" x14ac:dyDescent="0.35">
      <c r="A46" s="123" t="s">
        <v>40</v>
      </c>
      <c r="B46" s="123"/>
      <c r="C46" s="123"/>
      <c r="D46" s="123"/>
      <c r="E46" s="123" t="s">
        <v>198</v>
      </c>
      <c r="F46" s="123"/>
      <c r="G46" s="123"/>
      <c r="H46" s="123"/>
    </row>
    <row r="47" spans="1:8" x14ac:dyDescent="0.35">
      <c r="A47" s="142" t="s">
        <v>41</v>
      </c>
      <c r="B47" s="142"/>
      <c r="C47" s="142"/>
      <c r="D47" s="142"/>
      <c r="E47" s="142"/>
      <c r="F47" s="142"/>
      <c r="G47" s="142"/>
      <c r="H47" s="142"/>
    </row>
    <row r="48" spans="1:8" ht="33.75" customHeight="1" x14ac:dyDescent="0.35">
      <c r="A48" s="124" t="s">
        <v>156</v>
      </c>
      <c r="B48" s="126"/>
      <c r="C48" s="180" t="s">
        <v>181</v>
      </c>
      <c r="D48" s="181"/>
      <c r="E48" s="181"/>
      <c r="F48" s="181"/>
      <c r="G48" s="181"/>
      <c r="H48" s="182"/>
    </row>
    <row r="49" spans="1:14" ht="15.75" customHeight="1" x14ac:dyDescent="0.35">
      <c r="A49" s="124" t="s">
        <v>42</v>
      </c>
      <c r="B49" s="126"/>
      <c r="C49" s="124" t="s">
        <v>199</v>
      </c>
      <c r="D49" s="125"/>
      <c r="E49" s="126"/>
      <c r="F49" s="18" t="s">
        <v>43</v>
      </c>
      <c r="G49" s="177">
        <v>44693</v>
      </c>
      <c r="H49" s="126"/>
    </row>
    <row r="50" spans="1:14" ht="36" customHeight="1" x14ac:dyDescent="0.35">
      <c r="A50" s="124" t="s">
        <v>237</v>
      </c>
      <c r="B50" s="126"/>
      <c r="C50" s="124" t="str">
        <f>C49</f>
        <v>Mhada-86/942/2022</v>
      </c>
      <c r="D50" s="125"/>
      <c r="E50" s="126"/>
      <c r="F50" s="18" t="s">
        <v>43</v>
      </c>
      <c r="G50" s="177">
        <f>G49</f>
        <v>44693</v>
      </c>
      <c r="H50" s="178"/>
    </row>
    <row r="51" spans="1:14" ht="46.5" customHeight="1" x14ac:dyDescent="0.35">
      <c r="A51" s="163" t="s">
        <v>236</v>
      </c>
      <c r="B51" s="164"/>
      <c r="C51" s="163" t="s">
        <v>231</v>
      </c>
      <c r="D51" s="183"/>
      <c r="E51" s="164"/>
      <c r="F51" s="72" t="s">
        <v>43</v>
      </c>
      <c r="G51" s="184">
        <v>45211</v>
      </c>
      <c r="H51" s="185"/>
    </row>
    <row r="52" spans="1:14" s="21" customFormat="1" ht="32.25" customHeight="1" x14ac:dyDescent="0.35">
      <c r="A52" s="186" t="s">
        <v>160</v>
      </c>
      <c r="B52" s="187"/>
      <c r="C52" s="124" t="s">
        <v>244</v>
      </c>
      <c r="D52" s="125"/>
      <c r="E52" s="126"/>
      <c r="F52" s="18" t="s">
        <v>43</v>
      </c>
      <c r="G52" s="177">
        <v>45323</v>
      </c>
      <c r="H52" s="178"/>
    </row>
    <row r="53" spans="1:14" s="21" customFormat="1" ht="202.5" customHeight="1" x14ac:dyDescent="0.35">
      <c r="A53" s="188"/>
      <c r="B53" s="189"/>
      <c r="C53" s="124" t="s">
        <v>245</v>
      </c>
      <c r="D53" s="125"/>
      <c r="E53" s="126"/>
      <c r="F53" s="18" t="s">
        <v>126</v>
      </c>
      <c r="G53" s="177">
        <v>45404</v>
      </c>
      <c r="H53" s="178"/>
    </row>
    <row r="54" spans="1:14" x14ac:dyDescent="0.35">
      <c r="A54" s="127" t="s">
        <v>44</v>
      </c>
      <c r="B54" s="128"/>
      <c r="C54" s="127" t="s">
        <v>108</v>
      </c>
      <c r="D54" s="129"/>
      <c r="E54" s="128"/>
      <c r="F54" s="42" t="s">
        <v>43</v>
      </c>
      <c r="G54" s="161" t="s">
        <v>30</v>
      </c>
      <c r="H54" s="162"/>
    </row>
    <row r="55" spans="1:14" x14ac:dyDescent="0.35">
      <c r="A55" s="130" t="s">
        <v>46</v>
      </c>
      <c r="B55" s="130"/>
      <c r="C55" s="130"/>
      <c r="D55" s="130"/>
      <c r="E55" s="130"/>
      <c r="F55" s="130"/>
      <c r="G55" s="130"/>
      <c r="H55" s="130"/>
    </row>
    <row r="56" spans="1:14" x14ac:dyDescent="0.35">
      <c r="A56" s="131" t="s">
        <v>93</v>
      </c>
      <c r="B56" s="131"/>
      <c r="C56" s="131"/>
      <c r="D56" s="95">
        <f>E45</f>
        <v>4630.96</v>
      </c>
      <c r="E56" s="95"/>
      <c r="F56" s="95"/>
      <c r="G56" s="95"/>
      <c r="H56" s="95"/>
    </row>
    <row r="57" spans="1:14" x14ac:dyDescent="0.35">
      <c r="A57" s="122" t="s">
        <v>47</v>
      </c>
      <c r="B57" s="123"/>
      <c r="C57" s="123"/>
      <c r="D57" s="123" t="s">
        <v>238</v>
      </c>
      <c r="E57" s="123"/>
      <c r="F57" s="123"/>
      <c r="G57" s="123"/>
      <c r="H57" s="123"/>
      <c r="I57" s="22"/>
    </row>
    <row r="58" spans="1:14" ht="32.25" customHeight="1" x14ac:dyDescent="0.35">
      <c r="A58" s="122" t="s">
        <v>48</v>
      </c>
      <c r="B58" s="122"/>
      <c r="C58" s="122"/>
      <c r="D58" s="122" t="s">
        <v>219</v>
      </c>
      <c r="E58" s="123"/>
      <c r="F58" s="123"/>
      <c r="G58" s="123"/>
      <c r="H58" s="123"/>
    </row>
    <row r="59" spans="1:14" ht="15.75" customHeight="1" x14ac:dyDescent="0.35">
      <c r="A59" s="122" t="s">
        <v>91</v>
      </c>
      <c r="B59" s="122"/>
      <c r="C59" s="122"/>
      <c r="D59" s="123" t="s">
        <v>246</v>
      </c>
      <c r="E59" s="123"/>
      <c r="F59" s="123"/>
      <c r="G59" s="123"/>
      <c r="H59" s="123"/>
    </row>
    <row r="60" spans="1:14" ht="15.75" customHeight="1" x14ac:dyDescent="0.35">
      <c r="A60" s="95" t="s">
        <v>45</v>
      </c>
      <c r="B60" s="95"/>
      <c r="C60" s="95"/>
      <c r="D60" s="131" t="s">
        <v>182</v>
      </c>
      <c r="E60" s="131"/>
      <c r="F60" s="131"/>
      <c r="G60" s="131"/>
      <c r="H60" s="131"/>
      <c r="J60" s="23"/>
      <c r="K60" s="22"/>
      <c r="N60" s="22"/>
    </row>
    <row r="61" spans="1:14" ht="15.75" customHeight="1" x14ac:dyDescent="0.35">
      <c r="A61" s="95" t="s">
        <v>89</v>
      </c>
      <c r="B61" s="95"/>
      <c r="C61" s="95"/>
      <c r="D61" s="156" t="str">
        <f>(IF(G54="NA","60 Years After Completion",IF(G54&lt;&gt;"NA",""&amp;60-ROUNDDOWN((E3-G54)/360,0)&amp;" Years"," ")))</f>
        <v>60 Years After Completion</v>
      </c>
      <c r="E61" s="156"/>
      <c r="F61" s="156"/>
      <c r="G61" s="156"/>
      <c r="H61" s="156"/>
      <c r="N61" s="22"/>
    </row>
    <row r="62" spans="1:14" ht="15.75" customHeight="1" x14ac:dyDescent="0.35">
      <c r="A62" s="95" t="s">
        <v>90</v>
      </c>
      <c r="B62" s="95"/>
      <c r="C62" s="95"/>
      <c r="D62" s="131" t="s">
        <v>24</v>
      </c>
      <c r="E62" s="131"/>
      <c r="F62" s="131"/>
      <c r="G62" s="131"/>
      <c r="H62" s="131"/>
      <c r="J62" s="24"/>
      <c r="K62" s="24"/>
    </row>
    <row r="63" spans="1:14" ht="34.5" customHeight="1" x14ac:dyDescent="0.35">
      <c r="A63" s="95" t="s">
        <v>76</v>
      </c>
      <c r="B63" s="95"/>
      <c r="C63" s="95"/>
      <c r="D63" s="122" t="s">
        <v>220</v>
      </c>
      <c r="E63" s="131"/>
      <c r="F63" s="131"/>
      <c r="G63" s="131"/>
      <c r="H63" s="131"/>
    </row>
    <row r="64" spans="1:14" x14ac:dyDescent="0.35">
      <c r="A64" s="131" t="s">
        <v>153</v>
      </c>
      <c r="B64" s="131"/>
      <c r="C64" s="131"/>
      <c r="D64" s="131" t="s">
        <v>30</v>
      </c>
      <c r="E64" s="131"/>
      <c r="F64" s="131"/>
      <c r="G64" s="131"/>
      <c r="H64" s="131"/>
      <c r="I64" s="25"/>
      <c r="J64" s="25"/>
      <c r="K64" s="25"/>
      <c r="L64" s="25"/>
      <c r="M64" s="25"/>
      <c r="N64" s="25"/>
    </row>
    <row r="65" spans="1:10" ht="15.75" customHeight="1" x14ac:dyDescent="0.35">
      <c r="A65" s="95" t="s">
        <v>88</v>
      </c>
      <c r="B65" s="95"/>
      <c r="C65" s="95"/>
      <c r="D65" s="122" t="str">
        <f ca="1">(IF(G71&gt;95%,"Nothing",IF(G71&gt;0%,"Cement, Aggregate, Steel, etc",IF(G71=0%,"Work not yet Started"))))</f>
        <v>Cement, Aggregate, Steel, etc</v>
      </c>
      <c r="E65" s="122"/>
      <c r="F65" s="122"/>
      <c r="G65" s="122"/>
      <c r="H65" s="122"/>
      <c r="J65" s="24"/>
    </row>
    <row r="66" spans="1:10" ht="33.75" customHeight="1" thickBot="1" x14ac:dyDescent="0.4">
      <c r="A66" s="131" t="s">
        <v>121</v>
      </c>
      <c r="B66" s="131"/>
      <c r="C66" s="131"/>
      <c r="D66" s="122" t="str">
        <f ca="1">(IF(D65="Nothing","Yes",IF(D65="Cement, Aggregate, Steel, etc","Under Construction",IF(D65="Work not yet Started","Work not yet Started"))))</f>
        <v>Under Construction</v>
      </c>
      <c r="E66" s="122"/>
      <c r="F66" s="122" t="str">
        <f ca="1">(IF(D65="Nothing","Yes",IF(D65="Cement, Aggregate, Steel, etc","Under Construction",IF(D65="Work not yet Started","Work not yet Started"))))</f>
        <v>Under Construction</v>
      </c>
      <c r="G66" s="122"/>
      <c r="H66" s="122"/>
    </row>
    <row r="67" spans="1:10" ht="15.75" customHeight="1" x14ac:dyDescent="0.35">
      <c r="A67" s="199" t="s">
        <v>145</v>
      </c>
      <c r="B67" s="200"/>
      <c r="C67" s="201" t="str">
        <f>D59</f>
        <v>Wing A &amp; B = Gr/Stilt + 1st to 22nd Floor</v>
      </c>
      <c r="D67" s="202"/>
      <c r="E67" s="202"/>
      <c r="F67" s="202"/>
      <c r="G67" s="202"/>
      <c r="H67" s="203"/>
      <c r="I67" s="44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Plaster, Flooring, Painting Completed, Finishing upto 8 Floor Completed</v>
      </c>
      <c r="J67" s="45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Finishing upto 8 Floor</v>
      </c>
    </row>
    <row r="68" spans="1:10" x14ac:dyDescent="0.35">
      <c r="A68" s="16" t="s">
        <v>147</v>
      </c>
      <c r="B68" s="48">
        <f>IF(AND(ISNUMBER(SEARCH("1B",C67))),1,IF(AND(ISNUMBER(SEARCH("2B",C67))),2,IF(AND(ISNUMBER(SEARCH("3B",C67))),3,IF(AND(ISNUMBER(SEARCH("4B",C67))),4,IF(ISNUMBER(SEARCH("5B",C67)),5,0)))))</f>
        <v>0</v>
      </c>
      <c r="C68" s="49" t="s">
        <v>73</v>
      </c>
      <c r="D68" s="49">
        <v>1</v>
      </c>
      <c r="E68" s="49" t="s">
        <v>72</v>
      </c>
      <c r="F68" s="49">
        <v>0</v>
      </c>
      <c r="G68" s="49" t="s">
        <v>82</v>
      </c>
      <c r="H68" s="17">
        <f ca="1">--TRIM(RIGHT(SUBSTITUTE(LEFT(C67,_xlfn.AGGREGATE(16,6,FIND({0,1,2,3,4,5,6,7,8,9},C67,ROW(INDIRECT("1:"&amp;LEN(C67)))),1))," ",REPT(" ",LEN(C67))),LEN(C67)))</f>
        <v>22</v>
      </c>
      <c r="I68" s="46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Flooring, Painting</v>
      </c>
      <c r="J68" s="47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4" customHeight="1" x14ac:dyDescent="0.35">
      <c r="A69" s="159" t="s">
        <v>92</v>
      </c>
      <c r="B69" s="146"/>
      <c r="C69" s="165" t="str">
        <f ca="1">I67</f>
        <v>Excavation, Plinth, RCC Slab, Brickwork, Internal Plaster, External Plaster, Flooring, Painting Completed, Finishing upto 8 Floor Completed</v>
      </c>
      <c r="D69" s="165"/>
      <c r="E69" s="165"/>
      <c r="F69" s="165"/>
      <c r="G69" s="165"/>
      <c r="H69" s="166"/>
      <c r="I69" s="46" t="str">
        <f ca="1">IF(I68&lt;&gt;""," Completed","")</f>
        <v xml:space="preserve"> Completed</v>
      </c>
      <c r="J69" s="47" t="str">
        <f ca="1">IF(J67&lt;&gt;"","Completed","")</f>
        <v>Completed</v>
      </c>
    </row>
    <row r="70" spans="1:10" ht="15.75" customHeight="1" x14ac:dyDescent="0.35">
      <c r="A70" s="106" t="s">
        <v>49</v>
      </c>
      <c r="B70" s="107"/>
      <c r="C70" s="52" t="s">
        <v>144</v>
      </c>
      <c r="D70" s="52" t="s">
        <v>85</v>
      </c>
      <c r="E70" s="155" t="s">
        <v>87</v>
      </c>
      <c r="F70" s="155"/>
      <c r="G70" s="155" t="s">
        <v>86</v>
      </c>
      <c r="H70" s="167"/>
      <c r="I70" s="14" t="s">
        <v>146</v>
      </c>
      <c r="J70" s="26">
        <f ca="1">H68*25%</f>
        <v>5.5</v>
      </c>
    </row>
    <row r="71" spans="1:10" x14ac:dyDescent="0.35">
      <c r="A71" s="106" t="s">
        <v>133</v>
      </c>
      <c r="B71" s="107"/>
      <c r="C71" s="52">
        <f ca="1">J72</f>
        <v>22</v>
      </c>
      <c r="D71" s="53">
        <f ca="1">((100/H68)*C71)/100</f>
        <v>1.0000000000000002</v>
      </c>
      <c r="E71" s="168">
        <f ca="1">(((C72/H68*10)+(40/(D68+F68+H68)*C73)+(7.5/(H68)*C74)+(7.5/(H68)*C75)+(10/H68*C76)+(10/H68*C77)+(5/H68*C78)+(5/H68*C79)+(5/H68*C80))/100)</f>
        <v>0.9181818181818181</v>
      </c>
      <c r="F71" s="169"/>
      <c r="G71" s="168">
        <f ca="1">((((C71/H68)*20)+((C72/H68)*25)+(30/(H68+F68+D68)*C73)+(5/H68*C74)+(5/H68*C75)+(5/H68*C76)+(5/H68*C77)+(0/H68*C78)+(0/H68*C79)+(5/H68*C80))/100)</f>
        <v>0.95</v>
      </c>
      <c r="H71" s="174"/>
      <c r="I71" s="14" t="s">
        <v>103</v>
      </c>
      <c r="J71" s="27">
        <f ca="1">H68*50%</f>
        <v>11</v>
      </c>
    </row>
    <row r="72" spans="1:10" x14ac:dyDescent="0.35">
      <c r="A72" s="106" t="s">
        <v>50</v>
      </c>
      <c r="B72" s="107"/>
      <c r="C72" s="54">
        <f ca="1">J80</f>
        <v>22</v>
      </c>
      <c r="D72" s="53">
        <f ca="1">((100/H68)*C72)/100</f>
        <v>1.0000000000000002</v>
      </c>
      <c r="E72" s="170"/>
      <c r="F72" s="171"/>
      <c r="G72" s="170"/>
      <c r="H72" s="175"/>
      <c r="I72" s="14" t="s">
        <v>104</v>
      </c>
      <c r="J72" s="27">
        <f ca="1">H68</f>
        <v>22</v>
      </c>
    </row>
    <row r="73" spans="1:10" ht="15.75" customHeight="1" x14ac:dyDescent="0.35">
      <c r="A73" s="106" t="s">
        <v>134</v>
      </c>
      <c r="B73" s="107"/>
      <c r="C73" s="52">
        <v>23</v>
      </c>
      <c r="D73" s="53">
        <f ca="1">((100/(D68+F68+H68))*C73)/100</f>
        <v>1</v>
      </c>
      <c r="E73" s="170"/>
      <c r="F73" s="171"/>
      <c r="G73" s="170"/>
      <c r="H73" s="175"/>
      <c r="I73" s="14" t="s">
        <v>105</v>
      </c>
      <c r="J73" s="28">
        <f ca="1">(IF(B68&gt;1,(H68/(B68+2)),H68/4))</f>
        <v>5.5</v>
      </c>
    </row>
    <row r="74" spans="1:10" ht="15.75" customHeight="1" x14ac:dyDescent="0.35">
      <c r="A74" s="106" t="s">
        <v>141</v>
      </c>
      <c r="B74" s="107" t="s">
        <v>135</v>
      </c>
      <c r="C74" s="52">
        <v>22</v>
      </c>
      <c r="D74" s="53">
        <f ca="1">((100/H68)*C74)/100</f>
        <v>1.0000000000000002</v>
      </c>
      <c r="E74" s="170"/>
      <c r="F74" s="171"/>
      <c r="G74" s="170"/>
      <c r="H74" s="175"/>
      <c r="I74" s="14" t="s">
        <v>106</v>
      </c>
      <c r="J74" s="28">
        <f ca="1">(IF(B68&gt;1,(H68/(B68+2)+J73),H68/4+J73))</f>
        <v>11</v>
      </c>
    </row>
    <row r="75" spans="1:10" ht="15.75" customHeight="1" x14ac:dyDescent="0.35">
      <c r="A75" s="106" t="s">
        <v>142</v>
      </c>
      <c r="B75" s="107" t="s">
        <v>135</v>
      </c>
      <c r="C75" s="52">
        <v>22</v>
      </c>
      <c r="D75" s="53">
        <f ca="1">((100/H68)*C75)/100</f>
        <v>1.0000000000000002</v>
      </c>
      <c r="E75" s="170"/>
      <c r="F75" s="171"/>
      <c r="G75" s="170"/>
      <c r="H75" s="175"/>
      <c r="I75" s="14" t="s">
        <v>151</v>
      </c>
      <c r="J75" s="28">
        <f>(IF(B68&gt;1,(H68/(B68+2)+J74),0))</f>
        <v>0</v>
      </c>
    </row>
    <row r="76" spans="1:10" ht="15" customHeight="1" x14ac:dyDescent="0.35">
      <c r="A76" s="106" t="s">
        <v>140</v>
      </c>
      <c r="B76" s="107" t="s">
        <v>137</v>
      </c>
      <c r="C76" s="52">
        <v>22</v>
      </c>
      <c r="D76" s="53">
        <f ca="1">((100/(H68))*C76)/100</f>
        <v>1.0000000000000002</v>
      </c>
      <c r="E76" s="170"/>
      <c r="F76" s="171"/>
      <c r="G76" s="170"/>
      <c r="H76" s="175"/>
      <c r="I76" s="14" t="s">
        <v>148</v>
      </c>
      <c r="J76" s="28">
        <f>(IF(B68&gt;2,(H68/(B68+2)+J75),0))</f>
        <v>0</v>
      </c>
    </row>
    <row r="77" spans="1:10" ht="15.75" customHeight="1" x14ac:dyDescent="0.35">
      <c r="A77" s="106" t="s">
        <v>136</v>
      </c>
      <c r="B77" s="107" t="s">
        <v>136</v>
      </c>
      <c r="C77" s="52">
        <v>22</v>
      </c>
      <c r="D77" s="53">
        <f ca="1">((100/H68)*C77)/100</f>
        <v>1.0000000000000002</v>
      </c>
      <c r="E77" s="170"/>
      <c r="F77" s="171"/>
      <c r="G77" s="170"/>
      <c r="H77" s="175"/>
      <c r="I77" s="14" t="s">
        <v>149</v>
      </c>
      <c r="J77" s="29">
        <f>(IF(B68&gt;3,(H68/(B68+2)+J76),0))</f>
        <v>0</v>
      </c>
    </row>
    <row r="78" spans="1:10" ht="15.75" customHeight="1" x14ac:dyDescent="0.35">
      <c r="A78" s="106" t="s">
        <v>143</v>
      </c>
      <c r="B78" s="107"/>
      <c r="C78" s="52">
        <v>22</v>
      </c>
      <c r="D78" s="53">
        <f ca="1">((100/H68)*C78)/100</f>
        <v>1.0000000000000002</v>
      </c>
      <c r="E78" s="170"/>
      <c r="F78" s="171"/>
      <c r="G78" s="170"/>
      <c r="H78" s="175"/>
      <c r="I78" s="14" t="s">
        <v>150</v>
      </c>
      <c r="J78" s="28">
        <f>(IF(B68&gt;4,(H68/(B68+2)+J77),0))</f>
        <v>0</v>
      </c>
    </row>
    <row r="79" spans="1:10" ht="15.75" customHeight="1" x14ac:dyDescent="0.35">
      <c r="A79" s="106" t="s">
        <v>138</v>
      </c>
      <c r="B79" s="107" t="s">
        <v>138</v>
      </c>
      <c r="C79" s="52">
        <v>8</v>
      </c>
      <c r="D79" s="53">
        <f ca="1">((100/(H68))*C79)/100</f>
        <v>0.36363636363636365</v>
      </c>
      <c r="E79" s="170"/>
      <c r="F79" s="171"/>
      <c r="G79" s="170"/>
      <c r="H79" s="175"/>
      <c r="I79" s="14" t="s">
        <v>152</v>
      </c>
      <c r="J79" s="28">
        <f ca="1">(IF(B68=1,(H68/(B68+3)+J74),IF(B68=0,(H68/4+J74),IF(B68&gt;1,0))))</f>
        <v>16.5</v>
      </c>
    </row>
    <row r="80" spans="1:10" ht="16" thickBot="1" x14ac:dyDescent="0.4">
      <c r="A80" s="153" t="s">
        <v>139</v>
      </c>
      <c r="B80" s="154"/>
      <c r="C80" s="55">
        <v>0</v>
      </c>
      <c r="D80" s="56">
        <f ca="1">((100/(H68))*C80)/100</f>
        <v>0</v>
      </c>
      <c r="E80" s="172"/>
      <c r="F80" s="173"/>
      <c r="G80" s="172"/>
      <c r="H80" s="176"/>
      <c r="I80" s="15" t="s">
        <v>107</v>
      </c>
      <c r="J80" s="30">
        <f ca="1">(IF(B68&gt;1.5,(H68/(B68+2)+J74+MAX(0,J75-J74)+MAX(0,J76-J75)+MAX(0,J77-J76)+MAX(0,J78-J77)+MAX(0,J79-J78)),IF(B68=1,(H68/(B68+3)+J79),IF(B68=0,H68/4+J79))))</f>
        <v>22</v>
      </c>
    </row>
    <row r="81" spans="1:13" x14ac:dyDescent="0.35">
      <c r="A81" s="194" t="s">
        <v>162</v>
      </c>
      <c r="B81" s="194"/>
      <c r="C81" s="194"/>
      <c r="D81" s="194"/>
      <c r="E81" s="194"/>
      <c r="F81" s="190" t="s">
        <v>167</v>
      </c>
      <c r="G81" s="190"/>
      <c r="H81" s="190"/>
      <c r="I81" s="65"/>
      <c r="J81" s="65" t="s">
        <v>222</v>
      </c>
      <c r="K81" s="65" t="s">
        <v>223</v>
      </c>
      <c r="L81" s="65" t="s">
        <v>224</v>
      </c>
      <c r="M81" s="65"/>
    </row>
    <row r="82" spans="1:13" x14ac:dyDescent="0.35">
      <c r="A82" s="95" t="s">
        <v>165</v>
      </c>
      <c r="B82" s="95"/>
      <c r="C82" s="95"/>
      <c r="D82" s="95"/>
      <c r="E82" s="95"/>
      <c r="F82" s="108">
        <v>15200</v>
      </c>
      <c r="G82" s="108"/>
      <c r="H82" s="108"/>
      <c r="I82" s="68">
        <f>AVERAGE(J82:L82)</f>
        <v>14193.126751960202</v>
      </c>
      <c r="J82" s="65">
        <v>13200</v>
      </c>
      <c r="K82" s="68">
        <f>23000/1.55</f>
        <v>14838.709677419354</v>
      </c>
      <c r="L82" s="68">
        <f>AVERAGE(J127:J130,J137)</f>
        <v>14540.670578461253</v>
      </c>
      <c r="M82" s="65"/>
    </row>
    <row r="83" spans="1:13" x14ac:dyDescent="0.35">
      <c r="A83" s="95" t="s">
        <v>164</v>
      </c>
      <c r="B83" s="95"/>
      <c r="C83" s="95"/>
      <c r="D83" s="95"/>
      <c r="E83" s="95"/>
      <c r="F83" s="108">
        <v>28000</v>
      </c>
      <c r="G83" s="108"/>
      <c r="H83" s="108"/>
      <c r="I83" s="65"/>
      <c r="J83" s="65">
        <v>26000</v>
      </c>
      <c r="K83" s="68"/>
      <c r="L83" s="65"/>
      <c r="M83" s="65"/>
    </row>
    <row r="84" spans="1:13" hidden="1" x14ac:dyDescent="0.35">
      <c r="A84" s="95" t="s">
        <v>166</v>
      </c>
      <c r="B84" s="95"/>
      <c r="C84" s="95"/>
      <c r="D84" s="95"/>
      <c r="E84" s="95"/>
      <c r="F84" s="108"/>
      <c r="G84" s="108"/>
      <c r="H84" s="108"/>
      <c r="I84" s="65"/>
      <c r="J84" s="65"/>
      <c r="K84" s="65"/>
      <c r="L84" s="65"/>
      <c r="M84" s="65"/>
    </row>
    <row r="85" spans="1:13" s="31" customFormat="1" hidden="1" x14ac:dyDescent="0.3">
      <c r="A85" s="95" t="s">
        <v>163</v>
      </c>
      <c r="B85" s="95"/>
      <c r="C85" s="95"/>
      <c r="D85" s="95"/>
      <c r="E85" s="95"/>
      <c r="F85" s="108"/>
      <c r="G85" s="108"/>
      <c r="H85" s="108"/>
      <c r="I85" s="66"/>
      <c r="J85" s="66"/>
      <c r="K85" s="66"/>
      <c r="L85" s="66"/>
      <c r="M85" s="66"/>
    </row>
    <row r="86" spans="1:13" s="31" customFormat="1" hidden="1" x14ac:dyDescent="0.3">
      <c r="A86" s="95" t="s">
        <v>97</v>
      </c>
      <c r="B86" s="95"/>
      <c r="C86" s="95"/>
      <c r="D86" s="95"/>
      <c r="E86" s="95"/>
      <c r="F86" s="108"/>
      <c r="G86" s="108"/>
      <c r="H86" s="108"/>
      <c r="I86" s="66"/>
      <c r="J86" s="66"/>
      <c r="K86" s="66"/>
      <c r="L86" s="66"/>
      <c r="M86" s="66"/>
    </row>
    <row r="87" spans="1:13" s="31" customFormat="1" hidden="1" x14ac:dyDescent="0.3">
      <c r="A87" s="95" t="s">
        <v>98</v>
      </c>
      <c r="B87" s="95"/>
      <c r="C87" s="95"/>
      <c r="D87" s="95"/>
      <c r="E87" s="95"/>
      <c r="F87" s="108"/>
      <c r="G87" s="108"/>
      <c r="H87" s="108"/>
      <c r="I87" s="66"/>
      <c r="J87" s="66"/>
      <c r="K87" s="66"/>
      <c r="L87" s="66"/>
      <c r="M87" s="66"/>
    </row>
    <row r="88" spans="1:13" s="31" customFormat="1" hidden="1" x14ac:dyDescent="0.3">
      <c r="A88" s="95" t="s">
        <v>168</v>
      </c>
      <c r="B88" s="95"/>
      <c r="C88" s="95"/>
      <c r="D88" s="95"/>
      <c r="E88" s="95"/>
      <c r="F88" s="108"/>
      <c r="G88" s="108"/>
      <c r="H88" s="108"/>
      <c r="I88" s="66"/>
      <c r="J88" s="66"/>
      <c r="K88" s="66"/>
      <c r="L88" s="66"/>
      <c r="M88" s="66"/>
    </row>
    <row r="89" spans="1:13" s="31" customFormat="1" hidden="1" x14ac:dyDescent="0.3">
      <c r="A89" s="95" t="s">
        <v>99</v>
      </c>
      <c r="B89" s="95"/>
      <c r="C89" s="95"/>
      <c r="D89" s="95"/>
      <c r="E89" s="95"/>
      <c r="F89" s="108"/>
      <c r="G89" s="108"/>
      <c r="H89" s="108"/>
      <c r="I89" s="66"/>
      <c r="J89" s="66"/>
      <c r="K89" s="66"/>
      <c r="L89" s="66"/>
      <c r="M89" s="66"/>
    </row>
    <row r="90" spans="1:13" s="31" customFormat="1" hidden="1" x14ac:dyDescent="0.3">
      <c r="A90" s="95" t="s">
        <v>100</v>
      </c>
      <c r="B90" s="95"/>
      <c r="C90" s="95"/>
      <c r="D90" s="95"/>
      <c r="E90" s="95"/>
      <c r="F90" s="108"/>
      <c r="G90" s="108"/>
      <c r="H90" s="108"/>
      <c r="I90" s="66"/>
      <c r="J90" s="66"/>
      <c r="K90" s="66"/>
      <c r="L90" s="66"/>
      <c r="M90" s="66"/>
    </row>
    <row r="91" spans="1:13" s="31" customFormat="1" hidden="1" x14ac:dyDescent="0.3">
      <c r="A91" s="95" t="s">
        <v>101</v>
      </c>
      <c r="B91" s="95"/>
      <c r="C91" s="95"/>
      <c r="D91" s="95"/>
      <c r="E91" s="95"/>
      <c r="F91" s="108"/>
      <c r="G91" s="108"/>
      <c r="H91" s="108"/>
      <c r="I91" s="66"/>
      <c r="J91" s="66"/>
      <c r="K91" s="66"/>
      <c r="L91" s="66"/>
      <c r="M91" s="66"/>
    </row>
    <row r="92" spans="1:13" s="31" customFormat="1" hidden="1" x14ac:dyDescent="0.3">
      <c r="A92" s="95" t="s">
        <v>102</v>
      </c>
      <c r="B92" s="95"/>
      <c r="C92" s="95"/>
      <c r="D92" s="95"/>
      <c r="E92" s="95"/>
      <c r="F92" s="108"/>
      <c r="G92" s="108"/>
      <c r="H92" s="108"/>
      <c r="I92" s="66"/>
      <c r="J92" s="66"/>
      <c r="K92" s="66"/>
      <c r="L92" s="66"/>
      <c r="M92" s="66"/>
    </row>
    <row r="93" spans="1:13" x14ac:dyDescent="0.35">
      <c r="A93" s="95" t="s">
        <v>51</v>
      </c>
      <c r="B93" s="95"/>
      <c r="C93" s="95"/>
      <c r="D93" s="95"/>
      <c r="E93" s="95"/>
      <c r="F93" s="108">
        <v>700000</v>
      </c>
      <c r="G93" s="108"/>
      <c r="H93" s="108"/>
      <c r="I93" s="65"/>
      <c r="J93" s="65"/>
      <c r="K93" s="65"/>
      <c r="L93" s="65"/>
      <c r="M93" s="65"/>
    </row>
    <row r="94" spans="1:13" s="32" customFormat="1" x14ac:dyDescent="0.35">
      <c r="A94" s="142" t="s">
        <v>52</v>
      </c>
      <c r="B94" s="142"/>
      <c r="C94" s="142"/>
      <c r="D94" s="142"/>
      <c r="E94" s="142"/>
      <c r="F94" s="108">
        <f>F82*0.8</f>
        <v>12160</v>
      </c>
      <c r="G94" s="108"/>
      <c r="H94" s="108"/>
      <c r="I94" s="67"/>
      <c r="J94" s="67"/>
      <c r="K94" s="67"/>
      <c r="L94" s="67"/>
      <c r="M94" s="67"/>
    </row>
    <row r="95" spans="1:13" s="33" customFormat="1" ht="15.75" customHeight="1" x14ac:dyDescent="0.35">
      <c r="A95" s="141" t="s">
        <v>77</v>
      </c>
      <c r="B95" s="141"/>
      <c r="C95" s="141"/>
      <c r="D95" s="141"/>
      <c r="E95" s="141"/>
      <c r="F95" s="141"/>
      <c r="G95" s="141"/>
      <c r="H95" s="141"/>
    </row>
    <row r="96" spans="1:13" s="33" customFormat="1" ht="15.75" customHeight="1" x14ac:dyDescent="0.35">
      <c r="A96" s="97" t="s">
        <v>53</v>
      </c>
      <c r="B96" s="97"/>
      <c r="C96" s="121" t="s">
        <v>80</v>
      </c>
      <c r="D96" s="121"/>
      <c r="E96" s="113" t="s">
        <v>54</v>
      </c>
      <c r="F96" s="113"/>
      <c r="G96" s="97" t="s">
        <v>55</v>
      </c>
      <c r="H96" s="97"/>
    </row>
    <row r="97" spans="1:14" s="33" customFormat="1" x14ac:dyDescent="0.35">
      <c r="A97" s="143" t="s">
        <v>201</v>
      </c>
      <c r="B97" s="143"/>
      <c r="C97" s="195">
        <f>COUNT(D111:D118,D120)</f>
        <v>9</v>
      </c>
      <c r="D97" s="114"/>
      <c r="E97" s="109">
        <f>SUM(D111:D118,D120)</f>
        <v>5684.5760399999999</v>
      </c>
      <c r="F97" s="110"/>
      <c r="G97" s="109">
        <f>SUM(F111:F118,F120)</f>
        <v>9095.3216639999991</v>
      </c>
      <c r="H97" s="110"/>
    </row>
    <row r="98" spans="1:14" s="33" customFormat="1" x14ac:dyDescent="0.35">
      <c r="A98" s="141" t="s">
        <v>155</v>
      </c>
      <c r="B98" s="141"/>
      <c r="C98" s="192">
        <f>SUM(C97)</f>
        <v>9</v>
      </c>
      <c r="D98" s="121"/>
      <c r="E98" s="193">
        <f>SUM(E97)</f>
        <v>5684.5760399999999</v>
      </c>
      <c r="F98" s="113"/>
      <c r="G98" s="97">
        <f>SUM(G97)</f>
        <v>9095.3216639999991</v>
      </c>
      <c r="H98" s="97"/>
    </row>
    <row r="99" spans="1:14" s="33" customFormat="1" x14ac:dyDescent="0.35">
      <c r="A99" s="141" t="s">
        <v>71</v>
      </c>
      <c r="B99" s="141"/>
      <c r="C99" s="141"/>
      <c r="D99" s="141"/>
      <c r="E99" s="141"/>
      <c r="F99" s="141"/>
      <c r="G99" s="141"/>
      <c r="H99" s="141"/>
    </row>
    <row r="100" spans="1:14" s="33" customFormat="1" ht="15.75" customHeight="1" x14ac:dyDescent="0.35">
      <c r="A100" s="97" t="s">
        <v>53</v>
      </c>
      <c r="B100" s="97"/>
      <c r="C100" s="121" t="s">
        <v>80</v>
      </c>
      <c r="D100" s="121"/>
      <c r="E100" s="113" t="s">
        <v>54</v>
      </c>
      <c r="F100" s="113"/>
      <c r="G100" s="97" t="s">
        <v>55</v>
      </c>
      <c r="H100" s="97"/>
    </row>
    <row r="101" spans="1:14" s="33" customFormat="1" x14ac:dyDescent="0.35">
      <c r="A101" s="143" t="s">
        <v>227</v>
      </c>
      <c r="B101" s="143"/>
      <c r="C101" s="114">
        <f>COUNT(D127:D130)*10+COUNT(D132,D134:D135)+COUNT(D137:D140)+COUNT(D142,D144:D145)+COUNT(D147:D150)*4+COUNT(D152:D154)</f>
        <v>69</v>
      </c>
      <c r="D101" s="114"/>
      <c r="E101" s="109">
        <f t="shared" ref="E101" si="0">SUM(D127:D130)*10+SUM(D132,D134:D135)+SUM(D137:D140)+SUM(D142,D144:D145)+SUM(D147:D150)*4+SUM(D152:D154)</f>
        <v>34724.879279999994</v>
      </c>
      <c r="F101" s="109"/>
      <c r="G101" s="109">
        <f>SUM(F127:F130)*10+SUM(F132,F134:F135)+SUM(F137:F140)+SUM(F142,F144:F145)+SUM(F147:F150)*4+SUM(F152:F154)</f>
        <v>53823.562884000006</v>
      </c>
      <c r="H101" s="109"/>
    </row>
    <row r="102" spans="1:14" s="33" customFormat="1" x14ac:dyDescent="0.35">
      <c r="A102" s="143" t="s">
        <v>228</v>
      </c>
      <c r="B102" s="143"/>
      <c r="C102" s="114">
        <f>COUNT(D165:D167)*10+COUNT(D169,D171)+COUNT(D173:D175)+COUNT(D177,D179)+COUNT(D181:D183)*4+COUNT(D186:D187)</f>
        <v>51</v>
      </c>
      <c r="D102" s="114"/>
      <c r="E102" s="109">
        <f t="shared" ref="E102" si="1">SUM(D165:D167)*10+SUM(D169,D171)+SUM(D173:D175)+SUM(D177,D179)+SUM(D181:D183)*4+SUM(D186:D187)</f>
        <v>21376.335239999997</v>
      </c>
      <c r="F102" s="109"/>
      <c r="G102" s="109">
        <f>SUM(F165:F167)*10+SUM(F169,F171)+SUM(F173:F175)+SUM(F177,F179)+SUM(F181:F183)*4+SUM(F186:F187)</f>
        <v>33133.319622000003</v>
      </c>
      <c r="H102" s="109"/>
    </row>
    <row r="103" spans="1:14" s="33" customFormat="1" ht="16" thickBot="1" x14ac:dyDescent="0.4">
      <c r="A103" s="117" t="s">
        <v>155</v>
      </c>
      <c r="B103" s="117"/>
      <c r="C103" s="196">
        <f>SUM(C101:C102)</f>
        <v>120</v>
      </c>
      <c r="D103" s="196"/>
      <c r="E103" s="118">
        <f>SUM(E101:E102)</f>
        <v>56101.214519999994</v>
      </c>
      <c r="F103" s="119"/>
      <c r="G103" s="191">
        <f>SUM(G101:G102)</f>
        <v>86956.882506000009</v>
      </c>
      <c r="H103" s="191"/>
    </row>
    <row r="104" spans="1:14" s="33" customFormat="1" x14ac:dyDescent="0.35">
      <c r="A104" s="132" t="s">
        <v>173</v>
      </c>
      <c r="B104" s="133"/>
      <c r="C104" s="134">
        <f>C98+C103</f>
        <v>129</v>
      </c>
      <c r="D104" s="135"/>
      <c r="E104" s="136">
        <f>E98+E103</f>
        <v>61785.790559999994</v>
      </c>
      <c r="F104" s="136"/>
      <c r="G104" s="137">
        <f>G98+G103</f>
        <v>96052.204170000012</v>
      </c>
      <c r="H104" s="138"/>
    </row>
    <row r="105" spans="1:14" s="32" customFormat="1" x14ac:dyDescent="0.35">
      <c r="A105" s="120" t="s">
        <v>56</v>
      </c>
      <c r="B105" s="120"/>
      <c r="C105" s="120"/>
      <c r="D105" s="120"/>
      <c r="E105" s="120"/>
      <c r="F105" s="120"/>
      <c r="G105" s="120"/>
      <c r="H105" s="120"/>
    </row>
    <row r="106" spans="1:14" x14ac:dyDescent="0.35">
      <c r="A106" s="120" t="s">
        <v>57</v>
      </c>
      <c r="B106" s="120"/>
      <c r="C106" s="120"/>
      <c r="D106" s="120"/>
      <c r="E106" s="120"/>
      <c r="F106" s="120"/>
      <c r="G106" s="120"/>
      <c r="H106" s="120"/>
    </row>
    <row r="107" spans="1:14" ht="47.25" customHeight="1" x14ac:dyDescent="0.35">
      <c r="A107" s="116" t="s">
        <v>123</v>
      </c>
      <c r="B107" s="116" t="s">
        <v>122</v>
      </c>
      <c r="C107" s="116" t="s">
        <v>58</v>
      </c>
      <c r="D107" s="116" t="s">
        <v>59</v>
      </c>
      <c r="E107" s="115" t="s">
        <v>161</v>
      </c>
      <c r="F107" s="74" t="s">
        <v>154</v>
      </c>
      <c r="G107" s="116" t="s">
        <v>61</v>
      </c>
      <c r="H107" s="116"/>
    </row>
    <row r="108" spans="1:14" s="35" customFormat="1" x14ac:dyDescent="0.35">
      <c r="A108" s="116"/>
      <c r="B108" s="116"/>
      <c r="C108" s="116"/>
      <c r="D108" s="116"/>
      <c r="E108" s="115"/>
      <c r="F108" s="75">
        <v>0.6</v>
      </c>
      <c r="G108" s="116"/>
      <c r="H108" s="116"/>
    </row>
    <row r="109" spans="1:14" s="51" customFormat="1" x14ac:dyDescent="0.35">
      <c r="A109" s="111" t="s">
        <v>200</v>
      </c>
      <c r="B109" s="111"/>
      <c r="C109" s="111"/>
      <c r="D109" s="111"/>
      <c r="E109" s="111"/>
      <c r="F109" s="111"/>
      <c r="G109" s="111"/>
      <c r="H109" s="111"/>
      <c r="J109" s="34"/>
    </row>
    <row r="110" spans="1:14" s="35" customFormat="1" x14ac:dyDescent="0.35">
      <c r="A110" s="111" t="s">
        <v>203</v>
      </c>
      <c r="B110" s="111"/>
      <c r="C110" s="111"/>
      <c r="D110" s="111"/>
      <c r="E110" s="111"/>
      <c r="F110" s="111"/>
      <c r="G110" s="111"/>
      <c r="H110" s="111"/>
      <c r="J110" s="34"/>
    </row>
    <row r="111" spans="1:14" s="35" customFormat="1" ht="48" customHeight="1" x14ac:dyDescent="0.35">
      <c r="A111" s="112">
        <v>1</v>
      </c>
      <c r="B111" s="112"/>
      <c r="C111" s="57" t="s">
        <v>201</v>
      </c>
      <c r="D111" s="63">
        <f>(39.9)*10.764</f>
        <v>429.48359999999997</v>
      </c>
      <c r="E111" s="57">
        <v>0</v>
      </c>
      <c r="F111" s="57">
        <f>(D111+E111)*(($F$108)+1)</f>
        <v>687.17376000000002</v>
      </c>
      <c r="G111" s="112" t="str">
        <f>A110</f>
        <v>Ground Floor for Commercial &amp; Parking</v>
      </c>
      <c r="H111" s="112"/>
      <c r="I111" s="34">
        <f>5.35*4.15+3.15*6.6+2.45*2.5+2.1*1.25</f>
        <v>51.7425</v>
      </c>
      <c r="J111" s="60">
        <f>5.35*4.15+3.15*3.1+2.45*2.5+2.1*1.25+3.05*3.8</f>
        <v>52.307499999999997</v>
      </c>
      <c r="L111" s="76"/>
      <c r="M111" s="76"/>
      <c r="N111" s="34"/>
    </row>
    <row r="112" spans="1:14" s="35" customFormat="1" x14ac:dyDescent="0.35">
      <c r="A112" s="112">
        <f t="shared" ref="A112:A116" si="2">A111+1</f>
        <v>2</v>
      </c>
      <c r="B112" s="112"/>
      <c r="C112" s="57" t="s">
        <v>201</v>
      </c>
      <c r="D112" s="63">
        <f>(42.45)*10.764</f>
        <v>456.93180000000001</v>
      </c>
      <c r="E112" s="57">
        <v>0</v>
      </c>
      <c r="F112" s="57">
        <f t="shared" ref="F112:F114" si="3">(D112+E112)*(($F$108)+1)</f>
        <v>731.09088000000008</v>
      </c>
      <c r="G112" s="112"/>
      <c r="H112" s="112"/>
      <c r="I112" s="34"/>
      <c r="L112" s="76"/>
      <c r="M112" s="76"/>
      <c r="N112" s="34"/>
    </row>
    <row r="113" spans="1:14" s="35" customFormat="1" x14ac:dyDescent="0.35">
      <c r="A113" s="112">
        <f t="shared" si="2"/>
        <v>3</v>
      </c>
      <c r="B113" s="112"/>
      <c r="C113" s="57" t="s">
        <v>201</v>
      </c>
      <c r="D113" s="63">
        <f>(40.06)*10.764</f>
        <v>431.20584000000002</v>
      </c>
      <c r="E113" s="57">
        <v>0</v>
      </c>
      <c r="F113" s="57">
        <f t="shared" si="3"/>
        <v>689.92934400000013</v>
      </c>
      <c r="G113" s="112"/>
      <c r="H113" s="112"/>
      <c r="I113" s="34"/>
      <c r="L113" s="76"/>
      <c r="M113" s="76"/>
      <c r="N113" s="34"/>
    </row>
    <row r="114" spans="1:14" s="35" customFormat="1" x14ac:dyDescent="0.35">
      <c r="A114" s="112">
        <f t="shared" si="2"/>
        <v>4</v>
      </c>
      <c r="B114" s="112"/>
      <c r="C114" s="57" t="s">
        <v>201</v>
      </c>
      <c r="D114" s="63">
        <f>(20.39)*10.764</f>
        <v>219.47796</v>
      </c>
      <c r="E114" s="57">
        <v>0</v>
      </c>
      <c r="F114" s="57">
        <f t="shared" si="3"/>
        <v>351.164736</v>
      </c>
      <c r="G114" s="112"/>
      <c r="H114" s="112"/>
      <c r="I114" s="34"/>
      <c r="L114" s="76"/>
      <c r="M114" s="76"/>
      <c r="N114" s="34"/>
    </row>
    <row r="115" spans="1:14" s="51" customFormat="1" x14ac:dyDescent="0.35">
      <c r="A115" s="112">
        <f t="shared" si="2"/>
        <v>5</v>
      </c>
      <c r="B115" s="112"/>
      <c r="C115" s="57" t="s">
        <v>201</v>
      </c>
      <c r="D115" s="63">
        <f>(40.51)*10.764</f>
        <v>436.04963999999995</v>
      </c>
      <c r="E115" s="57">
        <v>0</v>
      </c>
      <c r="F115" s="57">
        <f t="shared" ref="F115:F117" si="4">(D115+E115)*(($F$108)+1)</f>
        <v>697.67942399999993</v>
      </c>
      <c r="G115" s="112"/>
      <c r="H115" s="112"/>
      <c r="I115" s="34"/>
      <c r="L115" s="76"/>
      <c r="M115" s="76"/>
      <c r="N115" s="34"/>
    </row>
    <row r="116" spans="1:14" s="51" customFormat="1" x14ac:dyDescent="0.35">
      <c r="A116" s="112">
        <f t="shared" si="2"/>
        <v>6</v>
      </c>
      <c r="B116" s="112"/>
      <c r="C116" s="57" t="s">
        <v>201</v>
      </c>
      <c r="D116" s="63">
        <f>(20.41)*10.764</f>
        <v>219.69323999999997</v>
      </c>
      <c r="E116" s="57">
        <v>0</v>
      </c>
      <c r="F116" s="57">
        <f t="shared" si="4"/>
        <v>351.509184</v>
      </c>
      <c r="G116" s="112"/>
      <c r="H116" s="112"/>
      <c r="I116" s="34"/>
      <c r="L116" s="76"/>
      <c r="M116" s="76"/>
      <c r="N116" s="34"/>
    </row>
    <row r="117" spans="1:14" s="51" customFormat="1" x14ac:dyDescent="0.35">
      <c r="A117" s="112" t="s">
        <v>232</v>
      </c>
      <c r="B117" s="112"/>
      <c r="C117" s="57" t="s">
        <v>201</v>
      </c>
      <c r="D117" s="63">
        <f>(20.33)*10.764</f>
        <v>218.83211999999997</v>
      </c>
      <c r="E117" s="57">
        <v>0</v>
      </c>
      <c r="F117" s="57">
        <f t="shared" si="4"/>
        <v>350.13139200000001</v>
      </c>
      <c r="G117" s="112"/>
      <c r="H117" s="112"/>
      <c r="I117" s="34"/>
      <c r="L117" s="76"/>
      <c r="M117" s="76"/>
      <c r="N117" s="34"/>
    </row>
    <row r="118" spans="1:14" s="69" customFormat="1" ht="46.5" x14ac:dyDescent="0.35">
      <c r="A118" s="112" t="s">
        <v>233</v>
      </c>
      <c r="B118" s="112"/>
      <c r="C118" s="57" t="s">
        <v>202</v>
      </c>
      <c r="D118" s="63">
        <f>(27.16+69.43)*10.764</f>
        <v>1039.6947599999999</v>
      </c>
      <c r="E118" s="57">
        <v>0</v>
      </c>
      <c r="F118" s="57">
        <f t="shared" ref="F118" si="5">(D118+E118)*(($F$108)+1)</f>
        <v>1663.5116159999998</v>
      </c>
      <c r="G118" s="112"/>
      <c r="H118" s="112"/>
      <c r="I118" s="34"/>
      <c r="L118" s="76"/>
      <c r="M118" s="76"/>
      <c r="N118" s="34"/>
    </row>
    <row r="119" spans="1:14" s="69" customFormat="1" x14ac:dyDescent="0.35">
      <c r="A119" s="91" t="s">
        <v>234</v>
      </c>
      <c r="B119" s="92"/>
      <c r="C119" s="92"/>
      <c r="D119" s="92"/>
      <c r="E119" s="92"/>
      <c r="F119" s="92"/>
      <c r="G119" s="92"/>
      <c r="H119" s="93"/>
      <c r="J119" s="34"/>
    </row>
    <row r="120" spans="1:14" s="69" customFormat="1" x14ac:dyDescent="0.35">
      <c r="A120" s="77">
        <v>8</v>
      </c>
      <c r="B120" s="78"/>
      <c r="C120" s="57" t="s">
        <v>201</v>
      </c>
      <c r="D120" s="63">
        <f>(207.47)*10.764</f>
        <v>2233.2070799999997</v>
      </c>
      <c r="E120" s="57">
        <v>0</v>
      </c>
      <c r="F120" s="57">
        <f>(D120+E120)*(($F$108)+1)</f>
        <v>3573.1313279999995</v>
      </c>
      <c r="G120" s="77" t="s">
        <v>235</v>
      </c>
      <c r="H120" s="78"/>
      <c r="I120" s="34">
        <f>5.35*4.15+3.15*6.6+2.45*2.5+2.1*1.25</f>
        <v>51.7425</v>
      </c>
      <c r="J120" s="60">
        <f>5.35*4.15+3.15*3.1+2.45*2.5+2.1*1.25+3.05*3.8</f>
        <v>52.307499999999997</v>
      </c>
      <c r="L120" s="76"/>
      <c r="M120" s="76"/>
      <c r="N120" s="34"/>
    </row>
    <row r="121" spans="1:14" s="35" customFormat="1" x14ac:dyDescent="0.35">
      <c r="A121" s="77"/>
      <c r="B121" s="94"/>
      <c r="C121" s="94"/>
      <c r="D121" s="94"/>
      <c r="E121" s="94"/>
      <c r="F121" s="94"/>
      <c r="G121" s="94"/>
      <c r="H121" s="78"/>
      <c r="I121" s="34"/>
      <c r="N121" s="34"/>
    </row>
    <row r="122" spans="1:14" ht="47.25" customHeight="1" x14ac:dyDescent="0.35">
      <c r="A122" s="102" t="s">
        <v>124</v>
      </c>
      <c r="B122" s="102" t="s">
        <v>125</v>
      </c>
      <c r="C122" s="98" t="s">
        <v>58</v>
      </c>
      <c r="D122" s="98" t="s">
        <v>59</v>
      </c>
      <c r="E122" s="100" t="s">
        <v>60</v>
      </c>
      <c r="F122" s="41" t="s">
        <v>154</v>
      </c>
      <c r="G122" s="102" t="s">
        <v>61</v>
      </c>
      <c r="H122" s="103"/>
      <c r="I122" s="34"/>
    </row>
    <row r="123" spans="1:14" s="35" customFormat="1" x14ac:dyDescent="0.35">
      <c r="A123" s="104"/>
      <c r="B123" s="104"/>
      <c r="C123" s="99"/>
      <c r="D123" s="99"/>
      <c r="E123" s="101"/>
      <c r="F123" s="13">
        <v>0.55000000000000004</v>
      </c>
      <c r="G123" s="104"/>
      <c r="H123" s="105"/>
      <c r="I123" s="34"/>
    </row>
    <row r="124" spans="1:14" s="51" customFormat="1" x14ac:dyDescent="0.35">
      <c r="A124" s="91" t="s">
        <v>200</v>
      </c>
      <c r="B124" s="92"/>
      <c r="C124" s="92"/>
      <c r="D124" s="92"/>
      <c r="E124" s="92"/>
      <c r="F124" s="92"/>
      <c r="G124" s="92"/>
      <c r="H124" s="93"/>
      <c r="J124" s="34"/>
    </row>
    <row r="125" spans="1:14" s="51" customFormat="1" x14ac:dyDescent="0.35">
      <c r="A125" s="91" t="s">
        <v>204</v>
      </c>
      <c r="B125" s="92"/>
      <c r="C125" s="92"/>
      <c r="D125" s="92"/>
      <c r="E125" s="92"/>
      <c r="F125" s="92"/>
      <c r="G125" s="92"/>
      <c r="H125" s="93"/>
      <c r="J125" s="34"/>
      <c r="K125" s="64"/>
    </row>
    <row r="126" spans="1:14" s="35" customFormat="1" x14ac:dyDescent="0.35">
      <c r="A126" s="91" t="s">
        <v>205</v>
      </c>
      <c r="B126" s="92"/>
      <c r="C126" s="92"/>
      <c r="D126" s="92"/>
      <c r="E126" s="92"/>
      <c r="F126" s="92"/>
      <c r="G126" s="92"/>
      <c r="H126" s="93"/>
      <c r="J126" s="34"/>
      <c r="K126" s="64"/>
    </row>
    <row r="127" spans="1:14" s="35" customFormat="1" ht="15.75" customHeight="1" x14ac:dyDescent="0.35">
      <c r="A127" s="77">
        <v>1</v>
      </c>
      <c r="B127" s="78"/>
      <c r="C127" s="40" t="s">
        <v>206</v>
      </c>
      <c r="D127" s="63">
        <f>(60.09)*10.764</f>
        <v>646.80876000000001</v>
      </c>
      <c r="E127" s="40">
        <v>0</v>
      </c>
      <c r="F127" s="40">
        <f>D127*(($F$123)+1)+(IF(E127&lt;101,E127,IF(E127&lt;201,E127/2,IF(E127&lt;=301,E127/3,E127/4))))</f>
        <v>1002.553578</v>
      </c>
      <c r="G127" s="79" t="str">
        <f>A126</f>
        <v>2nd to 6th &amp; 8th to 12th Floor for Residential</v>
      </c>
      <c r="H127" s="81"/>
      <c r="I127" s="34">
        <f>3.05*5.4+2.45*2.5+1*1.2+2.3*3+2.9*3+3.15*3.9+2.1*1.2+2.1*1.25</f>
        <v>56.824999999999996</v>
      </c>
      <c r="J127" s="34">
        <f>14600000/F127</f>
        <v>14562.812721815451</v>
      </c>
      <c r="K127" s="64"/>
      <c r="L127" s="76"/>
      <c r="M127" s="76"/>
      <c r="N127" s="34"/>
    </row>
    <row r="128" spans="1:14" s="35" customFormat="1" x14ac:dyDescent="0.35">
      <c r="A128" s="77">
        <f t="shared" ref="A128:A130" si="6">A127+1</f>
        <v>2</v>
      </c>
      <c r="B128" s="78"/>
      <c r="C128" s="40" t="s">
        <v>206</v>
      </c>
      <c r="D128" s="63">
        <f>(60.16)*10.764</f>
        <v>647.56223999999997</v>
      </c>
      <c r="E128" s="40">
        <v>0</v>
      </c>
      <c r="F128" s="40">
        <f>D128*(($F$123)+1)+(IF(E128&lt;101,E128,IF(E128&lt;201,E128/2,IF(E128&lt;=301,E128/3,E128/4))))</f>
        <v>1003.7214719999999</v>
      </c>
      <c r="G128" s="82"/>
      <c r="H128" s="84"/>
      <c r="I128" s="34">
        <f>3.05*5.4+1.7*2.35+2.3*2.9+3.05*2.9+3.05*3.9+2.1*1.2+2.1*1.2+1.8*1+2.15*1+1.65*2.15</f>
        <v>60.412500000000001</v>
      </c>
      <c r="J128" s="34">
        <f>14600000/F128</f>
        <v>14545.867959672383</v>
      </c>
      <c r="K128" s="64"/>
      <c r="L128" s="76"/>
      <c r="M128" s="76"/>
      <c r="N128" s="34"/>
    </row>
    <row r="129" spans="1:14" s="35" customFormat="1" x14ac:dyDescent="0.35">
      <c r="A129" s="77">
        <f t="shared" si="6"/>
        <v>3</v>
      </c>
      <c r="B129" s="78"/>
      <c r="C129" s="40" t="s">
        <v>207</v>
      </c>
      <c r="D129" s="63">
        <f>(31.39)*10.764</f>
        <v>337.88195999999999</v>
      </c>
      <c r="E129" s="40">
        <v>0</v>
      </c>
      <c r="F129" s="40">
        <f>D129*(($F$123)+1)+(IF(E129&lt;101,E129,IF(E129&lt;201,E129/2,IF(E129&lt;=301,E129/3,E129/4))))</f>
        <v>523.717038</v>
      </c>
      <c r="G129" s="82"/>
      <c r="H129" s="84"/>
      <c r="I129" s="34"/>
      <c r="J129" s="34">
        <f>7602000/F129</f>
        <v>14515.47199806778</v>
      </c>
      <c r="K129" s="64"/>
      <c r="L129" s="76"/>
      <c r="M129" s="76"/>
      <c r="N129" s="34"/>
    </row>
    <row r="130" spans="1:14" s="35" customFormat="1" x14ac:dyDescent="0.35">
      <c r="A130" s="77">
        <f t="shared" si="6"/>
        <v>4</v>
      </c>
      <c r="B130" s="78"/>
      <c r="C130" s="40" t="s">
        <v>207</v>
      </c>
      <c r="D130" s="63">
        <f>(37.75)*10.764</f>
        <v>406.34099999999995</v>
      </c>
      <c r="E130" s="40">
        <v>0</v>
      </c>
      <c r="F130" s="40">
        <f>D130*(($F$123)+1)+(IF(E130&lt;101,E130,IF(E130&lt;201,E130/2,IF(E130&lt;=301,E130/3,E130/4))))</f>
        <v>629.82854999999995</v>
      </c>
      <c r="G130" s="82"/>
      <c r="H130" s="84"/>
      <c r="I130" s="34"/>
      <c r="J130" s="34">
        <f>9143000/F130</f>
        <v>14516.649015037507</v>
      </c>
      <c r="K130" s="64"/>
      <c r="L130" s="76"/>
      <c r="M130" s="76"/>
      <c r="N130" s="34"/>
    </row>
    <row r="131" spans="1:14" s="51" customFormat="1" x14ac:dyDescent="0.35">
      <c r="A131" s="91" t="s">
        <v>208</v>
      </c>
      <c r="B131" s="92"/>
      <c r="C131" s="92"/>
      <c r="D131" s="92"/>
      <c r="E131" s="92"/>
      <c r="F131" s="92"/>
      <c r="G131" s="92"/>
      <c r="H131" s="93"/>
      <c r="J131" s="34"/>
    </row>
    <row r="132" spans="1:14" s="51" customFormat="1" ht="15.75" customHeight="1" x14ac:dyDescent="0.35">
      <c r="A132" s="77">
        <v>1</v>
      </c>
      <c r="B132" s="78"/>
      <c r="C132" s="50" t="s">
        <v>206</v>
      </c>
      <c r="D132" s="63">
        <f>(62.52)*10.764</f>
        <v>672.96528000000001</v>
      </c>
      <c r="E132" s="50">
        <v>0</v>
      </c>
      <c r="F132" s="50">
        <f>D132*(($F$123)+1)+(IF(E132&lt;101,E132,IF(E132&lt;201,E132/2,IF(E132&lt;=301,E132/3,E132/4))))</f>
        <v>1043.096184</v>
      </c>
      <c r="G132" s="79" t="str">
        <f>A131</f>
        <v>7th Floor (Part Refuge Area)</v>
      </c>
      <c r="H132" s="81"/>
      <c r="I132" s="34"/>
      <c r="L132" s="76"/>
      <c r="M132" s="76"/>
      <c r="N132" s="34"/>
    </row>
    <row r="133" spans="1:14" s="51" customFormat="1" x14ac:dyDescent="0.35">
      <c r="A133" s="77">
        <f t="shared" ref="A133:A135" si="7">A132+1</f>
        <v>2</v>
      </c>
      <c r="B133" s="78"/>
      <c r="C133" s="77" t="s">
        <v>209</v>
      </c>
      <c r="D133" s="94"/>
      <c r="E133" s="94"/>
      <c r="F133" s="78"/>
      <c r="G133" s="82"/>
      <c r="H133" s="84"/>
      <c r="I133" s="34"/>
      <c r="L133" s="76"/>
      <c r="M133" s="76"/>
      <c r="N133" s="34"/>
    </row>
    <row r="134" spans="1:14" s="51" customFormat="1" x14ac:dyDescent="0.35">
      <c r="A134" s="77">
        <f t="shared" si="7"/>
        <v>3</v>
      </c>
      <c r="B134" s="78"/>
      <c r="C134" s="50" t="s">
        <v>207</v>
      </c>
      <c r="D134" s="63">
        <f>(31.39)*10.764</f>
        <v>337.88195999999999</v>
      </c>
      <c r="E134" s="50">
        <v>0</v>
      </c>
      <c r="F134" s="50">
        <f>D134*(($F$123)+1)+(IF(E134&lt;101,E134,IF(E134&lt;201,E134/2,IF(E134&lt;=301,E134/3,E134/4))))</f>
        <v>523.717038</v>
      </c>
      <c r="G134" s="82"/>
      <c r="H134" s="84"/>
      <c r="I134" s="34"/>
      <c r="L134" s="76"/>
      <c r="M134" s="76"/>
      <c r="N134" s="34"/>
    </row>
    <row r="135" spans="1:14" s="51" customFormat="1" x14ac:dyDescent="0.35">
      <c r="A135" s="77">
        <f t="shared" si="7"/>
        <v>4</v>
      </c>
      <c r="B135" s="78"/>
      <c r="C135" s="50" t="s">
        <v>207</v>
      </c>
      <c r="D135" s="63">
        <f>(37.75)*10.764</f>
        <v>406.34099999999995</v>
      </c>
      <c r="E135" s="50">
        <v>0</v>
      </c>
      <c r="F135" s="50">
        <f>D135*(($F$123)+1)+(IF(E135&lt;101,E135,IF(E135&lt;201,E135/2,IF(E135&lt;=301,E135/3,E135/4))))</f>
        <v>629.82854999999995</v>
      </c>
      <c r="G135" s="82"/>
      <c r="H135" s="84"/>
      <c r="I135" s="34"/>
      <c r="L135" s="76"/>
      <c r="M135" s="76"/>
      <c r="N135" s="34"/>
    </row>
    <row r="136" spans="1:14" s="51" customFormat="1" x14ac:dyDescent="0.35">
      <c r="A136" s="91" t="s">
        <v>210</v>
      </c>
      <c r="B136" s="92"/>
      <c r="C136" s="92"/>
      <c r="D136" s="92"/>
      <c r="E136" s="92"/>
      <c r="F136" s="92"/>
      <c r="G136" s="92"/>
      <c r="H136" s="93"/>
      <c r="J136" s="34"/>
    </row>
    <row r="137" spans="1:14" s="51" customFormat="1" ht="15.75" customHeight="1" x14ac:dyDescent="0.35">
      <c r="A137" s="77">
        <v>1</v>
      </c>
      <c r="B137" s="78"/>
      <c r="C137" s="50" t="s">
        <v>206</v>
      </c>
      <c r="D137" s="63">
        <f>(57.21)*10.764</f>
        <v>615.80844000000002</v>
      </c>
      <c r="E137" s="50">
        <v>0</v>
      </c>
      <c r="F137" s="50">
        <f>D137*(($F$123)+1)+(IF(E137&lt;101,E137,IF(E137&lt;201,E137/2,IF(E137&lt;=301,E137/3,E137/4))))</f>
        <v>954.50308200000006</v>
      </c>
      <c r="G137" s="79" t="str">
        <f>A136</f>
        <v>13th Floor</v>
      </c>
      <c r="H137" s="81"/>
      <c r="I137" s="34">
        <f>3.05*4.5+2.45*2.5+1*1.2+2.3*3+2.9*3+3.15*3.9+2.1*1.2+2.1*1.25+3.05*0.9</f>
        <v>56.825000000000003</v>
      </c>
      <c r="J137" s="34">
        <f>13900000/F137</f>
        <v>14562.551197713155</v>
      </c>
      <c r="L137" s="76"/>
      <c r="M137" s="76"/>
      <c r="N137" s="34"/>
    </row>
    <row r="138" spans="1:14" s="51" customFormat="1" x14ac:dyDescent="0.35">
      <c r="A138" s="77">
        <f t="shared" ref="A138:A140" si="8">A137+1</f>
        <v>2</v>
      </c>
      <c r="B138" s="78"/>
      <c r="C138" s="50" t="s">
        <v>206</v>
      </c>
      <c r="D138" s="63">
        <f>(57.28)*10.764</f>
        <v>616.56191999999999</v>
      </c>
      <c r="E138" s="50">
        <v>0</v>
      </c>
      <c r="F138" s="50">
        <f>D138*(($F$123)+1)+(IF(E138&lt;101,E138,IF(E138&lt;201,E138/2,IF(E138&lt;=301,E138/3,E138/4))))</f>
        <v>955.670976</v>
      </c>
      <c r="G138" s="82"/>
      <c r="H138" s="84"/>
      <c r="I138" s="34"/>
      <c r="L138" s="76"/>
      <c r="M138" s="76"/>
      <c r="N138" s="34"/>
    </row>
    <row r="139" spans="1:14" s="51" customFormat="1" x14ac:dyDescent="0.35">
      <c r="A139" s="77">
        <f t="shared" si="8"/>
        <v>3</v>
      </c>
      <c r="B139" s="78"/>
      <c r="C139" s="50" t="s">
        <v>207</v>
      </c>
      <c r="D139" s="63">
        <f>(31.39)*10.764</f>
        <v>337.88195999999999</v>
      </c>
      <c r="E139" s="50">
        <v>0</v>
      </c>
      <c r="F139" s="50">
        <f>D139*(($F$123)+1)+(IF(E139&lt;101,E139,IF(E139&lt;201,E139/2,IF(E139&lt;=301,E139/3,E139/4))))</f>
        <v>523.717038</v>
      </c>
      <c r="G139" s="82"/>
      <c r="H139" s="84"/>
      <c r="I139" s="34"/>
      <c r="L139" s="76"/>
      <c r="M139" s="76"/>
      <c r="N139" s="34"/>
    </row>
    <row r="140" spans="1:14" s="51" customFormat="1" x14ac:dyDescent="0.35">
      <c r="A140" s="77">
        <f t="shared" si="8"/>
        <v>4</v>
      </c>
      <c r="B140" s="78"/>
      <c r="C140" s="50" t="s">
        <v>207</v>
      </c>
      <c r="D140" s="63">
        <f>(37.75)*10.764</f>
        <v>406.34099999999995</v>
      </c>
      <c r="E140" s="50">
        <v>0</v>
      </c>
      <c r="F140" s="50">
        <f>D140*(($F$123)+1)+(IF(E140&lt;101,E140,IF(E140&lt;201,E140/2,IF(E140&lt;=301,E140/3,E140/4))))</f>
        <v>629.82854999999995</v>
      </c>
      <c r="G140" s="82"/>
      <c r="H140" s="84"/>
      <c r="I140" s="34"/>
      <c r="L140" s="76"/>
      <c r="M140" s="76"/>
      <c r="N140" s="34"/>
    </row>
    <row r="141" spans="1:14" s="59" customFormat="1" x14ac:dyDescent="0.35">
      <c r="A141" s="111" t="s">
        <v>211</v>
      </c>
      <c r="B141" s="111"/>
      <c r="C141" s="111"/>
      <c r="D141" s="111"/>
      <c r="E141" s="111"/>
      <c r="F141" s="111"/>
      <c r="G141" s="111"/>
      <c r="H141" s="111"/>
      <c r="J141" s="34"/>
    </row>
    <row r="142" spans="1:14" s="59" customFormat="1" ht="15.75" customHeight="1" x14ac:dyDescent="0.35">
      <c r="A142" s="112">
        <v>1</v>
      </c>
      <c r="B142" s="112"/>
      <c r="C142" s="57" t="s">
        <v>212</v>
      </c>
      <c r="D142" s="63">
        <f>(67.29)*10.764</f>
        <v>724.30956000000003</v>
      </c>
      <c r="E142" s="57">
        <v>0</v>
      </c>
      <c r="F142" s="57">
        <f>D142*(($F$123)+1)+(IF(E142&lt;101,E142,IF(E142&lt;201,E142/2,IF(E142&lt;=301,E142/3,E142/4))))</f>
        <v>1122.6798180000001</v>
      </c>
      <c r="G142" s="112" t="str">
        <f>A141</f>
        <v>14th Floor (Part Refuge Area)</v>
      </c>
      <c r="H142" s="112"/>
      <c r="I142" s="34"/>
      <c r="L142" s="76"/>
      <c r="M142" s="76"/>
      <c r="N142" s="34"/>
    </row>
    <row r="143" spans="1:14" s="59" customFormat="1" x14ac:dyDescent="0.35">
      <c r="A143" s="112">
        <f t="shared" ref="A143:A145" si="9">A142+1</f>
        <v>2</v>
      </c>
      <c r="B143" s="112"/>
      <c r="C143" s="112" t="s">
        <v>209</v>
      </c>
      <c r="D143" s="112"/>
      <c r="E143" s="112"/>
      <c r="F143" s="112"/>
      <c r="G143" s="112"/>
      <c r="H143" s="112"/>
      <c r="I143" s="34"/>
      <c r="L143" s="76"/>
      <c r="M143" s="76"/>
      <c r="N143" s="34"/>
    </row>
    <row r="144" spans="1:14" s="59" customFormat="1" x14ac:dyDescent="0.35">
      <c r="A144" s="112">
        <f t="shared" si="9"/>
        <v>3</v>
      </c>
      <c r="B144" s="112"/>
      <c r="C144" s="57" t="s">
        <v>207</v>
      </c>
      <c r="D144" s="63">
        <f>(31.39)*10.764</f>
        <v>337.88195999999999</v>
      </c>
      <c r="E144" s="57">
        <v>0</v>
      </c>
      <c r="F144" s="57">
        <f>D144*(($F$123)+1)+(IF(E144&lt;101,E144,IF(E144&lt;201,E144/2,IF(E144&lt;=301,E144/3,E144/4))))</f>
        <v>523.717038</v>
      </c>
      <c r="G144" s="112"/>
      <c r="H144" s="112"/>
      <c r="I144" s="34"/>
      <c r="L144" s="76"/>
      <c r="M144" s="76"/>
      <c r="N144" s="34"/>
    </row>
    <row r="145" spans="1:14" s="59" customFormat="1" x14ac:dyDescent="0.35">
      <c r="A145" s="112">
        <f t="shared" si="9"/>
        <v>4</v>
      </c>
      <c r="B145" s="112"/>
      <c r="C145" s="57" t="s">
        <v>207</v>
      </c>
      <c r="D145" s="63">
        <f>(37.75)*10.764</f>
        <v>406.34099999999995</v>
      </c>
      <c r="E145" s="57">
        <v>0</v>
      </c>
      <c r="F145" s="57">
        <f>D145*(($F$123)+1)+(IF(E145&lt;101,E145,IF(E145&lt;201,E145/2,IF(E145&lt;=301,E145/3,E145/4))))</f>
        <v>629.82854999999995</v>
      </c>
      <c r="G145" s="112"/>
      <c r="H145" s="112"/>
      <c r="I145" s="34"/>
      <c r="L145" s="76"/>
      <c r="M145" s="76"/>
      <c r="N145" s="34"/>
    </row>
    <row r="146" spans="1:14" s="59" customFormat="1" x14ac:dyDescent="0.35">
      <c r="A146" s="111" t="s">
        <v>213</v>
      </c>
      <c r="B146" s="111"/>
      <c r="C146" s="111"/>
      <c r="D146" s="111"/>
      <c r="E146" s="111"/>
      <c r="F146" s="111"/>
      <c r="G146" s="111"/>
      <c r="H146" s="111"/>
      <c r="J146" s="34"/>
    </row>
    <row r="147" spans="1:14" s="59" customFormat="1" ht="15.75" customHeight="1" x14ac:dyDescent="0.35">
      <c r="A147" s="112">
        <v>1</v>
      </c>
      <c r="B147" s="112"/>
      <c r="C147" s="57" t="s">
        <v>206</v>
      </c>
      <c r="D147" s="63">
        <f>(57.21)*10.764</f>
        <v>615.80844000000002</v>
      </c>
      <c r="E147" s="57">
        <v>0</v>
      </c>
      <c r="F147" s="57">
        <f>D147*(($F$123)+1)+(IF(E147&lt;101,E147,IF(E147&lt;201,E147/2,IF(E147&lt;=301,E147/3,E147/4))))</f>
        <v>954.50308200000006</v>
      </c>
      <c r="G147" s="112" t="str">
        <f>A146</f>
        <v>15th to 18th Floor</v>
      </c>
      <c r="H147" s="112"/>
      <c r="I147" s="34"/>
      <c r="L147" s="76"/>
      <c r="M147" s="76"/>
      <c r="N147" s="34"/>
    </row>
    <row r="148" spans="1:14" s="59" customFormat="1" x14ac:dyDescent="0.35">
      <c r="A148" s="112">
        <f t="shared" ref="A148:A150" si="10">A147+1</f>
        <v>2</v>
      </c>
      <c r="B148" s="112"/>
      <c r="C148" s="57" t="s">
        <v>206</v>
      </c>
      <c r="D148" s="63">
        <f>(57.28)*10.764</f>
        <v>616.56191999999999</v>
      </c>
      <c r="E148" s="57">
        <v>0</v>
      </c>
      <c r="F148" s="57">
        <f>D148*(($F$123)+1)+(IF(E148&lt;101,E148,IF(E148&lt;201,E148/2,IF(E148&lt;=301,E148/3,E148/4))))</f>
        <v>955.670976</v>
      </c>
      <c r="G148" s="112"/>
      <c r="H148" s="112"/>
      <c r="I148" s="34"/>
      <c r="J148" s="59">
        <f>15500000/F147</f>
        <v>16238.816083780857</v>
      </c>
      <c r="L148" s="76">
        <f>J148+J152+K165+J181</f>
        <v>60149.173592300729</v>
      </c>
      <c r="M148" s="76"/>
      <c r="N148" s="34"/>
    </row>
    <row r="149" spans="1:14" s="59" customFormat="1" x14ac:dyDescent="0.35">
      <c r="A149" s="112">
        <f t="shared" si="10"/>
        <v>3</v>
      </c>
      <c r="B149" s="112"/>
      <c r="C149" s="57" t="s">
        <v>207</v>
      </c>
      <c r="D149" s="63">
        <f>(31.39)*10.764</f>
        <v>337.88195999999999</v>
      </c>
      <c r="E149" s="57">
        <v>0</v>
      </c>
      <c r="F149" s="57">
        <f>D149*(($F$123)+1)+(IF(E149&lt;101,E149,IF(E149&lt;201,E149/2,IF(E149&lt;=301,E149/3,E149/4))))</f>
        <v>523.717038</v>
      </c>
      <c r="G149" s="112"/>
      <c r="H149" s="112"/>
      <c r="I149" s="34"/>
      <c r="L149" s="76">
        <f>L148/4</f>
        <v>15037.293398075182</v>
      </c>
      <c r="M149" s="76"/>
      <c r="N149" s="34"/>
    </row>
    <row r="150" spans="1:14" s="59" customFormat="1" x14ac:dyDescent="0.35">
      <c r="A150" s="112">
        <f t="shared" si="10"/>
        <v>4</v>
      </c>
      <c r="B150" s="112"/>
      <c r="C150" s="57" t="s">
        <v>207</v>
      </c>
      <c r="D150" s="63">
        <f>(37.75)*10.764</f>
        <v>406.34099999999995</v>
      </c>
      <c r="E150" s="57">
        <v>0</v>
      </c>
      <c r="F150" s="57">
        <f>D150*(($F$123)+1)+(IF(E150&lt;101,E150,IF(E150&lt;201,E150/2,IF(E150&lt;=301,E150/3,E150/4))))</f>
        <v>629.82854999999995</v>
      </c>
      <c r="G150" s="112"/>
      <c r="H150" s="112"/>
      <c r="I150" s="34"/>
      <c r="L150" s="76"/>
      <c r="M150" s="76"/>
      <c r="N150" s="34"/>
    </row>
    <row r="151" spans="1:14" s="59" customFormat="1" x14ac:dyDescent="0.35">
      <c r="A151" s="91" t="s">
        <v>214</v>
      </c>
      <c r="B151" s="92"/>
      <c r="C151" s="92"/>
      <c r="D151" s="92"/>
      <c r="E151" s="92"/>
      <c r="F151" s="92"/>
      <c r="G151" s="92"/>
      <c r="H151" s="93"/>
      <c r="J151" s="34"/>
    </row>
    <row r="152" spans="1:14" s="59" customFormat="1" ht="15.75" customHeight="1" x14ac:dyDescent="0.35">
      <c r="A152" s="77">
        <v>1</v>
      </c>
      <c r="B152" s="78"/>
      <c r="C152" s="57" t="s">
        <v>206</v>
      </c>
      <c r="D152" s="63">
        <f>(57.21)*10.764</f>
        <v>615.80844000000002</v>
      </c>
      <c r="E152" s="57">
        <v>0</v>
      </c>
      <c r="F152" s="57">
        <f>D152*(($F$123)+1)+(IF(E152&lt;101,E152,IF(E152&lt;201,E152/2,IF(E152&lt;=301,E152/3,E152/4))))</f>
        <v>954.50308200000006</v>
      </c>
      <c r="G152" s="79" t="str">
        <f>A151</f>
        <v xml:space="preserve">19th Floor </v>
      </c>
      <c r="H152" s="81"/>
      <c r="I152" s="34"/>
      <c r="J152" s="59">
        <f>13900000/F152</f>
        <v>14562.551197713155</v>
      </c>
      <c r="L152" s="76"/>
      <c r="M152" s="76"/>
      <c r="N152" s="34"/>
    </row>
    <row r="153" spans="1:14" s="59" customFormat="1" x14ac:dyDescent="0.35">
      <c r="A153" s="77">
        <f t="shared" ref="A153:A155" si="11">A152+1</f>
        <v>2</v>
      </c>
      <c r="B153" s="78"/>
      <c r="C153" s="57" t="s">
        <v>206</v>
      </c>
      <c r="D153" s="63">
        <f>(57.28)*10.764</f>
        <v>616.56191999999999</v>
      </c>
      <c r="E153" s="57">
        <v>0</v>
      </c>
      <c r="F153" s="57">
        <f>D153*(($F$123)+1)+(IF(E153&lt;101,E153,IF(E153&lt;201,E153/2,IF(E153&lt;=301,E153/3,E153/4))))</f>
        <v>955.670976</v>
      </c>
      <c r="G153" s="82"/>
      <c r="H153" s="84"/>
      <c r="I153" s="34"/>
      <c r="L153" s="76"/>
      <c r="M153" s="76"/>
      <c r="N153" s="34"/>
    </row>
    <row r="154" spans="1:14" s="59" customFormat="1" x14ac:dyDescent="0.35">
      <c r="A154" s="77">
        <f t="shared" si="11"/>
        <v>3</v>
      </c>
      <c r="B154" s="78"/>
      <c r="C154" s="57" t="s">
        <v>207</v>
      </c>
      <c r="D154" s="63">
        <f>(31.39)*10.764</f>
        <v>337.88195999999999</v>
      </c>
      <c r="E154" s="57">
        <v>0</v>
      </c>
      <c r="F154" s="57">
        <f>D154*(($F$123)+1)+(IF(E154&lt;101,E154,IF(E154&lt;201,E154/2,IF(E154&lt;=301,E154/3,E154/4))))</f>
        <v>523.717038</v>
      </c>
      <c r="G154" s="82"/>
      <c r="H154" s="84"/>
      <c r="I154" s="34"/>
      <c r="L154" s="76"/>
      <c r="M154" s="76"/>
      <c r="N154" s="34"/>
    </row>
    <row r="155" spans="1:14" s="59" customFormat="1" x14ac:dyDescent="0.35">
      <c r="A155" s="77">
        <f t="shared" si="11"/>
        <v>4</v>
      </c>
      <c r="B155" s="78"/>
      <c r="C155" s="79" t="s">
        <v>215</v>
      </c>
      <c r="D155" s="80"/>
      <c r="E155" s="80"/>
      <c r="F155" s="81"/>
      <c r="G155" s="82"/>
      <c r="H155" s="84"/>
      <c r="I155" s="34"/>
      <c r="L155" s="76"/>
      <c r="M155" s="76"/>
      <c r="N155" s="34"/>
    </row>
    <row r="156" spans="1:14" s="59" customFormat="1" hidden="1" x14ac:dyDescent="0.35">
      <c r="A156" s="91" t="s">
        <v>216</v>
      </c>
      <c r="B156" s="92"/>
      <c r="C156" s="92"/>
      <c r="D156" s="92"/>
      <c r="E156" s="92"/>
      <c r="F156" s="92"/>
      <c r="G156" s="92"/>
      <c r="H156" s="93"/>
      <c r="J156" s="34"/>
    </row>
    <row r="157" spans="1:14" s="59" customFormat="1" ht="15.75" hidden="1" customHeight="1" x14ac:dyDescent="0.35">
      <c r="A157" s="77">
        <v>1</v>
      </c>
      <c r="B157" s="78"/>
      <c r="C157" s="79" t="s">
        <v>217</v>
      </c>
      <c r="D157" s="80"/>
      <c r="E157" s="80"/>
      <c r="F157" s="81"/>
      <c r="G157" s="79" t="str">
        <f>A156</f>
        <v>20th Floor (Part Terrace Area)</v>
      </c>
      <c r="H157" s="81"/>
      <c r="I157" s="34"/>
      <c r="L157" s="76"/>
      <c r="M157" s="76"/>
      <c r="N157" s="34"/>
    </row>
    <row r="158" spans="1:14" s="59" customFormat="1" hidden="1" x14ac:dyDescent="0.35">
      <c r="A158" s="77">
        <f t="shared" ref="A158:A160" si="12">A157+1</f>
        <v>2</v>
      </c>
      <c r="B158" s="78"/>
      <c r="C158" s="82"/>
      <c r="D158" s="83"/>
      <c r="E158" s="83"/>
      <c r="F158" s="84"/>
      <c r="G158" s="82"/>
      <c r="H158" s="84"/>
      <c r="I158" s="34"/>
      <c r="L158" s="76"/>
      <c r="M158" s="76"/>
      <c r="N158" s="34"/>
    </row>
    <row r="159" spans="1:14" s="59" customFormat="1" hidden="1" x14ac:dyDescent="0.35">
      <c r="A159" s="77">
        <f t="shared" si="12"/>
        <v>3</v>
      </c>
      <c r="B159" s="78"/>
      <c r="C159" s="82"/>
      <c r="D159" s="83"/>
      <c r="E159" s="83"/>
      <c r="F159" s="84"/>
      <c r="G159" s="82"/>
      <c r="H159" s="84"/>
      <c r="I159" s="34"/>
      <c r="L159" s="76"/>
      <c r="M159" s="76"/>
      <c r="N159" s="34"/>
    </row>
    <row r="160" spans="1:14" s="59" customFormat="1" ht="15.75" hidden="1" customHeight="1" x14ac:dyDescent="0.35">
      <c r="A160" s="77">
        <f t="shared" si="12"/>
        <v>4</v>
      </c>
      <c r="B160" s="78"/>
      <c r="C160" s="85"/>
      <c r="D160" s="86"/>
      <c r="E160" s="86"/>
      <c r="F160" s="87"/>
      <c r="G160" s="82"/>
      <c r="H160" s="84"/>
      <c r="I160" s="34"/>
      <c r="L160" s="76"/>
      <c r="M160" s="76"/>
      <c r="N160" s="34"/>
    </row>
    <row r="161" spans="1:14" s="61" customFormat="1" x14ac:dyDescent="0.35">
      <c r="A161" s="91" t="s">
        <v>226</v>
      </c>
      <c r="B161" s="92"/>
      <c r="C161" s="92"/>
      <c r="D161" s="92"/>
      <c r="E161" s="92"/>
      <c r="F161" s="92"/>
      <c r="G161" s="92"/>
      <c r="H161" s="93"/>
      <c r="J161" s="34"/>
    </row>
    <row r="162" spans="1:14" s="61" customFormat="1" x14ac:dyDescent="0.35">
      <c r="A162" s="91" t="s">
        <v>204</v>
      </c>
      <c r="B162" s="92"/>
      <c r="C162" s="92"/>
      <c r="D162" s="92"/>
      <c r="E162" s="92"/>
      <c r="F162" s="92"/>
      <c r="G162" s="92"/>
      <c r="H162" s="93"/>
      <c r="J162" s="34"/>
      <c r="K162" s="64"/>
    </row>
    <row r="163" spans="1:14" s="61" customFormat="1" x14ac:dyDescent="0.35">
      <c r="A163" s="91" t="s">
        <v>225</v>
      </c>
      <c r="B163" s="92"/>
      <c r="C163" s="92"/>
      <c r="D163" s="92"/>
      <c r="E163" s="92"/>
      <c r="F163" s="92"/>
      <c r="G163" s="92"/>
      <c r="H163" s="93"/>
      <c r="J163" s="34"/>
      <c r="K163" s="64"/>
    </row>
    <row r="164" spans="1:14" s="61" customFormat="1" x14ac:dyDescent="0.35">
      <c r="A164" s="91" t="s">
        <v>205</v>
      </c>
      <c r="B164" s="92"/>
      <c r="C164" s="92"/>
      <c r="D164" s="92"/>
      <c r="E164" s="92"/>
      <c r="F164" s="92"/>
      <c r="G164" s="92"/>
      <c r="H164" s="93"/>
      <c r="J164" s="34"/>
      <c r="K164" s="64"/>
    </row>
    <row r="165" spans="1:14" s="61" customFormat="1" x14ac:dyDescent="0.35">
      <c r="A165" s="77">
        <v>5</v>
      </c>
      <c r="B165" s="78"/>
      <c r="C165" s="57" t="s">
        <v>207</v>
      </c>
      <c r="D165" s="63">
        <f>(39.4)*10.764</f>
        <v>424.10159999999996</v>
      </c>
      <c r="E165" s="57">
        <v>0</v>
      </c>
      <c r="F165" s="57">
        <f>D165*(($F$123)+1)+(IF(E165&lt;101,E165,IF(E165&lt;201,E165/2,IF(E165&lt;=301,E165/3,E165/4))))</f>
        <v>657.35748000000001</v>
      </c>
      <c r="G165" s="82" t="str">
        <f>A164</f>
        <v>2nd to 6th &amp; 8th to 12th Floor for Residential</v>
      </c>
      <c r="H165" s="84"/>
      <c r="I165" s="34"/>
      <c r="J165" s="34">
        <f>9542000/F165</f>
        <v>14515.693956962352</v>
      </c>
      <c r="K165" s="64">
        <f>9750000/F165</f>
        <v>14832.112353844364</v>
      </c>
      <c r="L165" s="76"/>
      <c r="M165" s="76"/>
      <c r="N165" s="34"/>
    </row>
    <row r="166" spans="1:14" s="61" customFormat="1" x14ac:dyDescent="0.35">
      <c r="A166" s="77">
        <f t="shared" ref="A166:A167" si="13">A165+1</f>
        <v>6</v>
      </c>
      <c r="B166" s="78"/>
      <c r="C166" s="57" t="s">
        <v>207</v>
      </c>
      <c r="D166" s="63">
        <f>(40.26)*10.764</f>
        <v>433.35863999999998</v>
      </c>
      <c r="E166" s="57">
        <v>0</v>
      </c>
      <c r="F166" s="57">
        <f>D166*(($F$123)+1)+(IF(E166&lt;101,E166,IF(E166&lt;201,E166/2,IF(E166&lt;=301,E166/3,E166/4))))</f>
        <v>671.70589199999995</v>
      </c>
      <c r="G166" s="82"/>
      <c r="H166" s="84"/>
      <c r="I166" s="34"/>
      <c r="J166" s="34">
        <f>9751000/F166</f>
        <v>14516.770086631905</v>
      </c>
      <c r="L166" s="76"/>
      <c r="M166" s="76"/>
      <c r="N166" s="34"/>
    </row>
    <row r="167" spans="1:14" s="61" customFormat="1" x14ac:dyDescent="0.35">
      <c r="A167" s="77">
        <f t="shared" si="13"/>
        <v>7</v>
      </c>
      <c r="B167" s="78"/>
      <c r="C167" s="57" t="s">
        <v>207</v>
      </c>
      <c r="D167" s="63">
        <f>(35.89)*10.764</f>
        <v>386.31995999999998</v>
      </c>
      <c r="E167" s="57">
        <v>0</v>
      </c>
      <c r="F167" s="57">
        <f>D167*(($F$123)+1)+(IF(E167&lt;101,E167,IF(E167&lt;201,E167/2,IF(E167&lt;=301,E167/3,E167/4))))</f>
        <v>598.79593799999998</v>
      </c>
      <c r="G167" s="85"/>
      <c r="H167" s="87"/>
      <c r="I167" s="34"/>
      <c r="J167" s="34">
        <f>8692000/F167</f>
        <v>14515.796531672531</v>
      </c>
      <c r="L167" s="76"/>
      <c r="M167" s="76"/>
      <c r="N167" s="34"/>
    </row>
    <row r="168" spans="1:14" s="61" customFormat="1" x14ac:dyDescent="0.35">
      <c r="A168" s="91" t="s">
        <v>208</v>
      </c>
      <c r="B168" s="92"/>
      <c r="C168" s="92"/>
      <c r="D168" s="92"/>
      <c r="E168" s="92"/>
      <c r="F168" s="92"/>
      <c r="G168" s="92"/>
      <c r="H168" s="93"/>
      <c r="J168" s="34"/>
    </row>
    <row r="169" spans="1:14" s="61" customFormat="1" x14ac:dyDescent="0.35">
      <c r="A169" s="77">
        <v>5</v>
      </c>
      <c r="B169" s="78"/>
      <c r="C169" s="57" t="s">
        <v>207</v>
      </c>
      <c r="D169" s="63">
        <f>(39.4)*10.764</f>
        <v>424.10159999999996</v>
      </c>
      <c r="E169" s="57">
        <v>0</v>
      </c>
      <c r="F169" s="57">
        <f>D169*(($F$123)+1)+(IF(E169&lt;101,E169,IF(E169&lt;201,E169/2,IF(E169&lt;=301,E169/3,E169/4))))</f>
        <v>657.35748000000001</v>
      </c>
      <c r="G169" s="82" t="str">
        <f>A168</f>
        <v>7th Floor (Part Refuge Area)</v>
      </c>
      <c r="H169" s="84"/>
      <c r="I169" s="34"/>
      <c r="L169" s="76"/>
      <c r="M169" s="76"/>
      <c r="N169" s="34"/>
    </row>
    <row r="170" spans="1:14" s="61" customFormat="1" x14ac:dyDescent="0.35">
      <c r="A170" s="77">
        <f t="shared" ref="A170:A171" si="14">A169+1</f>
        <v>6</v>
      </c>
      <c r="B170" s="78"/>
      <c r="C170" s="77" t="s">
        <v>209</v>
      </c>
      <c r="D170" s="94"/>
      <c r="E170" s="94"/>
      <c r="F170" s="78"/>
      <c r="G170" s="82"/>
      <c r="H170" s="84"/>
      <c r="I170" s="34"/>
      <c r="L170" s="76"/>
      <c r="M170" s="76"/>
      <c r="N170" s="34"/>
    </row>
    <row r="171" spans="1:14" s="61" customFormat="1" x14ac:dyDescent="0.35">
      <c r="A171" s="77">
        <f t="shared" si="14"/>
        <v>7</v>
      </c>
      <c r="B171" s="78"/>
      <c r="C171" s="57" t="s">
        <v>206</v>
      </c>
      <c r="D171" s="63">
        <f>(45.17)*10.764</f>
        <v>486.20988</v>
      </c>
      <c r="E171" s="57">
        <v>0</v>
      </c>
      <c r="F171" s="57">
        <f>D171*(($F$123)+1)+(IF(E171&lt;101,E171,IF(E171&lt;201,E171/2,IF(E171&lt;=301,E171/3,E171/4))))</f>
        <v>753.625314</v>
      </c>
      <c r="G171" s="85"/>
      <c r="H171" s="87"/>
      <c r="I171" s="34"/>
      <c r="L171" s="76"/>
      <c r="M171" s="76"/>
      <c r="N171" s="34"/>
    </row>
    <row r="172" spans="1:14" s="61" customFormat="1" x14ac:dyDescent="0.35">
      <c r="A172" s="91" t="s">
        <v>210</v>
      </c>
      <c r="B172" s="92"/>
      <c r="C172" s="92"/>
      <c r="D172" s="92"/>
      <c r="E172" s="92"/>
      <c r="F172" s="92"/>
      <c r="G172" s="92"/>
      <c r="H172" s="93"/>
      <c r="J172" s="34"/>
    </row>
    <row r="173" spans="1:14" s="61" customFormat="1" x14ac:dyDescent="0.35">
      <c r="A173" s="77">
        <v>5</v>
      </c>
      <c r="B173" s="78"/>
      <c r="C173" s="57" t="s">
        <v>207</v>
      </c>
      <c r="D173" s="63">
        <f>(39.4)*10.764</f>
        <v>424.10159999999996</v>
      </c>
      <c r="E173" s="57">
        <v>0</v>
      </c>
      <c r="F173" s="57">
        <f>D173*(($F$123)+1)+(IF(E173&lt;101,E173,IF(E173&lt;201,E173/2,IF(E173&lt;=301,E173/3,E173/4))))</f>
        <v>657.35748000000001</v>
      </c>
      <c r="G173" s="82" t="str">
        <f>A172</f>
        <v>13th Floor</v>
      </c>
      <c r="H173" s="84"/>
      <c r="I173" s="34"/>
      <c r="L173" s="76"/>
      <c r="M173" s="76"/>
      <c r="N173" s="34"/>
    </row>
    <row r="174" spans="1:14" s="61" customFormat="1" x14ac:dyDescent="0.35">
      <c r="A174" s="77">
        <f t="shared" ref="A174:A175" si="15">A173+1</f>
        <v>6</v>
      </c>
      <c r="B174" s="78"/>
      <c r="C174" s="57" t="s">
        <v>207</v>
      </c>
      <c r="D174" s="63">
        <f>(40.26)*10.764</f>
        <v>433.35863999999998</v>
      </c>
      <c r="E174" s="57">
        <v>0</v>
      </c>
      <c r="F174" s="57">
        <f>D174*(($F$123)+1)+(IF(E174&lt;101,E174,IF(E174&lt;201,E174/2,IF(E174&lt;=301,E174/3,E174/4))))</f>
        <v>671.70589199999995</v>
      </c>
      <c r="G174" s="82"/>
      <c r="H174" s="84"/>
      <c r="I174" s="34"/>
      <c r="L174" s="76"/>
      <c r="M174" s="76"/>
      <c r="N174" s="34"/>
    </row>
    <row r="175" spans="1:14" s="61" customFormat="1" x14ac:dyDescent="0.35">
      <c r="A175" s="77">
        <f t="shared" si="15"/>
        <v>7</v>
      </c>
      <c r="B175" s="78"/>
      <c r="C175" s="57" t="s">
        <v>207</v>
      </c>
      <c r="D175" s="63">
        <f>(35.89)*10.764</f>
        <v>386.31995999999998</v>
      </c>
      <c r="E175" s="57">
        <v>0</v>
      </c>
      <c r="F175" s="57">
        <f>D175*(($F$123)+1)+(IF(E175&lt;101,E175,IF(E175&lt;201,E175/2,IF(E175&lt;=301,E175/3,E175/4))))</f>
        <v>598.79593799999998</v>
      </c>
      <c r="G175" s="85"/>
      <c r="H175" s="87"/>
      <c r="I175" s="34"/>
      <c r="L175" s="76"/>
      <c r="M175" s="76"/>
      <c r="N175" s="34"/>
    </row>
    <row r="176" spans="1:14" s="61" customFormat="1" x14ac:dyDescent="0.35">
      <c r="A176" s="91" t="s">
        <v>211</v>
      </c>
      <c r="B176" s="92"/>
      <c r="C176" s="92"/>
      <c r="D176" s="92"/>
      <c r="E176" s="92"/>
      <c r="F176" s="92"/>
      <c r="G176" s="92"/>
      <c r="H176" s="93"/>
      <c r="J176" s="34"/>
    </row>
    <row r="177" spans="1:14" s="61" customFormat="1" x14ac:dyDescent="0.35">
      <c r="A177" s="77">
        <v>5</v>
      </c>
      <c r="B177" s="78"/>
      <c r="C177" s="57" t="s">
        <v>207</v>
      </c>
      <c r="D177" s="63">
        <f>(39.4)*10.764</f>
        <v>424.10159999999996</v>
      </c>
      <c r="E177" s="57">
        <v>0</v>
      </c>
      <c r="F177" s="57">
        <f>D177*(($F$123)+1)+(IF(E177&lt;101,E177,IF(E177&lt;201,E177/2,IF(E177&lt;=301,E177/3,E177/4))))</f>
        <v>657.35748000000001</v>
      </c>
      <c r="G177" s="82" t="str">
        <f>A176</f>
        <v>14th Floor (Part Refuge Area)</v>
      </c>
      <c r="H177" s="84"/>
      <c r="I177" s="34"/>
      <c r="L177" s="76"/>
      <c r="M177" s="76"/>
      <c r="N177" s="34"/>
    </row>
    <row r="178" spans="1:14" s="61" customFormat="1" x14ac:dyDescent="0.35">
      <c r="A178" s="77">
        <f t="shared" ref="A178:A179" si="16">A177+1</f>
        <v>6</v>
      </c>
      <c r="B178" s="78"/>
      <c r="C178" s="77" t="s">
        <v>209</v>
      </c>
      <c r="D178" s="94"/>
      <c r="E178" s="94"/>
      <c r="F178" s="78"/>
      <c r="G178" s="82"/>
      <c r="H178" s="84"/>
      <c r="I178" s="34"/>
      <c r="L178" s="76"/>
      <c r="M178" s="76"/>
      <c r="N178" s="34"/>
    </row>
    <row r="179" spans="1:14" s="61" customFormat="1" x14ac:dyDescent="0.35">
      <c r="A179" s="77">
        <f t="shared" si="16"/>
        <v>7</v>
      </c>
      <c r="B179" s="78"/>
      <c r="C179" s="57" t="s">
        <v>206</v>
      </c>
      <c r="D179" s="63">
        <f>(52.54)*10.764</f>
        <v>565.54055999999991</v>
      </c>
      <c r="E179" s="57">
        <v>0</v>
      </c>
      <c r="F179" s="57">
        <f>D179*(($F$123)+1)+(IF(E179&lt;101,E179,IF(E179&lt;201,E179/2,IF(E179&lt;=301,E179/3,E179/4))))</f>
        <v>876.58786799999984</v>
      </c>
      <c r="G179" s="85"/>
      <c r="H179" s="87"/>
      <c r="I179" s="34"/>
      <c r="L179" s="76"/>
      <c r="M179" s="76"/>
      <c r="N179" s="34"/>
    </row>
    <row r="180" spans="1:14" s="61" customFormat="1" x14ac:dyDescent="0.35">
      <c r="A180" s="91" t="s">
        <v>213</v>
      </c>
      <c r="B180" s="92"/>
      <c r="C180" s="92"/>
      <c r="D180" s="92"/>
      <c r="E180" s="92"/>
      <c r="F180" s="92"/>
      <c r="G180" s="92"/>
      <c r="H180" s="93"/>
      <c r="J180" s="34"/>
    </row>
    <row r="181" spans="1:14" s="61" customFormat="1" x14ac:dyDescent="0.35">
      <c r="A181" s="77">
        <v>5</v>
      </c>
      <c r="B181" s="78"/>
      <c r="C181" s="57" t="s">
        <v>207</v>
      </c>
      <c r="D181" s="63">
        <f>(39.4)*10.764</f>
        <v>424.10159999999996</v>
      </c>
      <c r="E181" s="57">
        <v>0</v>
      </c>
      <c r="F181" s="57">
        <f>D181*(($F$123)+1)+(IF(E181&lt;101,E181,IF(E181&lt;201,E181/2,IF(E181&lt;=301,E181/3,E181/4))))</f>
        <v>657.35748000000001</v>
      </c>
      <c r="G181" s="82" t="str">
        <f>A180</f>
        <v>15th to 18th Floor</v>
      </c>
      <c r="H181" s="84"/>
      <c r="I181" s="34"/>
      <c r="J181" s="61">
        <f>9542000/F181</f>
        <v>14515.693956962352</v>
      </c>
      <c r="L181" s="76"/>
      <c r="M181" s="76"/>
      <c r="N181" s="34"/>
    </row>
    <row r="182" spans="1:14" s="61" customFormat="1" x14ac:dyDescent="0.35">
      <c r="A182" s="77">
        <f t="shared" ref="A182:A183" si="17">A181+1</f>
        <v>6</v>
      </c>
      <c r="B182" s="78"/>
      <c r="C182" s="57" t="s">
        <v>207</v>
      </c>
      <c r="D182" s="63">
        <f>(40.26)*10.764</f>
        <v>433.35863999999998</v>
      </c>
      <c r="E182" s="57">
        <v>0</v>
      </c>
      <c r="F182" s="57">
        <f>D182*(($F$123)+1)+(IF(E182&lt;101,E182,IF(E182&lt;201,E182/2,IF(E182&lt;=301,E182/3,E182/4))))</f>
        <v>671.70589199999995</v>
      </c>
      <c r="G182" s="82"/>
      <c r="H182" s="84"/>
      <c r="I182" s="34"/>
      <c r="L182" s="76"/>
      <c r="M182" s="76"/>
      <c r="N182" s="34"/>
    </row>
    <row r="183" spans="1:14" s="61" customFormat="1" x14ac:dyDescent="0.35">
      <c r="A183" s="77">
        <f t="shared" si="17"/>
        <v>7</v>
      </c>
      <c r="B183" s="78"/>
      <c r="C183" s="57" t="s">
        <v>207</v>
      </c>
      <c r="D183" s="63">
        <f>(35.89)*10.764</f>
        <v>386.31995999999998</v>
      </c>
      <c r="E183" s="57">
        <v>0</v>
      </c>
      <c r="F183" s="57">
        <f>D183*(($F$123)+1)+(IF(E183&lt;101,E183,IF(E183&lt;201,E183/2,IF(E183&lt;=301,E183/3,E183/4))))</f>
        <v>598.79593799999998</v>
      </c>
      <c r="G183" s="85"/>
      <c r="H183" s="87"/>
      <c r="I183" s="34"/>
      <c r="L183" s="76"/>
      <c r="M183" s="76"/>
      <c r="N183" s="34"/>
    </row>
    <row r="184" spans="1:14" s="61" customFormat="1" x14ac:dyDescent="0.35">
      <c r="A184" s="91" t="s">
        <v>214</v>
      </c>
      <c r="B184" s="92"/>
      <c r="C184" s="92"/>
      <c r="D184" s="92"/>
      <c r="E184" s="92"/>
      <c r="F184" s="92"/>
      <c r="G184" s="92"/>
      <c r="H184" s="93"/>
      <c r="J184" s="34"/>
    </row>
    <row r="185" spans="1:14" s="61" customFormat="1" x14ac:dyDescent="0.35">
      <c r="A185" s="77">
        <v>5</v>
      </c>
      <c r="B185" s="78"/>
      <c r="C185" s="85" t="s">
        <v>215</v>
      </c>
      <c r="D185" s="86"/>
      <c r="E185" s="86"/>
      <c r="F185" s="87"/>
      <c r="G185" s="82" t="str">
        <f>A184</f>
        <v xml:space="preserve">19th Floor </v>
      </c>
      <c r="H185" s="84"/>
      <c r="I185" s="34"/>
      <c r="L185" s="76"/>
      <c r="M185" s="76"/>
      <c r="N185" s="34"/>
    </row>
    <row r="186" spans="1:14" s="61" customFormat="1" x14ac:dyDescent="0.35">
      <c r="A186" s="77">
        <f t="shared" ref="A186:A187" si="18">A185+1</f>
        <v>6</v>
      </c>
      <c r="B186" s="78"/>
      <c r="C186" s="57" t="s">
        <v>207</v>
      </c>
      <c r="D186" s="63">
        <f>(40.26)*10.764</f>
        <v>433.35863999999998</v>
      </c>
      <c r="E186" s="57">
        <v>0</v>
      </c>
      <c r="F186" s="57">
        <f>D186*(($F$123)+1)+(IF(E186&lt;101,E186,IF(E186&lt;201,E186/2,IF(E186&lt;=301,E186/3,E186/4))))</f>
        <v>671.70589199999995</v>
      </c>
      <c r="G186" s="82"/>
      <c r="H186" s="84"/>
      <c r="I186" s="34"/>
      <c r="L186" s="76"/>
      <c r="M186" s="76"/>
      <c r="N186" s="34"/>
    </row>
    <row r="187" spans="1:14" s="61" customFormat="1" x14ac:dyDescent="0.35">
      <c r="A187" s="77">
        <f t="shared" si="18"/>
        <v>7</v>
      </c>
      <c r="B187" s="78"/>
      <c r="C187" s="57" t="s">
        <v>207</v>
      </c>
      <c r="D187" s="63">
        <f>(35.89)*10.764</f>
        <v>386.31995999999998</v>
      </c>
      <c r="E187" s="57">
        <v>0</v>
      </c>
      <c r="F187" s="57">
        <f>D187*(($F$123)+1)+(IF(E187&lt;101,E187,IF(E187&lt;201,E187/2,IF(E187&lt;=301,E187/3,E187/4))))</f>
        <v>598.79593799999998</v>
      </c>
      <c r="G187" s="85"/>
      <c r="H187" s="87"/>
      <c r="I187" s="34"/>
      <c r="L187" s="76"/>
      <c r="M187" s="76"/>
      <c r="N187" s="34"/>
    </row>
    <row r="188" spans="1:14" s="61" customFormat="1" x14ac:dyDescent="0.35">
      <c r="A188" s="111" t="s">
        <v>216</v>
      </c>
      <c r="B188" s="111"/>
      <c r="C188" s="111"/>
      <c r="D188" s="111"/>
      <c r="E188" s="111"/>
      <c r="F188" s="111"/>
      <c r="G188" s="111"/>
      <c r="H188" s="111"/>
      <c r="J188" s="34"/>
    </row>
    <row r="189" spans="1:14" s="61" customFormat="1" x14ac:dyDescent="0.35">
      <c r="A189" s="112">
        <v>5</v>
      </c>
      <c r="B189" s="112"/>
      <c r="C189" s="112" t="s">
        <v>215</v>
      </c>
      <c r="D189" s="112"/>
      <c r="E189" s="112"/>
      <c r="F189" s="112"/>
      <c r="G189" s="112" t="str">
        <f>A188</f>
        <v>20th Floor (Part Terrace Area)</v>
      </c>
      <c r="H189" s="112"/>
      <c r="I189" s="34"/>
      <c r="L189" s="76"/>
      <c r="M189" s="76"/>
      <c r="N189" s="34"/>
    </row>
    <row r="190" spans="1:14" s="61" customFormat="1" x14ac:dyDescent="0.35">
      <c r="A190" s="112">
        <v>6</v>
      </c>
      <c r="B190" s="112"/>
      <c r="C190" s="112" t="s">
        <v>217</v>
      </c>
      <c r="D190" s="112"/>
      <c r="E190" s="112"/>
      <c r="F190" s="112"/>
      <c r="G190" s="112"/>
      <c r="H190" s="112"/>
      <c r="I190" s="34"/>
      <c r="L190" s="76"/>
      <c r="M190" s="76"/>
      <c r="N190" s="34"/>
    </row>
    <row r="191" spans="1:14" s="61" customFormat="1" x14ac:dyDescent="0.35">
      <c r="A191" s="112">
        <f t="shared" ref="A191" si="19">A190+1</f>
        <v>7</v>
      </c>
      <c r="B191" s="112"/>
      <c r="C191" s="112"/>
      <c r="D191" s="112"/>
      <c r="E191" s="112"/>
      <c r="F191" s="112"/>
      <c r="G191" s="112"/>
      <c r="H191" s="112"/>
      <c r="I191" s="34"/>
      <c r="L191" s="76"/>
      <c r="M191" s="76"/>
      <c r="N191" s="34"/>
    </row>
    <row r="192" spans="1:14" s="33" customFormat="1" x14ac:dyDescent="0.35">
      <c r="A192" s="197" t="s">
        <v>69</v>
      </c>
      <c r="B192" s="197"/>
      <c r="C192" s="197"/>
      <c r="D192" s="197"/>
      <c r="E192" s="197"/>
      <c r="F192" s="197"/>
      <c r="G192" s="197"/>
      <c r="H192" s="197"/>
    </row>
    <row r="193" spans="1:8" s="33" customFormat="1" x14ac:dyDescent="0.35">
      <c r="A193" s="73" t="s">
        <v>158</v>
      </c>
      <c r="B193" s="144" t="s">
        <v>247</v>
      </c>
      <c r="C193" s="144"/>
      <c r="D193" s="144"/>
      <c r="E193" s="144"/>
      <c r="F193" s="144"/>
      <c r="G193" s="144"/>
      <c r="H193" s="144"/>
    </row>
    <row r="194" spans="1:8" s="33" customFormat="1" x14ac:dyDescent="0.35">
      <c r="A194" s="73" t="s">
        <v>158</v>
      </c>
      <c r="B194" s="144" t="str">
        <f>(IF(F122="Saleable area Loading :","We have considered Saleable area of Flats as per our Calculation.","We considered Saleable area of Flat as per Builder area Sheet."))</f>
        <v>We have considered Saleable area of Flats as per our Calculation.</v>
      </c>
      <c r="C194" s="144"/>
      <c r="D194" s="144"/>
      <c r="E194" s="144"/>
      <c r="F194" s="144"/>
      <c r="G194" s="144"/>
      <c r="H194" s="144"/>
    </row>
    <row r="195" spans="1:8" s="33" customFormat="1" x14ac:dyDescent="0.35">
      <c r="A195" s="73" t="s">
        <v>158</v>
      </c>
      <c r="B195" s="144" t="str">
        <f>(IF(F107="Saleable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5" s="144"/>
      <c r="D195" s="144"/>
      <c r="E195" s="144"/>
      <c r="F195" s="144"/>
      <c r="G195" s="144"/>
      <c r="H195" s="144"/>
    </row>
    <row r="196" spans="1:8" s="33" customFormat="1" x14ac:dyDescent="0.35">
      <c r="A196" s="73" t="s">
        <v>158</v>
      </c>
      <c r="B196" s="204" t="s">
        <v>128</v>
      </c>
      <c r="C196" s="204"/>
      <c r="D196" s="204"/>
      <c r="E196" s="204"/>
      <c r="F196" s="204"/>
      <c r="G196" s="204"/>
      <c r="H196" s="204"/>
    </row>
    <row r="197" spans="1:8" s="33" customFormat="1" x14ac:dyDescent="0.35">
      <c r="A197" s="73" t="s">
        <v>158</v>
      </c>
      <c r="B197" s="144" t="s">
        <v>218</v>
      </c>
      <c r="C197" s="144"/>
      <c r="D197" s="144"/>
      <c r="E197" s="144"/>
      <c r="F197" s="144"/>
      <c r="G197" s="144"/>
      <c r="H197" s="144"/>
    </row>
    <row r="198" spans="1:8" s="33" customFormat="1" x14ac:dyDescent="0.35">
      <c r="A198" s="73" t="s">
        <v>158</v>
      </c>
      <c r="B198" s="204" t="s">
        <v>157</v>
      </c>
      <c r="C198" s="204"/>
      <c r="D198" s="204"/>
      <c r="E198" s="204"/>
      <c r="F198" s="204"/>
      <c r="G198" s="204"/>
      <c r="H198" s="204"/>
    </row>
    <row r="199" spans="1:8" s="33" customFormat="1" x14ac:dyDescent="0.35">
      <c r="A199" s="73" t="s">
        <v>158</v>
      </c>
      <c r="B199" s="204" t="s">
        <v>129</v>
      </c>
      <c r="C199" s="204"/>
      <c r="D199" s="204"/>
      <c r="E199" s="204"/>
      <c r="F199" s="204"/>
      <c r="G199" s="204"/>
      <c r="H199" s="204"/>
    </row>
    <row r="200" spans="1:8" s="33" customFormat="1" ht="34.5" customHeight="1" x14ac:dyDescent="0.35">
      <c r="A200" s="73" t="s">
        <v>158</v>
      </c>
      <c r="B200" s="204" t="s">
        <v>159</v>
      </c>
      <c r="C200" s="204"/>
      <c r="D200" s="204"/>
      <c r="E200" s="204"/>
      <c r="F200" s="204"/>
      <c r="G200" s="204"/>
      <c r="H200" s="204"/>
    </row>
    <row r="201" spans="1:8" s="33" customFormat="1" x14ac:dyDescent="0.35">
      <c r="A201" s="43" t="s">
        <v>158</v>
      </c>
      <c r="B201" s="88" t="s">
        <v>130</v>
      </c>
      <c r="C201" s="89"/>
      <c r="D201" s="89"/>
      <c r="E201" s="89"/>
      <c r="F201" s="89"/>
      <c r="G201" s="89"/>
      <c r="H201" s="90"/>
    </row>
    <row r="202" spans="1:8" s="33" customFormat="1" x14ac:dyDescent="0.35">
      <c r="A202" s="62" t="s">
        <v>158</v>
      </c>
      <c r="B202" s="88" t="s">
        <v>229</v>
      </c>
      <c r="C202" s="89"/>
      <c r="D202" s="89"/>
      <c r="E202" s="89"/>
      <c r="F202" s="89"/>
      <c r="G202" s="89"/>
      <c r="H202" s="90"/>
    </row>
    <row r="203" spans="1:8" s="33" customFormat="1" ht="30.75" customHeight="1" x14ac:dyDescent="0.35">
      <c r="A203" s="58" t="s">
        <v>158</v>
      </c>
      <c r="B203" s="88" t="s">
        <v>239</v>
      </c>
      <c r="C203" s="89"/>
      <c r="D203" s="89"/>
      <c r="E203" s="89"/>
      <c r="F203" s="89"/>
      <c r="G203" s="89"/>
      <c r="H203" s="90"/>
    </row>
    <row r="204" spans="1:8" s="33" customFormat="1" x14ac:dyDescent="0.35">
      <c r="A204" s="70" t="s">
        <v>158</v>
      </c>
      <c r="B204" s="88" t="s">
        <v>240</v>
      </c>
      <c r="C204" s="89"/>
      <c r="D204" s="89"/>
      <c r="E204" s="89"/>
      <c r="F204" s="89"/>
      <c r="G204" s="89"/>
      <c r="H204" s="90"/>
    </row>
    <row r="205" spans="1:8" s="33" customFormat="1" x14ac:dyDescent="0.35">
      <c r="A205" s="71" t="s">
        <v>158</v>
      </c>
      <c r="B205" s="88" t="s">
        <v>243</v>
      </c>
      <c r="C205" s="89"/>
      <c r="D205" s="89"/>
      <c r="E205" s="89"/>
      <c r="F205" s="89"/>
      <c r="G205" s="89"/>
      <c r="H205" s="90"/>
    </row>
    <row r="206" spans="1:8" x14ac:dyDescent="0.35">
      <c r="A206" s="130" t="s">
        <v>62</v>
      </c>
      <c r="B206" s="130"/>
      <c r="C206" s="130"/>
      <c r="D206" s="130"/>
      <c r="E206" s="130"/>
      <c r="F206" s="130"/>
      <c r="G206" s="130"/>
      <c r="H206" s="130"/>
    </row>
    <row r="207" spans="1:8" x14ac:dyDescent="0.35">
      <c r="A207" s="95" t="s">
        <v>63</v>
      </c>
      <c r="B207" s="95"/>
      <c r="C207" s="95"/>
      <c r="D207" s="95"/>
      <c r="E207" s="95"/>
      <c r="F207" s="95"/>
      <c r="G207" s="95"/>
      <c r="H207" s="95"/>
    </row>
    <row r="208" spans="1:8" ht="15.75" customHeight="1" x14ac:dyDescent="0.35">
      <c r="A208" s="96" t="s">
        <v>64</v>
      </c>
      <c r="B208" s="96"/>
      <c r="C208" s="96"/>
      <c r="D208" s="96"/>
      <c r="E208" s="96"/>
      <c r="F208" s="96"/>
      <c r="G208" s="96"/>
      <c r="H208" s="96"/>
    </row>
    <row r="209" spans="1:8" x14ac:dyDescent="0.35">
      <c r="A209" s="95" t="s">
        <v>65</v>
      </c>
      <c r="B209" s="95"/>
      <c r="C209" s="95"/>
      <c r="D209" s="95"/>
      <c r="E209" s="95"/>
      <c r="F209" s="95"/>
      <c r="G209" s="95"/>
      <c r="H209" s="95"/>
    </row>
    <row r="210" spans="1:8" x14ac:dyDescent="0.35">
      <c r="A210" s="95" t="s">
        <v>66</v>
      </c>
      <c r="B210" s="95"/>
      <c r="C210" s="95"/>
      <c r="D210" s="95"/>
      <c r="E210" s="95"/>
      <c r="F210" s="95"/>
      <c r="G210" s="95"/>
      <c r="H210" s="95"/>
    </row>
    <row r="211" spans="1:8" x14ac:dyDescent="0.35">
      <c r="A211" s="95" t="s">
        <v>131</v>
      </c>
      <c r="B211" s="95"/>
      <c r="C211" s="95"/>
      <c r="D211" s="95"/>
      <c r="E211" s="95"/>
      <c r="F211" s="95"/>
      <c r="G211" s="95"/>
      <c r="H211" s="95"/>
    </row>
    <row r="212" spans="1:8" x14ac:dyDescent="0.35">
      <c r="A212" s="131" t="s">
        <v>132</v>
      </c>
      <c r="B212" s="131"/>
      <c r="C212" s="131"/>
      <c r="D212" s="131"/>
      <c r="E212" s="131"/>
      <c r="F212" s="131"/>
      <c r="G212" s="131"/>
      <c r="H212" s="131"/>
    </row>
    <row r="213" spans="1:8" x14ac:dyDescent="0.35">
      <c r="A213" s="140" t="s">
        <v>79</v>
      </c>
      <c r="B213" s="140"/>
      <c r="C213" s="140" t="s">
        <v>250</v>
      </c>
      <c r="D213" s="140"/>
      <c r="E213" s="140" t="s">
        <v>109</v>
      </c>
      <c r="F213" s="140"/>
      <c r="G213" s="140" t="s">
        <v>248</v>
      </c>
      <c r="H213" s="140"/>
    </row>
    <row r="214" spans="1:8" x14ac:dyDescent="0.35">
      <c r="A214" s="139" t="s">
        <v>81</v>
      </c>
      <c r="B214" s="139"/>
      <c r="C214" s="139"/>
      <c r="D214" s="139"/>
      <c r="E214" s="139"/>
      <c r="F214" s="139"/>
      <c r="G214" s="139"/>
      <c r="H214" s="139"/>
    </row>
    <row r="215" spans="1:8" x14ac:dyDescent="0.35">
      <c r="A215" s="139"/>
      <c r="B215" s="139"/>
      <c r="C215" s="139"/>
      <c r="D215" s="139"/>
      <c r="E215" s="139"/>
      <c r="F215" s="139"/>
      <c r="G215" s="139"/>
      <c r="H215" s="139"/>
    </row>
    <row r="216" spans="1:8" x14ac:dyDescent="0.35">
      <c r="A216" s="139"/>
      <c r="B216" s="139"/>
      <c r="C216" s="139"/>
      <c r="D216" s="139"/>
      <c r="E216" s="139"/>
      <c r="F216" s="139"/>
      <c r="G216" s="139"/>
      <c r="H216" s="139"/>
    </row>
    <row r="217" spans="1:8" x14ac:dyDescent="0.35">
      <c r="A217" s="139"/>
      <c r="B217" s="139"/>
      <c r="C217" s="139"/>
      <c r="D217" s="139"/>
      <c r="E217" s="139"/>
      <c r="F217" s="139"/>
      <c r="G217" s="139"/>
      <c r="H217" s="139"/>
    </row>
    <row r="218" spans="1:8" x14ac:dyDescent="0.35">
      <c r="A218" s="36" t="s">
        <v>67</v>
      </c>
      <c r="B218" s="37"/>
      <c r="C218" s="37"/>
      <c r="D218" s="36" t="str">
        <f>E8</f>
        <v>Rajendra Nagar Swagat CHSL</v>
      </c>
      <c r="F218" s="37"/>
      <c r="G218" s="37"/>
      <c r="H218" s="37"/>
    </row>
    <row r="219" spans="1:8" x14ac:dyDescent="0.35">
      <c r="A219" s="37"/>
      <c r="B219" s="37"/>
      <c r="C219" s="37"/>
      <c r="D219" s="37"/>
      <c r="E219" s="37"/>
      <c r="F219" s="37"/>
      <c r="G219" s="37"/>
      <c r="H219" s="37"/>
    </row>
    <row r="220" spans="1:8" x14ac:dyDescent="0.35">
      <c r="A220" s="37"/>
      <c r="B220" s="37"/>
      <c r="C220" s="37"/>
      <c r="D220" s="37"/>
      <c r="E220" s="37"/>
      <c r="F220" s="37"/>
      <c r="G220" s="37"/>
      <c r="H220" s="37"/>
    </row>
    <row r="221" spans="1:8" ht="15" customHeight="1" x14ac:dyDescent="0.35"/>
    <row r="260" spans="1:1" x14ac:dyDescent="0.35">
      <c r="A260" s="39" t="s">
        <v>171</v>
      </c>
    </row>
    <row r="302" spans="1:1" x14ac:dyDescent="0.35">
      <c r="A302" s="39" t="s">
        <v>68</v>
      </c>
    </row>
  </sheetData>
  <mergeCells count="427">
    <mergeCell ref="B205:H205"/>
    <mergeCell ref="B202:H202"/>
    <mergeCell ref="A188:H188"/>
    <mergeCell ref="G189:H191"/>
    <mergeCell ref="A189:B189"/>
    <mergeCell ref="C189:F189"/>
    <mergeCell ref="L189:M189"/>
    <mergeCell ref="A190:B190"/>
    <mergeCell ref="C190:F191"/>
    <mergeCell ref="L190:M190"/>
    <mergeCell ref="A191:B191"/>
    <mergeCell ref="L191:M191"/>
    <mergeCell ref="B193:H193"/>
    <mergeCell ref="B194:H194"/>
    <mergeCell ref="B198:H198"/>
    <mergeCell ref="A192:H192"/>
    <mergeCell ref="B197:H197"/>
    <mergeCell ref="B200:H200"/>
    <mergeCell ref="B204:H204"/>
    <mergeCell ref="A180:H180"/>
    <mergeCell ref="G181:H183"/>
    <mergeCell ref="A181:B181"/>
    <mergeCell ref="L181:M181"/>
    <mergeCell ref="A182:B182"/>
    <mergeCell ref="L182:M182"/>
    <mergeCell ref="A183:B183"/>
    <mergeCell ref="L183:M183"/>
    <mergeCell ref="A176:H176"/>
    <mergeCell ref="G177:H179"/>
    <mergeCell ref="A177:B177"/>
    <mergeCell ref="L177:M177"/>
    <mergeCell ref="A178:B178"/>
    <mergeCell ref="L137:M137"/>
    <mergeCell ref="A138:B138"/>
    <mergeCell ref="L138:M138"/>
    <mergeCell ref="A139:B139"/>
    <mergeCell ref="L139:M139"/>
    <mergeCell ref="A140:B140"/>
    <mergeCell ref="L140:M140"/>
    <mergeCell ref="A161:H161"/>
    <mergeCell ref="A162:H162"/>
    <mergeCell ref="L142:M142"/>
    <mergeCell ref="A143:B143"/>
    <mergeCell ref="C143:F143"/>
    <mergeCell ref="L143:M143"/>
    <mergeCell ref="A144:B144"/>
    <mergeCell ref="L144:M144"/>
    <mergeCell ref="A145:B145"/>
    <mergeCell ref="L145:M145"/>
    <mergeCell ref="A146:H146"/>
    <mergeCell ref="L147:M147"/>
    <mergeCell ref="A148:B148"/>
    <mergeCell ref="L148:M148"/>
    <mergeCell ref="A149:B149"/>
    <mergeCell ref="L149:M149"/>
    <mergeCell ref="A150:B150"/>
    <mergeCell ref="A91:E91"/>
    <mergeCell ref="C97:D97"/>
    <mergeCell ref="C103:D103"/>
    <mergeCell ref="L132:M132"/>
    <mergeCell ref="A133:B133"/>
    <mergeCell ref="L133:M133"/>
    <mergeCell ref="A134:B134"/>
    <mergeCell ref="L134:M134"/>
    <mergeCell ref="A135:B135"/>
    <mergeCell ref="L135:M135"/>
    <mergeCell ref="L117:M117"/>
    <mergeCell ref="A124:H124"/>
    <mergeCell ref="A125:H125"/>
    <mergeCell ref="G127:H130"/>
    <mergeCell ref="L130:M130"/>
    <mergeCell ref="L127:M127"/>
    <mergeCell ref="A128:B128"/>
    <mergeCell ref="C133:F133"/>
    <mergeCell ref="L128:M128"/>
    <mergeCell ref="A129:B129"/>
    <mergeCell ref="A102:B102"/>
    <mergeCell ref="C102:D102"/>
    <mergeCell ref="E102:F102"/>
    <mergeCell ref="G102:H102"/>
    <mergeCell ref="L114:M114"/>
    <mergeCell ref="L113:M113"/>
    <mergeCell ref="L112:M112"/>
    <mergeCell ref="L111:M111"/>
    <mergeCell ref="A114:B114"/>
    <mergeCell ref="A111:B111"/>
    <mergeCell ref="A112:B112"/>
    <mergeCell ref="A113:B113"/>
    <mergeCell ref="A107:A108"/>
    <mergeCell ref="L129:M129"/>
    <mergeCell ref="A127:B127"/>
    <mergeCell ref="A126:H126"/>
    <mergeCell ref="A130:B130"/>
    <mergeCell ref="L115:M115"/>
    <mergeCell ref="A116:B116"/>
    <mergeCell ref="L116:M116"/>
    <mergeCell ref="L118:M118"/>
    <mergeCell ref="L120:M120"/>
    <mergeCell ref="F84:H84"/>
    <mergeCell ref="A109:H109"/>
    <mergeCell ref="F81:H81"/>
    <mergeCell ref="F86:H86"/>
    <mergeCell ref="A121:H121"/>
    <mergeCell ref="A122:A123"/>
    <mergeCell ref="A92:E92"/>
    <mergeCell ref="G103:H103"/>
    <mergeCell ref="A98:B98"/>
    <mergeCell ref="C98:D98"/>
    <mergeCell ref="E98:F98"/>
    <mergeCell ref="G98:H98"/>
    <mergeCell ref="A89:E89"/>
    <mergeCell ref="A84:E84"/>
    <mergeCell ref="A81:E81"/>
    <mergeCell ref="F85:H85"/>
    <mergeCell ref="C107:C108"/>
    <mergeCell ref="B122:B123"/>
    <mergeCell ref="A87:E87"/>
    <mergeCell ref="F87:H87"/>
    <mergeCell ref="A88:E88"/>
    <mergeCell ref="A90:E90"/>
    <mergeCell ref="E97:F97"/>
    <mergeCell ref="B107:B108"/>
    <mergeCell ref="F33:H33"/>
    <mergeCell ref="F34:H34"/>
    <mergeCell ref="A40:H40"/>
    <mergeCell ref="A60:C60"/>
    <mergeCell ref="D60:H60"/>
    <mergeCell ref="A38:B38"/>
    <mergeCell ref="C38:H38"/>
    <mergeCell ref="A45:D45"/>
    <mergeCell ref="A39:B39"/>
    <mergeCell ref="C39:H39"/>
    <mergeCell ref="A48:B48"/>
    <mergeCell ref="C48:H48"/>
    <mergeCell ref="C51:E51"/>
    <mergeCell ref="G51:H51"/>
    <mergeCell ref="F36:H36"/>
    <mergeCell ref="A46:D46"/>
    <mergeCell ref="A47:H47"/>
    <mergeCell ref="D58:H58"/>
    <mergeCell ref="A58:C58"/>
    <mergeCell ref="G50:H50"/>
    <mergeCell ref="A52:B53"/>
    <mergeCell ref="E42:H42"/>
    <mergeCell ref="A42:D42"/>
    <mergeCell ref="A37:H37"/>
    <mergeCell ref="A36:B36"/>
    <mergeCell ref="C36:E36"/>
    <mergeCell ref="A41:D41"/>
    <mergeCell ref="E41:H41"/>
    <mergeCell ref="G54:H54"/>
    <mergeCell ref="A51:B51"/>
    <mergeCell ref="C69:H69"/>
    <mergeCell ref="A72:B72"/>
    <mergeCell ref="A78:B78"/>
    <mergeCell ref="A67:B67"/>
    <mergeCell ref="C67:H67"/>
    <mergeCell ref="A75:B75"/>
    <mergeCell ref="A71:B71"/>
    <mergeCell ref="G70:H70"/>
    <mergeCell ref="E71:F80"/>
    <mergeCell ref="G71:H80"/>
    <mergeCell ref="A49:B49"/>
    <mergeCell ref="C49:E49"/>
    <mergeCell ref="C53:E53"/>
    <mergeCell ref="G53:H53"/>
    <mergeCell ref="G49:H49"/>
    <mergeCell ref="G52:H52"/>
    <mergeCell ref="D56:H56"/>
    <mergeCell ref="C52:E52"/>
    <mergeCell ref="A80:B80"/>
    <mergeCell ref="A74:B74"/>
    <mergeCell ref="E70:F70"/>
    <mergeCell ref="D61:H61"/>
    <mergeCell ref="A43:D43"/>
    <mergeCell ref="E43:H43"/>
    <mergeCell ref="E44:H44"/>
    <mergeCell ref="E45:H45"/>
    <mergeCell ref="E46:H46"/>
    <mergeCell ref="A44:D44"/>
    <mergeCell ref="A61:C61"/>
    <mergeCell ref="A62:C62"/>
    <mergeCell ref="D62:H62"/>
    <mergeCell ref="A63:C63"/>
    <mergeCell ref="D63:H63"/>
    <mergeCell ref="A66:C66"/>
    <mergeCell ref="D66:H66"/>
    <mergeCell ref="A64:C64"/>
    <mergeCell ref="D64:H64"/>
    <mergeCell ref="A65:C65"/>
    <mergeCell ref="D65:H65"/>
    <mergeCell ref="A70:B70"/>
    <mergeCell ref="A73:B73"/>
    <mergeCell ref="A69:B69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214:H217"/>
    <mergeCell ref="A213:B213"/>
    <mergeCell ref="E213:F213"/>
    <mergeCell ref="C213:D213"/>
    <mergeCell ref="G213:H213"/>
    <mergeCell ref="A95:H95"/>
    <mergeCell ref="A93:E93"/>
    <mergeCell ref="F93:H93"/>
    <mergeCell ref="A94:E94"/>
    <mergeCell ref="F94:H94"/>
    <mergeCell ref="A101:B101"/>
    <mergeCell ref="A97:B97"/>
    <mergeCell ref="A209:H209"/>
    <mergeCell ref="A99:H99"/>
    <mergeCell ref="A212:H212"/>
    <mergeCell ref="A210:H210"/>
    <mergeCell ref="A206:H206"/>
    <mergeCell ref="A207:H207"/>
    <mergeCell ref="E100:F100"/>
    <mergeCell ref="B201:H201"/>
    <mergeCell ref="B199:H199"/>
    <mergeCell ref="B195:H195"/>
    <mergeCell ref="C100:D100"/>
    <mergeCell ref="G100:H100"/>
    <mergeCell ref="A131:H131"/>
    <mergeCell ref="A132:B132"/>
    <mergeCell ref="G132:H135"/>
    <mergeCell ref="A104:B104"/>
    <mergeCell ref="C104:D104"/>
    <mergeCell ref="E104:F104"/>
    <mergeCell ref="G104:H104"/>
    <mergeCell ref="A118:B118"/>
    <mergeCell ref="A115:B115"/>
    <mergeCell ref="A117:B117"/>
    <mergeCell ref="G111:H118"/>
    <mergeCell ref="A119:H119"/>
    <mergeCell ref="A120:B120"/>
    <mergeCell ref="G120:H120"/>
    <mergeCell ref="C122:C123"/>
    <mergeCell ref="A59:C59"/>
    <mergeCell ref="D59:H59"/>
    <mergeCell ref="C50:E50"/>
    <mergeCell ref="A54:B54"/>
    <mergeCell ref="C54:E54"/>
    <mergeCell ref="A50:B50"/>
    <mergeCell ref="A55:H55"/>
    <mergeCell ref="A56:C56"/>
    <mergeCell ref="A57:C57"/>
    <mergeCell ref="D57:H57"/>
    <mergeCell ref="A147:B147"/>
    <mergeCell ref="G147:H150"/>
    <mergeCell ref="B203:H203"/>
    <mergeCell ref="A156:H156"/>
    <mergeCell ref="A157:B157"/>
    <mergeCell ref="G157:H160"/>
    <mergeCell ref="A174:B174"/>
    <mergeCell ref="A175:B175"/>
    <mergeCell ref="A96:B96"/>
    <mergeCell ref="A136:H136"/>
    <mergeCell ref="A137:B137"/>
    <mergeCell ref="G137:H140"/>
    <mergeCell ref="C101:D101"/>
    <mergeCell ref="E101:F101"/>
    <mergeCell ref="G101:H101"/>
    <mergeCell ref="A110:H110"/>
    <mergeCell ref="E107:E108"/>
    <mergeCell ref="G107:H108"/>
    <mergeCell ref="A103:B103"/>
    <mergeCell ref="E103:F103"/>
    <mergeCell ref="D107:D108"/>
    <mergeCell ref="A105:H105"/>
    <mergeCell ref="C96:D96"/>
    <mergeCell ref="A106:H106"/>
    <mergeCell ref="A100:B100"/>
    <mergeCell ref="D122:D123"/>
    <mergeCell ref="E122:E123"/>
    <mergeCell ref="G122:H123"/>
    <mergeCell ref="A76:B76"/>
    <mergeCell ref="F82:H82"/>
    <mergeCell ref="G97:H97"/>
    <mergeCell ref="A141:H141"/>
    <mergeCell ref="A142:B142"/>
    <mergeCell ref="G142:H145"/>
    <mergeCell ref="F91:H91"/>
    <mergeCell ref="E96:F96"/>
    <mergeCell ref="A77:B77"/>
    <mergeCell ref="A79:B79"/>
    <mergeCell ref="F88:H88"/>
    <mergeCell ref="A82:E82"/>
    <mergeCell ref="A86:E86"/>
    <mergeCell ref="F83:H83"/>
    <mergeCell ref="A83:E83"/>
    <mergeCell ref="A85:E85"/>
    <mergeCell ref="F89:H89"/>
    <mergeCell ref="F92:H92"/>
    <mergeCell ref="F90:H90"/>
    <mergeCell ref="G96:H96"/>
    <mergeCell ref="A166:B166"/>
    <mergeCell ref="L169:M169"/>
    <mergeCell ref="A170:B170"/>
    <mergeCell ref="C170:F170"/>
    <mergeCell ref="L170:M170"/>
    <mergeCell ref="A171:B171"/>
    <mergeCell ref="L171:M171"/>
    <mergeCell ref="A211:H211"/>
    <mergeCell ref="A208:H208"/>
    <mergeCell ref="C178:F178"/>
    <mergeCell ref="L178:M178"/>
    <mergeCell ref="A179:B179"/>
    <mergeCell ref="L179:M179"/>
    <mergeCell ref="L174:M174"/>
    <mergeCell ref="L175:M175"/>
    <mergeCell ref="A184:H184"/>
    <mergeCell ref="G185:H187"/>
    <mergeCell ref="C185:F185"/>
    <mergeCell ref="A185:B185"/>
    <mergeCell ref="L185:M185"/>
    <mergeCell ref="A186:B186"/>
    <mergeCell ref="L186:M186"/>
    <mergeCell ref="A187:B187"/>
    <mergeCell ref="L187:M187"/>
    <mergeCell ref="L150:M150"/>
    <mergeCell ref="G152:H155"/>
    <mergeCell ref="L152:M152"/>
    <mergeCell ref="A153:B153"/>
    <mergeCell ref="L153:M153"/>
    <mergeCell ref="A154:B154"/>
    <mergeCell ref="L154:M154"/>
    <mergeCell ref="A155:B155"/>
    <mergeCell ref="L155:M155"/>
    <mergeCell ref="C155:F155"/>
    <mergeCell ref="A151:H151"/>
    <mergeCell ref="A152:B152"/>
    <mergeCell ref="L157:M157"/>
    <mergeCell ref="A158:B158"/>
    <mergeCell ref="L158:M158"/>
    <mergeCell ref="A159:B159"/>
    <mergeCell ref="L159:M159"/>
    <mergeCell ref="A160:B160"/>
    <mergeCell ref="L160:M160"/>
    <mergeCell ref="C157:F160"/>
    <mergeCell ref="B196:H196"/>
    <mergeCell ref="L165:M165"/>
    <mergeCell ref="L166:M166"/>
    <mergeCell ref="A167:B167"/>
    <mergeCell ref="L167:M167"/>
    <mergeCell ref="A172:H172"/>
    <mergeCell ref="G173:H175"/>
    <mergeCell ref="A173:B173"/>
    <mergeCell ref="L173:M173"/>
    <mergeCell ref="A168:H168"/>
    <mergeCell ref="G169:H171"/>
    <mergeCell ref="A169:B169"/>
    <mergeCell ref="A163:H163"/>
    <mergeCell ref="A164:H164"/>
    <mergeCell ref="G165:H167"/>
    <mergeCell ref="A165:B165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91" max="16383" man="1"/>
    <brk id="217" max="16383" man="1"/>
    <brk id="259" max="16383" man="1"/>
    <brk id="30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40" zoomScale="85" zoomScaleNormal="85" workbookViewId="0">
      <selection activeCell="B65" sqref="B65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8" t="s">
        <v>110</v>
      </c>
      <c r="C3" s="198"/>
      <c r="D3" s="198"/>
      <c r="E3" s="198"/>
      <c r="F3" s="198"/>
      <c r="G3" s="198"/>
      <c r="H3" s="198"/>
    </row>
    <row r="4" spans="1:9" x14ac:dyDescent="0.35">
      <c r="A4" s="2"/>
      <c r="B4" s="3" t="s">
        <v>111</v>
      </c>
      <c r="C4" s="3" t="s">
        <v>112</v>
      </c>
      <c r="D4" s="3" t="s">
        <v>70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2025-07-12T17:40:01Z</cp:lastPrinted>
  <dcterms:created xsi:type="dcterms:W3CDTF">2019-07-16T09:29:46Z</dcterms:created>
  <dcterms:modified xsi:type="dcterms:W3CDTF">2025-07-12T17:40:44Z</dcterms:modified>
</cp:coreProperties>
</file>