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C67" i="1"/>
  <c r="B68" i="1"/>
  <c r="H68" i="1"/>
  <c r="E71" i="1" l="1"/>
  <c r="D65" i="1" s="1"/>
  <c r="J67" i="1"/>
  <c r="J69" i="1" s="1"/>
  <c r="J70" i="1"/>
  <c r="J71" i="1"/>
  <c r="D72" i="1"/>
  <c r="J72" i="1"/>
  <c r="C71" i="1" s="1"/>
  <c r="D73" i="1"/>
  <c r="J73" i="1"/>
  <c r="J74" i="1" s="1"/>
  <c r="J79" i="1" s="1"/>
  <c r="J80" i="1" s="1"/>
  <c r="D74" i="1"/>
  <c r="D75" i="1"/>
  <c r="J75" i="1"/>
  <c r="D76" i="1"/>
  <c r="J76" i="1"/>
  <c r="D77" i="1"/>
  <c r="J77" i="1"/>
  <c r="D78" i="1"/>
  <c r="J78" i="1"/>
  <c r="D79" i="1"/>
  <c r="D80" i="1"/>
  <c r="D71" i="1" l="1"/>
  <c r="I68" i="1" s="1"/>
  <c r="I69" i="1" s="1"/>
  <c r="G71" i="1"/>
  <c r="I117" i="1"/>
  <c r="J68" i="1" l="1"/>
  <c r="I67" i="1" s="1"/>
  <c r="C69" i="1" s="1"/>
  <c r="D165" i="1"/>
  <c r="D166" i="1"/>
  <c r="D167" i="1"/>
  <c r="D164" i="1"/>
  <c r="F164" i="1" s="1"/>
  <c r="J165" i="1" s="1"/>
  <c r="E200" i="1"/>
  <c r="E199" i="1"/>
  <c r="E198" i="1"/>
  <c r="E169" i="1"/>
  <c r="E168" i="1"/>
  <c r="I118" i="1"/>
  <c r="D195" i="1"/>
  <c r="D194" i="1"/>
  <c r="F194" i="1" s="1"/>
  <c r="K197" i="1" s="1"/>
  <c r="D193" i="1"/>
  <c r="F193" i="1" s="1"/>
  <c r="D192" i="1"/>
  <c r="F192" i="1" s="1"/>
  <c r="D191" i="1"/>
  <c r="F191" i="1" s="1"/>
  <c r="D220" i="1"/>
  <c r="F220" i="1" s="1"/>
  <c r="D219" i="1"/>
  <c r="F219" i="1" s="1"/>
  <c r="D218" i="1"/>
  <c r="F218" i="1" s="1"/>
  <c r="D217" i="1"/>
  <c r="F217" i="1" s="1"/>
  <c r="D216" i="1"/>
  <c r="F216" i="1" s="1"/>
  <c r="D214" i="1"/>
  <c r="F214" i="1" s="1"/>
  <c r="D212" i="1"/>
  <c r="I212" i="1" s="1"/>
  <c r="D211" i="1"/>
  <c r="F211" i="1" s="1"/>
  <c r="D210" i="1"/>
  <c r="F210" i="1" s="1"/>
  <c r="D209" i="1"/>
  <c r="F209" i="1" s="1"/>
  <c r="D189" i="1"/>
  <c r="F189" i="1" s="1"/>
  <c r="D188" i="1"/>
  <c r="F188" i="1" s="1"/>
  <c r="D187" i="1"/>
  <c r="F187" i="1" s="1"/>
  <c r="D186" i="1"/>
  <c r="F186" i="1" s="1"/>
  <c r="D185" i="1"/>
  <c r="D184" i="1"/>
  <c r="D183" i="1"/>
  <c r="D182" i="1"/>
  <c r="D181" i="1"/>
  <c r="F195" i="1"/>
  <c r="G191" i="1"/>
  <c r="G209" i="1"/>
  <c r="G216" i="1"/>
  <c r="D200" i="1"/>
  <c r="I200" i="1" s="1"/>
  <c r="D199" i="1"/>
  <c r="I199" i="1" s="1"/>
  <c r="D198" i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169" i="1"/>
  <c r="D168" i="1"/>
  <c r="D179" i="1"/>
  <c r="F179" i="1" s="1"/>
  <c r="D178" i="1"/>
  <c r="F178" i="1" s="1"/>
  <c r="J166" i="1" s="1"/>
  <c r="D177" i="1"/>
  <c r="F177" i="1" s="1"/>
  <c r="D176" i="1"/>
  <c r="F176" i="1" s="1"/>
  <c r="D175" i="1"/>
  <c r="D174" i="1"/>
  <c r="D173" i="1"/>
  <c r="D172" i="1"/>
  <c r="D171" i="1"/>
  <c r="G202" i="1"/>
  <c r="A199" i="1"/>
  <c r="A200" i="1" s="1"/>
  <c r="G198" i="1"/>
  <c r="D158" i="1"/>
  <c r="D157" i="1"/>
  <c r="D156" i="1"/>
  <c r="D155" i="1"/>
  <c r="G155" i="1"/>
  <c r="E158" i="1"/>
  <c r="E157" i="1"/>
  <c r="E156" i="1"/>
  <c r="E155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D146" i="1"/>
  <c r="F146" i="1" s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C50" i="1"/>
  <c r="E7" i="1"/>
  <c r="F169" i="1" l="1"/>
  <c r="F168" i="1"/>
  <c r="E117" i="1"/>
  <c r="E112" i="1"/>
  <c r="C116" i="1"/>
  <c r="I164" i="1"/>
  <c r="C117" i="1"/>
  <c r="E116" i="1"/>
  <c r="F212" i="1"/>
  <c r="E111" i="1"/>
  <c r="J199" i="1"/>
  <c r="C111" i="1"/>
  <c r="C112" i="1"/>
  <c r="J167" i="1"/>
  <c r="F200" i="1"/>
  <c r="F199" i="1"/>
  <c r="F198" i="1"/>
  <c r="F132" i="1"/>
  <c r="F158" i="1"/>
  <c r="F157" i="1"/>
  <c r="F156" i="1"/>
  <c r="F155" i="1"/>
  <c r="F150" i="1"/>
  <c r="F153" i="1"/>
  <c r="F141" i="1"/>
  <c r="F152" i="1"/>
  <c r="F151" i="1"/>
  <c r="F149" i="1"/>
  <c r="F148" i="1"/>
  <c r="F147" i="1"/>
  <c r="F145" i="1"/>
  <c r="F144" i="1"/>
  <c r="F143" i="1"/>
  <c r="F142" i="1"/>
  <c r="F138" i="1"/>
  <c r="F130" i="1"/>
  <c r="F140" i="1"/>
  <c r="F139" i="1"/>
  <c r="F137" i="1"/>
  <c r="F136" i="1"/>
  <c r="F135" i="1"/>
  <c r="F134" i="1"/>
  <c r="F133" i="1"/>
  <c r="F131" i="1"/>
  <c r="F126" i="1"/>
  <c r="C118" i="1" l="1"/>
  <c r="C113" i="1"/>
  <c r="E118" i="1"/>
  <c r="E113" i="1"/>
  <c r="G117" i="1"/>
  <c r="G112" i="1"/>
  <c r="E43" i="1"/>
  <c r="E44" i="1" s="1"/>
  <c r="C119" i="1" l="1"/>
  <c r="E119" i="1"/>
  <c r="C15" i="1"/>
  <c r="E30" i="1" l="1"/>
  <c r="F165" i="1" l="1"/>
  <c r="F166" i="1"/>
  <c r="F167" i="1"/>
  <c r="A165" i="1"/>
  <c r="A166" i="1" s="1"/>
  <c r="A167" i="1" s="1"/>
  <c r="A169" i="1" s="1"/>
  <c r="G164" i="1"/>
  <c r="F108" i="1" l="1"/>
  <c r="F127" i="1" l="1"/>
  <c r="F128" i="1"/>
  <c r="F129" i="1"/>
  <c r="G111" i="1" l="1"/>
  <c r="G113" i="1" s="1"/>
  <c r="B223" i="1"/>
  <c r="F185" i="1" l="1"/>
  <c r="F184" i="1"/>
  <c r="F183" i="1"/>
  <c r="F182" i="1"/>
  <c r="F181" i="1"/>
  <c r="F175" i="1"/>
  <c r="F174" i="1"/>
  <c r="F172" i="1"/>
  <c r="F171" i="1"/>
  <c r="F173" i="1"/>
  <c r="G116" i="1" l="1"/>
  <c r="G118" i="1" s="1"/>
  <c r="G119" i="1" s="1"/>
  <c r="B22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4" i="1"/>
  <c r="G181" i="1"/>
  <c r="G189" i="1" s="1"/>
  <c r="G171" i="1"/>
  <c r="G126" i="1"/>
  <c r="D55" i="1"/>
  <c r="E27" i="1"/>
  <c r="E25" i="1"/>
  <c r="E3" i="1"/>
  <c r="D61" i="1" l="1"/>
  <c r="B82" i="1" l="1"/>
  <c r="H82" i="1"/>
  <c r="J85" i="1" l="1"/>
  <c r="D93" i="1"/>
  <c r="D89" i="1"/>
  <c r="E85" i="1"/>
  <c r="D92" i="1"/>
  <c r="D88" i="1"/>
  <c r="D91" i="1"/>
  <c r="D87" i="1"/>
  <c r="J84" i="1"/>
  <c r="J81" i="1"/>
  <c r="J83" i="1" s="1"/>
  <c r="J86" i="1"/>
  <c r="C85" i="1" s="1"/>
  <c r="D85" i="1" s="1"/>
  <c r="D94" i="1"/>
  <c r="D90" i="1"/>
  <c r="D86" i="1"/>
  <c r="J89" i="1"/>
  <c r="J92" i="1"/>
  <c r="J87" i="1"/>
  <c r="J88" i="1" s="1"/>
  <c r="J93" i="1" s="1"/>
  <c r="J94" i="1" s="1"/>
  <c r="J90" i="1"/>
  <c r="J91" i="1"/>
  <c r="D66" i="1"/>
  <c r="I82" i="1" l="1"/>
  <c r="I83" i="1" s="1"/>
  <c r="G85" i="1"/>
  <c r="J82" i="1"/>
  <c r="F66" i="1"/>
  <c r="I81" i="1" l="1"/>
  <c r="C83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<sst xmlns="http://schemas.openxmlformats.org/spreadsheetml/2006/main" count="398" uniqueCount="236">
  <si>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</si>
  <si>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</si>
  <si>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</si>
  <si>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</si>
  <si>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</si>
  <si>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</si>
  <si>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</si>
  <si>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</si>
  <si>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</si>
  <si>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</si>
  <si>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</si>
  <si>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</si>
  <si>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</si>
  <si>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</si>
  <si>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</si>
  <si>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</si>
  <si>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</si>
  <si>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</si>
  <si>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</si>
  <si>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</si>
  <si>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</si>
  <si>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</si>
  <si>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</si>
  <si>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</si>
  <si>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</si>
  <si>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</si>
  <si>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</si>
  <si>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</si>
  <si>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</si>
  <si>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</si>
  <si>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</si>
  <si>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</si>
  <si>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</si>
  <si>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</si>
  <si>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</si>
  <si>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</si>
  <si>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</si>
  <si>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</si>
  <si>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</si>
  <si>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</si>
  <si>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</si>
  <si>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</si>
  <si>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</si>
  <si>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</si>
  <si>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</si>
  <si>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</si>
  <si>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</si>
  <si>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</si>
  <si>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</si>
  <si>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</si>
  <si>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</si>
  <si>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</si>
  <si>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</si>
  <si>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</si>
  <si>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</si>
  <si>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</si>
  <si>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</si>
  <si>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</si>
  <si>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</si>
  <si>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</si>
  <si>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</si>
  <si>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</si>
  <si>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</si>
  <si>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</si>
  <si>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</si>
  <si>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</si>
  <si>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</si>
  <si>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</si>
  <si>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</si>
  <si>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</si>
  <si>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</si>
  <si>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</si>
  <si>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</si>
  <si>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</si>
  <si>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</si>
  <si>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</si>
  <si>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</si>
  <si>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</si>
  <si>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</si>
  <si>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</si>
  <si>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</si>
  <si>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</si>
  <si>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</si>
  <si>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</si>
  <si>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</si>
  <si>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</si>
  <si>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</si>
  <si>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</si>
  <si>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</si>
  <si>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</si>
  <si>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</si>
  <si>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</si>
  <si>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</si>
  <si>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</si>
  <si>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</si>
  <si>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</si>
  <si>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</si>
  <si>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</si>
  <si>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</si>
  <si>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</si>
  <si>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</si>
  <si>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</si>
  <si>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</si>
  <si>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</si>
  <si>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</si>
  <si>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</si>
  <si>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</si>
  <si>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</si>
  <si>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</si>
  <si>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</si>
  <si>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</si>
  <si>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</si>
  <si>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</si>
  <si>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</si>
  <si>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</si>
  <si>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</si>
  <si>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</si>
  <si>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</si>
  <si>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</si>
  <si>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</si>
  <si>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</si>
  <si>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</si>
  <si>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</si>
  <si>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</si>
  <si>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</si>
  <si>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</si>
  <si>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</si>
  <si>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</si>
  <si>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</si>
  <si>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</si>
  <si>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</si>
  <si>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</si>
  <si>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</si>
  <si>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</si>
  <si>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</si>
  <si>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</si>
  <si>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</si>
  <si>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</si>
  <si>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</si>
  <si>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</si>
  <si>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</si>
  <si>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</si>
  <si>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</si>
  <si>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</si>
  <si>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</si>
  <si>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</si>
  <si>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</si>
  <si>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</si>
  <si>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</si>
  <si>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</si>
  <si>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</si>
  <si>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</si>
  <si>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</si>
  <si>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</si>
  <si>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</si>
  <si>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</si>
  <si>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</si>
  <si>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</si>
  <si>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</si>
  <si>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</si>
  <si>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</si>
  <si>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</si>
  <si>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</si>
  <si>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</si>
  <si>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</si>
  <si>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</si>
  <si>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</si>
  <si>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</si>
  <si>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</si>
  <si>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</si>
  <si>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</si>
  <si>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 xml:space="preserve">Details of Residential &amp; Commercials in Building   </t>
  </si>
  <si>
    <t>Floor Rise Rate from    Floor</t>
  </si>
  <si>
    <t>Survey No</t>
  </si>
  <si>
    <t>Axis Sanpada</t>
  </si>
  <si>
    <t>Rudra Kristina</t>
  </si>
  <si>
    <t>P52000051294</t>
  </si>
  <si>
    <t>Wing A &amp; B</t>
  </si>
  <si>
    <t>Approved Plans, CC</t>
  </si>
  <si>
    <t>2/3.</t>
  </si>
  <si>
    <t>Koyanavele</t>
  </si>
  <si>
    <t>Panvel</t>
  </si>
  <si>
    <t>Raigad</t>
  </si>
  <si>
    <t>https://goo.gl/maps/GsfDSB2UsPcRJtDY6</t>
  </si>
  <si>
    <t>SM Imperial Tower</t>
  </si>
  <si>
    <t>Building</t>
  </si>
  <si>
    <t>Open Plot</t>
  </si>
  <si>
    <t>Internal Road</t>
  </si>
  <si>
    <t>Taloja</t>
  </si>
  <si>
    <t>3.8 KM from Taloja Railway Station</t>
  </si>
  <si>
    <t>Other Plot</t>
  </si>
  <si>
    <t>02 Wings</t>
  </si>
  <si>
    <t>Panvel Municipal Corporation</t>
  </si>
  <si>
    <t>Wing A &amp; B - Gr + 1st to 16th Floor</t>
  </si>
  <si>
    <t>Wing A</t>
  </si>
  <si>
    <t>Wing B - Gr + 1st to 16th Floor</t>
  </si>
  <si>
    <t>As per RERA - 31/12/2027</t>
  </si>
  <si>
    <t>Swimming Pool, Kids' Pool, Yoga Areas, Gymnasium</t>
  </si>
  <si>
    <t>Shop</t>
  </si>
  <si>
    <t>Ground Floor for Commmercial &amp; Parking, Pump Room, Water Tank</t>
  </si>
  <si>
    <t xml:space="preserve">1st Floor </t>
  </si>
  <si>
    <t>Office</t>
  </si>
  <si>
    <t>2BHK</t>
  </si>
  <si>
    <t>1BHK</t>
  </si>
  <si>
    <t>Wing B</t>
  </si>
  <si>
    <t>2nd Floor Residential &amp; Society Office Indoor Games</t>
  </si>
  <si>
    <t>3rd to 7th, 9th to 12th, 14th &amp; 15th Floor</t>
  </si>
  <si>
    <t>8th &amp; 13th Floor</t>
  </si>
  <si>
    <t>Refuge Area</t>
  </si>
  <si>
    <t>8th &amp; 13th Floor (Part Refuge Area)</t>
  </si>
  <si>
    <t>16th Floor (Part Natural Terrace)</t>
  </si>
  <si>
    <t>Flats - 212, Shops - 28, Offices - 4</t>
  </si>
  <si>
    <t>We considered Gross carpet area = Net carpet + Chajja Area</t>
  </si>
  <si>
    <t>Society Charges</t>
  </si>
  <si>
    <t>Grill Charges</t>
  </si>
  <si>
    <t>Mr. Pankaj Singh - 9324735866 / 9324735866</t>
  </si>
  <si>
    <t>Wing A + B</t>
  </si>
  <si>
    <t>Commercial Area Details for Wing A &amp; B</t>
  </si>
  <si>
    <t xml:space="preserve">Sheet </t>
  </si>
  <si>
    <t>Wing A - Gr + 1st to 16th Floor</t>
  </si>
  <si>
    <t>2nd Floor for Residential &amp; Muiltipurpose Hall, Fitness Center</t>
  </si>
  <si>
    <t>Club Charges + Society Charges</t>
  </si>
  <si>
    <t>Development Charges + Club Charges + Society Charges</t>
  </si>
  <si>
    <t>Sai Lifespaces</t>
  </si>
  <si>
    <t>19.075172,73.110412</t>
  </si>
  <si>
    <t>PMC/TP/Koynavele/2/3/21-23/16518/
1145/2023</t>
  </si>
  <si>
    <t>5300 to 5700</t>
  </si>
  <si>
    <t>smith</t>
  </si>
  <si>
    <t>2.5L to 3L</t>
  </si>
  <si>
    <t>Sunil Peravi</t>
  </si>
  <si>
    <t>RATE 6100 SMITH VERBAL AND COST SHEET   30/12/2024</t>
  </si>
  <si>
    <t>Recommended Rates/Other Charges of the Property have been revised on 24/06/2024 &amp; 30/12/2024.</t>
  </si>
  <si>
    <t>Construction work is in process at the time of Visit. Internal visit not allowed.</t>
  </si>
  <si>
    <t>Miss. Priti : 9324735866</t>
  </si>
  <si>
    <t>Wing A &amp; B = Gr + 1st to 16th Floor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</si>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</sst>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0"/>
    <numFmt numFmtId="170" formatCode="0.0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25" xfId="0" applyFont="1" applyFill="1" applyBorder="1"/>
    <xf numFmtId="0" fontId="25" fillId="0" borderId="26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70" fontId="7" fillId="0" borderId="0" xfId="1" applyNumberFormat="1" applyFont="1" applyAlignment="1">
      <alignment horizontal="center" vertical="center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24" fillId="2" borderId="12" xfId="0" applyFont="1" applyFill="1" applyBorder="1"/>
    <xf numFmtId="0" fontId="25" fillId="0" borderId="8" xfId="0" applyFont="1" applyBorder="1"/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27" xfId="1" applyFont="1" applyBorder="1" applyAlignment="1" applyProtection="1">
      <alignment horizontal="center" vertical="top" wrapText="1"/>
      <protection locked="0"/>
    </xf>
    <xf numFmtId="0" fontId="12" fillId="0" borderId="28" xfId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86590</xdr:colOff>
      <xdr:row>13</xdr:row>
      <xdr:rowOff>173181</xdr:rowOff>
    </xdr:from>
    <xdr:to>
      <xdr:col>16</xdr:col>
      <xdr:colOff>77127</xdr:colOff>
      <xdr:row>16</xdr:row>
      <xdr:rowOff>67447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9681" y="3151908"/>
          <a:ext cx="6428571" cy="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328</xdr:row>
      <xdr:rowOff>103909</xdr:rowOff>
    </xdr:from>
    <xdr:to>
      <xdr:col>7</xdr:col>
      <xdr:colOff>593931</xdr:colOff>
      <xdr:row>346</xdr:row>
      <xdr:rowOff>119042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272" y="56898886"/>
          <a:ext cx="619636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69272</xdr:colOff>
      <xdr:row>347</xdr:row>
      <xdr:rowOff>91786</xdr:rowOff>
    </xdr:from>
    <xdr:to>
      <xdr:col>7</xdr:col>
      <xdr:colOff>593931</xdr:colOff>
      <xdr:row>365</xdr:row>
      <xdr:rowOff>106923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272" y="60670786"/>
          <a:ext cx="619636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640773</xdr:colOff>
      <xdr:row>354</xdr:row>
      <xdr:rowOff>25977</xdr:rowOff>
    </xdr:from>
    <xdr:to>
      <xdr:col>4</xdr:col>
      <xdr:colOff>285750</xdr:colOff>
      <xdr:row>356</xdr:row>
      <xdr:rowOff>77932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48000" y="61999091"/>
          <a:ext cx="588818" cy="45027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649432</xdr:colOff>
      <xdr:row>287</xdr:row>
      <xdr:rowOff>17318</xdr:rowOff>
    </xdr:from>
    <xdr:to>
      <xdr:col>5</xdr:col>
      <xdr:colOff>623903</xdr:colOff>
      <xdr:row>307</xdr:row>
      <xdr:rowOff>24611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1432" y="48049295"/>
          <a:ext cx="3342857" cy="39904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25977</xdr:colOff>
      <xdr:row>307</xdr:row>
      <xdr:rowOff>138545</xdr:rowOff>
    </xdr:from>
    <xdr:to>
      <xdr:col>5</xdr:col>
      <xdr:colOff>425656</xdr:colOff>
      <xdr:row>322</xdr:row>
      <xdr:rowOff>55922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613" y="52153704"/>
          <a:ext cx="2971429" cy="290476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182216</xdr:colOff>
      <xdr:row>179</xdr:row>
      <xdr:rowOff>99392</xdr:rowOff>
    </xdr:from>
    <xdr:to>
      <xdr:col>16</xdr:col>
      <xdr:colOff>148700</xdr:colOff>
      <xdr:row>194</xdr:row>
      <xdr:rowOff>3365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59825" y="37834957"/>
          <a:ext cx="6400000" cy="2885714"/>
        </a:xfrm>
        <a:prstGeom prst="rect">
          <a:avLst/>
        </a:prstGeom>
      </xdr:spPr>
    </xdr:pic>
    <xdr:clientData/>
  </xdr:twoCellAnchor>
  <xdr:twoCellAnchor editAs="oneCell">
    <xdr:from>
      <xdr:col>9</xdr:col>
      <xdr:colOff>138313</xdr:colOff>
      <xdr:row>107</xdr:row>
      <xdr:rowOff>80585</xdr:rowOff>
    </xdr:from>
    <xdr:to>
      <xdr:col>14</xdr:col>
      <xdr:colOff>138081</xdr:colOff>
      <xdr:row>118</xdr:row>
      <xdr:rowOff>47660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2113" y="22626260"/>
          <a:ext cx="3847868" cy="2170525"/>
        </a:xfrm>
        <a:prstGeom prst="rect">
          <a:avLst/>
        </a:prstGeom>
      </xdr:spPr>
    </xdr:pic>
    <xdr:clientData/>
  </xdr:twoCellAnchor>
  <xdr:oneCellAnchor>
    <xdr:from>
      <xdr:col>9</xdr:col>
      <xdr:colOff>473204</xdr:colOff>
      <xdr:row>246</xdr:row>
      <xdr:rowOff>154607</xdr:rowOff>
    </xdr:from>
    <xdr:ext cx="596574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385304" y="50624407"/>
          <a:ext cx="596574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A Wing</a:t>
          </a:r>
        </a:p>
      </xdr:txBody>
    </xdr:sp>
    <xdr:clientData/>
  </xdr:oneCellAnchor>
  <xdr:oneCellAnchor>
    <xdr:from>
      <xdr:col>10</xdr:col>
      <xdr:colOff>369879</xdr:colOff>
      <xdr:row>249</xdr:row>
      <xdr:rowOff>96630</xdr:rowOff>
    </xdr:from>
    <xdr:ext cx="26629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669053" y="51407391"/>
          <a:ext cx="266291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A</a:t>
          </a:r>
        </a:p>
      </xdr:txBody>
    </xdr:sp>
    <xdr:clientData/>
  </xdr:oneCellAnchor>
  <xdr:oneCellAnchor>
    <xdr:from>
      <xdr:col>9</xdr:col>
      <xdr:colOff>754812</xdr:colOff>
      <xdr:row>256</xdr:row>
      <xdr:rowOff>124024</xdr:rowOff>
    </xdr:from>
    <xdr:ext cx="26629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291986" y="52826263"/>
          <a:ext cx="266291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B</a:t>
          </a:r>
        </a:p>
      </xdr:txBody>
    </xdr:sp>
    <xdr:clientData/>
  </xdr:oneCellAnchor>
  <xdr:oneCellAnchor>
    <xdr:from>
      <xdr:col>10</xdr:col>
      <xdr:colOff>253921</xdr:colOff>
      <xdr:row>255</xdr:row>
      <xdr:rowOff>173719</xdr:rowOff>
    </xdr:from>
    <xdr:ext cx="26629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553095" y="52677176"/>
          <a:ext cx="266291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B</a:t>
          </a:r>
        </a:p>
      </xdr:txBody>
    </xdr:sp>
    <xdr:clientData/>
  </xdr:oneCellAnchor>
  <xdr:twoCellAnchor>
    <xdr:from>
      <xdr:col>0</xdr:col>
      <xdr:colOff>133350</xdr:colOff>
      <xdr:row>244</xdr:row>
      <xdr:rowOff>76200</xdr:rowOff>
    </xdr:from>
    <xdr:to>
      <xdr:col>7</xdr:col>
      <xdr:colOff>589216</xdr:colOff>
      <xdr:row>283</xdr:row>
      <xdr:rowOff>127746</xdr:rowOff>
    </xdr:to>
    <xdr:grpSp>
      <xdr:nvGrpSpPr>
        <xdr:cNvPr id="7" name="Group 6"/>
        <xdr:cNvGrpSpPr/>
      </xdr:nvGrpSpPr>
      <xdr:grpSpPr>
        <a:xfrm>
          <a:off x="133350" y="50152300"/>
          <a:ext cx="6412166" cy="7722346"/>
          <a:chOff x="133350" y="50152300"/>
          <a:chExt cx="6412166" cy="7722346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5370" y="5585864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5300547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4501" y="5300547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5653" y="50152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4502" y="50152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6804" y="55858646"/>
            <a:ext cx="2685509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5652" y="5300547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1" y="50152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3629" y="5585864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361951" y="50323750"/>
            <a:ext cx="59657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A Wing</a:t>
            </a: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2612952" y="50177700"/>
            <a:ext cx="59657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A Wing</a:t>
            </a: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5137003" y="50203100"/>
            <a:ext cx="59657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A Wing</a:t>
            </a: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488950" y="53081673"/>
            <a:ext cx="59657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 Wing</a:t>
            </a:r>
          </a:p>
        </xdr:txBody>
      </xdr: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3336851" y="53056273"/>
            <a:ext cx="59657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 Wing</a:t>
            </a:r>
          </a:p>
        </xdr:txBody>
      </xdr: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4590902" y="53024523"/>
            <a:ext cx="59657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sfDSB2UsPcRJtDY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32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6" width="11.7265625" style="37" customWidth="1"/>
    <col min="7" max="7" width="11.453125" style="37" customWidth="1"/>
    <col min="8" max="8" width="10.54296875" style="37" customWidth="1"/>
    <col min="9" max="9" width="17.453125" style="18" customWidth="1"/>
    <col min="10" max="10" width="11.453125" style="18" customWidth="1"/>
    <col min="11" max="11" width="11.2695312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73" t="s">
        <v>164</v>
      </c>
      <c r="B1" s="173"/>
      <c r="C1" s="173"/>
      <c r="D1" s="173"/>
      <c r="E1" s="173"/>
      <c r="F1" s="173"/>
      <c r="G1" s="173"/>
      <c r="H1" s="173"/>
    </row>
    <row r="2" spans="1:8" ht="16.5" customHeight="1" x14ac:dyDescent="0.35">
      <c r="A2" s="114" t="s">
        <v>0</v>
      </c>
      <c r="B2" s="114"/>
      <c r="C2" s="114"/>
      <c r="D2" s="114"/>
      <c r="E2" s="114"/>
      <c r="F2" s="114"/>
      <c r="G2" s="114"/>
      <c r="H2" s="114"/>
    </row>
    <row r="3" spans="1:8" x14ac:dyDescent="0.35">
      <c r="A3" s="146" t="s">
        <v>1</v>
      </c>
      <c r="B3" s="146"/>
      <c r="C3" s="146"/>
      <c r="D3" s="146"/>
      <c r="E3" s="146" t="str">
        <f ca="1">TEXT(TODAY(),"DD/MM/YYYY")</f>
        <v>12/07/2025</v>
      </c>
      <c r="F3" s="146"/>
      <c r="G3" s="146"/>
      <c r="H3" s="146"/>
    </row>
    <row r="4" spans="1:8" ht="15" customHeight="1" x14ac:dyDescent="0.35">
      <c r="A4" s="146" t="s">
        <v>2</v>
      </c>
      <c r="B4" s="146"/>
      <c r="C4" s="146"/>
      <c r="D4" s="146"/>
      <c r="E4" s="146" t="s">
        <v>174</v>
      </c>
      <c r="F4" s="146"/>
      <c r="G4" s="146"/>
      <c r="H4" s="146"/>
    </row>
    <row r="5" spans="1:8" x14ac:dyDescent="0.35">
      <c r="A5" s="146" t="s">
        <v>3</v>
      </c>
      <c r="B5" s="146"/>
      <c r="C5" s="146"/>
      <c r="D5" s="146"/>
      <c r="E5" s="174">
        <v>45846</v>
      </c>
      <c r="F5" s="146"/>
      <c r="G5" s="146"/>
      <c r="H5" s="146"/>
    </row>
    <row r="6" spans="1:8" ht="16.5" customHeight="1" x14ac:dyDescent="0.35">
      <c r="A6" s="146" t="s">
        <v>4</v>
      </c>
      <c r="B6" s="146"/>
      <c r="C6" s="146"/>
      <c r="D6" s="146"/>
      <c r="E6" s="146" t="s">
        <v>223</v>
      </c>
      <c r="F6" s="146"/>
      <c r="G6" s="146"/>
      <c r="H6" s="146"/>
    </row>
    <row r="7" spans="1:8" ht="15" customHeight="1" x14ac:dyDescent="0.35">
      <c r="A7" s="146" t="s">
        <v>5</v>
      </c>
      <c r="B7" s="146"/>
      <c r="C7" s="146"/>
      <c r="D7" s="146"/>
      <c r="E7" s="146" t="str">
        <f>E6</f>
        <v>Sai Lifespaces</v>
      </c>
      <c r="F7" s="146"/>
      <c r="G7" s="146"/>
      <c r="H7" s="146"/>
    </row>
    <row r="8" spans="1:8" x14ac:dyDescent="0.35">
      <c r="A8" s="146" t="s">
        <v>6</v>
      </c>
      <c r="B8" s="146"/>
      <c r="C8" s="146"/>
      <c r="D8" s="146"/>
      <c r="E8" s="147" t="s">
        <v>175</v>
      </c>
      <c r="F8" s="150"/>
      <c r="G8" s="150"/>
      <c r="H8" s="150"/>
    </row>
    <row r="9" spans="1:8" x14ac:dyDescent="0.35">
      <c r="A9" s="146" t="s">
        <v>167</v>
      </c>
      <c r="B9" s="146"/>
      <c r="C9" s="146"/>
      <c r="D9" s="146"/>
      <c r="E9" s="146" t="s">
        <v>215</v>
      </c>
      <c r="F9" s="146"/>
      <c r="G9" s="146"/>
      <c r="H9" s="146"/>
    </row>
    <row r="10" spans="1:8" x14ac:dyDescent="0.35">
      <c r="A10" s="146" t="s">
        <v>168</v>
      </c>
      <c r="B10" s="146"/>
      <c r="C10" s="146"/>
      <c r="D10" s="146"/>
      <c r="E10" s="146" t="s">
        <v>233</v>
      </c>
      <c r="F10" s="146"/>
      <c r="G10" s="146"/>
      <c r="H10" s="146"/>
    </row>
    <row r="11" spans="1:8" x14ac:dyDescent="0.35">
      <c r="A11" s="146" t="s">
        <v>7</v>
      </c>
      <c r="B11" s="146"/>
      <c r="C11" s="146"/>
      <c r="D11" s="146"/>
      <c r="E11" s="146" t="s">
        <v>177</v>
      </c>
      <c r="F11" s="146"/>
      <c r="G11" s="146"/>
      <c r="H11" s="146"/>
    </row>
    <row r="12" spans="1:8" x14ac:dyDescent="0.35">
      <c r="A12" s="146" t="s">
        <v>169</v>
      </c>
      <c r="B12" s="146"/>
      <c r="C12" s="146"/>
      <c r="D12" s="146"/>
      <c r="E12" s="146" t="s">
        <v>29</v>
      </c>
      <c r="F12" s="146"/>
      <c r="G12" s="146"/>
      <c r="H12" s="146"/>
    </row>
    <row r="13" spans="1:8" x14ac:dyDescent="0.35">
      <c r="A13" s="146" t="s">
        <v>8</v>
      </c>
      <c r="B13" s="146"/>
      <c r="C13" s="146"/>
      <c r="D13" s="146"/>
      <c r="E13" s="125" t="s">
        <v>178</v>
      </c>
      <c r="F13" s="125"/>
      <c r="G13" s="125"/>
      <c r="H13" s="125"/>
    </row>
    <row r="14" spans="1:8" x14ac:dyDescent="0.35">
      <c r="A14" s="146" t="s">
        <v>9</v>
      </c>
      <c r="B14" s="146"/>
      <c r="C14" s="146"/>
      <c r="D14" s="146"/>
      <c r="E14" s="125" t="s">
        <v>176</v>
      </c>
      <c r="F14" s="146"/>
      <c r="G14" s="146"/>
      <c r="H14" s="146"/>
    </row>
    <row r="15" spans="1:8" ht="35.25" customHeight="1" x14ac:dyDescent="0.35">
      <c r="A15" s="125" t="s">
        <v>10</v>
      </c>
      <c r="B15" s="125"/>
      <c r="C15" s="12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Rudra Kristina, Survey No.2/3., near SM Imperial Tower, Internal Road, , Koyanavele, Taloja, Panvel, Raigad - 410208.</v>
      </c>
      <c r="D15" s="125"/>
      <c r="E15" s="125"/>
      <c r="F15" s="125"/>
      <c r="G15" s="125"/>
      <c r="H15" s="125"/>
    </row>
    <row r="16" spans="1:8" x14ac:dyDescent="0.35">
      <c r="A16" s="125" t="s">
        <v>173</v>
      </c>
      <c r="B16" s="125"/>
      <c r="C16" s="149" t="s">
        <v>179</v>
      </c>
      <c r="D16" s="149"/>
      <c r="E16" s="149"/>
      <c r="F16" s="149"/>
      <c r="G16" s="149"/>
      <c r="H16" s="149"/>
    </row>
    <row r="17" spans="1:8" ht="15.75" customHeight="1" x14ac:dyDescent="0.35">
      <c r="A17" s="125" t="s">
        <v>162</v>
      </c>
      <c r="B17" s="125"/>
      <c r="C17" s="125" t="s">
        <v>29</v>
      </c>
      <c r="D17" s="125"/>
      <c r="E17" s="125"/>
      <c r="F17" s="125"/>
      <c r="G17" s="125"/>
      <c r="H17" s="125"/>
    </row>
    <row r="18" spans="1:8" ht="15.75" customHeight="1" x14ac:dyDescent="0.35">
      <c r="A18" s="125" t="s">
        <v>11</v>
      </c>
      <c r="B18" s="125"/>
      <c r="C18" s="146" t="s">
        <v>187</v>
      </c>
      <c r="D18" s="146"/>
      <c r="E18" s="125" t="s">
        <v>73</v>
      </c>
      <c r="F18" s="125"/>
      <c r="G18" s="125" t="s">
        <v>180</v>
      </c>
      <c r="H18" s="125"/>
    </row>
    <row r="19" spans="1:8" x14ac:dyDescent="0.35">
      <c r="A19" s="146" t="s">
        <v>13</v>
      </c>
      <c r="B19" s="146"/>
      <c r="C19" s="125" t="s">
        <v>188</v>
      </c>
      <c r="D19" s="125"/>
      <c r="E19" s="125" t="s">
        <v>12</v>
      </c>
      <c r="F19" s="125"/>
      <c r="G19" s="175" t="s">
        <v>182</v>
      </c>
      <c r="H19" s="175"/>
    </row>
    <row r="20" spans="1:8" x14ac:dyDescent="0.35">
      <c r="A20" s="146" t="s">
        <v>74</v>
      </c>
      <c r="B20" s="146"/>
      <c r="C20" s="125" t="s">
        <v>181</v>
      </c>
      <c r="D20" s="125"/>
      <c r="E20" s="125" t="s">
        <v>14</v>
      </c>
      <c r="F20" s="125"/>
      <c r="G20" s="125">
        <v>410208</v>
      </c>
      <c r="H20" s="125"/>
    </row>
    <row r="21" spans="1:8" ht="32.25" customHeight="1" x14ac:dyDescent="0.35">
      <c r="A21" s="146" t="s">
        <v>121</v>
      </c>
      <c r="B21" s="146"/>
      <c r="C21" s="125" t="s">
        <v>184</v>
      </c>
      <c r="D21" s="125"/>
      <c r="E21" s="125" t="s">
        <v>15</v>
      </c>
      <c r="F21" s="125"/>
      <c r="G21" s="125" t="s">
        <v>189</v>
      </c>
      <c r="H21" s="125"/>
    </row>
    <row r="22" spans="1:8" ht="15" customHeight="1" x14ac:dyDescent="0.35">
      <c r="A22" s="123" t="s">
        <v>76</v>
      </c>
      <c r="B22" s="123"/>
      <c r="C22" s="123"/>
      <c r="D22" s="123"/>
      <c r="E22" s="146" t="s">
        <v>16</v>
      </c>
      <c r="F22" s="146"/>
      <c r="G22" s="146"/>
      <c r="H22" s="146"/>
    </row>
    <row r="23" spans="1:8" ht="18.75" customHeight="1" x14ac:dyDescent="0.35">
      <c r="A23" s="123"/>
      <c r="B23" s="123"/>
      <c r="C23" s="123"/>
      <c r="D23" s="123"/>
      <c r="E23" s="146"/>
      <c r="F23" s="146"/>
      <c r="G23" s="146"/>
      <c r="H23" s="146"/>
    </row>
    <row r="24" spans="1:8" ht="15" customHeight="1" x14ac:dyDescent="0.35">
      <c r="A24" s="123" t="s">
        <v>17</v>
      </c>
      <c r="B24" s="123"/>
      <c r="C24" s="123"/>
      <c r="D24" s="123"/>
      <c r="E24" s="125" t="s">
        <v>18</v>
      </c>
      <c r="F24" s="125"/>
      <c r="G24" s="125"/>
      <c r="H24" s="125"/>
    </row>
    <row r="25" spans="1:8" ht="15" customHeight="1" x14ac:dyDescent="0.35">
      <c r="A25" s="116" t="s">
        <v>19</v>
      </c>
      <c r="B25" s="116"/>
      <c r="C25" s="116"/>
      <c r="D25" s="116"/>
      <c r="E25" s="125" t="str">
        <f>IF(AND(G19="Mumbai"),"Upper Class","Middle Class")</f>
        <v>Middle Class</v>
      </c>
      <c r="F25" s="125"/>
      <c r="G25" s="125"/>
      <c r="H25" s="125"/>
    </row>
    <row r="26" spans="1:8" x14ac:dyDescent="0.35">
      <c r="A26" s="116" t="s">
        <v>20</v>
      </c>
      <c r="B26" s="116"/>
      <c r="C26" s="116"/>
      <c r="D26" s="116"/>
      <c r="E26" s="125" t="s">
        <v>21</v>
      </c>
      <c r="F26" s="125"/>
      <c r="G26" s="125"/>
      <c r="H26" s="125"/>
    </row>
    <row r="27" spans="1:8" ht="15.75" customHeight="1" x14ac:dyDescent="0.35">
      <c r="A27" s="116" t="s">
        <v>22</v>
      </c>
      <c r="B27" s="116"/>
      <c r="C27" s="116"/>
      <c r="D27" s="116"/>
      <c r="E27" s="125" t="str">
        <f>IF(AND(G19="Mumbai"),"Developed","Developing")</f>
        <v>Developing</v>
      </c>
      <c r="F27" s="125"/>
      <c r="G27" s="125"/>
      <c r="H27" s="125"/>
    </row>
    <row r="28" spans="1:8" x14ac:dyDescent="0.35">
      <c r="A28" s="116" t="s">
        <v>23</v>
      </c>
      <c r="B28" s="116"/>
      <c r="C28" s="116"/>
      <c r="D28" s="116"/>
      <c r="E28" s="125" t="s">
        <v>24</v>
      </c>
      <c r="F28" s="125"/>
      <c r="G28" s="125"/>
      <c r="H28" s="125"/>
    </row>
    <row r="29" spans="1:8" ht="15.75" customHeight="1" x14ac:dyDescent="0.35">
      <c r="A29" s="116" t="s">
        <v>81</v>
      </c>
      <c r="B29" s="116"/>
      <c r="C29" s="116"/>
      <c r="D29" s="116"/>
      <c r="E29" s="125" t="s">
        <v>82</v>
      </c>
      <c r="F29" s="125"/>
      <c r="G29" s="125"/>
      <c r="H29" s="125"/>
    </row>
    <row r="30" spans="1:8" ht="15" customHeight="1" x14ac:dyDescent="0.35">
      <c r="A30" s="116" t="s">
        <v>32</v>
      </c>
      <c r="B30" s="116"/>
      <c r="C30" s="116"/>
      <c r="D30" s="116"/>
      <c r="E30" s="12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5"/>
      <c r="G30" s="125"/>
      <c r="H30" s="125"/>
    </row>
    <row r="31" spans="1:8" ht="15.75" customHeight="1" x14ac:dyDescent="0.35">
      <c r="A31" s="116" t="s">
        <v>93</v>
      </c>
      <c r="B31" s="116"/>
      <c r="C31" s="116"/>
      <c r="D31" s="116"/>
      <c r="E31" s="125" t="s">
        <v>33</v>
      </c>
      <c r="F31" s="125"/>
      <c r="G31" s="125"/>
      <c r="H31" s="125"/>
    </row>
    <row r="32" spans="1:8" s="19" customFormat="1" x14ac:dyDescent="0.35">
      <c r="A32" s="179" t="s">
        <v>94</v>
      </c>
      <c r="B32" s="179"/>
      <c r="C32" s="176" t="s">
        <v>170</v>
      </c>
      <c r="D32" s="177"/>
      <c r="E32" s="178"/>
      <c r="F32" s="176" t="s">
        <v>30</v>
      </c>
      <c r="G32" s="177"/>
      <c r="H32" s="178"/>
    </row>
    <row r="33" spans="1:8" s="19" customFormat="1" x14ac:dyDescent="0.35">
      <c r="A33" s="148" t="s">
        <v>25</v>
      </c>
      <c r="B33" s="148" t="s">
        <v>29</v>
      </c>
      <c r="C33" s="142" t="s">
        <v>190</v>
      </c>
      <c r="D33" s="143"/>
      <c r="E33" s="144"/>
      <c r="F33" s="142" t="s">
        <v>186</v>
      </c>
      <c r="G33" s="143"/>
      <c r="H33" s="144"/>
    </row>
    <row r="34" spans="1:8" x14ac:dyDescent="0.35">
      <c r="A34" s="148" t="s">
        <v>26</v>
      </c>
      <c r="B34" s="148" t="s">
        <v>29</v>
      </c>
      <c r="C34" s="142" t="s">
        <v>11</v>
      </c>
      <c r="D34" s="143"/>
      <c r="E34" s="144"/>
      <c r="F34" s="142" t="s">
        <v>185</v>
      </c>
      <c r="G34" s="143"/>
      <c r="H34" s="144"/>
    </row>
    <row r="35" spans="1:8" s="19" customFormat="1" x14ac:dyDescent="0.35">
      <c r="A35" s="148" t="s">
        <v>28</v>
      </c>
      <c r="B35" s="148" t="s">
        <v>29</v>
      </c>
      <c r="C35" s="142" t="s">
        <v>190</v>
      </c>
      <c r="D35" s="143"/>
      <c r="E35" s="144"/>
      <c r="F35" s="142" t="s">
        <v>184</v>
      </c>
      <c r="G35" s="143"/>
      <c r="H35" s="144"/>
    </row>
    <row r="36" spans="1:8" x14ac:dyDescent="0.35">
      <c r="A36" s="148" t="s">
        <v>27</v>
      </c>
      <c r="B36" s="148" t="s">
        <v>29</v>
      </c>
      <c r="C36" s="142" t="s">
        <v>11</v>
      </c>
      <c r="D36" s="143"/>
      <c r="E36" s="144"/>
      <c r="F36" s="142" t="s">
        <v>185</v>
      </c>
      <c r="G36" s="143"/>
      <c r="H36" s="144"/>
    </row>
    <row r="37" spans="1:8" x14ac:dyDescent="0.35">
      <c r="A37" s="116" t="s">
        <v>31</v>
      </c>
      <c r="B37" s="116"/>
      <c r="C37" s="116"/>
      <c r="D37" s="116"/>
      <c r="E37" s="116"/>
      <c r="F37" s="116"/>
      <c r="G37" s="116"/>
      <c r="H37" s="116"/>
    </row>
    <row r="38" spans="1:8" ht="15.75" customHeight="1" x14ac:dyDescent="0.35">
      <c r="A38" s="116" t="s">
        <v>165</v>
      </c>
      <c r="B38" s="116"/>
      <c r="C38" s="127" t="s">
        <v>224</v>
      </c>
      <c r="D38" s="127"/>
      <c r="E38" s="127"/>
      <c r="F38" s="127"/>
      <c r="G38" s="127"/>
      <c r="H38" s="127"/>
    </row>
    <row r="39" spans="1:8" x14ac:dyDescent="0.35">
      <c r="A39" s="116" t="s">
        <v>161</v>
      </c>
      <c r="B39" s="116"/>
      <c r="C39" s="126" t="s">
        <v>183</v>
      </c>
      <c r="D39" s="125"/>
      <c r="E39" s="125"/>
      <c r="F39" s="125"/>
      <c r="G39" s="125"/>
      <c r="H39" s="125"/>
    </row>
    <row r="40" spans="1:8" x14ac:dyDescent="0.35">
      <c r="A40" s="150" t="s">
        <v>34</v>
      </c>
      <c r="B40" s="150"/>
      <c r="C40" s="150"/>
      <c r="D40" s="150"/>
      <c r="E40" s="150"/>
      <c r="F40" s="150"/>
      <c r="G40" s="150"/>
      <c r="H40" s="150"/>
    </row>
    <row r="41" spans="1:8" x14ac:dyDescent="0.35">
      <c r="A41" s="146" t="s">
        <v>35</v>
      </c>
      <c r="B41" s="146"/>
      <c r="C41" s="146"/>
      <c r="D41" s="146"/>
      <c r="E41" s="149">
        <v>4050</v>
      </c>
      <c r="F41" s="149"/>
      <c r="G41" s="149"/>
      <c r="H41" s="149"/>
    </row>
    <row r="42" spans="1:8" x14ac:dyDescent="0.35">
      <c r="A42" s="146" t="s">
        <v>36</v>
      </c>
      <c r="B42" s="146"/>
      <c r="C42" s="146"/>
      <c r="D42" s="146"/>
      <c r="E42" s="145">
        <v>1.1000000000000001</v>
      </c>
      <c r="F42" s="145"/>
      <c r="G42" s="145"/>
      <c r="H42" s="145"/>
    </row>
    <row r="43" spans="1:8" x14ac:dyDescent="0.35">
      <c r="A43" s="146" t="s">
        <v>37</v>
      </c>
      <c r="B43" s="146"/>
      <c r="C43" s="146"/>
      <c r="D43" s="146"/>
      <c r="E43" s="145">
        <f>E45/E41-E42</f>
        <v>1.5003135802469134</v>
      </c>
      <c r="F43" s="145"/>
      <c r="G43" s="145"/>
      <c r="H43" s="145"/>
    </row>
    <row r="44" spans="1:8" x14ac:dyDescent="0.35">
      <c r="A44" s="146" t="s">
        <v>38</v>
      </c>
      <c r="B44" s="146"/>
      <c r="C44" s="146"/>
      <c r="D44" s="146"/>
      <c r="E44" s="145">
        <f>E42+E43</f>
        <v>2.6003135802469135</v>
      </c>
      <c r="F44" s="145"/>
      <c r="G44" s="145"/>
      <c r="H44" s="145"/>
    </row>
    <row r="45" spans="1:8" x14ac:dyDescent="0.35">
      <c r="A45" s="146" t="s">
        <v>92</v>
      </c>
      <c r="B45" s="146"/>
      <c r="C45" s="146"/>
      <c r="D45" s="146"/>
      <c r="E45" s="188">
        <v>10531.27</v>
      </c>
      <c r="F45" s="188"/>
      <c r="G45" s="188"/>
      <c r="H45" s="188"/>
    </row>
    <row r="46" spans="1:8" x14ac:dyDescent="0.35">
      <c r="A46" s="146" t="s">
        <v>39</v>
      </c>
      <c r="B46" s="146"/>
      <c r="C46" s="146"/>
      <c r="D46" s="146"/>
      <c r="E46" s="146" t="s">
        <v>191</v>
      </c>
      <c r="F46" s="146"/>
      <c r="G46" s="146"/>
      <c r="H46" s="146"/>
    </row>
    <row r="47" spans="1:8" x14ac:dyDescent="0.35">
      <c r="A47" s="127" t="s">
        <v>40</v>
      </c>
      <c r="B47" s="127"/>
      <c r="C47" s="127"/>
      <c r="D47" s="127"/>
      <c r="E47" s="127"/>
      <c r="F47" s="127"/>
      <c r="G47" s="127"/>
      <c r="H47" s="127"/>
    </row>
    <row r="48" spans="1:8" ht="33.75" customHeight="1" x14ac:dyDescent="0.35">
      <c r="A48" s="109" t="s">
        <v>150</v>
      </c>
      <c r="B48" s="111"/>
      <c r="C48" s="189" t="s">
        <v>192</v>
      </c>
      <c r="D48" s="194"/>
      <c r="E48" s="194"/>
      <c r="F48" s="194"/>
      <c r="G48" s="194"/>
      <c r="H48" s="187"/>
    </row>
    <row r="49" spans="1:14" ht="34.5" customHeight="1" x14ac:dyDescent="0.35">
      <c r="A49" s="109" t="s">
        <v>41</v>
      </c>
      <c r="B49" s="111"/>
      <c r="C49" s="109" t="s">
        <v>225</v>
      </c>
      <c r="D49" s="110"/>
      <c r="E49" s="111"/>
      <c r="F49" s="48" t="s">
        <v>42</v>
      </c>
      <c r="G49" s="152">
        <v>45044</v>
      </c>
      <c r="H49" s="111"/>
    </row>
    <row r="50" spans="1:14" ht="30.75" customHeight="1" x14ac:dyDescent="0.35">
      <c r="A50" s="109" t="s">
        <v>43</v>
      </c>
      <c r="B50" s="111"/>
      <c r="C50" s="109" t="str">
        <f>C49</f>
        <v>PMC/TP/Koynavele/2/3/21-23/16518/
1145/2023</v>
      </c>
      <c r="D50" s="110"/>
      <c r="E50" s="111"/>
      <c r="F50" s="48" t="s">
        <v>42</v>
      </c>
      <c r="G50" s="152">
        <v>45044</v>
      </c>
      <c r="H50" s="111"/>
    </row>
    <row r="51" spans="1:14" s="20" customFormat="1" ht="33" customHeight="1" x14ac:dyDescent="0.35">
      <c r="A51" s="153" t="s">
        <v>154</v>
      </c>
      <c r="B51" s="165"/>
      <c r="C51" s="109" t="s">
        <v>225</v>
      </c>
      <c r="D51" s="110"/>
      <c r="E51" s="111"/>
      <c r="F51" s="48" t="s">
        <v>42</v>
      </c>
      <c r="G51" s="152">
        <v>45044</v>
      </c>
      <c r="H51" s="111"/>
    </row>
    <row r="52" spans="1:14" s="20" customFormat="1" x14ac:dyDescent="0.35">
      <c r="A52" s="166"/>
      <c r="B52" s="167"/>
      <c r="C52" s="109" t="s">
        <v>234</v>
      </c>
      <c r="D52" s="110"/>
      <c r="E52" s="110"/>
      <c r="F52" s="110"/>
      <c r="G52" s="110"/>
      <c r="H52" s="111"/>
    </row>
    <row r="53" spans="1:14" x14ac:dyDescent="0.35">
      <c r="A53" s="67" t="s">
        <v>44</v>
      </c>
      <c r="B53" s="163"/>
      <c r="C53" s="67" t="s">
        <v>103</v>
      </c>
      <c r="D53" s="68"/>
      <c r="E53" s="163"/>
      <c r="F53" s="49" t="s">
        <v>42</v>
      </c>
      <c r="G53" s="189" t="s">
        <v>29</v>
      </c>
      <c r="H53" s="187"/>
    </row>
    <row r="54" spans="1:14" x14ac:dyDescent="0.35">
      <c r="A54" s="164" t="s">
        <v>46</v>
      </c>
      <c r="B54" s="164"/>
      <c r="C54" s="164"/>
      <c r="D54" s="164"/>
      <c r="E54" s="164"/>
      <c r="F54" s="164"/>
      <c r="G54" s="164"/>
      <c r="H54" s="164"/>
    </row>
    <row r="55" spans="1:14" x14ac:dyDescent="0.35">
      <c r="A55" s="123" t="s">
        <v>91</v>
      </c>
      <c r="B55" s="123"/>
      <c r="C55" s="123"/>
      <c r="D55" s="116">
        <f>E45</f>
        <v>10531.27</v>
      </c>
      <c r="E55" s="116"/>
      <c r="F55" s="116"/>
      <c r="G55" s="116"/>
      <c r="H55" s="116"/>
    </row>
    <row r="56" spans="1:14" x14ac:dyDescent="0.35">
      <c r="A56" s="125" t="s">
        <v>47</v>
      </c>
      <c r="B56" s="146"/>
      <c r="C56" s="146"/>
      <c r="D56" s="146" t="s">
        <v>211</v>
      </c>
      <c r="E56" s="146"/>
      <c r="F56" s="146"/>
      <c r="G56" s="146"/>
      <c r="H56" s="146"/>
      <c r="I56" s="21"/>
    </row>
    <row r="57" spans="1:14" x14ac:dyDescent="0.35">
      <c r="A57" s="153" t="s">
        <v>48</v>
      </c>
      <c r="B57" s="154"/>
      <c r="C57" s="165"/>
      <c r="D57" s="128" t="s">
        <v>193</v>
      </c>
      <c r="E57" s="129"/>
      <c r="F57" s="129"/>
      <c r="G57" s="129"/>
      <c r="H57" s="129"/>
    </row>
    <row r="58" spans="1:14" ht="15.75" customHeight="1" x14ac:dyDescent="0.35">
      <c r="A58" s="153" t="s">
        <v>89</v>
      </c>
      <c r="B58" s="154"/>
      <c r="C58" s="154"/>
      <c r="D58" s="157" t="s">
        <v>219</v>
      </c>
      <c r="E58" s="158"/>
      <c r="F58" s="158"/>
      <c r="G58" s="158"/>
      <c r="H58" s="159"/>
    </row>
    <row r="59" spans="1:14" ht="15.75" customHeight="1" x14ac:dyDescent="0.35">
      <c r="A59" s="155"/>
      <c r="B59" s="156"/>
      <c r="C59" s="156"/>
      <c r="D59" s="160" t="s">
        <v>195</v>
      </c>
      <c r="E59" s="161"/>
      <c r="F59" s="161"/>
      <c r="G59" s="161"/>
      <c r="H59" s="162"/>
    </row>
    <row r="60" spans="1:14" ht="15.75" customHeight="1" x14ac:dyDescent="0.35">
      <c r="A60" s="116" t="s">
        <v>45</v>
      </c>
      <c r="B60" s="116"/>
      <c r="C60" s="116"/>
      <c r="D60" s="151" t="s">
        <v>196</v>
      </c>
      <c r="E60" s="151"/>
      <c r="F60" s="151"/>
      <c r="G60" s="151"/>
      <c r="H60" s="151"/>
      <c r="J60" s="22"/>
      <c r="K60" s="21"/>
      <c r="N60" s="21"/>
    </row>
    <row r="61" spans="1:14" ht="15.75" customHeight="1" x14ac:dyDescent="0.35">
      <c r="A61" s="116" t="s">
        <v>87</v>
      </c>
      <c r="B61" s="116"/>
      <c r="C61" s="116"/>
      <c r="D61" s="124" t="str">
        <f>(IF(G53="NA","60 Years After Completion",IF(G53&lt;&gt;"NA",""&amp;60-ROUNDDOWN((E3-G53)/360,0)&amp;" Years"," ")))</f>
        <v>60 Years After Completion</v>
      </c>
      <c r="E61" s="124"/>
      <c r="F61" s="124"/>
      <c r="G61" s="124"/>
      <c r="H61" s="124"/>
      <c r="N61" s="21"/>
    </row>
    <row r="62" spans="1:14" ht="15.75" customHeight="1" x14ac:dyDescent="0.35">
      <c r="A62" s="116" t="s">
        <v>88</v>
      </c>
      <c r="B62" s="116"/>
      <c r="C62" s="116"/>
      <c r="D62" s="123" t="s">
        <v>24</v>
      </c>
      <c r="E62" s="123"/>
      <c r="F62" s="123"/>
      <c r="G62" s="123"/>
      <c r="H62" s="123"/>
      <c r="J62" s="23"/>
      <c r="K62" s="23"/>
    </row>
    <row r="63" spans="1:14" x14ac:dyDescent="0.35">
      <c r="A63" s="116" t="s">
        <v>75</v>
      </c>
      <c r="B63" s="116"/>
      <c r="C63" s="116"/>
      <c r="D63" s="125" t="s">
        <v>197</v>
      </c>
      <c r="E63" s="123"/>
      <c r="F63" s="123"/>
      <c r="G63" s="123"/>
      <c r="H63" s="123"/>
    </row>
    <row r="64" spans="1:14" x14ac:dyDescent="0.35">
      <c r="A64" s="123" t="s">
        <v>147</v>
      </c>
      <c r="B64" s="123"/>
      <c r="C64" s="123"/>
      <c r="D64" s="123" t="s">
        <v>29</v>
      </c>
      <c r="E64" s="123"/>
      <c r="F64" s="123"/>
      <c r="G64" s="123"/>
      <c r="H64" s="123"/>
      <c r="I64" s="24"/>
      <c r="J64" s="24"/>
      <c r="K64" s="24"/>
      <c r="L64" s="24"/>
      <c r="M64" s="24"/>
      <c r="N64" s="24"/>
    </row>
    <row r="65" spans="1:10" ht="15.75" customHeight="1" x14ac:dyDescent="0.35">
      <c r="A65" s="180" t="s">
        <v>86</v>
      </c>
      <c r="B65" s="180"/>
      <c r="C65" s="180"/>
      <c r="D65" s="128" t="str">
        <f ca="1">(IF(E71&gt;95%,"Nothing",IF(E71&gt;0%,"Cement, Aggregate, Steel, etc",IF(E71=0%,"Work not yet Started"))))</f>
        <v>Cement, Aggregate, Steel, etc</v>
      </c>
      <c r="E65" s="128"/>
      <c r="F65" s="128"/>
      <c r="G65" s="128"/>
      <c r="H65" s="128"/>
      <c r="J65" s="23"/>
    </row>
    <row r="66" spans="1:10" ht="33.75" customHeight="1" thickBot="1" x14ac:dyDescent="0.4">
      <c r="A66" s="123" t="s">
        <v>116</v>
      </c>
      <c r="B66" s="123"/>
      <c r="C66" s="123"/>
      <c r="D66" s="125" t="str">
        <f ca="1">(IF(D65="Nothing","Yes",IF(D65="Cement, Aggregate, Steel, etc","Under Construction",IF(D65="Work not yet Started","Work not yet Started"))))</f>
        <v>Under Construction</v>
      </c>
      <c r="E66" s="125"/>
      <c r="F66" s="125" t="str">
        <f ca="1">(IF(D65="Nothing","Yes",IF(D65="Cement, Aggregate, Steel, etc","Under Construction",IF(D65="Work not yet Started","Work not yet Started"))))</f>
        <v>Under Construction</v>
      </c>
      <c r="G66" s="125"/>
      <c r="H66" s="125"/>
    </row>
    <row r="67" spans="1:10" ht="15.75" customHeight="1" x14ac:dyDescent="0.35">
      <c r="A67" s="147" t="s">
        <v>139</v>
      </c>
      <c r="B67" s="147"/>
      <c r="C67" s="147" t="str">
        <f>D58</f>
        <v>Wing A - Gr + 1st to 16th Floor</v>
      </c>
      <c r="D67" s="147"/>
      <c r="E67" s="147"/>
      <c r="F67" s="147"/>
      <c r="G67" s="147"/>
      <c r="H67" s="147"/>
      <c r="I67" s="65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14 Floor, Flooring upto 9 Floor, Painting upto 9 Floor Completed</v>
      </c>
      <c r="J67" s="44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14 Floor, Flooring upto 9 Floor, Painting upto 9 Floor</v>
      </c>
    </row>
    <row r="68" spans="1:10" x14ac:dyDescent="0.35">
      <c r="A68" s="42" t="s">
        <v>141</v>
      </c>
      <c r="B68" s="42">
        <f>IF(AND(ISNUMBER(SEARCH("1B",C67))),1,IF(AND(ISNUMBER(SEARCH("2B",C67))),2,IF(AND(ISNUMBER(SEARCH("3B",C67))),3,IF(AND(ISNUMBER(SEARCH("4B",C67))),4,IF(ISNUMBER(SEARCH("5B",C67)),5,0)))))</f>
        <v>0</v>
      </c>
      <c r="C68" s="42" t="s">
        <v>72</v>
      </c>
      <c r="D68" s="42">
        <v>1</v>
      </c>
      <c r="E68" s="42" t="s">
        <v>71</v>
      </c>
      <c r="F68" s="42">
        <v>0</v>
      </c>
      <c r="G68" s="42" t="s">
        <v>80</v>
      </c>
      <c r="H68" s="42">
        <f ca="1">--TRIM(RIGHT(SUBSTITUTE(LEFT(C67,_xlfn.AGGREGATE(16,6,FIND({0,1,2,3,4,5,6,7,8,9},C67,ROW(INDIRECT("1:"&amp;LEN(C67)))),1))," ",REPT(" ",LEN(C67))),LEN(C67)))</f>
        <v>16</v>
      </c>
      <c r="I68" s="66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46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" customHeight="1" x14ac:dyDescent="0.35">
      <c r="A69" s="150" t="s">
        <v>90</v>
      </c>
      <c r="B69" s="150"/>
      <c r="C69" s="147" t="str">
        <f ca="1">(IF($G$53="NA",I67,"All work Completed. OC Received."))</f>
        <v>Excavation, Plinth, RCC Slab, Brickwork, Internal Plaster Completed, External Plaster upto 14 Floor, Flooring upto 9 Floor, Painting upto 9 Floor Completed</v>
      </c>
      <c r="D69" s="147"/>
      <c r="E69" s="147"/>
      <c r="F69" s="147"/>
      <c r="G69" s="147"/>
      <c r="H69" s="147"/>
      <c r="I69" s="66" t="str">
        <f ca="1">IF(I68&lt;&gt;""," Completed","")</f>
        <v xml:space="preserve"> Completed</v>
      </c>
      <c r="J69" s="46" t="str">
        <f ca="1">IF(J67&lt;&gt;"","Completed","")</f>
        <v>Completed</v>
      </c>
    </row>
    <row r="70" spans="1:10" ht="15.75" customHeight="1" x14ac:dyDescent="0.35">
      <c r="A70" s="137" t="s">
        <v>49</v>
      </c>
      <c r="B70" s="137"/>
      <c r="C70" s="63" t="s">
        <v>138</v>
      </c>
      <c r="D70" s="63" t="s">
        <v>83</v>
      </c>
      <c r="E70" s="137" t="s">
        <v>85</v>
      </c>
      <c r="F70" s="137"/>
      <c r="G70" s="137" t="s">
        <v>84</v>
      </c>
      <c r="H70" s="137"/>
      <c r="I70" s="14" t="s">
        <v>140</v>
      </c>
      <c r="J70" s="25">
        <f ca="1">H68*25%</f>
        <v>4</v>
      </c>
    </row>
    <row r="71" spans="1:10" x14ac:dyDescent="0.35">
      <c r="A71" s="137" t="s">
        <v>127</v>
      </c>
      <c r="B71" s="137"/>
      <c r="C71" s="63">
        <f ca="1">J72</f>
        <v>16</v>
      </c>
      <c r="D71" s="50">
        <f ca="1">((100/H68)*C71)/100</f>
        <v>1</v>
      </c>
      <c r="E71" s="190">
        <f ca="1">(((C72/H68*10)+(40/(D68+F68+H68)*C73)+(7.5/(H68)*C74)+(7.5/(H68)*C75)+(10/H68*C76)+(10/H68*C77)+(5/H68*C78)+(5/H68*C79)+(5/H68*C80))/100)</f>
        <v>0.82187500000000002</v>
      </c>
      <c r="F71" s="190"/>
      <c r="G71" s="190">
        <f ca="1">((((C71/H68)*20)+((C72/H68)*25)+(30/(H68+F68+D68)*C73)+(5/H68*C74)+(5/H68*C75)+(5/H68*C76)+(5/H68*C77)+(0/H68*C78)+(0/H68*C79)+(5/H68*C80))/100)</f>
        <v>0.921875</v>
      </c>
      <c r="H71" s="190"/>
      <c r="I71" s="14" t="s">
        <v>98</v>
      </c>
      <c r="J71" s="26">
        <f ca="1">H68*50%</f>
        <v>8</v>
      </c>
    </row>
    <row r="72" spans="1:10" x14ac:dyDescent="0.35">
      <c r="A72" s="137" t="s">
        <v>50</v>
      </c>
      <c r="B72" s="137"/>
      <c r="C72" s="52">
        <v>16</v>
      </c>
      <c r="D72" s="50">
        <f ca="1">((100/H68)*C72)/100</f>
        <v>1</v>
      </c>
      <c r="E72" s="190"/>
      <c r="F72" s="190"/>
      <c r="G72" s="190"/>
      <c r="H72" s="190"/>
      <c r="I72" s="14" t="s">
        <v>99</v>
      </c>
      <c r="J72" s="26">
        <f ca="1">H68</f>
        <v>16</v>
      </c>
    </row>
    <row r="73" spans="1:10" ht="15.75" customHeight="1" x14ac:dyDescent="0.35">
      <c r="A73" s="137" t="s">
        <v>128</v>
      </c>
      <c r="B73" s="137"/>
      <c r="C73" s="63">
        <v>17</v>
      </c>
      <c r="D73" s="50">
        <f ca="1">((100/(D68+F68+H68))*C73)/100</f>
        <v>1</v>
      </c>
      <c r="E73" s="190"/>
      <c r="F73" s="190"/>
      <c r="G73" s="190"/>
      <c r="H73" s="190"/>
      <c r="I73" s="14" t="s">
        <v>100</v>
      </c>
      <c r="J73" s="27">
        <f ca="1">(IF(B68&gt;1,(H68/(B68+2)),H68/4))</f>
        <v>4</v>
      </c>
    </row>
    <row r="74" spans="1:10" ht="15.75" customHeight="1" x14ac:dyDescent="0.35">
      <c r="A74" s="137" t="s">
        <v>135</v>
      </c>
      <c r="B74" s="137" t="s">
        <v>129</v>
      </c>
      <c r="C74" s="63">
        <v>16</v>
      </c>
      <c r="D74" s="50">
        <f ca="1">((100/H68)*C74)/100</f>
        <v>1</v>
      </c>
      <c r="E74" s="190"/>
      <c r="F74" s="190"/>
      <c r="G74" s="190"/>
      <c r="H74" s="190"/>
      <c r="I74" s="14" t="s">
        <v>101</v>
      </c>
      <c r="J74" s="27">
        <f ca="1">(IF(B68&gt;1,(H68/(B68+2)+J73),H68/4+J73))</f>
        <v>8</v>
      </c>
    </row>
    <row r="75" spans="1:10" ht="15.75" customHeight="1" x14ac:dyDescent="0.35">
      <c r="A75" s="137" t="s">
        <v>136</v>
      </c>
      <c r="B75" s="137" t="s">
        <v>129</v>
      </c>
      <c r="C75" s="63">
        <v>16</v>
      </c>
      <c r="D75" s="50">
        <f ca="1">((100/H68)*C75)/100</f>
        <v>1</v>
      </c>
      <c r="E75" s="190"/>
      <c r="F75" s="190"/>
      <c r="G75" s="190"/>
      <c r="H75" s="190"/>
      <c r="I75" s="14" t="s">
        <v>145</v>
      </c>
      <c r="J75" s="27">
        <f>(IF(B68&gt;1,(H68/(B68+2)+J74),0))</f>
        <v>0</v>
      </c>
    </row>
    <row r="76" spans="1:10" ht="15" customHeight="1" x14ac:dyDescent="0.35">
      <c r="A76" s="137" t="s">
        <v>134</v>
      </c>
      <c r="B76" s="137" t="s">
        <v>131</v>
      </c>
      <c r="C76" s="63">
        <v>14</v>
      </c>
      <c r="D76" s="50">
        <f ca="1">((100/(H68))*C76)/100</f>
        <v>0.875</v>
      </c>
      <c r="E76" s="190"/>
      <c r="F76" s="190"/>
      <c r="G76" s="190"/>
      <c r="H76" s="190"/>
      <c r="I76" s="14" t="s">
        <v>142</v>
      </c>
      <c r="J76" s="27">
        <f>(IF(B68&gt;2,(H68/(B68+2)+J75),0))</f>
        <v>0</v>
      </c>
    </row>
    <row r="77" spans="1:10" ht="15.75" customHeight="1" x14ac:dyDescent="0.35">
      <c r="A77" s="137" t="s">
        <v>130</v>
      </c>
      <c r="B77" s="137" t="s">
        <v>130</v>
      </c>
      <c r="C77" s="63">
        <v>9</v>
      </c>
      <c r="D77" s="50">
        <f ca="1">((100/H68)*C77)/100</f>
        <v>0.5625</v>
      </c>
      <c r="E77" s="190"/>
      <c r="F77" s="190"/>
      <c r="G77" s="190"/>
      <c r="H77" s="190"/>
      <c r="I77" s="14" t="s">
        <v>143</v>
      </c>
      <c r="J77" s="28">
        <f>(IF(B68&gt;3,(H68/(B68+2)+J76),0))</f>
        <v>0</v>
      </c>
    </row>
    <row r="78" spans="1:10" ht="15.75" customHeight="1" x14ac:dyDescent="0.35">
      <c r="A78" s="137" t="s">
        <v>137</v>
      </c>
      <c r="B78" s="137"/>
      <c r="C78" s="63">
        <v>9</v>
      </c>
      <c r="D78" s="50">
        <f ca="1">((100/H68)*C78)/100</f>
        <v>0.5625</v>
      </c>
      <c r="E78" s="190"/>
      <c r="F78" s="190"/>
      <c r="G78" s="190"/>
      <c r="H78" s="190"/>
      <c r="I78" s="14" t="s">
        <v>144</v>
      </c>
      <c r="J78" s="27">
        <f>(IF(B68&gt;4,(H68/(B68+2)+J77),0))</f>
        <v>0</v>
      </c>
    </row>
    <row r="79" spans="1:10" ht="15.75" customHeight="1" x14ac:dyDescent="0.35">
      <c r="A79" s="137" t="s">
        <v>132</v>
      </c>
      <c r="B79" s="137" t="s">
        <v>132</v>
      </c>
      <c r="C79" s="63">
        <v>0</v>
      </c>
      <c r="D79" s="50">
        <f ca="1">((100/(H68))*C79)/100</f>
        <v>0</v>
      </c>
      <c r="E79" s="190"/>
      <c r="F79" s="190"/>
      <c r="G79" s="190"/>
      <c r="H79" s="190"/>
      <c r="I79" s="14" t="s">
        <v>146</v>
      </c>
      <c r="J79" s="27">
        <f ca="1">(IF(B68=1,(H68/(B68+3)+J74),IF(B68=0,(H68/4+J74),IF(B68&gt;1,0))))</f>
        <v>12</v>
      </c>
    </row>
    <row r="80" spans="1:10" ht="16" thickBot="1" x14ac:dyDescent="0.4">
      <c r="A80" s="137" t="s">
        <v>133</v>
      </c>
      <c r="B80" s="137"/>
      <c r="C80" s="63">
        <v>0</v>
      </c>
      <c r="D80" s="50">
        <f ca="1">((100/(H68))*C80)/100</f>
        <v>0</v>
      </c>
      <c r="E80" s="190"/>
      <c r="F80" s="190"/>
      <c r="G80" s="190"/>
      <c r="H80" s="190"/>
      <c r="I80" s="15" t="s">
        <v>102</v>
      </c>
      <c r="J80" s="29">
        <f ca="1">(IF(B68&gt;1.5,(H68/(B68+2)+J74+MAX(0,J75-J74)+MAX(0,J76-J75)+MAX(0,J77-J76)+MAX(0,J78-J77)+MAX(0,J79-J78)),IF(B68=1,(H68/(B68+3)+J79),IF(B68=0,H68/4+J79))))</f>
        <v>16</v>
      </c>
    </row>
    <row r="81" spans="1:12" ht="15.75" customHeight="1" x14ac:dyDescent="0.35">
      <c r="A81" s="181" t="s">
        <v>139</v>
      </c>
      <c r="B81" s="182"/>
      <c r="C81" s="183" t="str">
        <f>D59</f>
        <v>Wing B - Gr + 1st to 16th Floor</v>
      </c>
      <c r="D81" s="184"/>
      <c r="E81" s="184"/>
      <c r="F81" s="184"/>
      <c r="G81" s="184"/>
      <c r="H81" s="185"/>
      <c r="I81" s="43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14 Floor, Flooring upto 9 Floor, Painting upto 9 Floor Completed</v>
      </c>
      <c r="J81" s="44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14 Floor, Flooring upto 9 Floor, Painting upto 9 Floor</v>
      </c>
    </row>
    <row r="82" spans="1:12" x14ac:dyDescent="0.35">
      <c r="A82" s="16" t="s">
        <v>141</v>
      </c>
      <c r="B82" s="42">
        <f>IF(AND(ISNUMBER(SEARCH("1B",C81))),1,IF(AND(ISNUMBER(SEARCH("2B",C81))),2,IF(AND(ISNUMBER(SEARCH("3B",C81))),3,IF(AND(ISNUMBER(SEARCH("4B",C81))),4,IF(ISNUMBER(SEARCH("5B",C81)),5,0)))))</f>
        <v>0</v>
      </c>
      <c r="C82" s="42" t="s">
        <v>72</v>
      </c>
      <c r="D82" s="42">
        <v>1</v>
      </c>
      <c r="E82" s="42" t="s">
        <v>71</v>
      </c>
      <c r="F82" s="42">
        <v>0</v>
      </c>
      <c r="G82" s="42" t="s">
        <v>80</v>
      </c>
      <c r="H82" s="17">
        <f ca="1">--TRIM(RIGHT(SUBSTITUTE(LEFT(C81,_xlfn.AGGREGATE(16,6,FIND({0,1,2,3,4,5,6,7,8,9},C81,ROW(INDIRECT("1:"&amp;LEN(C81)))),1))," ",REPT(" ",LEN(C81))),LEN(C81)))</f>
        <v>16</v>
      </c>
      <c r="I82" s="45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46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2" ht="46.5" customHeight="1" x14ac:dyDescent="0.35">
      <c r="A83" s="186" t="s">
        <v>90</v>
      </c>
      <c r="B83" s="187"/>
      <c r="C83" s="67" t="str">
        <f ca="1">(IF($G$53="NA",I81,"All work Completed. OC Received."))</f>
        <v>Excavation, Plinth, RCC Slab, Brickwork, Internal Plaster Completed, External Plaster upto 14 Floor, Flooring upto 9 Floor, Painting upto 9 Floor Completed</v>
      </c>
      <c r="D83" s="68"/>
      <c r="E83" s="68"/>
      <c r="F83" s="68"/>
      <c r="G83" s="68"/>
      <c r="H83" s="69"/>
      <c r="I83" s="45" t="str">
        <f ca="1">IF(I82&lt;&gt;""," Completed","")</f>
        <v xml:space="preserve"> Completed</v>
      </c>
      <c r="J83" s="46" t="str">
        <f ca="1">IF(J81&lt;&gt;"","Completed","")</f>
        <v>Completed</v>
      </c>
    </row>
    <row r="84" spans="1:12" ht="15.75" customHeight="1" x14ac:dyDescent="0.35">
      <c r="A84" s="70" t="s">
        <v>49</v>
      </c>
      <c r="B84" s="71"/>
      <c r="C84" s="63" t="s">
        <v>138</v>
      </c>
      <c r="D84" s="63" t="s">
        <v>83</v>
      </c>
      <c r="E84" s="72" t="s">
        <v>85</v>
      </c>
      <c r="F84" s="71"/>
      <c r="G84" s="72" t="s">
        <v>84</v>
      </c>
      <c r="H84" s="73"/>
      <c r="I84" s="14" t="s">
        <v>140</v>
      </c>
      <c r="J84" s="25">
        <f ca="1">H82*25%</f>
        <v>4</v>
      </c>
    </row>
    <row r="85" spans="1:12" x14ac:dyDescent="0.35">
      <c r="A85" s="70" t="s">
        <v>127</v>
      </c>
      <c r="B85" s="71"/>
      <c r="C85" s="63">
        <f ca="1">J86</f>
        <v>16</v>
      </c>
      <c r="D85" s="50">
        <f ca="1">((100/H82)*C85)/100</f>
        <v>1</v>
      </c>
      <c r="E85" s="74">
        <f ca="1">(((C86/H82*10)+(40/(D82+F82+H82)*C87)+(7.5/(H82)*C88)+(7.5/(H82)*C89)+(10/H82*C90)+(10/H82*C91)+(5/H82*C92)+(5/H82*C93)+(5/H82*C94))/100)</f>
        <v>0.82187500000000002</v>
      </c>
      <c r="F85" s="75"/>
      <c r="G85" s="74">
        <f ca="1">((((C85/H82)*20)+((C86/H82)*25)+(30/(H82+F82+D82)*C87)+(5/H82*C88)+(5/H82*C89)+(5/H82*C90)+(5/H82*C91)+(0/H82*C92)+(0/H82*C93)+(5/H82*C94))/100)</f>
        <v>0.921875</v>
      </c>
      <c r="H85" s="80"/>
      <c r="I85" s="14" t="s">
        <v>98</v>
      </c>
      <c r="J85" s="26">
        <f ca="1">H82*50%</f>
        <v>8</v>
      </c>
    </row>
    <row r="86" spans="1:12" x14ac:dyDescent="0.35">
      <c r="A86" s="70" t="s">
        <v>50</v>
      </c>
      <c r="B86" s="71"/>
      <c r="C86" s="52">
        <v>16</v>
      </c>
      <c r="D86" s="50">
        <f ca="1">((100/H82)*C86)/100</f>
        <v>1</v>
      </c>
      <c r="E86" s="76"/>
      <c r="F86" s="77"/>
      <c r="G86" s="76"/>
      <c r="H86" s="81"/>
      <c r="I86" s="14" t="s">
        <v>99</v>
      </c>
      <c r="J86" s="26">
        <f ca="1">H82</f>
        <v>16</v>
      </c>
    </row>
    <row r="87" spans="1:12" ht="15.75" customHeight="1" x14ac:dyDescent="0.35">
      <c r="A87" s="70" t="s">
        <v>128</v>
      </c>
      <c r="B87" s="71"/>
      <c r="C87" s="63">
        <v>17</v>
      </c>
      <c r="D87" s="50">
        <f ca="1">((100/(D82+F82+H82))*C87)/100</f>
        <v>1</v>
      </c>
      <c r="E87" s="76"/>
      <c r="F87" s="77"/>
      <c r="G87" s="76"/>
      <c r="H87" s="81"/>
      <c r="I87" s="14" t="s">
        <v>100</v>
      </c>
      <c r="J87" s="27">
        <f ca="1">(IF(B82&gt;1,(H82/(B82+2)),H82/4))</f>
        <v>4</v>
      </c>
    </row>
    <row r="88" spans="1:12" ht="15.75" customHeight="1" x14ac:dyDescent="0.35">
      <c r="A88" s="70" t="s">
        <v>135</v>
      </c>
      <c r="B88" s="71" t="s">
        <v>129</v>
      </c>
      <c r="C88" s="63">
        <v>16</v>
      </c>
      <c r="D88" s="50">
        <f ca="1">((100/H82)*C88)/100</f>
        <v>1</v>
      </c>
      <c r="E88" s="76"/>
      <c r="F88" s="77"/>
      <c r="G88" s="76"/>
      <c r="H88" s="81"/>
      <c r="I88" s="14" t="s">
        <v>101</v>
      </c>
      <c r="J88" s="27">
        <f ca="1">(IF(B82&gt;1,(H82/(B82+2)+J87),H82/4+J87))</f>
        <v>8</v>
      </c>
    </row>
    <row r="89" spans="1:12" ht="15.75" customHeight="1" x14ac:dyDescent="0.35">
      <c r="A89" s="70" t="s">
        <v>136</v>
      </c>
      <c r="B89" s="71" t="s">
        <v>129</v>
      </c>
      <c r="C89" s="63">
        <v>16</v>
      </c>
      <c r="D89" s="50">
        <f ca="1">((100/H82)*C89)/100</f>
        <v>1</v>
      </c>
      <c r="E89" s="76"/>
      <c r="F89" s="77"/>
      <c r="G89" s="76"/>
      <c r="H89" s="81"/>
      <c r="I89" s="14" t="s">
        <v>145</v>
      </c>
      <c r="J89" s="27">
        <f>(IF(B82&gt;1,(H82/(B82+2)+J88),0))</f>
        <v>0</v>
      </c>
    </row>
    <row r="90" spans="1:12" ht="15" customHeight="1" x14ac:dyDescent="0.35">
      <c r="A90" s="70" t="s">
        <v>134</v>
      </c>
      <c r="B90" s="71" t="s">
        <v>131</v>
      </c>
      <c r="C90" s="63">
        <v>14</v>
      </c>
      <c r="D90" s="50">
        <f ca="1">((100/(H82))*C90)/100</f>
        <v>0.875</v>
      </c>
      <c r="E90" s="76"/>
      <c r="F90" s="77"/>
      <c r="G90" s="76"/>
      <c r="H90" s="81"/>
      <c r="I90" s="14" t="s">
        <v>142</v>
      </c>
      <c r="J90" s="27">
        <f>(IF(B82&gt;2,(H82/(B82+2)+J89),0))</f>
        <v>0</v>
      </c>
    </row>
    <row r="91" spans="1:12" ht="15.75" customHeight="1" x14ac:dyDescent="0.35">
      <c r="A91" s="70" t="s">
        <v>130</v>
      </c>
      <c r="B91" s="71" t="s">
        <v>130</v>
      </c>
      <c r="C91" s="63">
        <v>9</v>
      </c>
      <c r="D91" s="50">
        <f ca="1">((100/H82)*C91)/100</f>
        <v>0.5625</v>
      </c>
      <c r="E91" s="76"/>
      <c r="F91" s="77"/>
      <c r="G91" s="76"/>
      <c r="H91" s="81"/>
      <c r="I91" s="14" t="s">
        <v>143</v>
      </c>
      <c r="J91" s="28">
        <f>(IF(B82&gt;3,(H82/(B82+2)+J90),0))</f>
        <v>0</v>
      </c>
    </row>
    <row r="92" spans="1:12" ht="15.75" customHeight="1" x14ac:dyDescent="0.35">
      <c r="A92" s="70" t="s">
        <v>137</v>
      </c>
      <c r="B92" s="71"/>
      <c r="C92" s="63">
        <v>9</v>
      </c>
      <c r="D92" s="50">
        <f ca="1">((100/H82)*C92)/100</f>
        <v>0.5625</v>
      </c>
      <c r="E92" s="76"/>
      <c r="F92" s="77"/>
      <c r="G92" s="76"/>
      <c r="H92" s="81"/>
      <c r="I92" s="14" t="s">
        <v>144</v>
      </c>
      <c r="J92" s="27">
        <f>(IF(B82&gt;4,(H82/(B82+2)+J91),0))</f>
        <v>0</v>
      </c>
    </row>
    <row r="93" spans="1:12" ht="15.75" customHeight="1" x14ac:dyDescent="0.35">
      <c r="A93" s="70" t="s">
        <v>132</v>
      </c>
      <c r="B93" s="71" t="s">
        <v>132</v>
      </c>
      <c r="C93" s="63">
        <v>0</v>
      </c>
      <c r="D93" s="50">
        <f ca="1">((100/(H82))*C93)/100</f>
        <v>0</v>
      </c>
      <c r="E93" s="76"/>
      <c r="F93" s="77"/>
      <c r="G93" s="76"/>
      <c r="H93" s="81"/>
      <c r="I93" s="14" t="s">
        <v>146</v>
      </c>
      <c r="J93" s="27">
        <f ca="1">(IF(B82=1,(H82/(B82+3)+J88),IF(B82=0,(H82/4+J88),IF(B82&gt;1,0))))</f>
        <v>12</v>
      </c>
    </row>
    <row r="94" spans="1:12" ht="16" thickBot="1" x14ac:dyDescent="0.4">
      <c r="A94" s="83" t="s">
        <v>133</v>
      </c>
      <c r="B94" s="84"/>
      <c r="C94" s="64">
        <v>0</v>
      </c>
      <c r="D94" s="51">
        <f ca="1">((100/(H82))*C94)/100</f>
        <v>0</v>
      </c>
      <c r="E94" s="78"/>
      <c r="F94" s="79"/>
      <c r="G94" s="78"/>
      <c r="H94" s="82"/>
      <c r="I94" s="15" t="s">
        <v>102</v>
      </c>
      <c r="J94" s="29">
        <f ca="1">(IF(B82&gt;1.5,(H82/(B82+2)+J88+MAX(0,J89-J88)+MAX(0,J90-J89)+MAX(0,J91-J90)+MAX(0,J92-J91)+MAX(0,J93-J92)),IF(B82=1,(H82/(B82+3)+J93),IF(B82=0,H82/4+J93))))</f>
        <v>16</v>
      </c>
    </row>
    <row r="95" spans="1:12" x14ac:dyDescent="0.35">
      <c r="A95" s="195" t="s">
        <v>156</v>
      </c>
      <c r="B95" s="195"/>
      <c r="C95" s="195"/>
      <c r="D95" s="195"/>
      <c r="E95" s="195"/>
      <c r="F95" s="191" t="s">
        <v>160</v>
      </c>
      <c r="G95" s="191"/>
      <c r="H95" s="191"/>
    </row>
    <row r="96" spans="1:12" x14ac:dyDescent="0.35">
      <c r="A96" s="116" t="s">
        <v>158</v>
      </c>
      <c r="B96" s="116"/>
      <c r="C96" s="116"/>
      <c r="D96" s="116"/>
      <c r="E96" s="116"/>
      <c r="F96" s="138">
        <v>6100</v>
      </c>
      <c r="G96" s="138"/>
      <c r="H96" s="138"/>
      <c r="I96" s="18" t="s">
        <v>226</v>
      </c>
      <c r="J96" s="18" t="s">
        <v>227</v>
      </c>
      <c r="K96" s="22">
        <v>45467</v>
      </c>
      <c r="L96" s="18" t="s">
        <v>230</v>
      </c>
    </row>
    <row r="97" spans="1:9" x14ac:dyDescent="0.35">
      <c r="A97" s="116" t="s">
        <v>157</v>
      </c>
      <c r="B97" s="116"/>
      <c r="C97" s="116"/>
      <c r="D97" s="116"/>
      <c r="E97" s="116"/>
      <c r="F97" s="112">
        <v>12000</v>
      </c>
      <c r="G97" s="112"/>
      <c r="H97" s="112"/>
    </row>
    <row r="98" spans="1:9" x14ac:dyDescent="0.35">
      <c r="A98" s="116" t="s">
        <v>159</v>
      </c>
      <c r="B98" s="116"/>
      <c r="C98" s="116"/>
      <c r="D98" s="116"/>
      <c r="E98" s="116"/>
      <c r="F98" s="112">
        <v>10000</v>
      </c>
      <c r="G98" s="112"/>
      <c r="H98" s="112"/>
    </row>
    <row r="99" spans="1:9" s="30" customFormat="1" hidden="1" x14ac:dyDescent="0.3">
      <c r="A99" s="116" t="s">
        <v>172</v>
      </c>
      <c r="B99" s="116"/>
      <c r="C99" s="116"/>
      <c r="D99" s="116"/>
      <c r="E99" s="116"/>
      <c r="F99" s="112"/>
      <c r="G99" s="112"/>
      <c r="H99" s="112"/>
    </row>
    <row r="100" spans="1:9" s="30" customFormat="1" x14ac:dyDescent="0.3">
      <c r="A100" s="116" t="s">
        <v>222</v>
      </c>
      <c r="B100" s="116"/>
      <c r="C100" s="116"/>
      <c r="D100" s="116"/>
      <c r="E100" s="116"/>
      <c r="F100" s="112">
        <v>250000</v>
      </c>
      <c r="G100" s="112"/>
      <c r="H100" s="112"/>
    </row>
    <row r="101" spans="1:9" s="30" customFormat="1" hidden="1" x14ac:dyDescent="0.3">
      <c r="A101" s="116" t="s">
        <v>221</v>
      </c>
      <c r="B101" s="116"/>
      <c r="C101" s="116"/>
      <c r="D101" s="116"/>
      <c r="E101" s="116"/>
      <c r="F101" s="112">
        <v>200000</v>
      </c>
      <c r="G101" s="112"/>
      <c r="H101" s="112"/>
    </row>
    <row r="102" spans="1:9" s="30" customFormat="1" x14ac:dyDescent="0.3">
      <c r="A102" s="116" t="s">
        <v>214</v>
      </c>
      <c r="B102" s="116"/>
      <c r="C102" s="116"/>
      <c r="D102" s="116"/>
      <c r="E102" s="116"/>
      <c r="F102" s="112">
        <v>50000</v>
      </c>
      <c r="G102" s="112"/>
      <c r="H102" s="112"/>
    </row>
    <row r="103" spans="1:9" s="30" customFormat="1" hidden="1" x14ac:dyDescent="0.3">
      <c r="A103" s="116" t="s">
        <v>95</v>
      </c>
      <c r="B103" s="116"/>
      <c r="C103" s="116"/>
      <c r="D103" s="116"/>
      <c r="E103" s="116"/>
      <c r="F103" s="112"/>
      <c r="G103" s="112"/>
      <c r="H103" s="112"/>
    </row>
    <row r="104" spans="1:9" s="30" customFormat="1" hidden="1" x14ac:dyDescent="0.3">
      <c r="A104" s="116" t="s">
        <v>96</v>
      </c>
      <c r="B104" s="116"/>
      <c r="C104" s="116"/>
      <c r="D104" s="116"/>
      <c r="E104" s="116"/>
      <c r="F104" s="112"/>
      <c r="G104" s="112"/>
      <c r="H104" s="112"/>
    </row>
    <row r="105" spans="1:9" s="30" customFormat="1" hidden="1" x14ac:dyDescent="0.3">
      <c r="A105" s="116" t="s">
        <v>213</v>
      </c>
      <c r="B105" s="116"/>
      <c r="C105" s="116"/>
      <c r="D105" s="116"/>
      <c r="E105" s="116"/>
      <c r="F105" s="112">
        <v>200000</v>
      </c>
      <c r="G105" s="112"/>
      <c r="H105" s="112"/>
    </row>
    <row r="106" spans="1:9" s="30" customFormat="1" hidden="1" x14ac:dyDescent="0.3">
      <c r="A106" s="116" t="s">
        <v>97</v>
      </c>
      <c r="B106" s="116"/>
      <c r="C106" s="116"/>
      <c r="D106" s="116"/>
      <c r="E106" s="116"/>
      <c r="F106" s="112"/>
      <c r="G106" s="112"/>
      <c r="H106" s="112"/>
    </row>
    <row r="107" spans="1:9" x14ac:dyDescent="0.35">
      <c r="A107" s="116" t="s">
        <v>51</v>
      </c>
      <c r="B107" s="116"/>
      <c r="C107" s="116"/>
      <c r="D107" s="116"/>
      <c r="E107" s="116"/>
      <c r="F107" s="112">
        <v>300000</v>
      </c>
      <c r="G107" s="112"/>
      <c r="H107" s="112"/>
      <c r="I107" s="18" t="s">
        <v>228</v>
      </c>
    </row>
    <row r="108" spans="1:9" s="31" customFormat="1" x14ac:dyDescent="0.35">
      <c r="A108" s="127" t="s">
        <v>52</v>
      </c>
      <c r="B108" s="127"/>
      <c r="C108" s="127"/>
      <c r="D108" s="127"/>
      <c r="E108" s="127"/>
      <c r="F108" s="112">
        <f>F96*0.8</f>
        <v>4880</v>
      </c>
      <c r="G108" s="112"/>
      <c r="H108" s="112"/>
    </row>
    <row r="109" spans="1:9" s="32" customFormat="1" ht="15.75" customHeight="1" x14ac:dyDescent="0.35">
      <c r="A109" s="170" t="s">
        <v>217</v>
      </c>
      <c r="B109" s="170"/>
      <c r="C109" s="170"/>
      <c r="D109" s="170"/>
      <c r="E109" s="170"/>
      <c r="F109" s="170"/>
      <c r="G109" s="170"/>
      <c r="H109" s="170"/>
    </row>
    <row r="110" spans="1:9" s="32" customFormat="1" ht="15.75" customHeight="1" x14ac:dyDescent="0.35">
      <c r="A110" s="115" t="s">
        <v>53</v>
      </c>
      <c r="B110" s="115"/>
      <c r="C110" s="113" t="s">
        <v>78</v>
      </c>
      <c r="D110" s="113"/>
      <c r="E110" s="172" t="s">
        <v>54</v>
      </c>
      <c r="F110" s="172"/>
      <c r="G110" s="115" t="s">
        <v>55</v>
      </c>
      <c r="H110" s="115"/>
    </row>
    <row r="111" spans="1:9" s="32" customFormat="1" x14ac:dyDescent="0.35">
      <c r="A111" s="171" t="s">
        <v>198</v>
      </c>
      <c r="B111" s="171"/>
      <c r="C111" s="117">
        <f>COUNT(D126:D153)</f>
        <v>28</v>
      </c>
      <c r="D111" s="118"/>
      <c r="E111" s="119">
        <f>SUM(D126:D153)</f>
        <v>6078.6460799999986</v>
      </c>
      <c r="F111" s="120"/>
      <c r="G111" s="119">
        <f>SUM(F126:F153)</f>
        <v>12981.976019999998</v>
      </c>
      <c r="H111" s="120"/>
    </row>
    <row r="112" spans="1:9" s="32" customFormat="1" x14ac:dyDescent="0.35">
      <c r="A112" s="171" t="s">
        <v>201</v>
      </c>
      <c r="B112" s="171"/>
      <c r="C112" s="117">
        <f>COUNT(D155:D158)</f>
        <v>4</v>
      </c>
      <c r="D112" s="118"/>
      <c r="E112" s="119">
        <f>SUM(D155:D158)</f>
        <v>6284.0231999999996</v>
      </c>
      <c r="F112" s="120"/>
      <c r="G112" s="119">
        <f>SUM(F155:F158)</f>
        <v>10157.007275999998</v>
      </c>
      <c r="H112" s="120"/>
    </row>
    <row r="113" spans="1:14" s="32" customFormat="1" x14ac:dyDescent="0.35">
      <c r="A113" s="170" t="s">
        <v>149</v>
      </c>
      <c r="B113" s="170"/>
      <c r="C113" s="192">
        <f>SUM(C111:D112)</f>
        <v>32</v>
      </c>
      <c r="D113" s="113"/>
      <c r="E113" s="193">
        <f>SUM(E111:F112)</f>
        <v>12362.669279999998</v>
      </c>
      <c r="F113" s="172"/>
      <c r="G113" s="115">
        <f>SUM(G111:H112)</f>
        <v>23138.983295999999</v>
      </c>
      <c r="H113" s="115"/>
    </row>
    <row r="114" spans="1:14" s="32" customFormat="1" x14ac:dyDescent="0.35">
      <c r="A114" s="170" t="s">
        <v>70</v>
      </c>
      <c r="B114" s="170"/>
      <c r="C114" s="170"/>
      <c r="D114" s="170"/>
      <c r="E114" s="170"/>
      <c r="F114" s="170"/>
      <c r="G114" s="170"/>
      <c r="H114" s="170"/>
    </row>
    <row r="115" spans="1:14" s="32" customFormat="1" ht="15.75" customHeight="1" x14ac:dyDescent="0.35">
      <c r="A115" s="115" t="s">
        <v>53</v>
      </c>
      <c r="B115" s="115"/>
      <c r="C115" s="113" t="s">
        <v>78</v>
      </c>
      <c r="D115" s="113"/>
      <c r="E115" s="172" t="s">
        <v>54</v>
      </c>
      <c r="F115" s="172"/>
      <c r="G115" s="115" t="s">
        <v>55</v>
      </c>
      <c r="H115" s="115"/>
    </row>
    <row r="116" spans="1:14" s="32" customFormat="1" x14ac:dyDescent="0.35">
      <c r="A116" s="171" t="s">
        <v>194</v>
      </c>
      <c r="B116" s="171"/>
      <c r="C116" s="118">
        <f>COUNT(D164:D169)+COUNT(D171:D179)*11+COUNT(D181:D189)*2+COUNT(D191:D195)</f>
        <v>128</v>
      </c>
      <c r="D116" s="118"/>
      <c r="E116" s="119">
        <f>SUM(D164:D169)+SUM(D171:D179)*11+SUM(D181:D189)*2+SUM(D191:D195)</f>
        <v>61027.359119999994</v>
      </c>
      <c r="F116" s="119"/>
      <c r="G116" s="119">
        <f>SUM(F164:F169)+SUM(F171:F179)*11+SUM(F181:F189)*2+SUM(F191:F195)</f>
        <v>91683.554039999988</v>
      </c>
      <c r="H116" s="119"/>
    </row>
    <row r="117" spans="1:14" s="32" customFormat="1" x14ac:dyDescent="0.35">
      <c r="A117" s="171" t="s">
        <v>204</v>
      </c>
      <c r="B117" s="171"/>
      <c r="C117" s="118">
        <f>COUNT(D198:D200)+COUNT(D202:D207)*11+COUNT(D209:D212,D214)*2+COUNT(D216:D220)</f>
        <v>84</v>
      </c>
      <c r="D117" s="118"/>
      <c r="E117" s="119">
        <f>SUM(D198:D200)+SUM(D202:D207)*11+SUM(D209:D212,D214)*2+SUM(D216:D220)</f>
        <v>40436.176949999994</v>
      </c>
      <c r="F117" s="119"/>
      <c r="G117" s="119">
        <f>SUM(F198:F200)+SUM(F202:F207)*11+SUM(F209:F212,F214)*2+SUM(F216:F220)</f>
        <v>60888.723284999993</v>
      </c>
      <c r="H117" s="119"/>
      <c r="I117" s="32">
        <f>128+84</f>
        <v>212</v>
      </c>
    </row>
    <row r="118" spans="1:14" s="32" customFormat="1" x14ac:dyDescent="0.35">
      <c r="A118" s="170" t="s">
        <v>149</v>
      </c>
      <c r="B118" s="170"/>
      <c r="C118" s="192">
        <f t="shared" ref="C118:G118" si="0">SUM(C116:D117)</f>
        <v>212</v>
      </c>
      <c r="D118" s="192"/>
      <c r="E118" s="193">
        <f t="shared" si="0"/>
        <v>101463.53606999999</v>
      </c>
      <c r="F118" s="193"/>
      <c r="G118" s="115">
        <f t="shared" si="0"/>
        <v>152572.27732499997</v>
      </c>
      <c r="H118" s="115"/>
      <c r="I118" s="32">
        <f>212-227</f>
        <v>-15</v>
      </c>
    </row>
    <row r="119" spans="1:14" s="32" customFormat="1" x14ac:dyDescent="0.35">
      <c r="A119" s="170" t="s">
        <v>166</v>
      </c>
      <c r="B119" s="170"/>
      <c r="C119" s="113">
        <f>C113+C118</f>
        <v>244</v>
      </c>
      <c r="D119" s="113"/>
      <c r="E119" s="193">
        <f>E113+E118</f>
        <v>113826.20534999999</v>
      </c>
      <c r="F119" s="193"/>
      <c r="G119" s="115">
        <f>G113+G118</f>
        <v>175711.26062099996</v>
      </c>
      <c r="H119" s="115"/>
    </row>
    <row r="120" spans="1:14" s="31" customFormat="1" x14ac:dyDescent="0.35">
      <c r="A120" s="191" t="s">
        <v>56</v>
      </c>
      <c r="B120" s="191"/>
      <c r="C120" s="191"/>
      <c r="D120" s="191"/>
      <c r="E120" s="191"/>
      <c r="F120" s="191"/>
      <c r="G120" s="191"/>
      <c r="H120" s="191"/>
    </row>
    <row r="121" spans="1:14" x14ac:dyDescent="0.35">
      <c r="A121" s="114" t="s">
        <v>171</v>
      </c>
      <c r="B121" s="114"/>
      <c r="C121" s="114"/>
      <c r="D121" s="114"/>
      <c r="E121" s="114"/>
      <c r="F121" s="114"/>
      <c r="G121" s="114"/>
      <c r="H121" s="114"/>
    </row>
    <row r="122" spans="1:14" ht="47.25" customHeight="1" x14ac:dyDescent="0.35">
      <c r="A122" s="121" t="s">
        <v>118</v>
      </c>
      <c r="B122" s="121" t="s">
        <v>117</v>
      </c>
      <c r="C122" s="121" t="s">
        <v>57</v>
      </c>
      <c r="D122" s="121" t="s">
        <v>58</v>
      </c>
      <c r="E122" s="131" t="s">
        <v>155</v>
      </c>
      <c r="F122" s="40" t="s">
        <v>148</v>
      </c>
      <c r="G122" s="133" t="s">
        <v>60</v>
      </c>
      <c r="H122" s="134"/>
    </row>
    <row r="123" spans="1:14" s="34" customFormat="1" x14ac:dyDescent="0.35">
      <c r="A123" s="122"/>
      <c r="B123" s="122"/>
      <c r="C123" s="122"/>
      <c r="D123" s="122"/>
      <c r="E123" s="132"/>
      <c r="F123" s="13">
        <v>0.55000000000000004</v>
      </c>
      <c r="G123" s="135"/>
      <c r="H123" s="136"/>
    </row>
    <row r="124" spans="1:14" s="34" customFormat="1" x14ac:dyDescent="0.35">
      <c r="A124" s="106" t="s">
        <v>216</v>
      </c>
      <c r="B124" s="107"/>
      <c r="C124" s="107"/>
      <c r="D124" s="107"/>
      <c r="E124" s="107"/>
      <c r="F124" s="107"/>
      <c r="G124" s="107"/>
      <c r="H124" s="108"/>
      <c r="J124" s="33"/>
    </row>
    <row r="125" spans="1:14" s="34" customFormat="1" x14ac:dyDescent="0.35">
      <c r="A125" s="106" t="s">
        <v>199</v>
      </c>
      <c r="B125" s="107"/>
      <c r="C125" s="107"/>
      <c r="D125" s="107"/>
      <c r="E125" s="107"/>
      <c r="F125" s="107"/>
      <c r="G125" s="107"/>
      <c r="H125" s="108"/>
      <c r="J125" s="33"/>
    </row>
    <row r="126" spans="1:14" s="34" customFormat="1" ht="15.75" customHeight="1" x14ac:dyDescent="0.35">
      <c r="A126" s="104">
        <v>1</v>
      </c>
      <c r="B126" s="104"/>
      <c r="C126" s="62" t="s">
        <v>198</v>
      </c>
      <c r="D126" s="53">
        <f>(19.69)*10.764</f>
        <v>211.94316000000001</v>
      </c>
      <c r="E126" s="53">
        <f>(6.54)*10.764</f>
        <v>70.396559999999994</v>
      </c>
      <c r="F126" s="62">
        <f>(D126+E126)*(($F$123)+1)</f>
        <v>437.62656600000003</v>
      </c>
      <c r="G126" s="104" t="str">
        <f>A125</f>
        <v>Ground Floor for Commmercial &amp; Parking, Pump Room, Water Tank</v>
      </c>
      <c r="H126" s="104"/>
      <c r="I126" s="33"/>
      <c r="L126" s="103"/>
      <c r="M126" s="103"/>
      <c r="N126" s="33"/>
    </row>
    <row r="127" spans="1:14" s="34" customFormat="1" ht="15.75" customHeight="1" x14ac:dyDescent="0.35">
      <c r="A127" s="104">
        <v>2</v>
      </c>
      <c r="B127" s="104"/>
      <c r="C127" s="62" t="s">
        <v>198</v>
      </c>
      <c r="D127" s="53">
        <f>(17.9)*10.764</f>
        <v>192.67559999999997</v>
      </c>
      <c r="E127" s="53">
        <f>(5.95)*10.764</f>
        <v>64.0458</v>
      </c>
      <c r="F127" s="62">
        <f t="shared" ref="F127:F129" si="1">(D127+E127)*(($F$123)+1)</f>
        <v>397.91816999999998</v>
      </c>
      <c r="G127" s="104"/>
      <c r="H127" s="104"/>
      <c r="I127" s="33"/>
      <c r="L127" s="103"/>
      <c r="M127" s="103"/>
      <c r="N127" s="33"/>
    </row>
    <row r="128" spans="1:14" s="34" customFormat="1" ht="15.75" customHeight="1" x14ac:dyDescent="0.35">
      <c r="A128" s="104">
        <v>3</v>
      </c>
      <c r="B128" s="104"/>
      <c r="C128" s="62" t="s">
        <v>198</v>
      </c>
      <c r="D128" s="53">
        <f>(17.9)*10.764</f>
        <v>192.67559999999997</v>
      </c>
      <c r="E128" s="53">
        <f>(5.95)*10.764</f>
        <v>64.0458</v>
      </c>
      <c r="F128" s="62">
        <f t="shared" si="1"/>
        <v>397.91816999999998</v>
      </c>
      <c r="G128" s="104"/>
      <c r="H128" s="104"/>
      <c r="I128" s="33"/>
      <c r="L128" s="103"/>
      <c r="M128" s="103"/>
      <c r="N128" s="33"/>
    </row>
    <row r="129" spans="1:14" s="34" customFormat="1" ht="15.75" customHeight="1" x14ac:dyDescent="0.35">
      <c r="A129" s="104">
        <v>4</v>
      </c>
      <c r="B129" s="104"/>
      <c r="C129" s="62" t="s">
        <v>198</v>
      </c>
      <c r="D129" s="53">
        <f>(19.69)*10.764</f>
        <v>211.94316000000001</v>
      </c>
      <c r="E129" s="53">
        <f>(6.54)*10.764</f>
        <v>70.396559999999994</v>
      </c>
      <c r="F129" s="62">
        <f t="shared" si="1"/>
        <v>437.62656600000003</v>
      </c>
      <c r="G129" s="104"/>
      <c r="H129" s="104"/>
      <c r="I129" s="33"/>
      <c r="L129" s="103"/>
      <c r="M129" s="103"/>
      <c r="N129" s="33"/>
    </row>
    <row r="130" spans="1:14" s="34" customFormat="1" x14ac:dyDescent="0.35">
      <c r="A130" s="104">
        <v>5</v>
      </c>
      <c r="B130" s="104"/>
      <c r="C130" s="62" t="s">
        <v>198</v>
      </c>
      <c r="D130" s="53">
        <f>(19.69)*10.764</f>
        <v>211.94316000000001</v>
      </c>
      <c r="E130" s="53">
        <f>(6.54)*10.764</f>
        <v>70.396559999999994</v>
      </c>
      <c r="F130" s="62">
        <f>(D130+E130)*(($F$123)+1)</f>
        <v>437.62656600000003</v>
      </c>
      <c r="G130" s="104"/>
      <c r="H130" s="104"/>
      <c r="I130" s="33"/>
      <c r="L130" s="103"/>
      <c r="M130" s="103"/>
      <c r="N130" s="33"/>
    </row>
    <row r="131" spans="1:14" s="34" customFormat="1" x14ac:dyDescent="0.35">
      <c r="A131" s="104">
        <v>6</v>
      </c>
      <c r="B131" s="104"/>
      <c r="C131" s="62" t="s">
        <v>198</v>
      </c>
      <c r="D131" s="53">
        <f>(14.32)*10.764</f>
        <v>154.14048</v>
      </c>
      <c r="E131" s="53">
        <f>(4.76)*10.764</f>
        <v>51.236639999999994</v>
      </c>
      <c r="F131" s="62">
        <f t="shared" ref="F131:F133" si="2">(D131+E131)*(($F$123)+1)</f>
        <v>318.33453600000001</v>
      </c>
      <c r="G131" s="104"/>
      <c r="H131" s="104"/>
      <c r="I131" s="33"/>
      <c r="L131" s="103"/>
      <c r="M131" s="103"/>
      <c r="N131" s="33"/>
    </row>
    <row r="132" spans="1:14" s="34" customFormat="1" x14ac:dyDescent="0.35">
      <c r="A132" s="104">
        <v>7</v>
      </c>
      <c r="B132" s="104"/>
      <c r="C132" s="62" t="s">
        <v>198</v>
      </c>
      <c r="D132" s="53">
        <f>(19.68)*10.764</f>
        <v>211.83551999999997</v>
      </c>
      <c r="E132" s="53">
        <f>(6.54)*10.764</f>
        <v>70.396559999999994</v>
      </c>
      <c r="F132" s="62">
        <f t="shared" si="2"/>
        <v>437.45972399999999</v>
      </c>
      <c r="G132" s="104"/>
      <c r="H132" s="104"/>
      <c r="I132" s="33"/>
      <c r="L132" s="103"/>
      <c r="M132" s="103"/>
      <c r="N132" s="33"/>
    </row>
    <row r="133" spans="1:14" s="34" customFormat="1" x14ac:dyDescent="0.35">
      <c r="A133" s="104">
        <v>8</v>
      </c>
      <c r="B133" s="104"/>
      <c r="C133" s="62" t="s">
        <v>198</v>
      </c>
      <c r="D133" s="53">
        <f>(17)*10.764</f>
        <v>182.988</v>
      </c>
      <c r="E133" s="53">
        <f>(5.65)*10.764</f>
        <v>60.816600000000001</v>
      </c>
      <c r="F133" s="62">
        <f t="shared" si="2"/>
        <v>377.89713</v>
      </c>
      <c r="G133" s="104"/>
      <c r="H133" s="104"/>
      <c r="I133" s="33"/>
      <c r="L133" s="103"/>
      <c r="M133" s="103"/>
      <c r="N133" s="33"/>
    </row>
    <row r="134" spans="1:14" s="34" customFormat="1" x14ac:dyDescent="0.35">
      <c r="A134" s="104">
        <v>9</v>
      </c>
      <c r="B134" s="104"/>
      <c r="C134" s="62" t="s">
        <v>198</v>
      </c>
      <c r="D134" s="53">
        <f>(17)*10.764</f>
        <v>182.988</v>
      </c>
      <c r="E134" s="53">
        <f>(5.56)*10.764</f>
        <v>59.847839999999991</v>
      </c>
      <c r="F134" s="62">
        <f>(D134+E134)*(($F$123)+1)</f>
        <v>376.39555200000001</v>
      </c>
      <c r="G134" s="104"/>
      <c r="H134" s="104"/>
      <c r="I134" s="33"/>
      <c r="L134" s="103"/>
      <c r="M134" s="103"/>
      <c r="N134" s="33"/>
    </row>
    <row r="135" spans="1:14" s="34" customFormat="1" x14ac:dyDescent="0.35">
      <c r="A135" s="104">
        <v>10</v>
      </c>
      <c r="B135" s="104"/>
      <c r="C135" s="62" t="s">
        <v>198</v>
      </c>
      <c r="D135" s="53">
        <f>(21.29)*10.764</f>
        <v>229.16555999999997</v>
      </c>
      <c r="E135" s="53">
        <f>(8.14)*10.764</f>
        <v>87.618960000000001</v>
      </c>
      <c r="F135" s="62">
        <f t="shared" ref="F135:F137" si="3">(D135+E135)*(($F$123)+1)</f>
        <v>491.016006</v>
      </c>
      <c r="G135" s="104"/>
      <c r="H135" s="104"/>
      <c r="I135" s="33"/>
      <c r="L135" s="103"/>
      <c r="M135" s="103"/>
      <c r="N135" s="33"/>
    </row>
    <row r="136" spans="1:14" s="34" customFormat="1" x14ac:dyDescent="0.35">
      <c r="A136" s="104">
        <v>11</v>
      </c>
      <c r="B136" s="104"/>
      <c r="C136" s="62" t="s">
        <v>198</v>
      </c>
      <c r="D136" s="53">
        <f>(20.97)*10.764</f>
        <v>225.72107999999997</v>
      </c>
      <c r="E136" s="53">
        <f>(9.59)*10.764</f>
        <v>103.22676</v>
      </c>
      <c r="F136" s="62">
        <f t="shared" si="3"/>
        <v>509.86915199999999</v>
      </c>
      <c r="G136" s="104"/>
      <c r="H136" s="104"/>
      <c r="I136" s="33"/>
      <c r="L136" s="103"/>
      <c r="M136" s="103"/>
      <c r="N136" s="33"/>
    </row>
    <row r="137" spans="1:14" s="34" customFormat="1" x14ac:dyDescent="0.35">
      <c r="A137" s="104">
        <v>12</v>
      </c>
      <c r="B137" s="104"/>
      <c r="C137" s="62" t="s">
        <v>198</v>
      </c>
      <c r="D137" s="53">
        <f>(20.79)*10.764</f>
        <v>223.78355999999997</v>
      </c>
      <c r="E137" s="53">
        <f>(9.51)*10.764</f>
        <v>102.36563999999998</v>
      </c>
      <c r="F137" s="62">
        <f t="shared" si="3"/>
        <v>505.53125999999992</v>
      </c>
      <c r="G137" s="104"/>
      <c r="H137" s="104"/>
      <c r="I137" s="33"/>
      <c r="L137" s="103"/>
      <c r="M137" s="103"/>
      <c r="N137" s="33"/>
    </row>
    <row r="138" spans="1:14" s="34" customFormat="1" x14ac:dyDescent="0.35">
      <c r="A138" s="104">
        <v>13</v>
      </c>
      <c r="B138" s="104"/>
      <c r="C138" s="62" t="s">
        <v>198</v>
      </c>
      <c r="D138" s="53">
        <f>(20.12)*10.764</f>
        <v>216.57167999999999</v>
      </c>
      <c r="E138" s="53">
        <f>(6.69)*10.764</f>
        <v>72.011160000000004</v>
      </c>
      <c r="F138" s="62">
        <f>(D138+E138)*(($F$123)+1)</f>
        <v>447.30340199999995</v>
      </c>
      <c r="G138" s="104"/>
      <c r="H138" s="104"/>
      <c r="I138" s="33"/>
      <c r="L138" s="103"/>
      <c r="M138" s="103"/>
      <c r="N138" s="33"/>
    </row>
    <row r="139" spans="1:14" s="34" customFormat="1" x14ac:dyDescent="0.35">
      <c r="A139" s="104">
        <v>14</v>
      </c>
      <c r="B139" s="104"/>
      <c r="C139" s="62" t="s">
        <v>198</v>
      </c>
      <c r="D139" s="53">
        <f>(19.26)*10.764</f>
        <v>207.31464</v>
      </c>
      <c r="E139" s="53">
        <f>(6.4)*10.764</f>
        <v>68.889600000000002</v>
      </c>
      <c r="F139" s="62">
        <f t="shared" ref="F139:F141" si="4">(D139+E139)*(($F$123)+1)</f>
        <v>428.11657200000008</v>
      </c>
      <c r="G139" s="104"/>
      <c r="H139" s="104"/>
      <c r="I139" s="33"/>
      <c r="L139" s="103"/>
      <c r="M139" s="103"/>
      <c r="N139" s="33"/>
    </row>
    <row r="140" spans="1:14" s="34" customFormat="1" x14ac:dyDescent="0.35">
      <c r="A140" s="104">
        <v>15</v>
      </c>
      <c r="B140" s="104"/>
      <c r="C140" s="62" t="s">
        <v>198</v>
      </c>
      <c r="D140" s="53">
        <f>(16.43)*10.764</f>
        <v>176.85252</v>
      </c>
      <c r="E140" s="53">
        <f>(5.46)*10.764</f>
        <v>58.771439999999998</v>
      </c>
      <c r="F140" s="62">
        <f t="shared" si="4"/>
        <v>365.21713800000003</v>
      </c>
      <c r="G140" s="104"/>
      <c r="H140" s="104"/>
      <c r="I140" s="33"/>
      <c r="L140" s="103"/>
      <c r="M140" s="103"/>
      <c r="N140" s="33"/>
    </row>
    <row r="141" spans="1:14" s="34" customFormat="1" x14ac:dyDescent="0.35">
      <c r="A141" s="104">
        <v>16</v>
      </c>
      <c r="B141" s="104"/>
      <c r="C141" s="62" t="s">
        <v>198</v>
      </c>
      <c r="D141" s="53">
        <f>(48.3)*10.764</f>
        <v>519.9011999999999</v>
      </c>
      <c r="E141" s="53">
        <f>(24.15)*10.764</f>
        <v>259.95059999999995</v>
      </c>
      <c r="F141" s="62">
        <f t="shared" si="4"/>
        <v>1208.7702899999999</v>
      </c>
      <c r="G141" s="104"/>
      <c r="H141" s="104"/>
      <c r="I141" s="33"/>
      <c r="L141" s="103"/>
      <c r="M141" s="103"/>
      <c r="N141" s="33"/>
    </row>
    <row r="142" spans="1:14" s="34" customFormat="1" x14ac:dyDescent="0.35">
      <c r="A142" s="104">
        <v>17</v>
      </c>
      <c r="B142" s="104"/>
      <c r="C142" s="62" t="s">
        <v>198</v>
      </c>
      <c r="D142" s="53">
        <f>(14.42)*10.764</f>
        <v>155.21688</v>
      </c>
      <c r="E142" s="53">
        <f>(9.55)*10.764</f>
        <v>102.7962</v>
      </c>
      <c r="F142" s="62">
        <f>(D142+E142)*(($F$123)+1)</f>
        <v>399.92027400000001</v>
      </c>
      <c r="G142" s="104"/>
      <c r="H142" s="104"/>
      <c r="I142" s="33"/>
      <c r="L142" s="103"/>
      <c r="M142" s="103"/>
      <c r="N142" s="33"/>
    </row>
    <row r="143" spans="1:14" s="34" customFormat="1" x14ac:dyDescent="0.35">
      <c r="A143" s="104">
        <v>18</v>
      </c>
      <c r="B143" s="104"/>
      <c r="C143" s="62" t="s">
        <v>198</v>
      </c>
      <c r="D143" s="53">
        <f>(18.86)*10.764</f>
        <v>203.00903999999997</v>
      </c>
      <c r="E143" s="53">
        <f>(9.55)*10.764</f>
        <v>102.7962</v>
      </c>
      <c r="F143" s="62">
        <f t="shared" ref="F143:F145" si="5">(D143+E143)*(($F$123)+1)</f>
        <v>473.99812199999997</v>
      </c>
      <c r="G143" s="104"/>
      <c r="H143" s="104"/>
      <c r="I143" s="33"/>
      <c r="L143" s="103"/>
      <c r="M143" s="103"/>
      <c r="N143" s="33"/>
    </row>
    <row r="144" spans="1:14" s="34" customFormat="1" x14ac:dyDescent="0.35">
      <c r="A144" s="104">
        <v>19</v>
      </c>
      <c r="B144" s="104"/>
      <c r="C144" s="62" t="s">
        <v>198</v>
      </c>
      <c r="D144" s="53">
        <f>(20)*10.764</f>
        <v>215.27999999999997</v>
      </c>
      <c r="E144" s="53">
        <f>(8)*10.764</f>
        <v>86.111999999999995</v>
      </c>
      <c r="F144" s="62">
        <f t="shared" si="5"/>
        <v>467.15759999999995</v>
      </c>
      <c r="G144" s="104"/>
      <c r="H144" s="104"/>
      <c r="I144" s="33"/>
      <c r="L144" s="103"/>
      <c r="M144" s="103"/>
      <c r="N144" s="33"/>
    </row>
    <row r="145" spans="1:14" s="34" customFormat="1" x14ac:dyDescent="0.35">
      <c r="A145" s="104">
        <v>20</v>
      </c>
      <c r="B145" s="104"/>
      <c r="C145" s="62" t="s">
        <v>198</v>
      </c>
      <c r="D145" s="53">
        <f>(24.21)*10.764</f>
        <v>260.59643999999997</v>
      </c>
      <c r="E145" s="53">
        <f>(8.3)*10.764</f>
        <v>89.341200000000001</v>
      </c>
      <c r="F145" s="62">
        <f t="shared" si="5"/>
        <v>542.40334199999995</v>
      </c>
      <c r="G145" s="104"/>
      <c r="H145" s="104"/>
      <c r="I145" s="33"/>
      <c r="L145" s="103"/>
      <c r="M145" s="103"/>
      <c r="N145" s="33"/>
    </row>
    <row r="146" spans="1:14" s="34" customFormat="1" x14ac:dyDescent="0.35">
      <c r="A146" s="104">
        <v>21</v>
      </c>
      <c r="B146" s="104"/>
      <c r="C146" s="62" t="s">
        <v>198</v>
      </c>
      <c r="D146" s="53">
        <f>(5.26)*10.764</f>
        <v>56.618639999999992</v>
      </c>
      <c r="E146" s="53">
        <v>0</v>
      </c>
      <c r="F146" s="62">
        <f>(D146+E146)*(($F$123)+1)</f>
        <v>87.758891999999989</v>
      </c>
      <c r="G146" s="104"/>
      <c r="H146" s="104"/>
      <c r="I146" s="33"/>
      <c r="L146" s="103"/>
      <c r="M146" s="103"/>
      <c r="N146" s="33"/>
    </row>
    <row r="147" spans="1:14" s="34" customFormat="1" x14ac:dyDescent="0.35">
      <c r="A147" s="104">
        <v>22</v>
      </c>
      <c r="B147" s="104"/>
      <c r="C147" s="62" t="s">
        <v>198</v>
      </c>
      <c r="D147" s="53">
        <f>(23.4)*10.764</f>
        <v>251.87759999999997</v>
      </c>
      <c r="E147" s="53">
        <f>(7.79)*10.764</f>
        <v>83.851559999999992</v>
      </c>
      <c r="F147" s="62">
        <f t="shared" ref="F147:F149" si="6">(D147+E147)*(($F$123)+1)</f>
        <v>520.38019799999995</v>
      </c>
      <c r="G147" s="104"/>
      <c r="H147" s="104"/>
      <c r="I147" s="33"/>
      <c r="L147" s="103"/>
      <c r="M147" s="103"/>
      <c r="N147" s="33"/>
    </row>
    <row r="148" spans="1:14" s="34" customFormat="1" x14ac:dyDescent="0.35">
      <c r="A148" s="104">
        <v>23</v>
      </c>
      <c r="B148" s="104"/>
      <c r="C148" s="62" t="s">
        <v>198</v>
      </c>
      <c r="D148" s="53">
        <f>(23.52)*10.764</f>
        <v>253.16927999999999</v>
      </c>
      <c r="E148" s="53">
        <f>(7.84)*10.764</f>
        <v>84.389759999999995</v>
      </c>
      <c r="F148" s="62">
        <f t="shared" si="6"/>
        <v>523.21651199999997</v>
      </c>
      <c r="G148" s="104"/>
      <c r="H148" s="104"/>
      <c r="I148" s="33"/>
      <c r="L148" s="103"/>
      <c r="M148" s="103"/>
      <c r="N148" s="33"/>
    </row>
    <row r="149" spans="1:14" s="34" customFormat="1" x14ac:dyDescent="0.35">
      <c r="A149" s="104">
        <v>24</v>
      </c>
      <c r="B149" s="104"/>
      <c r="C149" s="62" t="s">
        <v>198</v>
      </c>
      <c r="D149" s="53">
        <f>(23.52)*10.764</f>
        <v>253.16927999999999</v>
      </c>
      <c r="E149" s="53">
        <f>(7.84)*10.764</f>
        <v>84.389759999999995</v>
      </c>
      <c r="F149" s="62">
        <f t="shared" si="6"/>
        <v>523.21651199999997</v>
      </c>
      <c r="G149" s="104"/>
      <c r="H149" s="104"/>
      <c r="I149" s="33"/>
      <c r="L149" s="103"/>
      <c r="M149" s="103"/>
      <c r="N149" s="33"/>
    </row>
    <row r="150" spans="1:14" s="34" customFormat="1" x14ac:dyDescent="0.35">
      <c r="A150" s="104">
        <v>25</v>
      </c>
      <c r="B150" s="104"/>
      <c r="C150" s="62" t="s">
        <v>198</v>
      </c>
      <c r="D150" s="53">
        <f>(23.51)*10.764</f>
        <v>253.06164000000001</v>
      </c>
      <c r="E150" s="53">
        <f>(7.84)*10.764</f>
        <v>84.389759999999995</v>
      </c>
      <c r="F150" s="62">
        <f>(D150+E150)*(($F$123)+1)</f>
        <v>523.04967000000011</v>
      </c>
      <c r="G150" s="104"/>
      <c r="H150" s="104"/>
      <c r="I150" s="53">
        <v>10.763999999999999</v>
      </c>
      <c r="L150" s="103"/>
      <c r="M150" s="103"/>
      <c r="N150" s="33"/>
    </row>
    <row r="151" spans="1:14" s="34" customFormat="1" x14ac:dyDescent="0.35">
      <c r="A151" s="104">
        <v>26</v>
      </c>
      <c r="B151" s="104"/>
      <c r="C151" s="62" t="s">
        <v>198</v>
      </c>
      <c r="D151" s="53">
        <f>(23.52)*10.764</f>
        <v>253.16927999999999</v>
      </c>
      <c r="E151" s="53">
        <f>(7.84)*10.764</f>
        <v>84.389759999999995</v>
      </c>
      <c r="F151" s="62">
        <f t="shared" ref="F151:F153" si="7">(D151+E151)*(($F$123)+1)</f>
        <v>523.21651199999997</v>
      </c>
      <c r="G151" s="104"/>
      <c r="H151" s="104"/>
      <c r="I151" s="33"/>
      <c r="L151" s="103"/>
      <c r="M151" s="103"/>
      <c r="N151" s="33"/>
    </row>
    <row r="152" spans="1:14" s="34" customFormat="1" x14ac:dyDescent="0.35">
      <c r="A152" s="104">
        <v>27</v>
      </c>
      <c r="B152" s="104"/>
      <c r="C152" s="62" t="s">
        <v>198</v>
      </c>
      <c r="D152" s="53">
        <f>(19.42)*10.764</f>
        <v>209.03688</v>
      </c>
      <c r="E152" s="53">
        <f>(7.84)*10.764</f>
        <v>84.389759999999995</v>
      </c>
      <c r="F152" s="62">
        <f t="shared" si="7"/>
        <v>454.81129200000004</v>
      </c>
      <c r="G152" s="104"/>
      <c r="H152" s="104"/>
      <c r="I152" s="33"/>
      <c r="L152" s="103"/>
      <c r="M152" s="103"/>
      <c r="N152" s="33"/>
    </row>
    <row r="153" spans="1:14" s="34" customFormat="1" x14ac:dyDescent="0.35">
      <c r="A153" s="104">
        <v>28</v>
      </c>
      <c r="B153" s="104"/>
      <c r="C153" s="62" t="s">
        <v>198</v>
      </c>
      <c r="D153" s="53">
        <f>(15.05)*10.764</f>
        <v>161.9982</v>
      </c>
      <c r="E153" s="53">
        <f>(7.02)*10.764</f>
        <v>75.563279999999992</v>
      </c>
      <c r="F153" s="62">
        <f t="shared" si="7"/>
        <v>368.22029399999997</v>
      </c>
      <c r="G153" s="104"/>
      <c r="H153" s="104"/>
      <c r="I153" s="33"/>
      <c r="L153" s="103"/>
      <c r="M153" s="103"/>
      <c r="N153" s="33"/>
    </row>
    <row r="154" spans="1:14" s="34" customFormat="1" x14ac:dyDescent="0.35">
      <c r="A154" s="105" t="s">
        <v>200</v>
      </c>
      <c r="B154" s="105"/>
      <c r="C154" s="105"/>
      <c r="D154" s="105"/>
      <c r="E154" s="105"/>
      <c r="F154" s="105"/>
      <c r="G154" s="105"/>
      <c r="H154" s="105"/>
      <c r="J154" s="33"/>
    </row>
    <row r="155" spans="1:14" s="34" customFormat="1" ht="15.75" customHeight="1" x14ac:dyDescent="0.35">
      <c r="A155" s="104">
        <v>1</v>
      </c>
      <c r="B155" s="104"/>
      <c r="C155" s="62" t="s">
        <v>201</v>
      </c>
      <c r="D155" s="53">
        <f>(167.26)*10.764</f>
        <v>1800.3866399999997</v>
      </c>
      <c r="E155" s="53">
        <f>(6.54)*10.764</f>
        <v>70.396559999999994</v>
      </c>
      <c r="F155" s="62">
        <f>(D155+E155)*(($F$123)+1)</f>
        <v>2899.7139599999996</v>
      </c>
      <c r="G155" s="104" t="str">
        <f>A154</f>
        <v xml:space="preserve">1st Floor </v>
      </c>
      <c r="H155" s="104"/>
      <c r="I155" s="33"/>
      <c r="L155" s="103"/>
      <c r="M155" s="103"/>
      <c r="N155" s="33"/>
    </row>
    <row r="156" spans="1:14" s="34" customFormat="1" ht="15.75" customHeight="1" x14ac:dyDescent="0.35">
      <c r="A156" s="104">
        <v>2</v>
      </c>
      <c r="B156" s="104"/>
      <c r="C156" s="62" t="s">
        <v>201</v>
      </c>
      <c r="D156" s="53">
        <f>(125.63)*10.764</f>
        <v>1352.2813199999998</v>
      </c>
      <c r="E156" s="53">
        <f>(5.95)*10.764</f>
        <v>64.0458</v>
      </c>
      <c r="F156" s="62">
        <f t="shared" ref="F156:F158" si="8">(D156+E156)*(($F$123)+1)</f>
        <v>2195.3070360000002</v>
      </c>
      <c r="G156" s="104"/>
      <c r="H156" s="104"/>
      <c r="I156" s="33"/>
      <c r="L156" s="103"/>
      <c r="M156" s="103"/>
      <c r="N156" s="33"/>
    </row>
    <row r="157" spans="1:14" s="34" customFormat="1" ht="15.75" customHeight="1" x14ac:dyDescent="0.35">
      <c r="A157" s="104">
        <v>3</v>
      </c>
      <c r="B157" s="104"/>
      <c r="C157" s="62" t="s">
        <v>201</v>
      </c>
      <c r="D157" s="53">
        <f>(178.75)*10.764</f>
        <v>1924.0649999999998</v>
      </c>
      <c r="E157" s="53">
        <f>(5.95)*10.764</f>
        <v>64.0458</v>
      </c>
      <c r="F157" s="62">
        <f t="shared" si="8"/>
        <v>3081.5717399999999</v>
      </c>
      <c r="G157" s="104"/>
      <c r="H157" s="104"/>
      <c r="I157" s="33"/>
      <c r="L157" s="103"/>
      <c r="M157" s="103"/>
      <c r="N157" s="33"/>
    </row>
    <row r="158" spans="1:14" s="34" customFormat="1" ht="15.75" customHeight="1" x14ac:dyDescent="0.35">
      <c r="A158" s="104">
        <v>4</v>
      </c>
      <c r="B158" s="104"/>
      <c r="C158" s="62" t="s">
        <v>201</v>
      </c>
      <c r="D158" s="53">
        <f>(112.16)*10.764</f>
        <v>1207.2902399999998</v>
      </c>
      <c r="E158" s="53">
        <f>(6.54)*10.764</f>
        <v>70.396559999999994</v>
      </c>
      <c r="F158" s="62">
        <f t="shared" si="8"/>
        <v>1980.4145399999995</v>
      </c>
      <c r="G158" s="104"/>
      <c r="H158" s="104"/>
      <c r="I158" s="33"/>
      <c r="L158" s="103"/>
      <c r="M158" s="103"/>
      <c r="N158" s="33"/>
    </row>
    <row r="159" spans="1:14" s="34" customFormat="1" x14ac:dyDescent="0.35">
      <c r="A159" s="106"/>
      <c r="B159" s="107"/>
      <c r="C159" s="107"/>
      <c r="D159" s="107"/>
      <c r="E159" s="107"/>
      <c r="F159" s="107"/>
      <c r="G159" s="107"/>
      <c r="H159" s="108"/>
      <c r="J159" s="33"/>
    </row>
    <row r="160" spans="1:14" ht="47.25" customHeight="1" x14ac:dyDescent="0.35">
      <c r="A160" s="133" t="s">
        <v>119</v>
      </c>
      <c r="B160" s="133" t="s">
        <v>120</v>
      </c>
      <c r="C160" s="121" t="s">
        <v>57</v>
      </c>
      <c r="D160" s="121" t="s">
        <v>58</v>
      </c>
      <c r="E160" s="131" t="s">
        <v>59</v>
      </c>
      <c r="F160" s="40" t="s">
        <v>148</v>
      </c>
      <c r="G160" s="133" t="s">
        <v>60</v>
      </c>
      <c r="H160" s="134"/>
      <c r="I160" s="33"/>
    </row>
    <row r="161" spans="1:14" s="34" customFormat="1" x14ac:dyDescent="0.35">
      <c r="A161" s="135"/>
      <c r="B161" s="135"/>
      <c r="C161" s="122"/>
      <c r="D161" s="122"/>
      <c r="E161" s="132"/>
      <c r="F161" s="13">
        <v>0.5</v>
      </c>
      <c r="G161" s="135"/>
      <c r="H161" s="136"/>
      <c r="I161" s="33"/>
    </row>
    <row r="162" spans="1:14" s="34" customFormat="1" x14ac:dyDescent="0.35">
      <c r="A162" s="139" t="s">
        <v>194</v>
      </c>
      <c r="B162" s="140"/>
      <c r="C162" s="140"/>
      <c r="D162" s="140"/>
      <c r="E162" s="140"/>
      <c r="F162" s="140"/>
      <c r="G162" s="140"/>
      <c r="H162" s="141"/>
      <c r="J162" s="33"/>
    </row>
    <row r="163" spans="1:14" s="34" customFormat="1" x14ac:dyDescent="0.35">
      <c r="A163" s="106" t="s">
        <v>220</v>
      </c>
      <c r="B163" s="107"/>
      <c r="C163" s="107"/>
      <c r="D163" s="107"/>
      <c r="E163" s="107"/>
      <c r="F163" s="107"/>
      <c r="G163" s="107"/>
      <c r="H163" s="108"/>
      <c r="J163" s="33"/>
    </row>
    <row r="164" spans="1:14" s="34" customFormat="1" ht="15.75" customHeight="1" x14ac:dyDescent="0.35">
      <c r="A164" s="88">
        <v>1</v>
      </c>
      <c r="B164" s="89"/>
      <c r="C164" s="47" t="s">
        <v>203</v>
      </c>
      <c r="D164" s="53">
        <f>(34.07+0.75*(2.75+2.1+2.75))*10.764</f>
        <v>428.08427999999992</v>
      </c>
      <c r="E164" s="39">
        <v>0</v>
      </c>
      <c r="F164" s="39">
        <f t="shared" ref="F164:F169" si="9">D164*(($F$161)+1)+(IF(E164&lt;101,E164,IF(E164&lt;201,E164/2,IF(E164&lt;=301,E164/3,E164/4))))</f>
        <v>642.12641999999983</v>
      </c>
      <c r="G164" s="93" t="str">
        <f>A163</f>
        <v>2nd Floor for Residential &amp; Muiltipurpose Hall, Fitness Center</v>
      </c>
      <c r="H164" s="94"/>
      <c r="I164" s="55">
        <f>650/D164</f>
        <v>1.5183925931594595</v>
      </c>
      <c r="J164" s="60" t="s">
        <v>218</v>
      </c>
      <c r="L164" s="103"/>
      <c r="M164" s="103"/>
      <c r="N164" s="33"/>
    </row>
    <row r="165" spans="1:14" s="34" customFormat="1" ht="15.75" customHeight="1" x14ac:dyDescent="0.35">
      <c r="A165" s="88">
        <f t="shared" ref="A165:A169" si="10">A164+1</f>
        <v>2</v>
      </c>
      <c r="B165" s="89"/>
      <c r="C165" s="47" t="s">
        <v>203</v>
      </c>
      <c r="D165" s="53">
        <f t="shared" ref="D165:D167" si="11">(34.07+0.75*(2.75+2.1+2.75))*10.764</f>
        <v>428.08427999999992</v>
      </c>
      <c r="E165" s="39">
        <v>0</v>
      </c>
      <c r="F165" s="39">
        <f t="shared" si="9"/>
        <v>642.12641999999983</v>
      </c>
      <c r="G165" s="95"/>
      <c r="H165" s="96"/>
      <c r="I165" s="55"/>
      <c r="J165" s="33">
        <f>4700000/F164</f>
        <v>7319.4309618968819</v>
      </c>
      <c r="L165" s="103"/>
      <c r="M165" s="103"/>
      <c r="N165" s="33"/>
    </row>
    <row r="166" spans="1:14" s="34" customFormat="1" ht="15.75" customHeight="1" x14ac:dyDescent="0.35">
      <c r="A166" s="88">
        <f t="shared" si="10"/>
        <v>3</v>
      </c>
      <c r="B166" s="89"/>
      <c r="C166" s="47" t="s">
        <v>203</v>
      </c>
      <c r="D166" s="53">
        <f t="shared" si="11"/>
        <v>428.08427999999992</v>
      </c>
      <c r="E166" s="39">
        <v>0</v>
      </c>
      <c r="F166" s="39">
        <f t="shared" si="9"/>
        <v>642.12641999999983</v>
      </c>
      <c r="G166" s="95"/>
      <c r="H166" s="96"/>
      <c r="I166" s="55"/>
      <c r="J166" s="33">
        <f>6500000/F178</f>
        <v>6749.2600617462813</v>
      </c>
      <c r="L166" s="103"/>
      <c r="M166" s="103"/>
      <c r="N166" s="33"/>
    </row>
    <row r="167" spans="1:14" s="34" customFormat="1" ht="15.75" customHeight="1" x14ac:dyDescent="0.35">
      <c r="A167" s="88">
        <f t="shared" si="10"/>
        <v>4</v>
      </c>
      <c r="B167" s="89"/>
      <c r="C167" s="47" t="s">
        <v>203</v>
      </c>
      <c r="D167" s="53">
        <f t="shared" si="11"/>
        <v>428.08427999999992</v>
      </c>
      <c r="E167" s="39">
        <v>0</v>
      </c>
      <c r="F167" s="39">
        <f t="shared" si="9"/>
        <v>642.12641999999983</v>
      </c>
      <c r="G167" s="95"/>
      <c r="H167" s="96"/>
      <c r="I167" s="55"/>
      <c r="J167" s="59">
        <f>AVERAGE(J165:J166)</f>
        <v>7034.3455118215816</v>
      </c>
      <c r="L167" s="103"/>
      <c r="M167" s="103"/>
      <c r="N167" s="33"/>
    </row>
    <row r="168" spans="1:14" s="34" customFormat="1" ht="15.75" customHeight="1" x14ac:dyDescent="0.35">
      <c r="A168" s="88">
        <v>5</v>
      </c>
      <c r="B168" s="89"/>
      <c r="C168" s="47" t="s">
        <v>202</v>
      </c>
      <c r="D168" s="53">
        <f>(51.06)*10.764</f>
        <v>549.60983999999996</v>
      </c>
      <c r="E168" s="53">
        <f>(1.2*7.2+2.3*2)*10.764</f>
        <v>142.51535999999999</v>
      </c>
      <c r="F168" s="39">
        <f t="shared" si="9"/>
        <v>895.67243999999982</v>
      </c>
      <c r="G168" s="95"/>
      <c r="H168" s="96"/>
      <c r="I168" s="33"/>
      <c r="L168" s="103"/>
      <c r="M168" s="103"/>
      <c r="N168" s="33"/>
    </row>
    <row r="169" spans="1:14" s="34" customFormat="1" ht="15.75" customHeight="1" x14ac:dyDescent="0.35">
      <c r="A169" s="88">
        <f t="shared" si="10"/>
        <v>6</v>
      </c>
      <c r="B169" s="89"/>
      <c r="C169" s="47" t="s">
        <v>202</v>
      </c>
      <c r="D169" s="53">
        <f>(50.93)*10.764</f>
        <v>548.21051999999997</v>
      </c>
      <c r="E169" s="53">
        <f>(1.2*7.2+2.3*2)*10.764</f>
        <v>142.51535999999999</v>
      </c>
      <c r="F169" s="39">
        <f t="shared" si="9"/>
        <v>893.57345999999984</v>
      </c>
      <c r="G169" s="97"/>
      <c r="H169" s="98"/>
      <c r="I169" s="33"/>
      <c r="L169" s="103"/>
      <c r="M169" s="103"/>
      <c r="N169" s="33"/>
    </row>
    <row r="170" spans="1:14" s="34" customFormat="1" x14ac:dyDescent="0.35">
      <c r="A170" s="105" t="s">
        <v>206</v>
      </c>
      <c r="B170" s="105"/>
      <c r="C170" s="105"/>
      <c r="D170" s="105"/>
      <c r="E170" s="105"/>
      <c r="F170" s="105"/>
      <c r="G170" s="105"/>
      <c r="H170" s="105"/>
      <c r="I170" s="33"/>
      <c r="L170" s="103"/>
      <c r="M170" s="103"/>
    </row>
    <row r="171" spans="1:14" s="34" customFormat="1" ht="15.75" customHeight="1" x14ac:dyDescent="0.35">
      <c r="A171" s="104">
        <v>1</v>
      </c>
      <c r="B171" s="104"/>
      <c r="C171" s="47" t="s">
        <v>203</v>
      </c>
      <c r="D171" s="53">
        <f t="shared" ref="D171:D177" si="12">(34.07+0.75*(2.75+2.1+2.75))*10.764</f>
        <v>428.08427999999992</v>
      </c>
      <c r="E171" s="39">
        <v>0</v>
      </c>
      <c r="F171" s="39">
        <f t="shared" ref="F171:F172" si="13">D171*(($F$161)+1)+(IF(E171&lt;101,E171,IF(E171&lt;201,E171/2,IF(E171&lt;=301,E171/3,E171/4))))</f>
        <v>642.12641999999983</v>
      </c>
      <c r="G171" s="93" t="str">
        <f>A170</f>
        <v>3rd to 7th, 9th to 12th, 14th &amp; 15th Floor</v>
      </c>
      <c r="H171" s="94"/>
      <c r="I171" s="33"/>
      <c r="N171" s="33"/>
    </row>
    <row r="172" spans="1:14" s="34" customFormat="1" ht="15.75" customHeight="1" x14ac:dyDescent="0.35">
      <c r="A172" s="104">
        <v>2</v>
      </c>
      <c r="B172" s="104"/>
      <c r="C172" s="47" t="s">
        <v>203</v>
      </c>
      <c r="D172" s="53">
        <f t="shared" si="12"/>
        <v>428.08427999999992</v>
      </c>
      <c r="E172" s="39">
        <v>0</v>
      </c>
      <c r="F172" s="39">
        <f t="shared" si="13"/>
        <v>642.12641999999983</v>
      </c>
      <c r="G172" s="95"/>
      <c r="H172" s="96"/>
      <c r="I172" s="33"/>
      <c r="N172" s="33"/>
    </row>
    <row r="173" spans="1:14" s="34" customFormat="1" ht="15.75" customHeight="1" x14ac:dyDescent="0.35">
      <c r="A173" s="104">
        <v>3</v>
      </c>
      <c r="B173" s="104"/>
      <c r="C173" s="47" t="s">
        <v>203</v>
      </c>
      <c r="D173" s="53">
        <f t="shared" si="12"/>
        <v>428.08427999999992</v>
      </c>
      <c r="E173" s="39">
        <v>0</v>
      </c>
      <c r="F173" s="39">
        <f>D173*(($F$161)+1)+(IF(E173&lt;101,E173,IF(E173&lt;201,E173/2,IF(E173&lt;=301,E173/3,E173/4))))</f>
        <v>642.12641999999983</v>
      </c>
      <c r="G173" s="95"/>
      <c r="H173" s="96"/>
      <c r="I173" s="33"/>
      <c r="N173" s="33"/>
    </row>
    <row r="174" spans="1:14" s="34" customFormat="1" ht="15.75" customHeight="1" x14ac:dyDescent="0.35">
      <c r="A174" s="104">
        <v>4</v>
      </c>
      <c r="B174" s="104"/>
      <c r="C174" s="47" t="s">
        <v>203</v>
      </c>
      <c r="D174" s="53">
        <f t="shared" si="12"/>
        <v>428.08427999999992</v>
      </c>
      <c r="E174" s="39">
        <v>0</v>
      </c>
      <c r="F174" s="39">
        <f>D174*(($F$161)+1)+(IF(E174&lt;101,E174,IF(E174&lt;201,E174/2,IF(E174&lt;=301,E174/3,E174/4))))</f>
        <v>642.12641999999983</v>
      </c>
      <c r="G174" s="95"/>
      <c r="H174" s="96"/>
      <c r="I174" s="53">
        <v>10.763999999999999</v>
      </c>
      <c r="N174" s="33"/>
    </row>
    <row r="175" spans="1:14" s="34" customFormat="1" ht="15.75" customHeight="1" x14ac:dyDescent="0.35">
      <c r="A175" s="104">
        <v>5</v>
      </c>
      <c r="B175" s="104"/>
      <c r="C175" s="47" t="s">
        <v>203</v>
      </c>
      <c r="D175" s="53">
        <f t="shared" si="12"/>
        <v>428.08427999999992</v>
      </c>
      <c r="E175" s="39">
        <v>0</v>
      </c>
      <c r="F175" s="39">
        <f>D175*(($F$161)+1)+(IF(E175&lt;101,E175,IF(E175&lt;201,E175/2,IF(E175&lt;=301,E175/3,E175/4))))</f>
        <v>642.12641999999983</v>
      </c>
      <c r="G175" s="95"/>
      <c r="H175" s="96"/>
      <c r="I175" s="33"/>
      <c r="N175" s="33"/>
    </row>
    <row r="176" spans="1:14" s="34" customFormat="1" ht="15.75" customHeight="1" x14ac:dyDescent="0.35">
      <c r="A176" s="104">
        <v>6</v>
      </c>
      <c r="B176" s="104"/>
      <c r="C176" s="47" t="s">
        <v>203</v>
      </c>
      <c r="D176" s="53">
        <f t="shared" si="12"/>
        <v>428.08427999999992</v>
      </c>
      <c r="E176" s="39">
        <v>0</v>
      </c>
      <c r="F176" s="39">
        <f t="shared" ref="F176:F177" si="14">D176*(($F$161)+1)+(IF(E176&lt;101,E176,IF(E176&lt;201,E176/2,IF(E176&lt;=301,E176/3,E176/4))))</f>
        <v>642.12641999999983</v>
      </c>
      <c r="G176" s="95"/>
      <c r="H176" s="96"/>
      <c r="I176" s="33"/>
      <c r="N176" s="33"/>
    </row>
    <row r="177" spans="1:14" s="34" customFormat="1" ht="15.75" customHeight="1" x14ac:dyDescent="0.35">
      <c r="A177" s="104">
        <v>7</v>
      </c>
      <c r="B177" s="104"/>
      <c r="C177" s="47" t="s">
        <v>203</v>
      </c>
      <c r="D177" s="53">
        <f t="shared" si="12"/>
        <v>428.08427999999992</v>
      </c>
      <c r="E177" s="39">
        <v>0</v>
      </c>
      <c r="F177" s="39">
        <f t="shared" si="14"/>
        <v>642.12641999999983</v>
      </c>
      <c r="G177" s="95"/>
      <c r="H177" s="96"/>
      <c r="I177" s="33"/>
      <c r="N177" s="33"/>
    </row>
    <row r="178" spans="1:14" s="34" customFormat="1" ht="15.75" customHeight="1" x14ac:dyDescent="0.35">
      <c r="A178" s="104">
        <v>8</v>
      </c>
      <c r="B178" s="104"/>
      <c r="C178" s="47" t="s">
        <v>202</v>
      </c>
      <c r="D178" s="53">
        <f>(51.06+0.75*(3.2+2.75+2.75+2.75))*10.764</f>
        <v>642.04568999999992</v>
      </c>
      <c r="E178" s="39">
        <v>0</v>
      </c>
      <c r="F178" s="39">
        <f>D178*(($F$161)+1)+(IF(E178&lt;101,E178,IF(E178&lt;201,E178/2,IF(E178&lt;=301,E178/3,E178/4))))</f>
        <v>963.06853499999988</v>
      </c>
      <c r="G178" s="95"/>
      <c r="H178" s="96"/>
      <c r="I178" s="33"/>
      <c r="N178" s="33"/>
    </row>
    <row r="179" spans="1:14" s="34" customFormat="1" ht="15.75" customHeight="1" x14ac:dyDescent="0.35">
      <c r="A179" s="104">
        <v>9</v>
      </c>
      <c r="B179" s="104"/>
      <c r="C179" s="47" t="s">
        <v>202</v>
      </c>
      <c r="D179" s="53">
        <f>(51.06+0.75*(3.2+2.75+2.75+2.75))*10.764</f>
        <v>642.04568999999992</v>
      </c>
      <c r="E179" s="39">
        <v>0</v>
      </c>
      <c r="F179" s="39">
        <f>D179*(($F$161)+1)+(IF(E179&lt;101,E179,IF(E179&lt;201,E179/2,IF(E179&lt;=301,E179/3,E179/4))))</f>
        <v>963.06853499999988</v>
      </c>
      <c r="G179" s="97"/>
      <c r="H179" s="98"/>
      <c r="I179" s="33"/>
      <c r="N179" s="33"/>
    </row>
    <row r="180" spans="1:14" s="34" customFormat="1" x14ac:dyDescent="0.35">
      <c r="A180" s="106" t="s">
        <v>207</v>
      </c>
      <c r="B180" s="107"/>
      <c r="C180" s="107"/>
      <c r="D180" s="107"/>
      <c r="E180" s="107"/>
      <c r="F180" s="107"/>
      <c r="G180" s="107"/>
      <c r="H180" s="108"/>
      <c r="I180" s="33"/>
    </row>
    <row r="181" spans="1:14" s="34" customFormat="1" ht="15.75" customHeight="1" x14ac:dyDescent="0.35">
      <c r="A181" s="88">
        <v>1</v>
      </c>
      <c r="B181" s="89"/>
      <c r="C181" s="47" t="s">
        <v>203</v>
      </c>
      <c r="D181" s="53">
        <f t="shared" ref="D181:D187" si="15">(34.07+0.75*(2.75+2.1+2.75))*10.764</f>
        <v>428.08427999999992</v>
      </c>
      <c r="E181" s="39">
        <v>0</v>
      </c>
      <c r="F181" s="39">
        <f t="shared" ref="F181:F189" si="16">D181*(($F$161)+1)+(IF(E181&lt;101,E181,IF(E181&lt;201,E181/2,IF(E181&lt;=301,E181/3,E181/4))))</f>
        <v>642.12641999999983</v>
      </c>
      <c r="G181" s="93" t="str">
        <f>A180</f>
        <v>8th &amp; 13th Floor</v>
      </c>
      <c r="H181" s="94"/>
      <c r="I181" s="33"/>
    </row>
    <row r="182" spans="1:14" s="34" customFormat="1" ht="15.75" customHeight="1" x14ac:dyDescent="0.35">
      <c r="A182" s="88">
        <v>2</v>
      </c>
      <c r="B182" s="89"/>
      <c r="C182" s="47" t="s">
        <v>203</v>
      </c>
      <c r="D182" s="53">
        <f t="shared" si="15"/>
        <v>428.08427999999992</v>
      </c>
      <c r="E182" s="39">
        <v>0</v>
      </c>
      <c r="F182" s="39">
        <f t="shared" si="16"/>
        <v>642.12641999999983</v>
      </c>
      <c r="G182" s="95"/>
      <c r="H182" s="96"/>
      <c r="I182" s="33"/>
    </row>
    <row r="183" spans="1:14" s="34" customFormat="1" ht="15.75" customHeight="1" x14ac:dyDescent="0.35">
      <c r="A183" s="88">
        <v>3</v>
      </c>
      <c r="B183" s="89"/>
      <c r="C183" s="47" t="s">
        <v>203</v>
      </c>
      <c r="D183" s="53">
        <f t="shared" si="15"/>
        <v>428.08427999999992</v>
      </c>
      <c r="E183" s="39">
        <v>0</v>
      </c>
      <c r="F183" s="39">
        <f t="shared" si="16"/>
        <v>642.12641999999983</v>
      </c>
      <c r="G183" s="95"/>
      <c r="H183" s="96"/>
      <c r="I183" s="33"/>
    </row>
    <row r="184" spans="1:14" s="34" customFormat="1" ht="15.75" customHeight="1" x14ac:dyDescent="0.35">
      <c r="A184" s="88">
        <v>4</v>
      </c>
      <c r="B184" s="89"/>
      <c r="C184" s="47" t="s">
        <v>203</v>
      </c>
      <c r="D184" s="53">
        <f t="shared" si="15"/>
        <v>428.08427999999992</v>
      </c>
      <c r="E184" s="39">
        <v>0</v>
      </c>
      <c r="F184" s="39">
        <f t="shared" si="16"/>
        <v>642.12641999999983</v>
      </c>
      <c r="G184" s="95"/>
      <c r="H184" s="96"/>
      <c r="I184" s="33"/>
    </row>
    <row r="185" spans="1:14" s="34" customFormat="1" ht="15.75" customHeight="1" x14ac:dyDescent="0.35">
      <c r="A185" s="88">
        <v>5</v>
      </c>
      <c r="B185" s="89"/>
      <c r="C185" s="47" t="s">
        <v>203</v>
      </c>
      <c r="D185" s="53">
        <f t="shared" si="15"/>
        <v>428.08427999999992</v>
      </c>
      <c r="E185" s="39">
        <v>0</v>
      </c>
      <c r="F185" s="39">
        <f t="shared" si="16"/>
        <v>642.12641999999983</v>
      </c>
      <c r="G185" s="95"/>
      <c r="H185" s="96"/>
      <c r="I185" s="33"/>
    </row>
    <row r="186" spans="1:14" s="34" customFormat="1" ht="15.75" customHeight="1" x14ac:dyDescent="0.35">
      <c r="A186" s="88">
        <v>6</v>
      </c>
      <c r="B186" s="89"/>
      <c r="C186" s="47" t="s">
        <v>203</v>
      </c>
      <c r="D186" s="53">
        <f t="shared" si="15"/>
        <v>428.08427999999992</v>
      </c>
      <c r="E186" s="39">
        <v>0</v>
      </c>
      <c r="F186" s="39">
        <f t="shared" si="16"/>
        <v>642.12641999999983</v>
      </c>
      <c r="G186" s="95"/>
      <c r="H186" s="96"/>
      <c r="I186" s="33"/>
    </row>
    <row r="187" spans="1:14" s="34" customFormat="1" ht="15.75" customHeight="1" x14ac:dyDescent="0.35">
      <c r="A187" s="88">
        <v>7</v>
      </c>
      <c r="B187" s="89"/>
      <c r="C187" s="47" t="s">
        <v>203</v>
      </c>
      <c r="D187" s="53">
        <f t="shared" si="15"/>
        <v>428.08427999999992</v>
      </c>
      <c r="E187" s="39">
        <v>0</v>
      </c>
      <c r="F187" s="39">
        <f t="shared" si="16"/>
        <v>642.12641999999983</v>
      </c>
      <c r="G187" s="95"/>
      <c r="H187" s="96"/>
      <c r="I187" s="33"/>
    </row>
    <row r="188" spans="1:14" s="34" customFormat="1" ht="15.75" customHeight="1" x14ac:dyDescent="0.35">
      <c r="A188" s="88">
        <v>8</v>
      </c>
      <c r="B188" s="89"/>
      <c r="C188" s="47" t="s">
        <v>202</v>
      </c>
      <c r="D188" s="53">
        <f>(51.06+0.75*(3.2+2.75+2.75+2.75))*10.764</f>
        <v>642.04568999999992</v>
      </c>
      <c r="E188" s="39">
        <v>0</v>
      </c>
      <c r="F188" s="39">
        <f t="shared" si="16"/>
        <v>963.06853499999988</v>
      </c>
      <c r="G188" s="97"/>
      <c r="H188" s="98"/>
      <c r="I188" s="33"/>
    </row>
    <row r="189" spans="1:14" s="34" customFormat="1" x14ac:dyDescent="0.35">
      <c r="A189" s="88">
        <v>9</v>
      </c>
      <c r="B189" s="89"/>
      <c r="C189" s="47" t="s">
        <v>202</v>
      </c>
      <c r="D189" s="53">
        <f>(51.06+0.75*(3.2+2.75+2.75+2.75))*10.764</f>
        <v>642.04568999999992</v>
      </c>
      <c r="E189" s="39">
        <v>0</v>
      </c>
      <c r="F189" s="39">
        <f t="shared" si="16"/>
        <v>963.06853499999988</v>
      </c>
      <c r="G189" s="88">
        <f t="shared" ref="G189" si="17">G188</f>
        <v>0</v>
      </c>
      <c r="H189" s="89"/>
      <c r="I189" s="33"/>
    </row>
    <row r="190" spans="1:14" s="34" customFormat="1" ht="15.75" customHeight="1" x14ac:dyDescent="0.35">
      <c r="A190" s="105" t="s">
        <v>210</v>
      </c>
      <c r="B190" s="105"/>
      <c r="C190" s="105"/>
      <c r="D190" s="105"/>
      <c r="E190" s="105"/>
      <c r="F190" s="105"/>
      <c r="G190" s="105"/>
      <c r="H190" s="105"/>
      <c r="I190" s="33"/>
    </row>
    <row r="191" spans="1:14" s="34" customFormat="1" ht="15.75" customHeight="1" x14ac:dyDescent="0.35">
      <c r="A191" s="104">
        <v>1</v>
      </c>
      <c r="B191" s="104"/>
      <c r="C191" s="47" t="s">
        <v>203</v>
      </c>
      <c r="D191" s="53">
        <f>(34.07+0.75*(2.75+2.1+2.75))*10.764</f>
        <v>428.08427999999992</v>
      </c>
      <c r="E191" s="62">
        <v>0</v>
      </c>
      <c r="F191" s="62">
        <f>D191*(($F$161)+1)+(IF(E191&lt;101,E191,IF(E191&lt;201,E191/2,IF(E191&lt;=301,E191/3,E191/4))))</f>
        <v>642.12641999999983</v>
      </c>
      <c r="G191" s="104" t="str">
        <f>A190</f>
        <v>16th Floor (Part Natural Terrace)</v>
      </c>
      <c r="H191" s="104"/>
      <c r="I191" s="33"/>
    </row>
    <row r="192" spans="1:14" s="34" customFormat="1" ht="15.75" customHeight="1" x14ac:dyDescent="0.35">
      <c r="A192" s="104">
        <v>2</v>
      </c>
      <c r="B192" s="104"/>
      <c r="C192" s="47" t="s">
        <v>203</v>
      </c>
      <c r="D192" s="53">
        <f>(34.07+0.75*(2.75+2.1+2.75))*10.764</f>
        <v>428.08427999999992</v>
      </c>
      <c r="E192" s="62">
        <v>0</v>
      </c>
      <c r="F192" s="62">
        <f>D192*(($F$161)+1)+(IF(E192&lt;101,E192,IF(E192&lt;201,E192/2,IF(E192&lt;=301,E192/3,E192/4))))</f>
        <v>642.12641999999983</v>
      </c>
      <c r="G192" s="104"/>
      <c r="H192" s="104"/>
      <c r="I192" s="33"/>
    </row>
    <row r="193" spans="1:14" s="34" customFormat="1" ht="15.75" customHeight="1" x14ac:dyDescent="0.35">
      <c r="A193" s="104">
        <v>3</v>
      </c>
      <c r="B193" s="104"/>
      <c r="C193" s="47" t="s">
        <v>203</v>
      </c>
      <c r="D193" s="53">
        <f>(34.07+0.75*(2.75+2.1+2.75))*10.764</f>
        <v>428.08427999999992</v>
      </c>
      <c r="E193" s="62">
        <v>0</v>
      </c>
      <c r="F193" s="62">
        <f>D193*(($F$161)+1)+(IF(E193&lt;101,E193,IF(E193&lt;201,E193/2,IF(E193&lt;=301,E193/3,E193/4))))</f>
        <v>642.12641999999983</v>
      </c>
      <c r="G193" s="104"/>
      <c r="H193" s="104"/>
      <c r="I193" s="33"/>
    </row>
    <row r="194" spans="1:14" s="34" customFormat="1" ht="15.75" customHeight="1" x14ac:dyDescent="0.35">
      <c r="A194" s="104">
        <v>4</v>
      </c>
      <c r="B194" s="104"/>
      <c r="C194" s="47" t="s">
        <v>202</v>
      </c>
      <c r="D194" s="53">
        <f>(51.06+0.75*(3.2+2.75+2.75+2.75))*10.764</f>
        <v>642.04568999999992</v>
      </c>
      <c r="E194" s="62">
        <v>0</v>
      </c>
      <c r="F194" s="62">
        <f>D194*(($F$161)+1)+(IF(E194&lt;101,E194,IF(E194&lt;201,E194/2,IF(E194&lt;=301,E194/3,E194/4))))</f>
        <v>963.06853499999988</v>
      </c>
      <c r="G194" s="104"/>
      <c r="H194" s="104"/>
      <c r="I194" s="33"/>
    </row>
    <row r="195" spans="1:14" s="34" customFormat="1" ht="15.75" customHeight="1" x14ac:dyDescent="0.35">
      <c r="A195" s="104">
        <v>5</v>
      </c>
      <c r="B195" s="104"/>
      <c r="C195" s="47" t="s">
        <v>202</v>
      </c>
      <c r="D195" s="53">
        <f>(51.06+0.75*(3.2+2.75+2.75+2.75))*10.764</f>
        <v>642.04568999999992</v>
      </c>
      <c r="E195" s="62">
        <v>0</v>
      </c>
      <c r="F195" s="62">
        <f>D195*(($F$161)+1)+(IF(E195&lt;101,E195,IF(E195&lt;201,E195/2,IF(E195&lt;=301,E195/3,E195/4))))</f>
        <v>963.06853499999988</v>
      </c>
      <c r="G195" s="104"/>
      <c r="H195" s="104"/>
      <c r="I195" s="33"/>
    </row>
    <row r="196" spans="1:14" s="34" customFormat="1" x14ac:dyDescent="0.35">
      <c r="A196" s="139" t="s">
        <v>204</v>
      </c>
      <c r="B196" s="140"/>
      <c r="C196" s="140"/>
      <c r="D196" s="140"/>
      <c r="E196" s="140"/>
      <c r="F196" s="140"/>
      <c r="G196" s="140"/>
      <c r="H196" s="141"/>
      <c r="J196" s="33"/>
    </row>
    <row r="197" spans="1:14" s="34" customFormat="1" x14ac:dyDescent="0.35">
      <c r="A197" s="106" t="s">
        <v>205</v>
      </c>
      <c r="B197" s="107"/>
      <c r="C197" s="107"/>
      <c r="D197" s="107"/>
      <c r="E197" s="107"/>
      <c r="F197" s="107"/>
      <c r="G197" s="107"/>
      <c r="H197" s="108"/>
      <c r="I197" s="53">
        <v>10.763999999999999</v>
      </c>
      <c r="J197" s="33"/>
      <c r="K197" s="34">
        <f>500*F194</f>
        <v>481534.26749999996</v>
      </c>
    </row>
    <row r="198" spans="1:14" s="34" customFormat="1" ht="15.75" customHeight="1" x14ac:dyDescent="0.35">
      <c r="A198" s="88">
        <v>1</v>
      </c>
      <c r="B198" s="89"/>
      <c r="C198" s="47" t="s">
        <v>202</v>
      </c>
      <c r="D198" s="53">
        <f>(47.88)*10.764</f>
        <v>515.38031999999998</v>
      </c>
      <c r="E198" s="53">
        <f>(2.2*2.75+1.2*(2.05+2.75+2.75))*10.764</f>
        <v>162.64403999999999</v>
      </c>
      <c r="F198" s="39">
        <f>D198*(($F$161)+1)+(IF(E198&lt;101,E198,IF(E198&lt;201,E198/2,IF(E198&lt;=301,E198/3,E198/4))))</f>
        <v>854.39249999999993</v>
      </c>
      <c r="G198" s="93" t="str">
        <f>A197</f>
        <v>2nd Floor Residential &amp; Society Office Indoor Games</v>
      </c>
      <c r="H198" s="94"/>
      <c r="I198" s="33"/>
      <c r="L198" s="103"/>
      <c r="M198" s="103"/>
      <c r="N198" s="33"/>
    </row>
    <row r="199" spans="1:14" s="34" customFormat="1" ht="15.75" customHeight="1" x14ac:dyDescent="0.35">
      <c r="A199" s="88">
        <f t="shared" ref="A199:A200" si="18">A198+1</f>
        <v>2</v>
      </c>
      <c r="B199" s="89"/>
      <c r="C199" s="47" t="s">
        <v>203</v>
      </c>
      <c r="D199" s="53">
        <f>(33.57)*10.764</f>
        <v>361.34747999999996</v>
      </c>
      <c r="E199" s="53">
        <f>(2.2*2.75+2.8*(2.75+2.05))*10.764</f>
        <v>209.79036000000002</v>
      </c>
      <c r="F199" s="39">
        <f>D199*(($F$161)+1)+(IF(E199&lt;101,E199,IF(E199&lt;201,E199/2,IF(E199&lt;=301,E199/3,E199/4))))</f>
        <v>611.95133999999996</v>
      </c>
      <c r="G199" s="95"/>
      <c r="H199" s="96"/>
      <c r="I199" s="54">
        <f>650/D199</f>
        <v>1.7988225627033572</v>
      </c>
      <c r="J199" s="34">
        <f>650/D199</f>
        <v>1.7988225627033572</v>
      </c>
      <c r="L199" s="103"/>
      <c r="M199" s="103"/>
      <c r="N199" s="33"/>
    </row>
    <row r="200" spans="1:14" s="34" customFormat="1" ht="15.75" customHeight="1" x14ac:dyDescent="0.35">
      <c r="A200" s="88">
        <f t="shared" si="18"/>
        <v>3</v>
      </c>
      <c r="B200" s="89"/>
      <c r="C200" s="47" t="s">
        <v>203</v>
      </c>
      <c r="D200" s="53">
        <f>(31.86)*10.764</f>
        <v>342.94103999999999</v>
      </c>
      <c r="E200" s="53">
        <f>(2.8*2.75+1.6*(2.1+2.75))*10.764</f>
        <v>166.41143999999997</v>
      </c>
      <c r="F200" s="39">
        <f>D200*(($F$161)+1)+(IF(E200&lt;101,E200,IF(E200&lt;201,E200/2,IF(E200&lt;=301,E200/3,E200/4))))</f>
        <v>597.61727999999994</v>
      </c>
      <c r="G200" s="97"/>
      <c r="H200" s="98"/>
      <c r="I200" s="54">
        <f>650/D200</f>
        <v>1.8953695364077745</v>
      </c>
      <c r="L200" s="103"/>
      <c r="M200" s="103"/>
      <c r="N200" s="33"/>
    </row>
    <row r="201" spans="1:14" s="34" customFormat="1" x14ac:dyDescent="0.35">
      <c r="A201" s="105" t="s">
        <v>206</v>
      </c>
      <c r="B201" s="105"/>
      <c r="C201" s="105"/>
      <c r="D201" s="105"/>
      <c r="E201" s="105"/>
      <c r="F201" s="105"/>
      <c r="G201" s="105"/>
      <c r="H201" s="105"/>
      <c r="I201" s="33">
        <v>5</v>
      </c>
      <c r="L201" s="103"/>
      <c r="M201" s="103"/>
    </row>
    <row r="202" spans="1:14" s="34" customFormat="1" ht="15.75" customHeight="1" x14ac:dyDescent="0.35">
      <c r="A202" s="104">
        <v>1</v>
      </c>
      <c r="B202" s="104"/>
      <c r="C202" s="47" t="s">
        <v>203</v>
      </c>
      <c r="D202" s="53">
        <f>(31.86+0.75*(2.75+2.1+2.75))*10.764</f>
        <v>404.29584</v>
      </c>
      <c r="E202" s="39">
        <v>0</v>
      </c>
      <c r="F202" s="39">
        <f t="shared" ref="F202:F203" si="19">D202*(($F$161)+1)+(IF(E202&lt;101,E202,IF(E202&lt;201,E202/2,IF(E202&lt;=301,E202/3,E202/4))))</f>
        <v>606.44376</v>
      </c>
      <c r="G202" s="93" t="str">
        <f>A201</f>
        <v>3rd to 7th, 9th to 12th, 14th &amp; 15th Floor</v>
      </c>
      <c r="H202" s="94"/>
      <c r="I202" s="33">
        <v>4</v>
      </c>
      <c r="N202" s="33"/>
    </row>
    <row r="203" spans="1:14" s="34" customFormat="1" ht="15.75" customHeight="1" x14ac:dyDescent="0.35">
      <c r="A203" s="104">
        <v>2</v>
      </c>
      <c r="B203" s="104"/>
      <c r="C203" s="47" t="s">
        <v>202</v>
      </c>
      <c r="D203" s="53">
        <f>(52.88+0.75*(4.65+2.1+3.05+3.2))*10.764</f>
        <v>674.14931999999999</v>
      </c>
      <c r="E203" s="39">
        <v>0</v>
      </c>
      <c r="F203" s="39">
        <f t="shared" si="19"/>
        <v>1011.22398</v>
      </c>
      <c r="G203" s="95"/>
      <c r="H203" s="96"/>
      <c r="I203" s="33">
        <v>2</v>
      </c>
      <c r="N203" s="33"/>
    </row>
    <row r="204" spans="1:14" s="34" customFormat="1" ht="15.75" customHeight="1" x14ac:dyDescent="0.35">
      <c r="A204" s="104">
        <v>3</v>
      </c>
      <c r="B204" s="104"/>
      <c r="C204" s="47" t="s">
        <v>202</v>
      </c>
      <c r="D204" s="53">
        <f>(47.88+0.75*(2.75+2.1+2.75+2.75))*10.764</f>
        <v>598.93586999999991</v>
      </c>
      <c r="E204" s="39">
        <v>0</v>
      </c>
      <c r="F204" s="39">
        <f>D204*(($F$161)+1)+(IF(E204&lt;101,E204,IF(E204&lt;201,E204/2,IF(E204&lt;=301,E204/3,E204/4))))</f>
        <v>898.40380499999992</v>
      </c>
      <c r="G204" s="95"/>
      <c r="H204" s="96"/>
      <c r="I204" s="59"/>
      <c r="N204" s="33"/>
    </row>
    <row r="205" spans="1:14" s="34" customFormat="1" ht="15.75" customHeight="1" x14ac:dyDescent="0.35">
      <c r="A205" s="104">
        <v>4</v>
      </c>
      <c r="B205" s="104"/>
      <c r="C205" s="47" t="s">
        <v>203</v>
      </c>
      <c r="D205" s="53">
        <f>(33.57+0.75*(2.1+2.75+2.75))*10.764</f>
        <v>422.70227999999992</v>
      </c>
      <c r="E205" s="39">
        <v>0</v>
      </c>
      <c r="F205" s="39">
        <f>D205*(($F$161)+1)+(IF(E205&lt;101,E205,IF(E205&lt;201,E205/2,IF(E205&lt;=301,E205/3,E205/4))))</f>
        <v>634.05341999999985</v>
      </c>
      <c r="G205" s="95"/>
      <c r="H205" s="96"/>
      <c r="I205" s="53">
        <v>10.763999999999999</v>
      </c>
      <c r="N205" s="33"/>
    </row>
    <row r="206" spans="1:14" s="34" customFormat="1" ht="15.75" customHeight="1" x14ac:dyDescent="0.35">
      <c r="A206" s="104">
        <v>5</v>
      </c>
      <c r="B206" s="104"/>
      <c r="C206" s="47" t="s">
        <v>203</v>
      </c>
      <c r="D206" s="53">
        <f>(31.86+0.75*(2.1+2.75+2.75))*10.764</f>
        <v>404.29584</v>
      </c>
      <c r="E206" s="39">
        <v>0</v>
      </c>
      <c r="F206" s="39">
        <f>D206*(($F$161)+1)+(IF(E206&lt;101,E206,IF(E206&lt;201,E206/2,IF(E206&lt;=301,E206/3,E206/4))))</f>
        <v>606.44376</v>
      </c>
      <c r="G206" s="95"/>
      <c r="H206" s="96"/>
      <c r="I206" s="33"/>
      <c r="N206" s="33"/>
    </row>
    <row r="207" spans="1:14" s="34" customFormat="1" ht="15.75" customHeight="1" x14ac:dyDescent="0.35">
      <c r="A207" s="104">
        <v>6</v>
      </c>
      <c r="B207" s="104"/>
      <c r="C207" s="47" t="s">
        <v>203</v>
      </c>
      <c r="D207" s="53">
        <f>(31.86+0.75*(2.1+2.75+2.75))*10.764</f>
        <v>404.29584</v>
      </c>
      <c r="E207" s="39">
        <v>0</v>
      </c>
      <c r="F207" s="39">
        <f t="shared" ref="F207" si="20">D207*(($F$161)+1)+(IF(E207&lt;101,E207,IF(E207&lt;201,E207/2,IF(E207&lt;=301,E207/3,E207/4))))</f>
        <v>606.44376</v>
      </c>
      <c r="G207" s="97"/>
      <c r="H207" s="98"/>
      <c r="I207" s="33"/>
      <c r="N207" s="33"/>
    </row>
    <row r="208" spans="1:14" s="34" customFormat="1" x14ac:dyDescent="0.35">
      <c r="A208" s="106" t="s">
        <v>209</v>
      </c>
      <c r="B208" s="107"/>
      <c r="C208" s="107"/>
      <c r="D208" s="107"/>
      <c r="E208" s="107"/>
      <c r="F208" s="107"/>
      <c r="G208" s="107"/>
      <c r="H208" s="108"/>
      <c r="I208" s="33"/>
    </row>
    <row r="209" spans="1:9" s="34" customFormat="1" ht="15.75" customHeight="1" x14ac:dyDescent="0.35">
      <c r="A209" s="88">
        <v>1</v>
      </c>
      <c r="B209" s="89"/>
      <c r="C209" s="47" t="s">
        <v>203</v>
      </c>
      <c r="D209" s="53">
        <f>(31.86+0.75*(2.75+2.1+2.75))*10.764</f>
        <v>404.29584</v>
      </c>
      <c r="E209" s="39">
        <v>0</v>
      </c>
      <c r="F209" s="39">
        <f>D209*(($F$161)+1)+(IF(E209&lt;101,E209,IF(E209&lt;201,E209/2,IF(E209&lt;=301,E209/3,E209/4))))</f>
        <v>606.44376</v>
      </c>
      <c r="G209" s="93" t="str">
        <f>A208</f>
        <v>8th &amp; 13th Floor (Part Refuge Area)</v>
      </c>
      <c r="H209" s="94"/>
      <c r="I209" s="33"/>
    </row>
    <row r="210" spans="1:9" s="34" customFormat="1" ht="15.75" customHeight="1" x14ac:dyDescent="0.35">
      <c r="A210" s="88">
        <v>2</v>
      </c>
      <c r="B210" s="89"/>
      <c r="C210" s="47" t="s">
        <v>202</v>
      </c>
      <c r="D210" s="53">
        <f>(52.88+0.75*(4.65+2.1+3.05+3.2))*10.764</f>
        <v>674.14931999999999</v>
      </c>
      <c r="E210" s="39">
        <v>0</v>
      </c>
      <c r="F210" s="39">
        <f>D210*(($F$161)+1)+(IF(E210&lt;101,E210,IF(E210&lt;201,E210/2,IF(E210&lt;=301,E210/3,E210/4))))</f>
        <v>1011.22398</v>
      </c>
      <c r="G210" s="95"/>
      <c r="H210" s="96"/>
      <c r="I210" s="33"/>
    </row>
    <row r="211" spans="1:9" s="34" customFormat="1" ht="15.75" customHeight="1" x14ac:dyDescent="0.35">
      <c r="A211" s="88">
        <v>3</v>
      </c>
      <c r="B211" s="89"/>
      <c r="C211" s="47" t="s">
        <v>202</v>
      </c>
      <c r="D211" s="53">
        <f>(47.88+0.75*(2.75+2.1+2.75+2.75))*10.764</f>
        <v>598.93586999999991</v>
      </c>
      <c r="E211" s="39">
        <v>0</v>
      </c>
      <c r="F211" s="39">
        <f>D211*(($F$161)+1)+(IF(E211&lt;101,E211,IF(E211&lt;201,E211/2,IF(E211&lt;=301,E211/3,E211/4))))</f>
        <v>898.40380499999992</v>
      </c>
      <c r="G211" s="95"/>
      <c r="H211" s="96"/>
      <c r="I211" s="33"/>
    </row>
    <row r="212" spans="1:9" s="34" customFormat="1" ht="15.75" customHeight="1" x14ac:dyDescent="0.35">
      <c r="A212" s="88">
        <v>4</v>
      </c>
      <c r="B212" s="89"/>
      <c r="C212" s="47" t="s">
        <v>203</v>
      </c>
      <c r="D212" s="53">
        <f>(33.57+0.75*(2.1+2.75+2.75))*10.764</f>
        <v>422.70227999999992</v>
      </c>
      <c r="E212" s="39">
        <v>0</v>
      </c>
      <c r="F212" s="39">
        <f>D212*(($F$161)+1)+(IF(E212&lt;101,E212,IF(E212&lt;201,E212/2,IF(E212&lt;=301,E212/3,E212/4))))</f>
        <v>634.05341999999985</v>
      </c>
      <c r="G212" s="95"/>
      <c r="H212" s="96"/>
      <c r="I212" s="55">
        <f>845/D212</f>
        <v>1.9990429197590327</v>
      </c>
    </row>
    <row r="213" spans="1:9" s="34" customFormat="1" ht="15.75" customHeight="1" x14ac:dyDescent="0.35">
      <c r="A213" s="88">
        <v>5</v>
      </c>
      <c r="B213" s="89"/>
      <c r="C213" s="90" t="s">
        <v>208</v>
      </c>
      <c r="D213" s="91"/>
      <c r="E213" s="91"/>
      <c r="F213" s="92"/>
      <c r="G213" s="95"/>
      <c r="H213" s="96"/>
      <c r="I213" s="33"/>
    </row>
    <row r="214" spans="1:9" s="34" customFormat="1" ht="15.75" customHeight="1" x14ac:dyDescent="0.35">
      <c r="A214" s="88">
        <v>6</v>
      </c>
      <c r="B214" s="89"/>
      <c r="C214" s="56" t="s">
        <v>203</v>
      </c>
      <c r="D214" s="57">
        <f>(31.86+0.75*(2.1+2.75+2.75))*10.764</f>
        <v>404.29584</v>
      </c>
      <c r="E214" s="58">
        <v>0</v>
      </c>
      <c r="F214" s="58">
        <f>D214*(($F$161)+1)+(IF(E214&lt;101,E214,IF(E214&lt;201,E214/2,IF(E214&lt;=301,E214/3,E214/4))))</f>
        <v>606.44376</v>
      </c>
      <c r="G214" s="97"/>
      <c r="H214" s="98"/>
      <c r="I214" s="33"/>
    </row>
    <row r="215" spans="1:9" s="34" customFormat="1" ht="15.75" customHeight="1" x14ac:dyDescent="0.35">
      <c r="A215" s="106" t="s">
        <v>210</v>
      </c>
      <c r="B215" s="107"/>
      <c r="C215" s="107"/>
      <c r="D215" s="107"/>
      <c r="E215" s="107"/>
      <c r="F215" s="107"/>
      <c r="G215" s="107"/>
      <c r="H215" s="108"/>
      <c r="I215" s="33"/>
    </row>
    <row r="216" spans="1:9" s="34" customFormat="1" ht="15.75" customHeight="1" x14ac:dyDescent="0.35">
      <c r="A216" s="88">
        <v>1</v>
      </c>
      <c r="B216" s="89"/>
      <c r="C216" s="47" t="s">
        <v>203</v>
      </c>
      <c r="D216" s="53">
        <f>(31.86+0.75*(2.75+2.1+2.75))*10.764</f>
        <v>404.29584</v>
      </c>
      <c r="E216" s="39">
        <v>0</v>
      </c>
      <c r="F216" s="39">
        <f>D216*(($F$161)+1)+(IF(E216&lt;101,E216,IF(E216&lt;201,E216/2,IF(E216&lt;=301,E216/3,E216/4))))</f>
        <v>606.44376</v>
      </c>
      <c r="G216" s="93" t="str">
        <f>A215</f>
        <v>16th Floor (Part Natural Terrace)</v>
      </c>
      <c r="H216" s="94"/>
      <c r="I216" s="53">
        <v>10.763999999999999</v>
      </c>
    </row>
    <row r="217" spans="1:9" s="34" customFormat="1" ht="15.75" customHeight="1" x14ac:dyDescent="0.35">
      <c r="A217" s="88">
        <v>2</v>
      </c>
      <c r="B217" s="89"/>
      <c r="C217" s="47" t="s">
        <v>202</v>
      </c>
      <c r="D217" s="53">
        <f>(47.88+0.75*(2.75+2.1+2.75))*10.764</f>
        <v>576.73511999999994</v>
      </c>
      <c r="E217" s="39">
        <v>0</v>
      </c>
      <c r="F217" s="39">
        <f>D217*(($F$161)+1)+(IF(E217&lt;101,E217,IF(E217&lt;201,E217/2,IF(E217&lt;=301,E217/3,E217/4))))</f>
        <v>865.10267999999996</v>
      </c>
      <c r="G217" s="95"/>
      <c r="H217" s="96"/>
      <c r="I217" s="33"/>
    </row>
    <row r="218" spans="1:9" s="34" customFormat="1" ht="15.75" customHeight="1" x14ac:dyDescent="0.35">
      <c r="A218" s="88">
        <v>3</v>
      </c>
      <c r="B218" s="89"/>
      <c r="C218" s="47" t="s">
        <v>203</v>
      </c>
      <c r="D218" s="53">
        <f>(33.57+0.75*(2.75+2.1+2.75))*10.764</f>
        <v>422.70227999999992</v>
      </c>
      <c r="E218" s="39">
        <v>0</v>
      </c>
      <c r="F218" s="39">
        <f>D218*(($F$161)+1)+(IF(E218&lt;101,E218,IF(E218&lt;201,E218/2,IF(E218&lt;=301,E218/3,E218/4))))</f>
        <v>634.05341999999985</v>
      </c>
      <c r="G218" s="95"/>
      <c r="H218" s="96"/>
      <c r="I218" s="33"/>
    </row>
    <row r="219" spans="1:9" s="34" customFormat="1" ht="15.75" customHeight="1" x14ac:dyDescent="0.35">
      <c r="A219" s="88">
        <v>4</v>
      </c>
      <c r="B219" s="89"/>
      <c r="C219" s="47" t="s">
        <v>203</v>
      </c>
      <c r="D219" s="53">
        <f>(31.86+0.75*(2.75+2.1+2.75))*10.764</f>
        <v>404.29584</v>
      </c>
      <c r="E219" s="39">
        <v>0</v>
      </c>
      <c r="F219" s="39">
        <f>D219*(($F$161)+1)+(IF(E219&lt;101,E219,IF(E219&lt;201,E219/2,IF(E219&lt;=301,E219/3,E219/4))))</f>
        <v>606.44376</v>
      </c>
      <c r="G219" s="95"/>
      <c r="H219" s="96"/>
      <c r="I219" s="33"/>
    </row>
    <row r="220" spans="1:9" s="34" customFormat="1" ht="15.75" customHeight="1" x14ac:dyDescent="0.35">
      <c r="A220" s="88">
        <v>5</v>
      </c>
      <c r="B220" s="89"/>
      <c r="C220" s="47" t="s">
        <v>203</v>
      </c>
      <c r="D220" s="53">
        <f>(31.86+0.75*(2.75+2.1+2.75))*10.764</f>
        <v>404.29584</v>
      </c>
      <c r="E220" s="39">
        <v>0</v>
      </c>
      <c r="F220" s="39">
        <f>D220*(($F$161)+1)+(IF(E220&lt;101,E220,IF(E220&lt;201,E220/2,IF(E220&lt;=301,E220/3,E220/4))))</f>
        <v>606.44376</v>
      </c>
      <c r="G220" s="97"/>
      <c r="H220" s="98"/>
      <c r="I220" s="33"/>
    </row>
    <row r="221" spans="1:9" s="32" customFormat="1" x14ac:dyDescent="0.35">
      <c r="A221" s="99" t="s">
        <v>68</v>
      </c>
      <c r="B221" s="99"/>
      <c r="C221" s="99"/>
      <c r="D221" s="99"/>
      <c r="E221" s="99"/>
      <c r="F221" s="99"/>
      <c r="G221" s="99"/>
      <c r="H221" s="99"/>
    </row>
    <row r="222" spans="1:9" s="32" customFormat="1" x14ac:dyDescent="0.35">
      <c r="A222" s="41" t="s">
        <v>152</v>
      </c>
      <c r="B222" s="100" t="s">
        <v>232</v>
      </c>
      <c r="C222" s="101"/>
      <c r="D222" s="101"/>
      <c r="E222" s="101"/>
      <c r="F222" s="101"/>
      <c r="G222" s="101"/>
      <c r="H222" s="102"/>
    </row>
    <row r="223" spans="1:9" s="32" customFormat="1" x14ac:dyDescent="0.35">
      <c r="A223" s="41" t="s">
        <v>152</v>
      </c>
      <c r="B223" s="100" t="str">
        <f>(IF(F160="Saleable area Loading :","We have considered Saleable area of Flats as per our Calculation.","We considered Saleable area of Flat as per Builder area Sheet."))</f>
        <v>We have considered Saleable area of Flats as per our Calculation.</v>
      </c>
      <c r="C223" s="101"/>
      <c r="D223" s="101"/>
      <c r="E223" s="101"/>
      <c r="F223" s="101"/>
      <c r="G223" s="101"/>
      <c r="H223" s="102"/>
    </row>
    <row r="224" spans="1:9" s="32" customFormat="1" x14ac:dyDescent="0.35">
      <c r="A224" s="41" t="s">
        <v>152</v>
      </c>
      <c r="B224" s="100" t="str">
        <f>(IF(F122="Saleable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4" s="101"/>
      <c r="D224" s="101"/>
      <c r="E224" s="101"/>
      <c r="F224" s="101"/>
      <c r="G224" s="101"/>
      <c r="H224" s="102"/>
    </row>
    <row r="225" spans="1:8" s="32" customFormat="1" x14ac:dyDescent="0.35">
      <c r="A225" s="41" t="s">
        <v>152</v>
      </c>
      <c r="B225" s="85" t="s">
        <v>122</v>
      </c>
      <c r="C225" s="86"/>
      <c r="D225" s="86"/>
      <c r="E225" s="86"/>
      <c r="F225" s="86"/>
      <c r="G225" s="86"/>
      <c r="H225" s="87"/>
    </row>
    <row r="226" spans="1:8" s="32" customFormat="1" x14ac:dyDescent="0.35">
      <c r="A226" s="41" t="s">
        <v>152</v>
      </c>
      <c r="B226" s="85" t="s">
        <v>212</v>
      </c>
      <c r="C226" s="86"/>
      <c r="D226" s="86"/>
      <c r="E226" s="86"/>
      <c r="F226" s="86"/>
      <c r="G226" s="86"/>
      <c r="H226" s="87"/>
    </row>
    <row r="227" spans="1:8" s="32" customFormat="1" x14ac:dyDescent="0.35">
      <c r="A227" s="41" t="s">
        <v>152</v>
      </c>
      <c r="B227" s="85" t="s">
        <v>151</v>
      </c>
      <c r="C227" s="86"/>
      <c r="D227" s="86"/>
      <c r="E227" s="86"/>
      <c r="F227" s="86"/>
      <c r="G227" s="86"/>
      <c r="H227" s="87"/>
    </row>
    <row r="228" spans="1:8" s="32" customFormat="1" x14ac:dyDescent="0.35">
      <c r="A228" s="41" t="s">
        <v>152</v>
      </c>
      <c r="B228" s="85" t="s">
        <v>123</v>
      </c>
      <c r="C228" s="86"/>
      <c r="D228" s="86"/>
      <c r="E228" s="86"/>
      <c r="F228" s="86"/>
      <c r="G228" s="86"/>
      <c r="H228" s="87"/>
    </row>
    <row r="229" spans="1:8" s="32" customFormat="1" ht="34.5" customHeight="1" x14ac:dyDescent="0.35">
      <c r="A229" s="41" t="s">
        <v>152</v>
      </c>
      <c r="B229" s="85" t="s">
        <v>153</v>
      </c>
      <c r="C229" s="86"/>
      <c r="D229" s="86"/>
      <c r="E229" s="86"/>
      <c r="F229" s="86"/>
      <c r="G229" s="86"/>
      <c r="H229" s="87"/>
    </row>
    <row r="230" spans="1:8" s="32" customFormat="1" x14ac:dyDescent="0.35">
      <c r="A230" s="61" t="s">
        <v>152</v>
      </c>
      <c r="B230" s="85" t="s">
        <v>124</v>
      </c>
      <c r="C230" s="86"/>
      <c r="D230" s="86"/>
      <c r="E230" s="86"/>
      <c r="F230" s="86"/>
      <c r="G230" s="86"/>
      <c r="H230" s="87"/>
    </row>
    <row r="231" spans="1:8" s="32" customFormat="1" ht="31" customHeight="1" x14ac:dyDescent="0.35">
      <c r="A231" s="41" t="s">
        <v>152</v>
      </c>
      <c r="B231" s="85" t="s">
        <v>231</v>
      </c>
      <c r="C231" s="86"/>
      <c r="D231" s="86"/>
      <c r="E231" s="86"/>
      <c r="F231" s="86"/>
      <c r="G231" s="86"/>
      <c r="H231" s="87"/>
    </row>
    <row r="232" spans="1:8" x14ac:dyDescent="0.35">
      <c r="A232" s="164" t="s">
        <v>61</v>
      </c>
      <c r="B232" s="164"/>
      <c r="C232" s="164"/>
      <c r="D232" s="164"/>
      <c r="E232" s="164"/>
      <c r="F232" s="164"/>
      <c r="G232" s="164"/>
      <c r="H232" s="164"/>
    </row>
    <row r="233" spans="1:8" x14ac:dyDescent="0.35">
      <c r="A233" s="116" t="s">
        <v>62</v>
      </c>
      <c r="B233" s="116"/>
      <c r="C233" s="116"/>
      <c r="D233" s="116"/>
      <c r="E233" s="116"/>
      <c r="F233" s="116"/>
      <c r="G233" s="116"/>
      <c r="H233" s="116"/>
    </row>
    <row r="234" spans="1:8" ht="15.75" customHeight="1" x14ac:dyDescent="0.35">
      <c r="A234" s="130" t="s">
        <v>63</v>
      </c>
      <c r="B234" s="130"/>
      <c r="C234" s="130"/>
      <c r="D234" s="130"/>
      <c r="E234" s="130"/>
      <c r="F234" s="130"/>
      <c r="G234" s="130"/>
      <c r="H234" s="130"/>
    </row>
    <row r="235" spans="1:8" x14ac:dyDescent="0.35">
      <c r="A235" s="116" t="s">
        <v>64</v>
      </c>
      <c r="B235" s="116"/>
      <c r="C235" s="116"/>
      <c r="D235" s="116"/>
      <c r="E235" s="116"/>
      <c r="F235" s="116"/>
      <c r="G235" s="116"/>
      <c r="H235" s="116"/>
    </row>
    <row r="236" spans="1:8" x14ac:dyDescent="0.35">
      <c r="A236" s="116" t="s">
        <v>65</v>
      </c>
      <c r="B236" s="116"/>
      <c r="C236" s="116"/>
      <c r="D236" s="116"/>
      <c r="E236" s="116"/>
      <c r="F236" s="116"/>
      <c r="G236" s="116"/>
      <c r="H236" s="116"/>
    </row>
    <row r="237" spans="1:8" hidden="1" x14ac:dyDescent="0.35">
      <c r="A237" s="116" t="s">
        <v>125</v>
      </c>
      <c r="B237" s="116"/>
      <c r="C237" s="116"/>
      <c r="D237" s="116"/>
      <c r="E237" s="116"/>
      <c r="F237" s="116"/>
      <c r="G237" s="116"/>
      <c r="H237" s="116"/>
    </row>
    <row r="238" spans="1:8" ht="34" hidden="1" customHeight="1" x14ac:dyDescent="0.35">
      <c r="A238" s="123" t="s">
        <v>126</v>
      </c>
      <c r="B238" s="123"/>
      <c r="C238" s="123"/>
      <c r="D238" s="123"/>
      <c r="E238" s="123"/>
      <c r="F238" s="123"/>
      <c r="G238" s="123"/>
      <c r="H238" s="123"/>
    </row>
    <row r="239" spans="1:8" ht="15.75" customHeight="1" x14ac:dyDescent="0.35">
      <c r="A239" s="169" t="s">
        <v>77</v>
      </c>
      <c r="B239" s="169"/>
      <c r="C239" s="169" t="s">
        <v>229</v>
      </c>
      <c r="D239" s="169"/>
      <c r="E239" s="169" t="s">
        <v>104</v>
      </c>
      <c r="F239" s="169"/>
      <c r="G239" s="169" t="s">
        <v>235</v>
      </c>
      <c r="H239" s="169"/>
    </row>
    <row r="240" spans="1:8" x14ac:dyDescent="0.35">
      <c r="A240" s="168" t="s">
        <v>79</v>
      </c>
      <c r="B240" s="168"/>
      <c r="C240" s="168"/>
      <c r="D240" s="168"/>
      <c r="E240" s="168"/>
      <c r="F240" s="168"/>
      <c r="G240" s="168"/>
      <c r="H240" s="168"/>
    </row>
    <row r="241" spans="1:8" x14ac:dyDescent="0.35">
      <c r="A241" s="168"/>
      <c r="B241" s="168"/>
      <c r="C241" s="168"/>
      <c r="D241" s="168"/>
      <c r="E241" s="168"/>
      <c r="F241" s="168"/>
      <c r="G241" s="168"/>
      <c r="H241" s="168"/>
    </row>
    <row r="242" spans="1:8" x14ac:dyDescent="0.35">
      <c r="A242" s="168"/>
      <c r="B242" s="168"/>
      <c r="C242" s="168"/>
      <c r="D242" s="168"/>
      <c r="E242" s="168"/>
      <c r="F242" s="168"/>
      <c r="G242" s="168"/>
      <c r="H242" s="168"/>
    </row>
    <row r="243" spans="1:8" hidden="1" x14ac:dyDescent="0.35">
      <c r="A243" s="168"/>
      <c r="B243" s="168"/>
      <c r="C243" s="168"/>
      <c r="D243" s="168"/>
      <c r="E243" s="168"/>
      <c r="F243" s="168"/>
      <c r="G243" s="168"/>
      <c r="H243" s="168"/>
    </row>
    <row r="244" spans="1:8" x14ac:dyDescent="0.35">
      <c r="A244" s="35" t="s">
        <v>66</v>
      </c>
      <c r="B244" s="36"/>
      <c r="C244" s="36"/>
      <c r="D244" s="35" t="str">
        <f>E8</f>
        <v>Rudra Kristina</v>
      </c>
      <c r="F244" s="36"/>
      <c r="G244" s="36"/>
      <c r="H244" s="36"/>
    </row>
    <row r="245" spans="1:8" x14ac:dyDescent="0.35">
      <c r="A245" s="36"/>
      <c r="B245" s="36"/>
      <c r="C245" s="36"/>
      <c r="D245" s="36"/>
      <c r="E245" s="36"/>
      <c r="F245" s="36"/>
      <c r="G245" s="36"/>
      <c r="H245" s="36"/>
    </row>
    <row r="246" spans="1:8" x14ac:dyDescent="0.35">
      <c r="A246" s="36"/>
      <c r="B246" s="36"/>
      <c r="C246" s="36"/>
      <c r="D246" s="36"/>
      <c r="E246" s="36"/>
      <c r="F246" s="36"/>
      <c r="G246" s="36"/>
      <c r="H246" s="36"/>
    </row>
    <row r="247" spans="1:8" ht="15" customHeight="1" x14ac:dyDescent="0.35"/>
    <row r="287" spans="1:1" x14ac:dyDescent="0.35">
      <c r="A287" s="38" t="s">
        <v>163</v>
      </c>
    </row>
    <row r="328" spans="1:1" x14ac:dyDescent="0.35">
      <c r="A328" s="38" t="s">
        <v>67</v>
      </c>
    </row>
  </sheetData>
  <mergeCells count="430">
    <mergeCell ref="A104:E104"/>
    <mergeCell ref="A208:H208"/>
    <mergeCell ref="A95:E95"/>
    <mergeCell ref="F99:H99"/>
    <mergeCell ref="A98:E98"/>
    <mergeCell ref="A160:A161"/>
    <mergeCell ref="F98:H98"/>
    <mergeCell ref="A134:B134"/>
    <mergeCell ref="A48:B48"/>
    <mergeCell ref="C48:H48"/>
    <mergeCell ref="B227:H227"/>
    <mergeCell ref="G71:H80"/>
    <mergeCell ref="A72:B72"/>
    <mergeCell ref="A73:B73"/>
    <mergeCell ref="A74:B74"/>
    <mergeCell ref="F97:H97"/>
    <mergeCell ref="A97:E97"/>
    <mergeCell ref="D122:D123"/>
    <mergeCell ref="A99:E99"/>
    <mergeCell ref="A126:B126"/>
    <mergeCell ref="A127:B127"/>
    <mergeCell ref="A70:B70"/>
    <mergeCell ref="A124:H124"/>
    <mergeCell ref="E70:F70"/>
    <mergeCell ref="G70:H70"/>
    <mergeCell ref="A101:E101"/>
    <mergeCell ref="F101:H101"/>
    <mergeCell ref="A102:E102"/>
    <mergeCell ref="A192:B192"/>
    <mergeCell ref="A195:B195"/>
    <mergeCell ref="A194:B194"/>
    <mergeCell ref="A168:B168"/>
    <mergeCell ref="A196:H196"/>
    <mergeCell ref="A197:H197"/>
    <mergeCell ref="A198:B198"/>
    <mergeCell ref="A100:E100"/>
    <mergeCell ref="L164:M164"/>
    <mergeCell ref="A165:B165"/>
    <mergeCell ref="L165:M165"/>
    <mergeCell ref="A164:B164"/>
    <mergeCell ref="B160:B161"/>
    <mergeCell ref="A129:B129"/>
    <mergeCell ref="A128:B128"/>
    <mergeCell ref="C160:C161"/>
    <mergeCell ref="C118:D118"/>
    <mergeCell ref="A163:H163"/>
    <mergeCell ref="F105:H105"/>
    <mergeCell ref="E110:F110"/>
    <mergeCell ref="A110:B110"/>
    <mergeCell ref="A112:B112"/>
    <mergeCell ref="C115:D115"/>
    <mergeCell ref="A118:B118"/>
    <mergeCell ref="F95:H95"/>
    <mergeCell ref="F100:H100"/>
    <mergeCell ref="A103:E103"/>
    <mergeCell ref="E118:F118"/>
    <mergeCell ref="A166:B166"/>
    <mergeCell ref="G164:H169"/>
    <mergeCell ref="G171:H179"/>
    <mergeCell ref="G181:H188"/>
    <mergeCell ref="G191:H195"/>
    <mergeCell ref="A135:B135"/>
    <mergeCell ref="C113:D113"/>
    <mergeCell ref="E113:F113"/>
    <mergeCell ref="G113:H113"/>
    <mergeCell ref="A117:B117"/>
    <mergeCell ref="C117:D117"/>
    <mergeCell ref="E117:F117"/>
    <mergeCell ref="G117:H117"/>
    <mergeCell ref="C122:C123"/>
    <mergeCell ref="A167:B167"/>
    <mergeCell ref="A182:B182"/>
    <mergeCell ref="A183:B183"/>
    <mergeCell ref="A174:B174"/>
    <mergeCell ref="A190:H190"/>
    <mergeCell ref="A191:B191"/>
    <mergeCell ref="L167:M167"/>
    <mergeCell ref="L166:M166"/>
    <mergeCell ref="L134:M134"/>
    <mergeCell ref="L129:M129"/>
    <mergeCell ref="L128:M128"/>
    <mergeCell ref="L127:M127"/>
    <mergeCell ref="L126:M126"/>
    <mergeCell ref="C116:D116"/>
    <mergeCell ref="E116:F116"/>
    <mergeCell ref="G116:H116"/>
    <mergeCell ref="A125:H125"/>
    <mergeCell ref="E122:E123"/>
    <mergeCell ref="G122:H123"/>
    <mergeCell ref="A120:H120"/>
    <mergeCell ref="L133:M133"/>
    <mergeCell ref="A106:E106"/>
    <mergeCell ref="G118:H118"/>
    <mergeCell ref="A69:B69"/>
    <mergeCell ref="C69:H69"/>
    <mergeCell ref="A44:D44"/>
    <mergeCell ref="F36:H36"/>
    <mergeCell ref="G115:H115"/>
    <mergeCell ref="A38:B38"/>
    <mergeCell ref="C38:H38"/>
    <mergeCell ref="A45:D45"/>
    <mergeCell ref="A43:D43"/>
    <mergeCell ref="E43:H43"/>
    <mergeCell ref="E44:H44"/>
    <mergeCell ref="E45:H45"/>
    <mergeCell ref="E46:H46"/>
    <mergeCell ref="G53:H53"/>
    <mergeCell ref="A46:D46"/>
    <mergeCell ref="A62:C62"/>
    <mergeCell ref="D62:H62"/>
    <mergeCell ref="C112:D112"/>
    <mergeCell ref="E112:F112"/>
    <mergeCell ref="F102:H102"/>
    <mergeCell ref="A96:E96"/>
    <mergeCell ref="A71:B71"/>
    <mergeCell ref="A63:C63"/>
    <mergeCell ref="D63:H63"/>
    <mergeCell ref="D65:H65"/>
    <mergeCell ref="A65:C65"/>
    <mergeCell ref="A64:C64"/>
    <mergeCell ref="A66:C66"/>
    <mergeCell ref="A80:B80"/>
    <mergeCell ref="A81:B81"/>
    <mergeCell ref="C81:H81"/>
    <mergeCell ref="E71:F80"/>
    <mergeCell ref="A78:B78"/>
    <mergeCell ref="A79:B79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40:H243"/>
    <mergeCell ref="A239:B239"/>
    <mergeCell ref="E239:F239"/>
    <mergeCell ref="C239:D239"/>
    <mergeCell ref="G239:H239"/>
    <mergeCell ref="A109:H109"/>
    <mergeCell ref="A107:E107"/>
    <mergeCell ref="F107:H107"/>
    <mergeCell ref="A108:E108"/>
    <mergeCell ref="F108:H108"/>
    <mergeCell ref="A170:H170"/>
    <mergeCell ref="A116:B116"/>
    <mergeCell ref="A111:B111"/>
    <mergeCell ref="A235:H235"/>
    <mergeCell ref="A114:H114"/>
    <mergeCell ref="A238:H238"/>
    <mergeCell ref="A236:H236"/>
    <mergeCell ref="A232:H232"/>
    <mergeCell ref="A233:H233"/>
    <mergeCell ref="E115:F115"/>
    <mergeCell ref="B231:H231"/>
    <mergeCell ref="B228:H228"/>
    <mergeCell ref="B224:H224"/>
    <mergeCell ref="A193:B193"/>
    <mergeCell ref="C51:E51"/>
    <mergeCell ref="A58:C59"/>
    <mergeCell ref="D58:H58"/>
    <mergeCell ref="D59:H59"/>
    <mergeCell ref="C50:E50"/>
    <mergeCell ref="A53:B53"/>
    <mergeCell ref="C53:E53"/>
    <mergeCell ref="A50:B50"/>
    <mergeCell ref="A54:H54"/>
    <mergeCell ref="A55:C55"/>
    <mergeCell ref="A56:C56"/>
    <mergeCell ref="D56:H56"/>
    <mergeCell ref="G50:H50"/>
    <mergeCell ref="A51:B52"/>
    <mergeCell ref="A57:C57"/>
    <mergeCell ref="F34:H34"/>
    <mergeCell ref="F33:H33"/>
    <mergeCell ref="A119:B119"/>
    <mergeCell ref="C119:D119"/>
    <mergeCell ref="E119:F119"/>
    <mergeCell ref="G119:H119"/>
    <mergeCell ref="E42:H42"/>
    <mergeCell ref="A42:D42"/>
    <mergeCell ref="A67:B67"/>
    <mergeCell ref="C67:H67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A49:B49"/>
    <mergeCell ref="C49:E49"/>
    <mergeCell ref="G49:H49"/>
    <mergeCell ref="G51:H51"/>
    <mergeCell ref="D55:H55"/>
    <mergeCell ref="A39:B39"/>
    <mergeCell ref="C39:H39"/>
    <mergeCell ref="A47:H47"/>
    <mergeCell ref="D57:H57"/>
    <mergeCell ref="A237:H237"/>
    <mergeCell ref="A234:H234"/>
    <mergeCell ref="A171:B171"/>
    <mergeCell ref="A115:B115"/>
    <mergeCell ref="D160:D161"/>
    <mergeCell ref="E160:E161"/>
    <mergeCell ref="G160:H161"/>
    <mergeCell ref="A75:B75"/>
    <mergeCell ref="A76:B76"/>
    <mergeCell ref="A77:B77"/>
    <mergeCell ref="F96:H96"/>
    <mergeCell ref="G111:H111"/>
    <mergeCell ref="A133:B133"/>
    <mergeCell ref="A139:B139"/>
    <mergeCell ref="G155:H158"/>
    <mergeCell ref="A159:H159"/>
    <mergeCell ref="A162:H162"/>
    <mergeCell ref="A156:B156"/>
    <mergeCell ref="A215:H215"/>
    <mergeCell ref="A216:B216"/>
    <mergeCell ref="L135:M135"/>
    <mergeCell ref="C52:H52"/>
    <mergeCell ref="A130:B130"/>
    <mergeCell ref="L130:M130"/>
    <mergeCell ref="A131:B131"/>
    <mergeCell ref="L131:M131"/>
    <mergeCell ref="A132:B132"/>
    <mergeCell ref="L132:M132"/>
    <mergeCell ref="F103:H103"/>
    <mergeCell ref="C110:D110"/>
    <mergeCell ref="F106:H106"/>
    <mergeCell ref="F104:H104"/>
    <mergeCell ref="A121:H121"/>
    <mergeCell ref="G110:H110"/>
    <mergeCell ref="A105:E105"/>
    <mergeCell ref="C111:D111"/>
    <mergeCell ref="E111:F111"/>
    <mergeCell ref="B122:B123"/>
    <mergeCell ref="A122:A123"/>
    <mergeCell ref="D64:H64"/>
    <mergeCell ref="D61:H61"/>
    <mergeCell ref="D66:H66"/>
    <mergeCell ref="G112:H112"/>
    <mergeCell ref="A113:B113"/>
    <mergeCell ref="L139:M139"/>
    <mergeCell ref="A140:B140"/>
    <mergeCell ref="L140:M140"/>
    <mergeCell ref="A141:B141"/>
    <mergeCell ref="L141:M141"/>
    <mergeCell ref="A136:B136"/>
    <mergeCell ref="L136:M136"/>
    <mergeCell ref="A137:B137"/>
    <mergeCell ref="L137:M137"/>
    <mergeCell ref="A138:B138"/>
    <mergeCell ref="L138:M138"/>
    <mergeCell ref="L146:M146"/>
    <mergeCell ref="A147:B147"/>
    <mergeCell ref="L147:M147"/>
    <mergeCell ref="A142:B142"/>
    <mergeCell ref="L142:M142"/>
    <mergeCell ref="A143:B143"/>
    <mergeCell ref="L143:M143"/>
    <mergeCell ref="A144:B144"/>
    <mergeCell ref="L144:M144"/>
    <mergeCell ref="L156:M156"/>
    <mergeCell ref="G126:H153"/>
    <mergeCell ref="A154:H154"/>
    <mergeCell ref="A157:B157"/>
    <mergeCell ref="L157:M157"/>
    <mergeCell ref="A158:B158"/>
    <mergeCell ref="L158:M158"/>
    <mergeCell ref="A155:B155"/>
    <mergeCell ref="L155:M155"/>
    <mergeCell ref="A151:B151"/>
    <mergeCell ref="L151:M151"/>
    <mergeCell ref="A152:B152"/>
    <mergeCell ref="L152:M152"/>
    <mergeCell ref="A153:B153"/>
    <mergeCell ref="L153:M153"/>
    <mergeCell ref="A148:B148"/>
    <mergeCell ref="L148:M148"/>
    <mergeCell ref="A149:B149"/>
    <mergeCell ref="L149:M149"/>
    <mergeCell ref="A150:B150"/>
    <mergeCell ref="L150:M150"/>
    <mergeCell ref="A145:B145"/>
    <mergeCell ref="L145:M145"/>
    <mergeCell ref="A146:B146"/>
    <mergeCell ref="L168:M168"/>
    <mergeCell ref="A169:B169"/>
    <mergeCell ref="L169:M169"/>
    <mergeCell ref="A176:B176"/>
    <mergeCell ref="A177:B177"/>
    <mergeCell ref="A178:B178"/>
    <mergeCell ref="A179:B179"/>
    <mergeCell ref="A189:B189"/>
    <mergeCell ref="G189:H189"/>
    <mergeCell ref="A186:B186"/>
    <mergeCell ref="A187:B187"/>
    <mergeCell ref="A188:B188"/>
    <mergeCell ref="A184:B184"/>
    <mergeCell ref="A185:B185"/>
    <mergeCell ref="A180:H180"/>
    <mergeCell ref="L170:M170"/>
    <mergeCell ref="A181:B181"/>
    <mergeCell ref="A175:B175"/>
    <mergeCell ref="A172:B172"/>
    <mergeCell ref="A173:B173"/>
    <mergeCell ref="G202:H207"/>
    <mergeCell ref="L201:M201"/>
    <mergeCell ref="A202:B202"/>
    <mergeCell ref="A203:B203"/>
    <mergeCell ref="A204:B204"/>
    <mergeCell ref="A205:B205"/>
    <mergeCell ref="L200:M200"/>
    <mergeCell ref="L198:M198"/>
    <mergeCell ref="L199:M199"/>
    <mergeCell ref="A207:B207"/>
    <mergeCell ref="A201:H201"/>
    <mergeCell ref="A200:B200"/>
    <mergeCell ref="G198:H200"/>
    <mergeCell ref="A206:B206"/>
    <mergeCell ref="A199:B199"/>
    <mergeCell ref="B230:H230"/>
    <mergeCell ref="A218:B218"/>
    <mergeCell ref="A219:B219"/>
    <mergeCell ref="A213:B213"/>
    <mergeCell ref="A220:B220"/>
    <mergeCell ref="C213:F213"/>
    <mergeCell ref="A214:B214"/>
    <mergeCell ref="G209:H214"/>
    <mergeCell ref="G216:H220"/>
    <mergeCell ref="A209:B209"/>
    <mergeCell ref="A210:B210"/>
    <mergeCell ref="A211:B211"/>
    <mergeCell ref="A212:B212"/>
    <mergeCell ref="A217:B217"/>
    <mergeCell ref="B225:H225"/>
    <mergeCell ref="B226:H226"/>
    <mergeCell ref="A221:H221"/>
    <mergeCell ref="B222:H222"/>
    <mergeCell ref="B223:H223"/>
    <mergeCell ref="B229:H229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83:B83"/>
  </mergeCells>
  <dataValidations count="7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E122:E123">
      <formula1>"Attached Loft area,Attached Terrace area,Attached Mezzanine area"</formula1>
    </dataValidation>
    <dataValidation type="list" allowBlank="1" showInputMessage="1" showErrorMessage="1" sqref="F161 F123">
      <formula1>"45%,50%,55%,60%"</formula1>
    </dataValidation>
    <dataValidation type="list" allowBlank="1" showInputMessage="1" showErrorMessage="1" sqref="F95:H95">
      <formula1>"On Saleable Area,On Builtup Area,On Carpet Area,On Plot Area"</formula1>
    </dataValidation>
    <dataValidation type="list" allowBlank="1" showInputMessage="1" showErrorMessage="1" sqref="F107:H107">
      <formula1>"100000,150000,200000,250000,300000,350000,400000,500000,600000,700000,800000,900000,1000000,1200000,1400000,1500000"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243" max="16383" man="1"/>
    <brk id="286" max="16383" man="1"/>
    <brk id="32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6" t="s">
        <v>105</v>
      </c>
      <c r="C3" s="196"/>
      <c r="D3" s="196"/>
      <c r="E3" s="196"/>
      <c r="F3" s="196"/>
      <c r="G3" s="196"/>
      <c r="H3" s="196"/>
    </row>
    <row r="4" spans="1:9" x14ac:dyDescent="0.35">
      <c r="A4" s="2"/>
      <c r="B4" s="3" t="s">
        <v>106</v>
      </c>
      <c r="C4" s="3" t="s">
        <v>107</v>
      </c>
      <c r="D4" s="3" t="s">
        <v>69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2025-07-12T17:23:15Z</cp:lastPrinted>
  <dcterms:created xsi:type="dcterms:W3CDTF">2019-07-16T09:29:46Z</dcterms:created>
  <dcterms:modified xsi:type="dcterms:W3CDTF">2025-07-12T17:23:50Z</dcterms:modified>
</cp:coreProperties>
</file>