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2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1" l="1"/>
  <c r="H83" i="1"/>
  <c r="J87" i="1" l="1"/>
  <c r="C86" i="1" s="1"/>
  <c r="D86" i="1" s="1"/>
  <c r="J85" i="1"/>
  <c r="J82" i="1"/>
  <c r="J84" i="1" s="1"/>
  <c r="D95" i="1"/>
  <c r="D91" i="1"/>
  <c r="D92" i="1"/>
  <c r="D88" i="1"/>
  <c r="D94" i="1"/>
  <c r="D90" i="1"/>
  <c r="J86" i="1"/>
  <c r="D93" i="1"/>
  <c r="D89" i="1"/>
  <c r="B83" i="1"/>
  <c r="L181" i="1"/>
  <c r="K185" i="1"/>
  <c r="K184" i="1"/>
  <c r="K183" i="1"/>
  <c r="K182" i="1"/>
  <c r="K181" i="1"/>
  <c r="K186" i="1" l="1"/>
  <c r="J91" i="1"/>
  <c r="J88" i="1"/>
  <c r="J89" i="1" s="1"/>
  <c r="J94" i="1" s="1"/>
  <c r="J95" i="1" s="1"/>
  <c r="C87" i="1" s="1"/>
  <c r="J90" i="1"/>
  <c r="J93" i="1"/>
  <c r="J92" i="1"/>
  <c r="J239" i="1"/>
  <c r="J238" i="1"/>
  <c r="J237" i="1"/>
  <c r="I239" i="1"/>
  <c r="I238" i="1"/>
  <c r="I237" i="1"/>
  <c r="C152" i="1"/>
  <c r="H125" i="1"/>
  <c r="E86" i="1" l="1"/>
  <c r="D87" i="1"/>
  <c r="I83" i="1" s="1"/>
  <c r="J83" i="1"/>
  <c r="G86" i="1"/>
  <c r="D137" i="1"/>
  <c r="D133" i="1"/>
  <c r="D136" i="1"/>
  <c r="D132" i="1"/>
  <c r="J128" i="1"/>
  <c r="D134" i="1"/>
  <c r="D130" i="1"/>
  <c r="J124" i="1"/>
  <c r="J126" i="1" s="1"/>
  <c r="D135" i="1"/>
  <c r="D131" i="1"/>
  <c r="J129" i="1"/>
  <c r="C128" i="1" s="1"/>
  <c r="D128" i="1" s="1"/>
  <c r="J127" i="1"/>
  <c r="B125" i="1"/>
  <c r="G187" i="1"/>
  <c r="G188" i="1"/>
  <c r="G189" i="1"/>
  <c r="G190" i="1"/>
  <c r="G191" i="1"/>
  <c r="G192" i="1"/>
  <c r="G193" i="1"/>
  <c r="D314" i="1"/>
  <c r="D313" i="1"/>
  <c r="D312" i="1"/>
  <c r="G311" i="1"/>
  <c r="G312" i="1" s="1"/>
  <c r="G313" i="1" s="1"/>
  <c r="G314" i="1" s="1"/>
  <c r="D311" i="1"/>
  <c r="D305" i="1"/>
  <c r="D304" i="1"/>
  <c r="D303" i="1"/>
  <c r="G302" i="1"/>
  <c r="G303" i="1" s="1"/>
  <c r="G304" i="1" s="1"/>
  <c r="G305" i="1" s="1"/>
  <c r="D302" i="1"/>
  <c r="D296" i="1"/>
  <c r="D295" i="1"/>
  <c r="D294" i="1"/>
  <c r="D293" i="1"/>
  <c r="D292" i="1"/>
  <c r="D291" i="1"/>
  <c r="A291" i="1"/>
  <c r="A292" i="1" s="1"/>
  <c r="A293" i="1" s="1"/>
  <c r="A294" i="1" s="1"/>
  <c r="A295" i="1" s="1"/>
  <c r="A296" i="1" s="1"/>
  <c r="G290" i="1"/>
  <c r="G291" i="1" s="1"/>
  <c r="G292" i="1" s="1"/>
  <c r="G293" i="1" s="1"/>
  <c r="G294" i="1" s="1"/>
  <c r="G295" i="1" s="1"/>
  <c r="G296" i="1" s="1"/>
  <c r="D290" i="1"/>
  <c r="D309" i="1"/>
  <c r="A309" i="1"/>
  <c r="G308" i="1"/>
  <c r="G309" i="1" s="1"/>
  <c r="D308" i="1"/>
  <c r="D300" i="1"/>
  <c r="A300" i="1"/>
  <c r="G299" i="1"/>
  <c r="G300" i="1" s="1"/>
  <c r="D299" i="1"/>
  <c r="D288" i="1"/>
  <c r="D287" i="1"/>
  <c r="D286" i="1"/>
  <c r="D285" i="1"/>
  <c r="A286" i="1"/>
  <c r="A287" i="1" s="1"/>
  <c r="A288" i="1" s="1"/>
  <c r="G285" i="1"/>
  <c r="G286" i="1" s="1"/>
  <c r="G287" i="1" s="1"/>
  <c r="G288" i="1" s="1"/>
  <c r="D281" i="1"/>
  <c r="D280" i="1"/>
  <c r="D279" i="1"/>
  <c r="D278" i="1"/>
  <c r="D277" i="1"/>
  <c r="A277" i="1"/>
  <c r="A278" i="1" s="1"/>
  <c r="A279" i="1" s="1"/>
  <c r="A280" i="1" s="1"/>
  <c r="A281" i="1" s="1"/>
  <c r="G276" i="1"/>
  <c r="G277" i="1" s="1"/>
  <c r="G278" i="1" s="1"/>
  <c r="G279" i="1" s="1"/>
  <c r="G280" i="1" s="1"/>
  <c r="G281" i="1" s="1"/>
  <c r="D276" i="1"/>
  <c r="D265" i="1"/>
  <c r="D264" i="1"/>
  <c r="D263" i="1"/>
  <c r="D262" i="1"/>
  <c r="D261" i="1"/>
  <c r="A261" i="1"/>
  <c r="A262" i="1" s="1"/>
  <c r="A263" i="1" s="1"/>
  <c r="A264" i="1" s="1"/>
  <c r="A265" i="1" s="1"/>
  <c r="G260" i="1"/>
  <c r="G261" i="1" s="1"/>
  <c r="G262" i="1" s="1"/>
  <c r="G263" i="1" s="1"/>
  <c r="G264" i="1" s="1"/>
  <c r="G265" i="1" s="1"/>
  <c r="D260" i="1"/>
  <c r="D249" i="1"/>
  <c r="D248" i="1"/>
  <c r="D247" i="1"/>
  <c r="D246" i="1"/>
  <c r="D245" i="1"/>
  <c r="A245" i="1"/>
  <c r="A246" i="1" s="1"/>
  <c r="A247" i="1" s="1"/>
  <c r="A248" i="1" s="1"/>
  <c r="A249" i="1" s="1"/>
  <c r="G244" i="1"/>
  <c r="G245" i="1" s="1"/>
  <c r="G246" i="1" s="1"/>
  <c r="G247" i="1" s="1"/>
  <c r="G248" i="1" s="1"/>
  <c r="G249" i="1" s="1"/>
  <c r="D244" i="1"/>
  <c r="D234" i="1"/>
  <c r="J233" i="1"/>
  <c r="D233" i="1"/>
  <c r="D232" i="1"/>
  <c r="A232" i="1"/>
  <c r="A233" i="1" s="1"/>
  <c r="A234" i="1" s="1"/>
  <c r="G231" i="1"/>
  <c r="G232" i="1" s="1"/>
  <c r="G233" i="1" s="1"/>
  <c r="G234" i="1" s="1"/>
  <c r="D231" i="1"/>
  <c r="D274" i="1"/>
  <c r="D273" i="1"/>
  <c r="D272" i="1"/>
  <c r="D271" i="1"/>
  <c r="D270" i="1"/>
  <c r="D269" i="1"/>
  <c r="A270" i="1"/>
  <c r="A271" i="1" s="1"/>
  <c r="A272" i="1" s="1"/>
  <c r="A273" i="1" s="1"/>
  <c r="A274" i="1" s="1"/>
  <c r="G269" i="1"/>
  <c r="G270" i="1" s="1"/>
  <c r="G271" i="1" s="1"/>
  <c r="G272" i="1" s="1"/>
  <c r="G273" i="1" s="1"/>
  <c r="G274" i="1" s="1"/>
  <c r="D258" i="1"/>
  <c r="D257" i="1"/>
  <c r="D256" i="1"/>
  <c r="D255" i="1"/>
  <c r="D254" i="1"/>
  <c r="D253" i="1"/>
  <c r="I84" i="1" l="1"/>
  <c r="I82" i="1" s="1"/>
  <c r="C84" i="1" s="1"/>
  <c r="G194" i="1"/>
  <c r="E192" i="1"/>
  <c r="E193" i="1"/>
  <c r="E189" i="1"/>
  <c r="C191" i="1"/>
  <c r="C193" i="1"/>
  <c r="E190" i="1"/>
  <c r="J132" i="1"/>
  <c r="J135" i="1"/>
  <c r="J134" i="1"/>
  <c r="J130" i="1"/>
  <c r="J131" i="1" s="1"/>
  <c r="J133" i="1"/>
  <c r="C189" i="1"/>
  <c r="E191" i="1"/>
  <c r="C190" i="1"/>
  <c r="C192" i="1"/>
  <c r="A254" i="1"/>
  <c r="A255" i="1" s="1"/>
  <c r="A256" i="1" s="1"/>
  <c r="A257" i="1" s="1"/>
  <c r="A258" i="1" s="1"/>
  <c r="G253" i="1"/>
  <c r="G254" i="1" s="1"/>
  <c r="G255" i="1" s="1"/>
  <c r="G256" i="1" s="1"/>
  <c r="G257" i="1" s="1"/>
  <c r="G258" i="1" s="1"/>
  <c r="J136" i="1" l="1"/>
  <c r="J137" i="1" s="1"/>
  <c r="C129" i="1" s="1"/>
  <c r="E128" i="1" s="1"/>
  <c r="D242" i="1"/>
  <c r="D241" i="1"/>
  <c r="D240" i="1"/>
  <c r="D239" i="1"/>
  <c r="D238" i="1"/>
  <c r="D237" i="1"/>
  <c r="A238" i="1"/>
  <c r="A239" i="1" s="1"/>
  <c r="A240" i="1" s="1"/>
  <c r="A241" i="1" s="1"/>
  <c r="A242" i="1" s="1"/>
  <c r="G237" i="1"/>
  <c r="G238" i="1" s="1"/>
  <c r="G239" i="1" s="1"/>
  <c r="G240" i="1" s="1"/>
  <c r="G241" i="1" s="1"/>
  <c r="G242" i="1" s="1"/>
  <c r="E227" i="1"/>
  <c r="E226" i="1"/>
  <c r="J228" i="1"/>
  <c r="D226" i="1"/>
  <c r="D227" i="1"/>
  <c r="D228" i="1"/>
  <c r="E228" i="1"/>
  <c r="D229" i="1"/>
  <c r="D204" i="1"/>
  <c r="D205" i="1"/>
  <c r="D206" i="1"/>
  <c r="D207" i="1"/>
  <c r="F207" i="1" s="1"/>
  <c r="D208" i="1"/>
  <c r="F208" i="1" s="1"/>
  <c r="D209" i="1"/>
  <c r="F209" i="1" s="1"/>
  <c r="D210" i="1"/>
  <c r="F210" i="1" s="1"/>
  <c r="D211" i="1"/>
  <c r="F211" i="1" s="1"/>
  <c r="D214" i="1"/>
  <c r="D215" i="1"/>
  <c r="F215" i="1" s="1"/>
  <c r="D216" i="1"/>
  <c r="F216" i="1" s="1"/>
  <c r="D217" i="1"/>
  <c r="F217" i="1" s="1"/>
  <c r="D218" i="1"/>
  <c r="F218" i="1" s="1"/>
  <c r="D219" i="1"/>
  <c r="F219" i="1" s="1"/>
  <c r="D220" i="1"/>
  <c r="F220" i="1" s="1"/>
  <c r="D203" i="1"/>
  <c r="C14" i="1"/>
  <c r="J125" i="1" l="1"/>
  <c r="G128" i="1"/>
  <c r="D129" i="1"/>
  <c r="I125" i="1" s="1"/>
  <c r="I126" i="1" s="1"/>
  <c r="E188" i="1"/>
  <c r="C188" i="1"/>
  <c r="E182" i="1"/>
  <c r="C182" i="1"/>
  <c r="F214" i="1"/>
  <c r="G183" i="1" s="1"/>
  <c r="C183" i="1"/>
  <c r="E183" i="1"/>
  <c r="C187" i="1"/>
  <c r="E187" i="1"/>
  <c r="E194" i="1" s="1"/>
  <c r="I124" i="1" l="1"/>
  <c r="C126" i="1" s="1"/>
  <c r="C194" i="1"/>
  <c r="C184" i="1"/>
  <c r="E184" i="1"/>
  <c r="E195" i="1" s="1"/>
  <c r="E42" i="1"/>
  <c r="E43" i="1" s="1"/>
  <c r="C195" i="1" l="1"/>
  <c r="E29" i="1"/>
  <c r="A227" i="1" l="1"/>
  <c r="A228" i="1" s="1"/>
  <c r="A229" i="1" s="1"/>
  <c r="G226" i="1"/>
  <c r="G227" i="1" s="1"/>
  <c r="G228" i="1" s="1"/>
  <c r="G229" i="1" s="1"/>
  <c r="F179" i="1" l="1"/>
  <c r="F204" i="1" l="1"/>
  <c r="F205" i="1"/>
  <c r="F206" i="1"/>
  <c r="F203" i="1"/>
  <c r="G182" i="1" l="1"/>
  <c r="G184" i="1" s="1"/>
  <c r="G195" i="1" s="1"/>
  <c r="B317" i="1"/>
  <c r="B318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38" i="1"/>
  <c r="A204" i="1"/>
  <c r="A205" i="1" s="1"/>
  <c r="A206" i="1" s="1"/>
  <c r="A207" i="1" s="1"/>
  <c r="A208" i="1" s="1"/>
  <c r="A209" i="1" s="1"/>
  <c r="A210" i="1" s="1"/>
  <c r="A211" i="1" s="1"/>
  <c r="A214" i="1" s="1"/>
  <c r="A215" i="1" s="1"/>
  <c r="A216" i="1" s="1"/>
  <c r="A217" i="1" s="1"/>
  <c r="A218" i="1" s="1"/>
  <c r="A219" i="1" s="1"/>
  <c r="A220" i="1" s="1"/>
  <c r="G203" i="1"/>
  <c r="G204" i="1" s="1"/>
  <c r="G205" i="1" s="1"/>
  <c r="G206" i="1" s="1"/>
  <c r="G207" i="1" s="1"/>
  <c r="G208" i="1" s="1"/>
  <c r="G209" i="1" s="1"/>
  <c r="G210" i="1" s="1"/>
  <c r="G211" i="1" s="1"/>
  <c r="G214" i="1" s="1"/>
  <c r="G215" i="1" s="1"/>
  <c r="G216" i="1" s="1"/>
  <c r="G217" i="1" s="1"/>
  <c r="G218" i="1" s="1"/>
  <c r="G219" i="1" s="1"/>
  <c r="G220" i="1" s="1"/>
  <c r="B97" i="1"/>
  <c r="B69" i="1"/>
  <c r="D54" i="1"/>
  <c r="G50" i="1"/>
  <c r="C49" i="1"/>
  <c r="E26" i="1"/>
  <c r="E24" i="1"/>
  <c r="E7" i="1"/>
  <c r="E3" i="1"/>
  <c r="H97" i="1"/>
  <c r="J102" i="1" l="1"/>
  <c r="J103" i="1" s="1"/>
  <c r="J96" i="1"/>
  <c r="J98" i="1" s="1"/>
  <c r="D62" i="1"/>
  <c r="D107" i="1"/>
  <c r="D108" i="1"/>
  <c r="D109" i="1"/>
  <c r="D103" i="1"/>
  <c r="D104" i="1"/>
  <c r="D105" i="1"/>
  <c r="D106" i="1"/>
  <c r="J100" i="1"/>
  <c r="J101" i="1"/>
  <c r="C100" i="1" s="1"/>
  <c r="J99" i="1"/>
  <c r="H69" i="1"/>
  <c r="J68" i="1" l="1"/>
  <c r="J70" i="1" s="1"/>
  <c r="D80" i="1"/>
  <c r="D76" i="1"/>
  <c r="D81" i="1"/>
  <c r="J72" i="1"/>
  <c r="D79" i="1"/>
  <c r="J73" i="1"/>
  <c r="C72" i="1" s="1"/>
  <c r="D72" i="1" s="1"/>
  <c r="D78" i="1"/>
  <c r="J71" i="1"/>
  <c r="D77" i="1"/>
  <c r="J74" i="1"/>
  <c r="J75" i="1" s="1"/>
  <c r="J80" i="1" s="1"/>
  <c r="D75" i="1"/>
  <c r="J108" i="1"/>
  <c r="J104" i="1"/>
  <c r="J105" i="1" s="1"/>
  <c r="J106" i="1" s="1"/>
  <c r="J107" i="1" s="1"/>
  <c r="J76" i="1"/>
  <c r="J77" i="1" s="1"/>
  <c r="J78" i="1" s="1"/>
  <c r="J79" i="1" s="1"/>
  <c r="D102" i="1"/>
  <c r="D74" i="1"/>
  <c r="D100" i="1"/>
  <c r="B111" i="1" l="1"/>
  <c r="B153" i="1"/>
  <c r="J81" i="1"/>
  <c r="C73" i="1" s="1"/>
  <c r="G72" i="1" s="1"/>
  <c r="D66" i="1" s="1"/>
  <c r="D67" i="1" s="1"/>
  <c r="J109" i="1"/>
  <c r="H111" i="1"/>
  <c r="H153" i="1"/>
  <c r="J115" i="1" l="1"/>
  <c r="C114" i="1" s="1"/>
  <c r="D114" i="1" s="1"/>
  <c r="J113" i="1"/>
  <c r="J110" i="1"/>
  <c r="J112" i="1" s="1"/>
  <c r="D118" i="1"/>
  <c r="J114" i="1"/>
  <c r="D123" i="1"/>
  <c r="D121" i="1"/>
  <c r="D119" i="1"/>
  <c r="D117" i="1"/>
  <c r="D122" i="1"/>
  <c r="D120" i="1"/>
  <c r="D116" i="1"/>
  <c r="J121" i="1"/>
  <c r="J119" i="1"/>
  <c r="J120" i="1"/>
  <c r="J116" i="1"/>
  <c r="J117" i="1" s="1"/>
  <c r="J122" i="1" s="1"/>
  <c r="J123" i="1" s="1"/>
  <c r="C115" i="1" s="1"/>
  <c r="J118" i="1"/>
  <c r="D162" i="1"/>
  <c r="D158" i="1"/>
  <c r="J157" i="1"/>
  <c r="C156" i="1" s="1"/>
  <c r="J155" i="1"/>
  <c r="J152" i="1"/>
  <c r="J154" i="1" s="1"/>
  <c r="D165" i="1"/>
  <c r="D161" i="1"/>
  <c r="D164" i="1"/>
  <c r="D160" i="1"/>
  <c r="J156" i="1"/>
  <c r="D163" i="1"/>
  <c r="D159" i="1"/>
  <c r="J162" i="1"/>
  <c r="J158" i="1"/>
  <c r="J161" i="1"/>
  <c r="J160" i="1"/>
  <c r="J163" i="1"/>
  <c r="C101" i="1"/>
  <c r="J97" i="1" s="1"/>
  <c r="J69" i="1"/>
  <c r="D73" i="1"/>
  <c r="E72" i="1"/>
  <c r="F67" i="1"/>
  <c r="E114" i="1" l="1"/>
  <c r="D115" i="1"/>
  <c r="I111" i="1" s="1"/>
  <c r="G114" i="1"/>
  <c r="J111" i="1"/>
  <c r="I69" i="1"/>
  <c r="I70" i="1" s="1"/>
  <c r="J159" i="1"/>
  <c r="J164" i="1" s="1"/>
  <c r="E100" i="1"/>
  <c r="D156" i="1"/>
  <c r="D101" i="1"/>
  <c r="I97" i="1" s="1"/>
  <c r="I98" i="1" s="1"/>
  <c r="G100" i="1"/>
  <c r="I112" i="1" l="1"/>
  <c r="I110" i="1" s="1"/>
  <c r="C112" i="1" s="1"/>
  <c r="I68" i="1"/>
  <c r="C70" i="1" s="1"/>
  <c r="B139" i="1"/>
  <c r="J165" i="1"/>
  <c r="C157" i="1" s="1"/>
  <c r="E156" i="1" s="1"/>
  <c r="I96" i="1"/>
  <c r="C98" i="1" s="1"/>
  <c r="H139" i="1"/>
  <c r="D151" i="1" l="1"/>
  <c r="D147" i="1"/>
  <c r="D150" i="1"/>
  <c r="D146" i="1"/>
  <c r="J142" i="1"/>
  <c r="D145" i="1"/>
  <c r="J138" i="1"/>
  <c r="J140" i="1" s="1"/>
  <c r="D149" i="1"/>
  <c r="D144" i="1"/>
  <c r="J141" i="1"/>
  <c r="D148" i="1"/>
  <c r="J143" i="1"/>
  <c r="C142" i="1" s="1"/>
  <c r="D142" i="1" s="1"/>
  <c r="J146" i="1"/>
  <c r="J148" i="1"/>
  <c r="J149" i="1"/>
  <c r="J144" i="1"/>
  <c r="J145" i="1" s="1"/>
  <c r="J150" i="1" s="1"/>
  <c r="J151" i="1" s="1"/>
  <c r="C143" i="1" s="1"/>
  <c r="J147" i="1"/>
  <c r="J153" i="1"/>
  <c r="G156" i="1"/>
  <c r="D157" i="1"/>
  <c r="I153" i="1" s="1"/>
  <c r="I154" i="1" s="1"/>
  <c r="E142" i="1" l="1"/>
  <c r="D143" i="1"/>
  <c r="I139" i="1" s="1"/>
  <c r="I140" i="1" s="1"/>
  <c r="G142" i="1"/>
  <c r="J139" i="1"/>
  <c r="I152" i="1"/>
  <c r="C154" i="1" s="1"/>
  <c r="I138" i="1" l="1"/>
  <c r="C140" i="1" s="1"/>
</calcChain>
</file>

<file path=xl/sharedStrings.xml><?xml version="1.0" encoding="utf-8"?>
<sst xmlns="http://schemas.openxmlformats.org/spreadsheetml/2006/main" count="614" uniqueCount="245">
  <si>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</si>
  <si>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</si>
  <si>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</si>
  <si>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</si>
  <si>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</si>
  <si>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</si>
  <si>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</si>
  <si>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</si>
  <si>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</si>
  <si>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</si>
  <si>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</si>
  <si>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</si>
  <si>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</si>
  <si>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</si>
  <si>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</si>
  <si>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</si>
  <si>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</si>
  <si>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</si>
  <si>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</si>
  <si>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</si>
  <si>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</si>
  <si>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</si>
  <si>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</si>
  <si>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</si>
  <si>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</si>
  <si>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</si>
  <si>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</si>
  <si>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</si>
  <si>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</si>
  <si>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</si>
  <si>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</si>
  <si>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</si>
  <si>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</si>
  <si>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</si>
  <si>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</si>
  <si>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</si>
  <si>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</si>
  <si>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</si>
  <si>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</si>
  <si>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</si>
  <si>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</si>
  <si>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</si>
  <si>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</si>
  <si>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</si>
  <si>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</si>
  <si>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</si>
  <si>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</si>
  <si>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</si>
  <si>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</si>
  <si>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</si>
  <si>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</si>
  <si>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</si>
  <si>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</si>
  <si>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</si>
  <si>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</si>
  <si>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</si>
  <si>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</si>
  <si>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</si>
  <si>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</si>
  <si>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</si>
  <si>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</si>
  <si>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</si>
  <si>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</si>
  <si>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</si>
  <si>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</si>
  <si>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</si>
  <si>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</si>
  <si>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</si>
  <si>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</si>
  <si>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</si>
  <si>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</si>
  <si>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</si>
  <si>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</si>
  <si>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</si>
  <si>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</si>
  <si>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</si>
  <si>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</si>
  <si>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</si>
  <si>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</si>
  <si>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</si>
  <si>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</si>
  <si>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</si>
  <si>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</si>
  <si>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</si>
  <si>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</si>
  <si>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</si>
  <si>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</si>
  <si>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</si>
  <si>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</si>
  <si>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</si>
  <si>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</si>
  <si>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</si>
  <si>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</si>
  <si>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</si>
  <si>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</si>
  <si>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</si>
  <si>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</si>
  <si>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</si>
  <si>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</si>
  <si>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</si>
  <si>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</si>
  <si>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</si>
  <si>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</si>
  <si>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</si>
  <si>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</si>
  <si>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</si>
  <si>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</si>
  <si>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</si>
  <si>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</si>
  <si>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</si>
  <si>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</si>
  <si>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</si>
  <si>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</si>
  <si>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</si>
  <si>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</si>
  <si>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</si>
  <si>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</si>
  <si>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</si>
  <si>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</si>
  <si>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</si>
  <si>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</si>
  <si>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</si>
  <si>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</si>
  <si>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</si>
  <si>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</si>
  <si>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</si>
  <si>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</si>
  <si>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</si>
  <si>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</si>
  <si>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</si>
  <si>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</si>
  <si>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</si>
  <si>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</si>
  <si>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</si>
  <si>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</si>
  <si>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</si>
  <si>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</si>
  <si>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</si>
  <si>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</si>
  <si>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</si>
  <si>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</si>
  <si>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</si>
  <si>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</si>
  <si>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</si>
  <si>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</si>
  <si>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</si>
  <si>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</si>
  <si>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</si>
  <si>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</si>
  <si>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</si>
  <si>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</si>
  <si>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</si>
  <si>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</si>
  <si>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</si>
  <si>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</si>
  <si>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</si>
  <si>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</si>
  <si>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</si>
  <si>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</si>
  <si>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</si>
  <si>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</si>
  <si>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</si>
  <si>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</si>
  <si>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</si>
  <si>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</si>
  <si>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</si>
  <si>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</si>
  <si>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</si>
  <si>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</si>
  <si>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</si>
  <si>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</si>
  <si>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</si>
  <si>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</si>
  <si>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</si>
  <si>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</si>
  <si>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Axis Sanpada</t>
  </si>
  <si>
    <t>Sunil Peravi</t>
  </si>
  <si>
    <t>Sri Venkateshwara Builders</t>
  </si>
  <si>
    <t xml:space="preserve">Mr. Zubair Khan  9372537476
</t>
  </si>
  <si>
    <t>P52000035119</t>
  </si>
  <si>
    <t>Approved Plans, CC, Builder Saleable Area, Cost Sheet</t>
  </si>
  <si>
    <t>Survey No</t>
  </si>
  <si>
    <t>63/4</t>
  </si>
  <si>
    <t>Ghot</t>
  </si>
  <si>
    <t>Panvel</t>
  </si>
  <si>
    <t>Raigad</t>
  </si>
  <si>
    <t>https://goo.gl/maps/Ab4dfTycUVfJLGsP7</t>
  </si>
  <si>
    <t>Taloja</t>
  </si>
  <si>
    <t>Internal Rd</t>
  </si>
  <si>
    <t>Sai Shri Narayana</t>
  </si>
  <si>
    <t>Jijai Angan</t>
  </si>
  <si>
    <t>4.2KM from Taloja Railway Station</t>
  </si>
  <si>
    <t>Arihant Anshula</t>
  </si>
  <si>
    <t>Iinternal Rd/Open Plot</t>
  </si>
  <si>
    <t>Open Plot/ Lake</t>
  </si>
  <si>
    <t>Jijaji Angan</t>
  </si>
  <si>
    <t>J.K./PMP/NRV/15984/J.K.408/2022</t>
  </si>
  <si>
    <t>Gr + 1st to 7th Floor</t>
  </si>
  <si>
    <t>As per RERA - 31/12/2027</t>
  </si>
  <si>
    <t>Garden, Shopping Center, Fitness Center, Club House, Children Play Area, Power Backup</t>
  </si>
  <si>
    <t>Building No. 1</t>
  </si>
  <si>
    <t>Shop</t>
  </si>
  <si>
    <t>Wing A</t>
  </si>
  <si>
    <t>2BHK</t>
  </si>
  <si>
    <t>1st Floor For Residential</t>
  </si>
  <si>
    <t>Wing B</t>
  </si>
  <si>
    <t>1BHK</t>
  </si>
  <si>
    <t>Wing C</t>
  </si>
  <si>
    <t>Ground Floor For Society Office, Meter Room, Driver Room &amp; Parking</t>
  </si>
  <si>
    <t>Wing D</t>
  </si>
  <si>
    <t>Ground Floor For Entrance Lobby, Meter Room &amp; Parking</t>
  </si>
  <si>
    <t>2nd to 6th Floor</t>
  </si>
  <si>
    <t>2nd to 7th Floor</t>
  </si>
  <si>
    <t>Building No. 2</t>
  </si>
  <si>
    <t>Ground Floor For Entrance Lobby, Residential &amp; Parking</t>
  </si>
  <si>
    <t>1st to 7th Floor</t>
  </si>
  <si>
    <t>We considered Gross carpet area = Net carpet + Balcony.</t>
  </si>
  <si>
    <t xml:space="preserve">Builder Saleable area </t>
  </si>
  <si>
    <t>Commercial Area Details : Building No. 1</t>
  </si>
  <si>
    <t>Ground Floor For Entrance Lobby, Commercial, Meter Room,  &amp; Parking</t>
  </si>
  <si>
    <t>Flats -257, Shops -16</t>
  </si>
  <si>
    <t>Building No. 2 Wing A &amp; B= Gr + 1st to 7th Floor</t>
  </si>
  <si>
    <t>Building No. 2 Wing C = Gr + 1st to 7th Floor</t>
  </si>
  <si>
    <t>Building No. 1 Wing A &amp; B = Gr + 1st to 6th Floor
Building No. 1 Wing C &amp; D = Gr + 1st to 7th Floor
Building No. 2 Wing A, B &amp; C = Gr + 1st to 7th Floor</t>
  </si>
  <si>
    <t>Panvel Municipal Corporation</t>
  </si>
  <si>
    <t>Building No. 1 (Wing A, B, C &amp; D) &amp; 
Building No. 2 (Wing A, B &amp; C)</t>
  </si>
  <si>
    <t>07 Buildings</t>
  </si>
  <si>
    <t>Cost Sheet</t>
  </si>
  <si>
    <t>https://www.propertypistol.com/projects/d87f5b2e-bb5e-42b2-8695-c3d6f8855702/sai-shri-narayana-by-sri-venkateshwara-builders-in-taloja</t>
  </si>
  <si>
    <t>Building No. 1 Wing B = Gr + 1st to 7th Floor</t>
  </si>
  <si>
    <t>Building No. 1 Wing C &amp; D = Gr + 1st to 7th Floor</t>
  </si>
  <si>
    <t>Building No. 1 Wing A &amp; B = Gr + 1st to 7th Floor</t>
  </si>
  <si>
    <t>19.085187,73.110579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</si>
  <si>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</si>
  <si>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Building No. 2 Wing A = Gr + 1st to 7th Floor</t>
  </si>
  <si>
    <t>PMC/TP/Ghot/63/4/21-22/15984/
408/2022</t>
  </si>
  <si>
    <t>Building No. 2  Wing B Extra construction given till 23/04/2024</t>
  </si>
  <si>
    <t>Building No. 2 Wing B = Gr + 1st to 7th Floor</t>
  </si>
  <si>
    <t>Wing 1A &amp; 1B = Construction work is in process at the time of visit.
Wing 1C, 1D &amp; 2A, 2B, 2C = Construction work is in process at the time of Visit.</t>
  </si>
  <si>
    <t>4500 to 4600 on 27/02/2025 &amp; 2.5L OC Charegs &amp; 2.5L Parking added on 03/02/2025 Cost Sheet by smith</t>
  </si>
  <si>
    <t>Recommended Rates/Other Charges of the Property have been revised on 03/02/2025 &amp; 27/02/2025.</t>
  </si>
  <si>
    <t>Building No. 1 Wing D = Gr + 1st to 7th Floor</t>
  </si>
  <si>
    <t>Building No. 1 Wing C = Gr + 1st to 7th Floor</t>
  </si>
  <si>
    <t>Mr. Patel : 9892212203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</si>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</sst>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26" fillId="0" borderId="0" xfId="10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5" fillId="2" borderId="0" xfId="1" applyFont="1" applyFill="1"/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5" xfId="0" applyFont="1" applyFill="1" applyBorder="1"/>
    <xf numFmtId="0" fontId="25" fillId="0" borderId="9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1" fontId="6" fillId="0" borderId="35" xfId="0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14" fontId="12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9" fontId="12" fillId="0" borderId="1" xfId="8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colors>
    <mruColors>
      <color rgb="FFD707BE"/>
      <color rgb="FF005C2A"/>
      <color rgb="FF1307A9"/>
      <color rgb="FFCC3300"/>
      <color rgb="FF00180B"/>
      <color rgb="FF1396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8.png"/><Relationship Id="rId1" Type="http://schemas.openxmlformats.org/officeDocument/2006/relationships/image" Target="../media/image3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425</xdr:row>
      <xdr:rowOff>0</xdr:rowOff>
    </xdr:from>
    <xdr:to>
      <xdr:col>7</xdr:col>
      <xdr:colOff>167433</xdr:colOff>
      <xdr:row>446</xdr:row>
      <xdr:rowOff>119476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7700" y="79952850"/>
          <a:ext cx="5634783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205090</xdr:colOff>
      <xdr:row>447</xdr:row>
      <xdr:rowOff>85185</xdr:rowOff>
    </xdr:from>
    <xdr:to>
      <xdr:col>6</xdr:col>
      <xdr:colOff>629092</xdr:colOff>
      <xdr:row>461</xdr:row>
      <xdr:rowOff>164834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24240" y="84438585"/>
          <a:ext cx="4881702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171450</xdr:colOff>
      <xdr:row>382</xdr:row>
      <xdr:rowOff>0</xdr:rowOff>
    </xdr:from>
    <xdr:to>
      <xdr:col>7</xdr:col>
      <xdr:colOff>705149</xdr:colOff>
      <xdr:row>418</xdr:row>
      <xdr:rowOff>1298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71151750"/>
          <a:ext cx="6648749" cy="72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582706</xdr:colOff>
      <xdr:row>392</xdr:row>
      <xdr:rowOff>156882</xdr:rowOff>
    </xdr:from>
    <xdr:to>
      <xdr:col>2</xdr:col>
      <xdr:colOff>829236</xdr:colOff>
      <xdr:row>402</xdr:row>
      <xdr:rowOff>22412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00735" y="73869176"/>
          <a:ext cx="1109383" cy="188258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549087</xdr:colOff>
      <xdr:row>385</xdr:row>
      <xdr:rowOff>11206</xdr:rowOff>
    </xdr:from>
    <xdr:to>
      <xdr:col>3</xdr:col>
      <xdr:colOff>369792</xdr:colOff>
      <xdr:row>392</xdr:row>
      <xdr:rowOff>112059</xdr:rowOff>
    </xdr:to>
    <xdr:sp macro="" textlink="">
      <xdr:nvSpPr>
        <xdr:cNvPr id="15" name="Freefor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67116" y="72311559"/>
          <a:ext cx="1602441" cy="1512794"/>
        </a:xfrm>
        <a:custGeom>
          <a:avLst/>
          <a:gdLst>
            <a:gd name="connsiteX0" fmla="*/ 1658470 w 1680882"/>
            <a:gd name="connsiteY0" fmla="*/ 0 h 1512794"/>
            <a:gd name="connsiteX1" fmla="*/ 1680882 w 1680882"/>
            <a:gd name="connsiteY1" fmla="*/ 1053353 h 1512794"/>
            <a:gd name="connsiteX2" fmla="*/ 1098176 w 1680882"/>
            <a:gd name="connsiteY2" fmla="*/ 1075765 h 1512794"/>
            <a:gd name="connsiteX3" fmla="*/ 1109382 w 1680882"/>
            <a:gd name="connsiteY3" fmla="*/ 1512794 h 1512794"/>
            <a:gd name="connsiteX4" fmla="*/ 22412 w 1680882"/>
            <a:gd name="connsiteY4" fmla="*/ 1512794 h 1512794"/>
            <a:gd name="connsiteX5" fmla="*/ 0 w 1680882"/>
            <a:gd name="connsiteY5" fmla="*/ 0 h 1512794"/>
            <a:gd name="connsiteX6" fmla="*/ 1658470 w 1680882"/>
            <a:gd name="connsiteY6" fmla="*/ 0 h 15127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680882" h="1512794">
              <a:moveTo>
                <a:pt x="1658470" y="0"/>
              </a:moveTo>
              <a:lnTo>
                <a:pt x="1680882" y="1053353"/>
              </a:lnTo>
              <a:lnTo>
                <a:pt x="1098176" y="1075765"/>
              </a:lnTo>
              <a:lnTo>
                <a:pt x="1109382" y="1512794"/>
              </a:lnTo>
              <a:lnTo>
                <a:pt x="22412" y="1512794"/>
              </a:lnTo>
              <a:lnTo>
                <a:pt x="0" y="0"/>
              </a:lnTo>
              <a:lnTo>
                <a:pt x="1658470" y="0"/>
              </a:lnTo>
              <a:close/>
            </a:path>
          </a:pathLst>
        </a:custGeom>
        <a:noFill/>
        <a:ln w="28575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414617</xdr:colOff>
      <xdr:row>384</xdr:row>
      <xdr:rowOff>190500</xdr:rowOff>
    </xdr:from>
    <xdr:to>
      <xdr:col>5</xdr:col>
      <xdr:colOff>212912</xdr:colOff>
      <xdr:row>392</xdr:row>
      <xdr:rowOff>179295</xdr:rowOff>
    </xdr:to>
    <xdr:sp macro="" textlink="">
      <xdr:nvSpPr>
        <xdr:cNvPr id="17" name="Freeform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823882" y="72905471"/>
          <a:ext cx="1524001" cy="1602442"/>
        </a:xfrm>
        <a:custGeom>
          <a:avLst/>
          <a:gdLst>
            <a:gd name="connsiteX0" fmla="*/ 0 w 1647265"/>
            <a:gd name="connsiteY0" fmla="*/ 22412 h 1602441"/>
            <a:gd name="connsiteX1" fmla="*/ 11206 w 1647265"/>
            <a:gd name="connsiteY1" fmla="*/ 1086971 h 1602441"/>
            <a:gd name="connsiteX2" fmla="*/ 661147 w 1647265"/>
            <a:gd name="connsiteY2" fmla="*/ 1053353 h 1602441"/>
            <a:gd name="connsiteX3" fmla="*/ 661147 w 1647265"/>
            <a:gd name="connsiteY3" fmla="*/ 1602441 h 1602441"/>
            <a:gd name="connsiteX4" fmla="*/ 1647265 w 1647265"/>
            <a:gd name="connsiteY4" fmla="*/ 1591235 h 1602441"/>
            <a:gd name="connsiteX5" fmla="*/ 1636059 w 1647265"/>
            <a:gd name="connsiteY5" fmla="*/ 0 h 1602441"/>
            <a:gd name="connsiteX6" fmla="*/ 0 w 1647265"/>
            <a:gd name="connsiteY6" fmla="*/ 22412 h 16024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647265" h="1602441">
              <a:moveTo>
                <a:pt x="0" y="22412"/>
              </a:moveTo>
              <a:lnTo>
                <a:pt x="11206" y="1086971"/>
              </a:lnTo>
              <a:lnTo>
                <a:pt x="661147" y="1053353"/>
              </a:lnTo>
              <a:lnTo>
                <a:pt x="661147" y="1602441"/>
              </a:lnTo>
              <a:lnTo>
                <a:pt x="1647265" y="1591235"/>
              </a:lnTo>
              <a:cubicBezTo>
                <a:pt x="1643530" y="1060823"/>
                <a:pt x="1639794" y="530412"/>
                <a:pt x="1636059" y="0"/>
              </a:cubicBezTo>
              <a:lnTo>
                <a:pt x="0" y="22412"/>
              </a:lnTo>
              <a:close/>
            </a:path>
          </a:pathLst>
        </a:custGeom>
        <a:noFill/>
        <a:ln w="28575">
          <a:solidFill>
            <a:srgbClr val="CC33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CC3300"/>
            </a:solidFill>
          </a:endParaRPr>
        </a:p>
      </xdr:txBody>
    </xdr:sp>
    <xdr:clientData/>
  </xdr:twoCellAnchor>
  <xdr:twoCellAnchor>
    <xdr:from>
      <xdr:col>3</xdr:col>
      <xdr:colOff>773206</xdr:colOff>
      <xdr:row>392</xdr:row>
      <xdr:rowOff>168088</xdr:rowOff>
    </xdr:from>
    <xdr:to>
      <xdr:col>6</xdr:col>
      <xdr:colOff>22412</xdr:colOff>
      <xdr:row>404</xdr:row>
      <xdr:rowOff>22411</xdr:rowOff>
    </xdr:to>
    <xdr:sp macro="" textlink="">
      <xdr:nvSpPr>
        <xdr:cNvPr id="18" name="Freefor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182471" y="74496706"/>
          <a:ext cx="1759323" cy="2274793"/>
        </a:xfrm>
        <a:custGeom>
          <a:avLst/>
          <a:gdLst>
            <a:gd name="connsiteX0" fmla="*/ 1221441 w 1972235"/>
            <a:gd name="connsiteY0" fmla="*/ 56030 h 2263588"/>
            <a:gd name="connsiteX1" fmla="*/ 1972235 w 1972235"/>
            <a:gd name="connsiteY1" fmla="*/ 1837765 h 2263588"/>
            <a:gd name="connsiteX2" fmla="*/ 907676 w 1972235"/>
            <a:gd name="connsiteY2" fmla="*/ 2263588 h 2263588"/>
            <a:gd name="connsiteX3" fmla="*/ 0 w 1972235"/>
            <a:gd name="connsiteY3" fmla="*/ 100853 h 2263588"/>
            <a:gd name="connsiteX4" fmla="*/ 268941 w 1972235"/>
            <a:gd name="connsiteY4" fmla="*/ 0 h 2263588"/>
            <a:gd name="connsiteX5" fmla="*/ 302558 w 1972235"/>
            <a:gd name="connsiteY5" fmla="*/ 56030 h 2263588"/>
            <a:gd name="connsiteX6" fmla="*/ 1221441 w 1972235"/>
            <a:gd name="connsiteY6" fmla="*/ 56030 h 226358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972235" h="2263588">
              <a:moveTo>
                <a:pt x="1221441" y="56030"/>
              </a:moveTo>
              <a:lnTo>
                <a:pt x="1972235" y="1837765"/>
              </a:lnTo>
              <a:lnTo>
                <a:pt x="907676" y="2263588"/>
              </a:lnTo>
              <a:lnTo>
                <a:pt x="0" y="100853"/>
              </a:lnTo>
              <a:lnTo>
                <a:pt x="268941" y="0"/>
              </a:lnTo>
              <a:lnTo>
                <a:pt x="302558" y="56030"/>
              </a:lnTo>
              <a:lnTo>
                <a:pt x="1221441" y="56030"/>
              </a:lnTo>
              <a:close/>
            </a:path>
          </a:pathLst>
        </a:cu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795618</xdr:colOff>
      <xdr:row>402</xdr:row>
      <xdr:rowOff>168088</xdr:rowOff>
    </xdr:from>
    <xdr:to>
      <xdr:col>4</xdr:col>
      <xdr:colOff>414618</xdr:colOff>
      <xdr:row>412</xdr:row>
      <xdr:rowOff>145676</xdr:rowOff>
    </xdr:to>
    <xdr:sp macro="" textlink="">
      <xdr:nvSpPr>
        <xdr:cNvPr id="19" name="Freeform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613647" y="75897441"/>
          <a:ext cx="2409265" cy="1994647"/>
        </a:xfrm>
        <a:custGeom>
          <a:avLst/>
          <a:gdLst>
            <a:gd name="connsiteX0" fmla="*/ 2409265 w 2409265"/>
            <a:gd name="connsiteY0" fmla="*/ 672353 h 1994647"/>
            <a:gd name="connsiteX1" fmla="*/ 2252382 w 2409265"/>
            <a:gd name="connsiteY1" fmla="*/ 1994647 h 1994647"/>
            <a:gd name="connsiteX2" fmla="*/ 952500 w 2409265"/>
            <a:gd name="connsiteY2" fmla="*/ 1837765 h 1994647"/>
            <a:gd name="connsiteX3" fmla="*/ 0 w 2409265"/>
            <a:gd name="connsiteY3" fmla="*/ 795618 h 1994647"/>
            <a:gd name="connsiteX4" fmla="*/ 885265 w 2409265"/>
            <a:gd name="connsiteY4" fmla="*/ 0 h 1994647"/>
            <a:gd name="connsiteX5" fmla="*/ 1355912 w 2409265"/>
            <a:gd name="connsiteY5" fmla="*/ 493059 h 1994647"/>
            <a:gd name="connsiteX6" fmla="*/ 2409265 w 2409265"/>
            <a:gd name="connsiteY6" fmla="*/ 672353 h 19946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409265" h="1994647">
              <a:moveTo>
                <a:pt x="2409265" y="672353"/>
              </a:moveTo>
              <a:lnTo>
                <a:pt x="2252382" y="1994647"/>
              </a:lnTo>
              <a:lnTo>
                <a:pt x="952500" y="1837765"/>
              </a:lnTo>
              <a:lnTo>
                <a:pt x="0" y="795618"/>
              </a:lnTo>
              <a:lnTo>
                <a:pt x="885265" y="0"/>
              </a:lnTo>
              <a:lnTo>
                <a:pt x="1355912" y="493059"/>
              </a:lnTo>
              <a:lnTo>
                <a:pt x="2409265" y="672353"/>
              </a:lnTo>
              <a:close/>
            </a:path>
          </a:pathLst>
        </a:custGeom>
        <a:noFill/>
        <a:ln w="28575">
          <a:solidFill>
            <a:srgbClr val="D707B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396465</xdr:colOff>
      <xdr:row>406</xdr:row>
      <xdr:rowOff>90214</xdr:rowOff>
    </xdr:from>
    <xdr:to>
      <xdr:col>5</xdr:col>
      <xdr:colOff>627733</xdr:colOff>
      <xdr:row>413</xdr:row>
      <xdr:rowOff>27208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 rot="372516">
          <a:off x="4004759" y="76626390"/>
          <a:ext cx="1071709" cy="1348936"/>
        </a:xfrm>
        <a:prstGeom prst="rect">
          <a:avLst/>
        </a:prstGeom>
        <a:noFill/>
        <a:ln w="28575">
          <a:solidFill>
            <a:srgbClr val="005C2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5</xdr:col>
      <xdr:colOff>671825</xdr:colOff>
      <xdr:row>407</xdr:row>
      <xdr:rowOff>12914</xdr:rowOff>
    </xdr:from>
    <xdr:to>
      <xdr:col>7</xdr:col>
      <xdr:colOff>166642</xdr:colOff>
      <xdr:row>413</xdr:row>
      <xdr:rowOff>151614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rot="372516">
          <a:off x="5120560" y="76750796"/>
          <a:ext cx="1175700" cy="1348936"/>
        </a:xfrm>
        <a:prstGeom prst="rect">
          <a:avLst/>
        </a:prstGeom>
        <a:noFill/>
        <a:ln w="28575">
          <a:solidFill>
            <a:srgbClr val="1307A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212910</xdr:colOff>
      <xdr:row>395</xdr:row>
      <xdr:rowOff>78441</xdr:rowOff>
    </xdr:from>
    <xdr:to>
      <xdr:col>2</xdr:col>
      <xdr:colOff>358587</xdr:colOff>
      <xdr:row>399</xdr:row>
      <xdr:rowOff>179294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12910" y="74395853"/>
          <a:ext cx="1826559" cy="907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FF0000"/>
              </a:solidFill>
            </a:rPr>
            <a:t>BLDG No. 1 </a:t>
          </a:r>
        </a:p>
        <a:p>
          <a:pPr algn="l"/>
          <a:r>
            <a:rPr lang="en-IN" sz="1800" b="1">
              <a:ln>
                <a:noFill/>
              </a:ln>
              <a:solidFill>
                <a:srgbClr val="FF0000"/>
              </a:solidFill>
            </a:rPr>
            <a:t>Wing A</a:t>
          </a:r>
        </a:p>
      </xdr:txBody>
    </xdr:sp>
    <xdr:clientData/>
  </xdr:twoCellAnchor>
  <xdr:twoCellAnchor>
    <xdr:from>
      <xdr:col>0</xdr:col>
      <xdr:colOff>201705</xdr:colOff>
      <xdr:row>385</xdr:row>
      <xdr:rowOff>33617</xdr:rowOff>
    </xdr:from>
    <xdr:to>
      <xdr:col>2</xdr:col>
      <xdr:colOff>347382</xdr:colOff>
      <xdr:row>389</xdr:row>
      <xdr:rowOff>134470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01705" y="72333970"/>
          <a:ext cx="1826559" cy="907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7030A0"/>
              </a:solidFill>
            </a:rPr>
            <a:t>BLDG No. 1 </a:t>
          </a:r>
        </a:p>
        <a:p>
          <a:pPr algn="l"/>
          <a:r>
            <a:rPr lang="en-IN" sz="1800" b="1">
              <a:ln>
                <a:noFill/>
              </a:ln>
              <a:solidFill>
                <a:srgbClr val="7030A0"/>
              </a:solidFill>
            </a:rPr>
            <a:t>Wing B</a:t>
          </a:r>
        </a:p>
      </xdr:txBody>
    </xdr:sp>
    <xdr:clientData/>
  </xdr:twoCellAnchor>
  <xdr:twoCellAnchor>
    <xdr:from>
      <xdr:col>5</xdr:col>
      <xdr:colOff>224119</xdr:colOff>
      <xdr:row>385</xdr:row>
      <xdr:rowOff>123264</xdr:rowOff>
    </xdr:from>
    <xdr:to>
      <xdr:col>7</xdr:col>
      <xdr:colOff>369795</xdr:colOff>
      <xdr:row>390</xdr:row>
      <xdr:rowOff>22411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672854" y="72423617"/>
          <a:ext cx="1826559" cy="907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CC3300"/>
              </a:solidFill>
            </a:rPr>
            <a:t>BLDG No. 1 </a:t>
          </a:r>
        </a:p>
        <a:p>
          <a:pPr algn="l"/>
          <a:r>
            <a:rPr lang="en-IN" sz="1800" b="1">
              <a:ln>
                <a:noFill/>
              </a:ln>
              <a:solidFill>
                <a:srgbClr val="CC3300"/>
              </a:solidFill>
            </a:rPr>
            <a:t>Wing C</a:t>
          </a:r>
        </a:p>
      </xdr:txBody>
    </xdr:sp>
    <xdr:clientData/>
  </xdr:twoCellAnchor>
  <xdr:twoCellAnchor>
    <xdr:from>
      <xdr:col>5</xdr:col>
      <xdr:colOff>750794</xdr:colOff>
      <xdr:row>395</xdr:row>
      <xdr:rowOff>33618</xdr:rowOff>
    </xdr:from>
    <xdr:to>
      <xdr:col>8</xdr:col>
      <xdr:colOff>11206</xdr:colOff>
      <xdr:row>399</xdr:row>
      <xdr:rowOff>134471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5199529" y="74351030"/>
          <a:ext cx="1826559" cy="907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0070C0"/>
              </a:solidFill>
            </a:rPr>
            <a:t>BLDG No. 1 </a:t>
          </a:r>
        </a:p>
        <a:p>
          <a:pPr algn="l"/>
          <a:r>
            <a:rPr lang="en-IN" sz="1800" b="1">
              <a:ln>
                <a:noFill/>
              </a:ln>
              <a:solidFill>
                <a:srgbClr val="0070C0"/>
              </a:solidFill>
            </a:rPr>
            <a:t>Wing D</a:t>
          </a:r>
        </a:p>
      </xdr:txBody>
    </xdr:sp>
    <xdr:clientData/>
  </xdr:twoCellAnchor>
  <xdr:twoCellAnchor>
    <xdr:from>
      <xdr:col>5</xdr:col>
      <xdr:colOff>526674</xdr:colOff>
      <xdr:row>413</xdr:row>
      <xdr:rowOff>134471</xdr:rowOff>
    </xdr:from>
    <xdr:to>
      <xdr:col>7</xdr:col>
      <xdr:colOff>672350</xdr:colOff>
      <xdr:row>418</xdr:row>
      <xdr:rowOff>33618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 rot="294895">
          <a:off x="4975409" y="78082589"/>
          <a:ext cx="1826559" cy="907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1307A9"/>
              </a:solidFill>
            </a:rPr>
            <a:t>BLDG No. 2</a:t>
          </a:r>
        </a:p>
        <a:p>
          <a:pPr algn="l"/>
          <a:r>
            <a:rPr lang="en-IN" sz="1800" b="1">
              <a:ln>
                <a:noFill/>
              </a:ln>
              <a:solidFill>
                <a:srgbClr val="1307A9"/>
              </a:solidFill>
            </a:rPr>
            <a:t>Wing C</a:t>
          </a:r>
        </a:p>
      </xdr:txBody>
    </xdr:sp>
    <xdr:clientData/>
  </xdr:twoCellAnchor>
  <xdr:twoCellAnchor>
    <xdr:from>
      <xdr:col>4</xdr:col>
      <xdr:colOff>174810</xdr:colOff>
      <xdr:row>413</xdr:row>
      <xdr:rowOff>17928</xdr:rowOff>
    </xdr:from>
    <xdr:to>
      <xdr:col>6</xdr:col>
      <xdr:colOff>320487</xdr:colOff>
      <xdr:row>417</xdr:row>
      <xdr:rowOff>118781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 rot="278744">
          <a:off x="3783104" y="77966046"/>
          <a:ext cx="1826559" cy="907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005C2A"/>
              </a:solidFill>
            </a:rPr>
            <a:t>BLDG No. 2</a:t>
          </a:r>
        </a:p>
        <a:p>
          <a:pPr algn="l"/>
          <a:r>
            <a:rPr lang="en-IN" sz="1800" b="1">
              <a:ln>
                <a:noFill/>
              </a:ln>
              <a:solidFill>
                <a:srgbClr val="005C2A"/>
              </a:solidFill>
            </a:rPr>
            <a:t>Wing B</a:t>
          </a:r>
        </a:p>
      </xdr:txBody>
    </xdr:sp>
    <xdr:clientData/>
  </xdr:twoCellAnchor>
  <xdr:twoCellAnchor>
    <xdr:from>
      <xdr:col>1</xdr:col>
      <xdr:colOff>280147</xdr:colOff>
      <xdr:row>410</xdr:row>
      <xdr:rowOff>11205</xdr:rowOff>
    </xdr:from>
    <xdr:to>
      <xdr:col>3</xdr:col>
      <xdr:colOff>324970</xdr:colOff>
      <xdr:row>414</xdr:row>
      <xdr:rowOff>112057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098176" y="77354205"/>
          <a:ext cx="1826559" cy="907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D707BE"/>
              </a:solidFill>
            </a:rPr>
            <a:t>BLDG No. 2</a:t>
          </a:r>
        </a:p>
        <a:p>
          <a:pPr algn="l"/>
          <a:r>
            <a:rPr lang="en-IN" sz="1800" b="1">
              <a:ln>
                <a:noFill/>
              </a:ln>
              <a:solidFill>
                <a:srgbClr val="D707BE"/>
              </a:solidFill>
            </a:rPr>
            <a:t>Wing A</a:t>
          </a:r>
        </a:p>
      </xdr:txBody>
    </xdr:sp>
    <xdr:clientData/>
  </xdr:twoCellAnchor>
  <xdr:twoCellAnchor>
    <xdr:from>
      <xdr:col>3</xdr:col>
      <xdr:colOff>219075</xdr:colOff>
      <xdr:row>431</xdr:row>
      <xdr:rowOff>57150</xdr:rowOff>
    </xdr:from>
    <xdr:to>
      <xdr:col>4</xdr:col>
      <xdr:colOff>666750</xdr:colOff>
      <xdr:row>440</xdr:row>
      <xdr:rowOff>76200</xdr:rowOff>
    </xdr:to>
    <xdr:sp macro="" textlink="">
      <xdr:nvSpPr>
        <xdr:cNvPr id="12" name="Freefor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626302" y="81123559"/>
          <a:ext cx="1391516" cy="1811482"/>
        </a:xfrm>
        <a:custGeom>
          <a:avLst/>
          <a:gdLst>
            <a:gd name="connsiteX0" fmla="*/ 152400 w 1457325"/>
            <a:gd name="connsiteY0" fmla="*/ 0 h 1819275"/>
            <a:gd name="connsiteX1" fmla="*/ 1352550 w 1457325"/>
            <a:gd name="connsiteY1" fmla="*/ 228600 h 1819275"/>
            <a:gd name="connsiteX2" fmla="*/ 1381125 w 1457325"/>
            <a:gd name="connsiteY2" fmla="*/ 200025 h 1819275"/>
            <a:gd name="connsiteX3" fmla="*/ 1457325 w 1457325"/>
            <a:gd name="connsiteY3" fmla="*/ 342900 h 1819275"/>
            <a:gd name="connsiteX4" fmla="*/ 1266825 w 1457325"/>
            <a:gd name="connsiteY4" fmla="*/ 619125 h 1819275"/>
            <a:gd name="connsiteX5" fmla="*/ 1371600 w 1457325"/>
            <a:gd name="connsiteY5" fmla="*/ 1381125 h 1819275"/>
            <a:gd name="connsiteX6" fmla="*/ 1457325 w 1457325"/>
            <a:gd name="connsiteY6" fmla="*/ 1524000 h 1819275"/>
            <a:gd name="connsiteX7" fmla="*/ 1323975 w 1457325"/>
            <a:gd name="connsiteY7" fmla="*/ 1819275 h 1819275"/>
            <a:gd name="connsiteX8" fmla="*/ 942975 w 1457325"/>
            <a:gd name="connsiteY8" fmla="*/ 1724025 h 1819275"/>
            <a:gd name="connsiteX9" fmla="*/ 361950 w 1457325"/>
            <a:gd name="connsiteY9" fmla="*/ 1409700 h 1819275"/>
            <a:gd name="connsiteX10" fmla="*/ 0 w 1457325"/>
            <a:gd name="connsiteY10" fmla="*/ 1038225 h 1819275"/>
            <a:gd name="connsiteX11" fmla="*/ 152400 w 1457325"/>
            <a:gd name="connsiteY11" fmla="*/ 0 h 18192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1457325" h="1819275">
              <a:moveTo>
                <a:pt x="152400" y="0"/>
              </a:moveTo>
              <a:lnTo>
                <a:pt x="1352550" y="228600"/>
              </a:lnTo>
              <a:lnTo>
                <a:pt x="1381125" y="200025"/>
              </a:lnTo>
              <a:lnTo>
                <a:pt x="1457325" y="342900"/>
              </a:lnTo>
              <a:lnTo>
                <a:pt x="1266825" y="619125"/>
              </a:lnTo>
              <a:lnTo>
                <a:pt x="1371600" y="1381125"/>
              </a:lnTo>
              <a:lnTo>
                <a:pt x="1457325" y="1524000"/>
              </a:lnTo>
              <a:lnTo>
                <a:pt x="1323975" y="1819275"/>
              </a:lnTo>
              <a:lnTo>
                <a:pt x="942975" y="1724025"/>
              </a:lnTo>
              <a:lnTo>
                <a:pt x="361950" y="1409700"/>
              </a:lnTo>
              <a:lnTo>
                <a:pt x="0" y="1038225"/>
              </a:lnTo>
              <a:lnTo>
                <a:pt x="152400" y="0"/>
              </a:lnTo>
              <a:close/>
            </a:path>
          </a:pathLst>
        </a:cu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108139</xdr:colOff>
      <xdr:row>351</xdr:row>
      <xdr:rowOff>184897</xdr:rowOff>
    </xdr:from>
    <xdr:to>
      <xdr:col>2</xdr:col>
      <xdr:colOff>253815</xdr:colOff>
      <xdr:row>356</xdr:row>
      <xdr:rowOff>84044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08139" y="65164447"/>
          <a:ext cx="1822076" cy="89927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600" b="1">
            <a:ln>
              <a:noFill/>
            </a:ln>
            <a:solidFill>
              <a:srgbClr val="CC3300"/>
            </a:solidFill>
          </a:endParaRPr>
        </a:p>
      </xdr:txBody>
    </xdr:sp>
    <xdr:clientData/>
  </xdr:twoCellAnchor>
  <xdr:twoCellAnchor>
    <xdr:from>
      <xdr:col>16</xdr:col>
      <xdr:colOff>97491</xdr:colOff>
      <xdr:row>339</xdr:row>
      <xdr:rowOff>110379</xdr:rowOff>
    </xdr:from>
    <xdr:to>
      <xdr:col>18</xdr:col>
      <xdr:colOff>601195</xdr:colOff>
      <xdr:row>344</xdr:row>
      <xdr:rowOff>20732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 rot="294895">
          <a:off x="13051491" y="65418261"/>
          <a:ext cx="1713939" cy="9076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1307A9"/>
              </a:solidFill>
            </a:rPr>
            <a:t>BLDG No. 2</a:t>
          </a:r>
        </a:p>
        <a:p>
          <a:pPr algn="l"/>
          <a:r>
            <a:rPr lang="en-IN" sz="1800" b="1">
              <a:ln>
                <a:noFill/>
              </a:ln>
              <a:solidFill>
                <a:srgbClr val="1307A9"/>
              </a:solidFill>
            </a:rPr>
            <a:t>Wing C</a:t>
          </a:r>
        </a:p>
      </xdr:txBody>
    </xdr:sp>
    <xdr:clientData/>
  </xdr:twoCellAnchor>
  <xdr:twoCellAnchor>
    <xdr:from>
      <xdr:col>9</xdr:col>
      <xdr:colOff>173131</xdr:colOff>
      <xdr:row>360</xdr:row>
      <xdr:rowOff>155762</xdr:rowOff>
    </xdr:from>
    <xdr:to>
      <xdr:col>11</xdr:col>
      <xdr:colOff>423583</xdr:colOff>
      <xdr:row>365</xdr:row>
      <xdr:rowOff>56590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 rot="278744">
          <a:off x="8421781" y="66935537"/>
          <a:ext cx="1822077" cy="9009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ln>
                <a:noFill/>
              </a:ln>
              <a:solidFill>
                <a:srgbClr val="005C2A"/>
              </a:solidFill>
            </a:rPr>
            <a:t>BLDG No. 2</a:t>
          </a:r>
        </a:p>
        <a:p>
          <a:pPr algn="l"/>
          <a:r>
            <a:rPr lang="en-IN" sz="1600" b="1">
              <a:ln>
                <a:noFill/>
              </a:ln>
              <a:solidFill>
                <a:srgbClr val="005C2A"/>
              </a:solidFill>
            </a:rPr>
            <a:t>Wing B</a:t>
          </a:r>
        </a:p>
      </xdr:txBody>
    </xdr:sp>
    <xdr:clientData/>
  </xdr:twoCellAnchor>
  <xdr:twoCellAnchor>
    <xdr:from>
      <xdr:col>2</xdr:col>
      <xdr:colOff>630892</xdr:colOff>
      <xdr:row>370</xdr:row>
      <xdr:rowOff>6163</xdr:rowOff>
    </xdr:from>
    <xdr:to>
      <xdr:col>4</xdr:col>
      <xdr:colOff>523315</xdr:colOff>
      <xdr:row>374</xdr:row>
      <xdr:rowOff>107015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2307292" y="68786188"/>
          <a:ext cx="1816473" cy="9009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600" b="1">
            <a:ln>
              <a:noFill/>
            </a:ln>
            <a:solidFill>
              <a:srgbClr val="FFFF00"/>
            </a:solidFill>
          </a:endParaRPr>
        </a:p>
      </xdr:txBody>
    </xdr:sp>
    <xdr:clientData/>
  </xdr:twoCellAnchor>
  <xdr:twoCellAnchor editAs="oneCell">
    <xdr:from>
      <xdr:col>12</xdr:col>
      <xdr:colOff>111499</xdr:colOff>
      <xdr:row>347</xdr:row>
      <xdr:rowOff>112113</xdr:rowOff>
    </xdr:from>
    <xdr:to>
      <xdr:col>12</xdr:col>
      <xdr:colOff>708959</xdr:colOff>
      <xdr:row>349</xdr:row>
      <xdr:rowOff>7430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3881" y="65162260"/>
          <a:ext cx="597460" cy="298730"/>
        </a:xfrm>
        <a:prstGeom prst="rect">
          <a:avLst/>
        </a:prstGeom>
      </xdr:spPr>
    </xdr:pic>
    <xdr:clientData/>
  </xdr:twoCellAnchor>
  <xdr:twoCellAnchor>
    <xdr:from>
      <xdr:col>8</xdr:col>
      <xdr:colOff>576630</xdr:colOff>
      <xdr:row>348</xdr:row>
      <xdr:rowOff>26438</xdr:rowOff>
    </xdr:from>
    <xdr:to>
      <xdr:col>9</xdr:col>
      <xdr:colOff>154600</xdr:colOff>
      <xdr:row>349</xdr:row>
      <xdr:rowOff>79924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7101255" y="66006113"/>
          <a:ext cx="740020" cy="2535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Bldg - 1 B</a:t>
          </a:r>
        </a:p>
      </xdr:txBody>
    </xdr:sp>
    <xdr:clientData/>
  </xdr:twoCellAnchor>
  <xdr:twoCellAnchor>
    <xdr:from>
      <xdr:col>10</xdr:col>
      <xdr:colOff>443115</xdr:colOff>
      <xdr:row>348</xdr:row>
      <xdr:rowOff>140738</xdr:rowOff>
    </xdr:from>
    <xdr:to>
      <xdr:col>11</xdr:col>
      <xdr:colOff>476087</xdr:colOff>
      <xdr:row>349</xdr:row>
      <xdr:rowOff>194224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91790" y="63100988"/>
          <a:ext cx="737822" cy="2535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Bldg - 1 C</a:t>
          </a:r>
        </a:p>
      </xdr:txBody>
    </xdr:sp>
    <xdr:clientData/>
  </xdr:twoCellAnchor>
  <xdr:twoCellAnchor>
    <xdr:from>
      <xdr:col>8</xdr:col>
      <xdr:colOff>569303</xdr:colOff>
      <xdr:row>358</xdr:row>
      <xdr:rowOff>122482</xdr:rowOff>
    </xdr:from>
    <xdr:to>
      <xdr:col>9</xdr:col>
      <xdr:colOff>147273</xdr:colOff>
      <xdr:row>359</xdr:row>
      <xdr:rowOff>173770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093928" y="68102407"/>
          <a:ext cx="740020" cy="2513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Bldg - 1 D</a:t>
          </a:r>
        </a:p>
      </xdr:txBody>
    </xdr:sp>
    <xdr:clientData/>
  </xdr:twoCellAnchor>
  <xdr:twoCellAnchor>
    <xdr:from>
      <xdr:col>11</xdr:col>
      <xdr:colOff>692963</xdr:colOff>
      <xdr:row>358</xdr:row>
      <xdr:rowOff>145868</xdr:rowOff>
    </xdr:from>
    <xdr:to>
      <xdr:col>12</xdr:col>
      <xdr:colOff>725935</xdr:colOff>
      <xdr:row>359</xdr:row>
      <xdr:rowOff>197156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9846488" y="68125793"/>
          <a:ext cx="737822" cy="2513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Bldg - 2 A</a:t>
          </a:r>
        </a:p>
      </xdr:txBody>
    </xdr:sp>
    <xdr:clientData/>
  </xdr:twoCellAnchor>
  <xdr:twoCellAnchor>
    <xdr:from>
      <xdr:col>8</xdr:col>
      <xdr:colOff>555284</xdr:colOff>
      <xdr:row>369</xdr:row>
      <xdr:rowOff>47014</xdr:rowOff>
    </xdr:from>
    <xdr:to>
      <xdr:col>9</xdr:col>
      <xdr:colOff>133254</xdr:colOff>
      <xdr:row>370</xdr:row>
      <xdr:rowOff>100500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7079909" y="70227214"/>
          <a:ext cx="740020" cy="2535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Bldg - 2 B</a:t>
          </a:r>
        </a:p>
      </xdr:txBody>
    </xdr:sp>
    <xdr:clientData/>
  </xdr:twoCellAnchor>
  <xdr:twoCellAnchor>
    <xdr:from>
      <xdr:col>12</xdr:col>
      <xdr:colOff>15223</xdr:colOff>
      <xdr:row>369</xdr:row>
      <xdr:rowOff>55746</xdr:rowOff>
    </xdr:from>
    <xdr:to>
      <xdr:col>12</xdr:col>
      <xdr:colOff>755243</xdr:colOff>
      <xdr:row>370</xdr:row>
      <xdr:rowOff>109232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9873598" y="70235946"/>
          <a:ext cx="740020" cy="2535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Bldg - 2 C</a:t>
          </a:r>
        </a:p>
      </xdr:txBody>
    </xdr:sp>
    <xdr:clientData/>
  </xdr:twoCellAnchor>
  <xdr:twoCellAnchor>
    <xdr:from>
      <xdr:col>13</xdr:col>
      <xdr:colOff>744414</xdr:colOff>
      <xdr:row>333</xdr:row>
      <xdr:rowOff>54953</xdr:rowOff>
    </xdr:from>
    <xdr:to>
      <xdr:col>15</xdr:col>
      <xdr:colOff>485774</xdr:colOff>
      <xdr:row>335</xdr:row>
      <xdr:rowOff>47625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1393364" y="60024353"/>
          <a:ext cx="1236785" cy="3927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C00000"/>
              </a:solidFill>
            </a:rPr>
            <a:t>Bldg - 1 A</a:t>
          </a:r>
        </a:p>
      </xdr:txBody>
    </xdr:sp>
    <xdr:clientData/>
  </xdr:twoCellAnchor>
  <xdr:twoCellAnchor>
    <xdr:from>
      <xdr:col>13</xdr:col>
      <xdr:colOff>815228</xdr:colOff>
      <xdr:row>331</xdr:row>
      <xdr:rowOff>114860</xdr:rowOff>
    </xdr:from>
    <xdr:to>
      <xdr:col>15</xdr:col>
      <xdr:colOff>541460</xdr:colOff>
      <xdr:row>333</xdr:row>
      <xdr:rowOff>107532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1483228" y="63809095"/>
          <a:ext cx="1227820" cy="396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C00000"/>
              </a:solidFill>
            </a:rPr>
            <a:t>Bldg - 1 B</a:t>
          </a:r>
        </a:p>
      </xdr:txBody>
    </xdr:sp>
    <xdr:clientData/>
  </xdr:twoCellAnchor>
  <xdr:twoCellAnchor>
    <xdr:from>
      <xdr:col>15</xdr:col>
      <xdr:colOff>533961</xdr:colOff>
      <xdr:row>332</xdr:row>
      <xdr:rowOff>186018</xdr:rowOff>
    </xdr:from>
    <xdr:to>
      <xdr:col>17</xdr:col>
      <xdr:colOff>387379</xdr:colOff>
      <xdr:row>334</xdr:row>
      <xdr:rowOff>178690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2703549" y="64081959"/>
          <a:ext cx="1242948" cy="396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C00000"/>
              </a:solidFill>
            </a:rPr>
            <a:t>Bldg - 1 C</a:t>
          </a:r>
        </a:p>
      </xdr:txBody>
    </xdr:sp>
    <xdr:clientData/>
  </xdr:twoCellAnchor>
  <xdr:twoCellAnchor>
    <xdr:from>
      <xdr:col>15</xdr:col>
      <xdr:colOff>513230</xdr:colOff>
      <xdr:row>331</xdr:row>
      <xdr:rowOff>80683</xdr:rowOff>
    </xdr:from>
    <xdr:to>
      <xdr:col>17</xdr:col>
      <xdr:colOff>351520</xdr:colOff>
      <xdr:row>333</xdr:row>
      <xdr:rowOff>73355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2682818" y="63774918"/>
          <a:ext cx="1227820" cy="396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C00000"/>
              </a:solidFill>
            </a:rPr>
            <a:t>Bldg - 1 D</a:t>
          </a:r>
        </a:p>
      </xdr:txBody>
    </xdr:sp>
    <xdr:clientData/>
  </xdr:twoCellAnchor>
  <xdr:twoCellAnchor>
    <xdr:from>
      <xdr:col>16</xdr:col>
      <xdr:colOff>533400</xdr:colOff>
      <xdr:row>356</xdr:row>
      <xdr:rowOff>19050</xdr:rowOff>
    </xdr:from>
    <xdr:to>
      <xdr:col>18</xdr:col>
      <xdr:colOff>550985</xdr:colOff>
      <xdr:row>358</xdr:row>
      <xdr:rowOff>11722</xdr:rowOff>
    </xdr:to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3458825" y="64579500"/>
          <a:ext cx="1236785" cy="3927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C00000"/>
              </a:solidFill>
            </a:rPr>
            <a:t>Bldg - 2B</a:t>
          </a:r>
        </a:p>
      </xdr:txBody>
    </xdr:sp>
    <xdr:clientData/>
  </xdr:twoCellAnchor>
  <xdr:twoCellAnchor>
    <xdr:from>
      <xdr:col>12</xdr:col>
      <xdr:colOff>647700</xdr:colOff>
      <xdr:row>356</xdr:row>
      <xdr:rowOff>47625</xdr:rowOff>
    </xdr:from>
    <xdr:to>
      <xdr:col>14</xdr:col>
      <xdr:colOff>255710</xdr:colOff>
      <xdr:row>358</xdr:row>
      <xdr:rowOff>40297</xdr:rowOff>
    </xdr:to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506075" y="64608075"/>
          <a:ext cx="1236785" cy="3927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C00000"/>
              </a:solidFill>
            </a:rPr>
            <a:t>Bldg - 2A</a:t>
          </a:r>
        </a:p>
      </xdr:txBody>
    </xdr:sp>
    <xdr:clientData/>
  </xdr:twoCellAnchor>
  <xdr:twoCellAnchor>
    <xdr:from>
      <xdr:col>13</xdr:col>
      <xdr:colOff>28575</xdr:colOff>
      <xdr:row>367</xdr:row>
      <xdr:rowOff>152400</xdr:rowOff>
    </xdr:from>
    <xdr:to>
      <xdr:col>14</xdr:col>
      <xdr:colOff>427160</xdr:colOff>
      <xdr:row>369</xdr:row>
      <xdr:rowOff>145072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0677525" y="66913125"/>
          <a:ext cx="1236785" cy="3927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C00000"/>
              </a:solidFill>
            </a:rPr>
            <a:t>Bldg - 2C</a:t>
          </a:r>
        </a:p>
      </xdr:txBody>
    </xdr:sp>
    <xdr:clientData/>
  </xdr:twoCellAnchor>
  <xdr:twoCellAnchor>
    <xdr:from>
      <xdr:col>13</xdr:col>
      <xdr:colOff>293938</xdr:colOff>
      <xdr:row>328</xdr:row>
      <xdr:rowOff>173174</xdr:rowOff>
    </xdr:from>
    <xdr:to>
      <xdr:col>15</xdr:col>
      <xdr:colOff>32497</xdr:colOff>
      <xdr:row>330</xdr:row>
      <xdr:rowOff>165847</xdr:rowOff>
    </xdr:to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0961938" y="63262292"/>
          <a:ext cx="1240147" cy="396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C00000"/>
              </a:solidFill>
            </a:rPr>
            <a:t>Bldg - 1 A</a:t>
          </a:r>
        </a:p>
      </xdr:txBody>
    </xdr:sp>
    <xdr:clientData/>
  </xdr:twoCellAnchor>
  <xdr:twoCellAnchor>
    <xdr:from>
      <xdr:col>12</xdr:col>
      <xdr:colOff>703102</xdr:colOff>
      <xdr:row>331</xdr:row>
      <xdr:rowOff>60266</xdr:rowOff>
    </xdr:from>
    <xdr:to>
      <xdr:col>14</xdr:col>
      <xdr:colOff>307190</xdr:colOff>
      <xdr:row>333</xdr:row>
      <xdr:rowOff>51257</xdr:rowOff>
    </xdr:to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10575484" y="63754501"/>
          <a:ext cx="1240147" cy="3944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C00000"/>
              </a:solidFill>
            </a:rPr>
            <a:t>Bldg - 1 C</a:t>
          </a:r>
        </a:p>
      </xdr:txBody>
    </xdr:sp>
    <xdr:clientData/>
  </xdr:twoCellAnchor>
  <xdr:twoCellAnchor>
    <xdr:from>
      <xdr:col>9</xdr:col>
      <xdr:colOff>234664</xdr:colOff>
      <xdr:row>352</xdr:row>
      <xdr:rowOff>86070</xdr:rowOff>
    </xdr:from>
    <xdr:to>
      <xdr:col>11</xdr:col>
      <xdr:colOff>4599</xdr:colOff>
      <xdr:row>354</xdr:row>
      <xdr:rowOff>78742</xdr:rowOff>
    </xdr:to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7921339" y="64036920"/>
          <a:ext cx="1236785" cy="3927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C00000"/>
              </a:solidFill>
            </a:rPr>
            <a:t>Bldg - 1 C</a:t>
          </a:r>
        </a:p>
      </xdr:txBody>
    </xdr:sp>
    <xdr:clientData/>
  </xdr:twoCellAnchor>
  <xdr:twoCellAnchor>
    <xdr:from>
      <xdr:col>8</xdr:col>
      <xdr:colOff>133891</xdr:colOff>
      <xdr:row>352</xdr:row>
      <xdr:rowOff>7090</xdr:rowOff>
    </xdr:from>
    <xdr:to>
      <xdr:col>9</xdr:col>
      <xdr:colOff>208626</xdr:colOff>
      <xdr:row>353</xdr:row>
      <xdr:rowOff>199787</xdr:rowOff>
    </xdr:to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6658516" y="63957940"/>
          <a:ext cx="1236785" cy="3927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C00000"/>
              </a:solidFill>
            </a:rPr>
            <a:t>Bldg - 2 A</a:t>
          </a:r>
        </a:p>
      </xdr:txBody>
    </xdr:sp>
    <xdr:clientData/>
  </xdr:twoCellAnchor>
  <xdr:twoCellAnchor>
    <xdr:from>
      <xdr:col>9</xdr:col>
      <xdr:colOff>428625</xdr:colOff>
      <xdr:row>353</xdr:row>
      <xdr:rowOff>171450</xdr:rowOff>
    </xdr:from>
    <xdr:to>
      <xdr:col>11</xdr:col>
      <xdr:colOff>198560</xdr:colOff>
      <xdr:row>355</xdr:row>
      <xdr:rowOff>164122</xdr:rowOff>
    </xdr:to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115300" y="64322325"/>
          <a:ext cx="1236785" cy="3927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C00000"/>
              </a:solidFill>
            </a:rPr>
            <a:t>Bldg - 2B</a:t>
          </a:r>
        </a:p>
      </xdr:txBody>
    </xdr:sp>
    <xdr:clientData/>
  </xdr:twoCellAnchor>
  <xdr:twoCellAnchor>
    <xdr:from>
      <xdr:col>9</xdr:col>
      <xdr:colOff>199206</xdr:colOff>
      <xdr:row>355</xdr:row>
      <xdr:rowOff>89790</xdr:rowOff>
    </xdr:from>
    <xdr:to>
      <xdr:col>10</xdr:col>
      <xdr:colOff>673991</xdr:colOff>
      <xdr:row>357</xdr:row>
      <xdr:rowOff>82462</xdr:rowOff>
    </xdr:to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7885881" y="64640715"/>
          <a:ext cx="1236785" cy="3927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C00000"/>
              </a:solidFill>
            </a:rPr>
            <a:t>Bldg - 2C</a:t>
          </a:r>
        </a:p>
      </xdr:txBody>
    </xdr:sp>
    <xdr:clientData/>
  </xdr:twoCellAnchor>
  <xdr:twoCellAnchor>
    <xdr:from>
      <xdr:col>8</xdr:col>
      <xdr:colOff>67216</xdr:colOff>
      <xdr:row>354</xdr:row>
      <xdr:rowOff>197590</xdr:rowOff>
    </xdr:from>
    <xdr:to>
      <xdr:col>9</xdr:col>
      <xdr:colOff>141951</xdr:colOff>
      <xdr:row>356</xdr:row>
      <xdr:rowOff>190262</xdr:rowOff>
    </xdr:to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6591841" y="64548490"/>
          <a:ext cx="1236785" cy="3927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C00000"/>
              </a:solidFill>
            </a:rPr>
            <a:t>Bldg - 2 A</a:t>
          </a:r>
        </a:p>
      </xdr:txBody>
    </xdr:sp>
    <xdr:clientData/>
  </xdr:twoCellAnchor>
  <xdr:twoCellAnchor>
    <xdr:from>
      <xdr:col>8</xdr:col>
      <xdr:colOff>434160</xdr:colOff>
      <xdr:row>326</xdr:row>
      <xdr:rowOff>162800</xdr:rowOff>
    </xdr:from>
    <xdr:to>
      <xdr:col>9</xdr:col>
      <xdr:colOff>508895</xdr:colOff>
      <xdr:row>328</xdr:row>
      <xdr:rowOff>155472</xdr:rowOff>
    </xdr:to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6958785" y="61732400"/>
          <a:ext cx="1236785" cy="3927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C00000"/>
              </a:solidFill>
            </a:rPr>
            <a:t>Bldg - 1 A</a:t>
          </a:r>
        </a:p>
      </xdr:txBody>
    </xdr:sp>
    <xdr:clientData/>
  </xdr:twoCellAnchor>
  <xdr:twoCellAnchor>
    <xdr:from>
      <xdr:col>8</xdr:col>
      <xdr:colOff>555625</xdr:colOff>
      <xdr:row>337</xdr:row>
      <xdr:rowOff>19050</xdr:rowOff>
    </xdr:from>
    <xdr:to>
      <xdr:col>16</xdr:col>
      <xdr:colOff>460315</xdr:colOff>
      <xdr:row>378</xdr:row>
      <xdr:rowOff>33199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7400925" y="67729100"/>
          <a:ext cx="6603940" cy="8078649"/>
          <a:chOff x="107950" y="64154050"/>
          <a:chExt cx="6584890" cy="8078649"/>
        </a:xfrm>
      </xdr:grpSpPr>
      <xdr:pic>
        <xdr:nvPicPr>
          <xdr:cNvPr id="121" name="Picture 120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950" y="64217550"/>
            <a:ext cx="1561672" cy="20844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2" name="Picture 121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31168" y="64217550"/>
            <a:ext cx="1561672" cy="20844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4" name="Picture 123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2356" y="64217550"/>
            <a:ext cx="1561672" cy="20844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5" name="Picture 124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6762" y="64217550"/>
            <a:ext cx="1561672" cy="20844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7" name="Picture 126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2356" y="66418440"/>
            <a:ext cx="1561672" cy="20844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8" name="Picture 127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950" y="66418440"/>
            <a:ext cx="1561672" cy="20844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2" name="Picture 131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31168" y="66418440"/>
            <a:ext cx="1561672" cy="20844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5" name="Picture 134">
            <a:extLst>
              <a:ext uri="{FF2B5EF4-FFF2-40B4-BE49-F238E27FC236}">
                <a16:creationId xmlns:a16="http://schemas.microsoft.com/office/drawing/2014/main" id="{00000000-0008-0000-0000-00008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6762" y="66418440"/>
            <a:ext cx="1561672" cy="20844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51" name="TextBox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107950" y="64217550"/>
            <a:ext cx="785260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Bldg - 1A</a:t>
            </a:r>
          </a:p>
        </xdr:txBody>
      </xdr:sp>
      <xdr:sp macro="" textlink="">
        <xdr:nvSpPr>
          <xdr:cNvPr id="152" name="TextBox 151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/>
        </xdr:nvSpPr>
        <xdr:spPr>
          <a:xfrm>
            <a:off x="2290356" y="64236600"/>
            <a:ext cx="785260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Bldg - 1A</a:t>
            </a:r>
          </a:p>
        </xdr:txBody>
      </xdr:sp>
      <xdr:sp macro="" textlink="">
        <xdr:nvSpPr>
          <xdr:cNvPr id="153" name="TextBox 152">
            <a:extLst>
              <a:ext uri="{FF2B5EF4-FFF2-40B4-BE49-F238E27FC236}">
                <a16:creationId xmlns:a16="http://schemas.microsoft.com/office/drawing/2014/main" id="{00000000-0008-0000-0000-000099000000}"/>
              </a:ext>
            </a:extLst>
          </xdr:cNvPr>
          <xdr:cNvSpPr txBox="1"/>
        </xdr:nvSpPr>
        <xdr:spPr>
          <a:xfrm>
            <a:off x="4180662" y="64154050"/>
            <a:ext cx="785260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Bldg - 1A</a:t>
            </a:r>
          </a:p>
        </xdr:txBody>
      </xdr:sp>
      <xdr:sp macro="" textlink="">
        <xdr:nvSpPr>
          <xdr:cNvPr id="154" name="TextBox 153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 txBox="1"/>
        </xdr:nvSpPr>
        <xdr:spPr>
          <a:xfrm>
            <a:off x="5131168" y="64217550"/>
            <a:ext cx="785260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Bldg - 1B</a:t>
            </a:r>
          </a:p>
        </xdr:txBody>
      </xdr:sp>
      <xdr:sp macro="" textlink="">
        <xdr:nvSpPr>
          <xdr:cNvPr id="155" name="TextBox 154">
            <a:extLst>
              <a:ext uri="{FF2B5EF4-FFF2-40B4-BE49-F238E27FC236}">
                <a16:creationId xmlns:a16="http://schemas.microsoft.com/office/drawing/2014/main" id="{00000000-0008-0000-0000-00009B000000}"/>
              </a:ext>
            </a:extLst>
          </xdr:cNvPr>
          <xdr:cNvSpPr txBox="1"/>
        </xdr:nvSpPr>
        <xdr:spPr>
          <a:xfrm>
            <a:off x="304800" y="66412090"/>
            <a:ext cx="785260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Bldg - 1C</a:t>
            </a:r>
          </a:p>
        </xdr:txBody>
      </xdr:sp>
      <xdr:sp macro="" textlink="">
        <xdr:nvSpPr>
          <xdr:cNvPr id="156" name="TextBox 155">
            <a:extLst>
              <a:ext uri="{FF2B5EF4-FFF2-40B4-BE49-F238E27FC236}">
                <a16:creationId xmlns:a16="http://schemas.microsoft.com/office/drawing/2014/main" id="{00000000-0008-0000-0000-00009C000000}"/>
              </a:ext>
            </a:extLst>
          </xdr:cNvPr>
          <xdr:cNvSpPr txBox="1"/>
        </xdr:nvSpPr>
        <xdr:spPr>
          <a:xfrm>
            <a:off x="1782356" y="66418440"/>
            <a:ext cx="785260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Bldg - 1D</a:t>
            </a:r>
          </a:p>
        </xdr:txBody>
      </xdr:sp>
      <xdr:sp macro="" textlink="">
        <xdr:nvSpPr>
          <xdr:cNvPr id="157" name="TextBox 156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/>
        </xdr:nvSpPr>
        <xdr:spPr>
          <a:xfrm>
            <a:off x="4047312" y="66469240"/>
            <a:ext cx="785260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Bldg - 2A</a:t>
            </a:r>
          </a:p>
        </xdr:txBody>
      </xdr:sp>
      <xdr:sp macro="" textlink="">
        <xdr:nvSpPr>
          <xdr:cNvPr id="158" name="TextBox 157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/>
        </xdr:nvSpPr>
        <xdr:spPr>
          <a:xfrm>
            <a:off x="5353418" y="66412090"/>
            <a:ext cx="785260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Bldg - 2A</a:t>
            </a:r>
          </a:p>
        </xdr:txBody>
      </xdr:sp>
      <xdr:pic>
        <xdr:nvPicPr>
          <xdr:cNvPr id="161" name="Picture 160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1783" y="68604948"/>
            <a:ext cx="1561672" cy="20844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2" name="Picture 161">
            <a:extLst>
              <a:ext uri="{FF2B5EF4-FFF2-40B4-BE49-F238E27FC236}">
                <a16:creationId xmlns:a16="http://schemas.microsoft.com/office/drawing/2014/main" id="{00000000-0008-0000-0000-0000A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42335" y="70792699"/>
            <a:ext cx="1078875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3" name="Picture 162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21210" y="68604948"/>
            <a:ext cx="1561672" cy="20844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4" name="Picture 16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9117" y="70792699"/>
            <a:ext cx="1078875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5" name="Picture 164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50726" y="70792699"/>
            <a:ext cx="1078875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6" name="Picture 165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2356" y="68598598"/>
            <a:ext cx="1561672" cy="20844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7" name="Picture 166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950" y="68599050"/>
            <a:ext cx="1561672" cy="20844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68" name="TextBox 158">
            <a:extLst>
              <a:ext uri="{FF2B5EF4-FFF2-40B4-BE49-F238E27FC236}">
                <a16:creationId xmlns:a16="http://schemas.microsoft.com/office/drawing/2014/main" id="{00000000-0008-0000-0000-0000A8000000}"/>
              </a:ext>
            </a:extLst>
          </xdr:cNvPr>
          <xdr:cNvSpPr txBox="1"/>
        </xdr:nvSpPr>
        <xdr:spPr>
          <a:xfrm>
            <a:off x="501650" y="68573650"/>
            <a:ext cx="785260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/>
              <a:t>Bldg - 2B</a:t>
            </a:r>
          </a:p>
        </xdr:txBody>
      </xdr:sp>
      <xdr:sp macro="" textlink="">
        <xdr:nvSpPr>
          <xdr:cNvPr id="169" name="TextBox 159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SpPr txBox="1"/>
        </xdr:nvSpPr>
        <xdr:spPr>
          <a:xfrm>
            <a:off x="2068106" y="68604948"/>
            <a:ext cx="785260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/>
              <a:t>Bldg - 2B</a:t>
            </a:r>
          </a:p>
        </xdr:txBody>
      </xdr:sp>
      <xdr:sp macro="" textlink="">
        <xdr:nvSpPr>
          <xdr:cNvPr id="170" name="TextBox 159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SpPr txBox="1"/>
        </xdr:nvSpPr>
        <xdr:spPr>
          <a:xfrm>
            <a:off x="3623233" y="68592248"/>
            <a:ext cx="785260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/>
              <a:t>Bldg - 2C</a:t>
            </a:r>
          </a:p>
        </xdr:txBody>
      </xdr:sp>
    </xdr:grpSp>
    <xdr:clientData/>
  </xdr:twoCellAnchor>
  <xdr:twoCellAnchor>
    <xdr:from>
      <xdr:col>0</xdr:col>
      <xdr:colOff>133350</xdr:colOff>
      <xdr:row>338</xdr:row>
      <xdr:rowOff>69850</xdr:rowOff>
    </xdr:from>
    <xdr:to>
      <xdr:col>7</xdr:col>
      <xdr:colOff>745058</xdr:colOff>
      <xdr:row>379</xdr:row>
      <xdr:rowOff>85478</xdr:rowOff>
    </xdr:to>
    <xdr:grpSp>
      <xdr:nvGrpSpPr>
        <xdr:cNvPr id="3" name="Group 2"/>
        <xdr:cNvGrpSpPr/>
      </xdr:nvGrpSpPr>
      <xdr:grpSpPr>
        <a:xfrm>
          <a:off x="133350" y="67976750"/>
          <a:ext cx="6587058" cy="8080128"/>
          <a:chOff x="133350" y="67976750"/>
          <a:chExt cx="6587058" cy="8080128"/>
        </a:xfrm>
      </xdr:grpSpPr>
      <xdr:pic>
        <xdr:nvPicPr>
          <xdr:cNvPr id="99" name="Picture 98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79702" y="74400878"/>
            <a:ext cx="1240706" cy="165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0" name="Picture 99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3350" y="679767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1" name="Picture 100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1637" y="679767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2" name="Picture 101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78211" y="679767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3" name="Picture 102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3350" y="7011812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4" name="Picture 103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924" y="67976750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5" name="Picture 104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1637" y="7011812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6" name="Picture 105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923" y="7011812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7" name="Picture 106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09570" y="74400878"/>
            <a:ext cx="1240706" cy="165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8" name="Picture 107"/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74504" y="74400878"/>
            <a:ext cx="1240706" cy="165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9" name="Picture 108"/>
          <xdr:cNvPicPr>
            <a:picLocks noChangeAspect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78209" y="7011812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0" name="Picture 109"/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3350" y="72259502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1" name="Picture 110"/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1636" y="72259502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2" name="Picture 111"/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3350" y="74400878"/>
            <a:ext cx="1240706" cy="165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3" name="Picture 112"/>
          <xdr:cNvPicPr>
            <a:picLocks noChangeAspect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44636" y="74400878"/>
            <a:ext cx="1240706" cy="165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4" name="Picture 113"/>
          <xdr:cNvPicPr>
            <a:picLocks noChangeAspect="1"/>
          </xdr:cNvPicPr>
        </xdr:nvPicPr>
        <xdr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923" y="72259502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5" name="Picture 144"/>
          <xdr:cNvPicPr>
            <a:picLocks noChangeAspect="1"/>
          </xdr:cNvPicPr>
        </xdr:nvPicPr>
        <xdr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78209" y="72259502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46" name="TextBox 145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368300" y="68027550"/>
            <a:ext cx="787532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Bldg - 1A</a:t>
            </a:r>
          </a:p>
        </xdr:txBody>
      </xdr:sp>
      <xdr:sp macro="" textlink="">
        <xdr:nvSpPr>
          <xdr:cNvPr id="147" name="TextBox 146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2486487" y="68033900"/>
            <a:ext cx="787532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Bldg - 1A</a:t>
            </a:r>
          </a:p>
        </xdr:txBody>
      </xdr:sp>
      <xdr:sp macro="" textlink="">
        <xdr:nvSpPr>
          <xdr:cNvPr id="148" name="TextBox 147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4020474" y="68021200"/>
            <a:ext cx="787532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Bldg - 1A</a:t>
            </a:r>
          </a:p>
        </xdr:txBody>
      </xdr:sp>
      <xdr:sp macro="" textlink="">
        <xdr:nvSpPr>
          <xdr:cNvPr id="149" name="TextBox 148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 txBox="1"/>
        </xdr:nvSpPr>
        <xdr:spPr>
          <a:xfrm>
            <a:off x="5611611" y="68002150"/>
            <a:ext cx="787532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Bldg - 1B</a:t>
            </a:r>
          </a:p>
        </xdr:txBody>
      </xdr:sp>
      <xdr:sp macro="" textlink="">
        <xdr:nvSpPr>
          <xdr:cNvPr id="150" name="TextBox 149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 txBox="1"/>
        </xdr:nvSpPr>
        <xdr:spPr>
          <a:xfrm>
            <a:off x="133350" y="70118126"/>
            <a:ext cx="787532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Bldg - 1B</a:t>
            </a:r>
          </a:p>
        </xdr:txBody>
      </xdr:sp>
      <xdr:sp macro="" textlink="">
        <xdr:nvSpPr>
          <xdr:cNvPr id="159" name="TextBox 158">
            <a:extLst>
              <a:ext uri="{FF2B5EF4-FFF2-40B4-BE49-F238E27FC236}">
                <a16:creationId xmlns:a16="http://schemas.microsoft.com/office/drawing/2014/main" id="{00000000-0008-0000-0000-00009B000000}"/>
              </a:ext>
            </a:extLst>
          </xdr:cNvPr>
          <xdr:cNvSpPr txBox="1"/>
        </xdr:nvSpPr>
        <xdr:spPr>
          <a:xfrm>
            <a:off x="2283287" y="71407176"/>
            <a:ext cx="787532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>
                <a:solidFill>
                  <a:srgbClr val="FFFF00"/>
                </a:solidFill>
              </a:rPr>
              <a:t>Bldg - 1C</a:t>
            </a:r>
          </a:p>
        </xdr:txBody>
      </xdr:sp>
      <xdr:sp macro="" textlink="">
        <xdr:nvSpPr>
          <xdr:cNvPr id="160" name="TextBox 159">
            <a:extLst>
              <a:ext uri="{FF2B5EF4-FFF2-40B4-BE49-F238E27FC236}">
                <a16:creationId xmlns:a16="http://schemas.microsoft.com/office/drawing/2014/main" id="{00000000-0008-0000-0000-00009C000000}"/>
              </a:ext>
            </a:extLst>
          </xdr:cNvPr>
          <xdr:cNvSpPr txBox="1"/>
        </xdr:nvSpPr>
        <xdr:spPr>
          <a:xfrm>
            <a:off x="3804573" y="70156226"/>
            <a:ext cx="787532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Bldg - 1D</a:t>
            </a:r>
          </a:p>
        </xdr:txBody>
      </xdr:sp>
      <xdr:sp macro="" textlink="">
        <xdr:nvSpPr>
          <xdr:cNvPr id="171" name="TextBox 170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/>
        </xdr:nvSpPr>
        <xdr:spPr>
          <a:xfrm>
            <a:off x="5167109" y="70118126"/>
            <a:ext cx="787532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Bldg - 2A</a:t>
            </a:r>
          </a:p>
        </xdr:txBody>
      </xdr:sp>
      <xdr:sp macro="" textlink="">
        <xdr:nvSpPr>
          <xdr:cNvPr id="172" name="TextBox 171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/>
        </xdr:nvSpPr>
        <xdr:spPr>
          <a:xfrm>
            <a:off x="133350" y="72259502"/>
            <a:ext cx="787532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/>
              <a:t>Bldg - 2A</a:t>
            </a:r>
          </a:p>
        </xdr:txBody>
      </xdr:sp>
      <xdr:sp macro="" textlink="">
        <xdr:nvSpPr>
          <xdr:cNvPr id="173" name="TextBox 158">
            <a:extLst>
              <a:ext uri="{FF2B5EF4-FFF2-40B4-BE49-F238E27FC236}">
                <a16:creationId xmlns:a16="http://schemas.microsoft.com/office/drawing/2014/main" id="{00000000-0008-0000-0000-0000A8000000}"/>
              </a:ext>
            </a:extLst>
          </xdr:cNvPr>
          <xdr:cNvSpPr txBox="1"/>
        </xdr:nvSpPr>
        <xdr:spPr>
          <a:xfrm>
            <a:off x="2010236" y="72284902"/>
            <a:ext cx="787532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/>
              <a:t>Bldg - 2B</a:t>
            </a:r>
          </a:p>
        </xdr:txBody>
      </xdr:sp>
      <xdr:sp macro="" textlink="">
        <xdr:nvSpPr>
          <xdr:cNvPr id="174" name="TextBox 158">
            <a:extLst>
              <a:ext uri="{FF2B5EF4-FFF2-40B4-BE49-F238E27FC236}">
                <a16:creationId xmlns:a16="http://schemas.microsoft.com/office/drawing/2014/main" id="{00000000-0008-0000-0000-0000A8000000}"/>
              </a:ext>
            </a:extLst>
          </xdr:cNvPr>
          <xdr:cNvSpPr txBox="1"/>
        </xdr:nvSpPr>
        <xdr:spPr>
          <a:xfrm>
            <a:off x="4077623" y="72272202"/>
            <a:ext cx="787532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/>
              <a:t>Bldg - 2B</a:t>
            </a:r>
          </a:p>
        </xdr:txBody>
      </xdr:sp>
      <xdr:sp macro="" textlink="">
        <xdr:nvSpPr>
          <xdr:cNvPr id="175" name="TextBox 159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SpPr txBox="1"/>
        </xdr:nvSpPr>
        <xdr:spPr>
          <a:xfrm>
            <a:off x="5078209" y="72259502"/>
            <a:ext cx="787532" cy="2432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/>
              <a:t>Bldg - 2C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414121</xdr:colOff>
      <xdr:row>9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4700371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ropertypistol.com/projects/d87f5b2e-bb5e-42b2-8695-c3d6f8855702/sai-shri-narayana-by-sri-venkateshwara-builders-in-taloja" TargetMode="External"/><Relationship Id="rId1" Type="http://schemas.openxmlformats.org/officeDocument/2006/relationships/hyperlink" Target="https://goo.gl/maps/Ab4dfTycUVfJLGsP7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24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7" customWidth="1"/>
    <col min="2" max="2" width="12" style="37" customWidth="1"/>
    <col min="3" max="3" width="12.7265625" style="37" customWidth="1"/>
    <col min="4" max="4" width="14.1796875" style="37" customWidth="1"/>
    <col min="5" max="7" width="11.7265625" style="37" customWidth="1"/>
    <col min="8" max="8" width="12.453125" style="37" customWidth="1"/>
    <col min="9" max="9" width="17.453125" style="18" customWidth="1"/>
    <col min="10" max="10" width="11.453125" style="18" customWidth="1"/>
    <col min="11" max="11" width="10.54296875" style="18" bestFit="1" customWidth="1"/>
    <col min="12" max="12" width="10.54296875" style="18" customWidth="1"/>
    <col min="13" max="13" width="11.81640625" style="18" customWidth="1"/>
    <col min="14" max="14" width="12.54296875" style="18" customWidth="1"/>
    <col min="15" max="15" width="9.81640625" style="18" customWidth="1"/>
    <col min="16" max="16" width="11.7265625" style="18" customWidth="1"/>
    <col min="17" max="247" width="9.1796875" style="18"/>
    <col min="248" max="248" width="8.7265625" style="18" customWidth="1"/>
    <col min="249" max="249" width="9.81640625" style="18" customWidth="1"/>
    <col min="250" max="250" width="14.453125" style="18" customWidth="1"/>
    <col min="251" max="251" width="7.26953125" style="18" customWidth="1"/>
    <col min="252" max="252" width="5.54296875" style="18" customWidth="1"/>
    <col min="253" max="253" width="9" style="18" customWidth="1"/>
    <col min="254" max="255" width="9.81640625" style="18" customWidth="1"/>
    <col min="256" max="256" width="11.1796875" style="18" customWidth="1"/>
    <col min="257" max="257" width="2.81640625" style="18" customWidth="1"/>
    <col min="258" max="258" width="3.54296875" style="18" customWidth="1"/>
    <col min="259" max="503" width="9.1796875" style="18"/>
    <col min="504" max="504" width="8.7265625" style="18" customWidth="1"/>
    <col min="505" max="505" width="9.81640625" style="18" customWidth="1"/>
    <col min="506" max="506" width="14.453125" style="18" customWidth="1"/>
    <col min="507" max="507" width="7.26953125" style="18" customWidth="1"/>
    <col min="508" max="508" width="5.54296875" style="18" customWidth="1"/>
    <col min="509" max="509" width="9" style="18" customWidth="1"/>
    <col min="510" max="511" width="9.81640625" style="18" customWidth="1"/>
    <col min="512" max="512" width="11.1796875" style="18" customWidth="1"/>
    <col min="513" max="513" width="2.81640625" style="18" customWidth="1"/>
    <col min="514" max="514" width="3.54296875" style="18" customWidth="1"/>
    <col min="515" max="759" width="9.1796875" style="18"/>
    <col min="760" max="760" width="8.7265625" style="18" customWidth="1"/>
    <col min="761" max="761" width="9.81640625" style="18" customWidth="1"/>
    <col min="762" max="762" width="14.453125" style="18" customWidth="1"/>
    <col min="763" max="763" width="7.26953125" style="18" customWidth="1"/>
    <col min="764" max="764" width="5.54296875" style="18" customWidth="1"/>
    <col min="765" max="765" width="9" style="18" customWidth="1"/>
    <col min="766" max="767" width="9.81640625" style="18" customWidth="1"/>
    <col min="768" max="768" width="11.1796875" style="18" customWidth="1"/>
    <col min="769" max="769" width="2.81640625" style="18" customWidth="1"/>
    <col min="770" max="770" width="3.54296875" style="18" customWidth="1"/>
    <col min="771" max="1015" width="9.1796875" style="18"/>
    <col min="1016" max="1016" width="8.7265625" style="18" customWidth="1"/>
    <col min="1017" max="1017" width="9.81640625" style="18" customWidth="1"/>
    <col min="1018" max="1018" width="14.453125" style="18" customWidth="1"/>
    <col min="1019" max="1019" width="7.26953125" style="18" customWidth="1"/>
    <col min="1020" max="1020" width="5.54296875" style="18" customWidth="1"/>
    <col min="1021" max="1021" width="9" style="18" customWidth="1"/>
    <col min="1022" max="1023" width="9.81640625" style="18" customWidth="1"/>
    <col min="1024" max="1024" width="11.1796875" style="18" customWidth="1"/>
    <col min="1025" max="1025" width="2.81640625" style="18" customWidth="1"/>
    <col min="1026" max="1026" width="3.54296875" style="18" customWidth="1"/>
    <col min="1027" max="1271" width="9.1796875" style="18"/>
    <col min="1272" max="1272" width="8.7265625" style="18" customWidth="1"/>
    <col min="1273" max="1273" width="9.81640625" style="18" customWidth="1"/>
    <col min="1274" max="1274" width="14.453125" style="18" customWidth="1"/>
    <col min="1275" max="1275" width="7.26953125" style="18" customWidth="1"/>
    <col min="1276" max="1276" width="5.54296875" style="18" customWidth="1"/>
    <col min="1277" max="1277" width="9" style="18" customWidth="1"/>
    <col min="1278" max="1279" width="9.81640625" style="18" customWidth="1"/>
    <col min="1280" max="1280" width="11.1796875" style="18" customWidth="1"/>
    <col min="1281" max="1281" width="2.81640625" style="18" customWidth="1"/>
    <col min="1282" max="1282" width="3.54296875" style="18" customWidth="1"/>
    <col min="1283" max="1527" width="9.1796875" style="18"/>
    <col min="1528" max="1528" width="8.7265625" style="18" customWidth="1"/>
    <col min="1529" max="1529" width="9.81640625" style="18" customWidth="1"/>
    <col min="1530" max="1530" width="14.453125" style="18" customWidth="1"/>
    <col min="1531" max="1531" width="7.26953125" style="18" customWidth="1"/>
    <col min="1532" max="1532" width="5.54296875" style="18" customWidth="1"/>
    <col min="1533" max="1533" width="9" style="18" customWidth="1"/>
    <col min="1534" max="1535" width="9.81640625" style="18" customWidth="1"/>
    <col min="1536" max="1536" width="11.1796875" style="18" customWidth="1"/>
    <col min="1537" max="1537" width="2.81640625" style="18" customWidth="1"/>
    <col min="1538" max="1538" width="3.54296875" style="18" customWidth="1"/>
    <col min="1539" max="1783" width="9.1796875" style="18"/>
    <col min="1784" max="1784" width="8.7265625" style="18" customWidth="1"/>
    <col min="1785" max="1785" width="9.81640625" style="18" customWidth="1"/>
    <col min="1786" max="1786" width="14.453125" style="18" customWidth="1"/>
    <col min="1787" max="1787" width="7.26953125" style="18" customWidth="1"/>
    <col min="1788" max="1788" width="5.54296875" style="18" customWidth="1"/>
    <col min="1789" max="1789" width="9" style="18" customWidth="1"/>
    <col min="1790" max="1791" width="9.81640625" style="18" customWidth="1"/>
    <col min="1792" max="1792" width="11.1796875" style="18" customWidth="1"/>
    <col min="1793" max="1793" width="2.81640625" style="18" customWidth="1"/>
    <col min="1794" max="1794" width="3.54296875" style="18" customWidth="1"/>
    <col min="1795" max="2039" width="9.1796875" style="18"/>
    <col min="2040" max="2040" width="8.7265625" style="18" customWidth="1"/>
    <col min="2041" max="2041" width="9.81640625" style="18" customWidth="1"/>
    <col min="2042" max="2042" width="14.453125" style="18" customWidth="1"/>
    <col min="2043" max="2043" width="7.26953125" style="18" customWidth="1"/>
    <col min="2044" max="2044" width="5.54296875" style="18" customWidth="1"/>
    <col min="2045" max="2045" width="9" style="18" customWidth="1"/>
    <col min="2046" max="2047" width="9.81640625" style="18" customWidth="1"/>
    <col min="2048" max="2048" width="11.1796875" style="18" customWidth="1"/>
    <col min="2049" max="2049" width="2.81640625" style="18" customWidth="1"/>
    <col min="2050" max="2050" width="3.54296875" style="18" customWidth="1"/>
    <col min="2051" max="2295" width="9.1796875" style="18"/>
    <col min="2296" max="2296" width="8.7265625" style="18" customWidth="1"/>
    <col min="2297" max="2297" width="9.81640625" style="18" customWidth="1"/>
    <col min="2298" max="2298" width="14.453125" style="18" customWidth="1"/>
    <col min="2299" max="2299" width="7.26953125" style="18" customWidth="1"/>
    <col min="2300" max="2300" width="5.54296875" style="18" customWidth="1"/>
    <col min="2301" max="2301" width="9" style="18" customWidth="1"/>
    <col min="2302" max="2303" width="9.81640625" style="18" customWidth="1"/>
    <col min="2304" max="2304" width="11.1796875" style="18" customWidth="1"/>
    <col min="2305" max="2305" width="2.81640625" style="18" customWidth="1"/>
    <col min="2306" max="2306" width="3.54296875" style="18" customWidth="1"/>
    <col min="2307" max="2551" width="9.1796875" style="18"/>
    <col min="2552" max="2552" width="8.7265625" style="18" customWidth="1"/>
    <col min="2553" max="2553" width="9.81640625" style="18" customWidth="1"/>
    <col min="2554" max="2554" width="14.453125" style="18" customWidth="1"/>
    <col min="2555" max="2555" width="7.26953125" style="18" customWidth="1"/>
    <col min="2556" max="2556" width="5.54296875" style="18" customWidth="1"/>
    <col min="2557" max="2557" width="9" style="18" customWidth="1"/>
    <col min="2558" max="2559" width="9.81640625" style="18" customWidth="1"/>
    <col min="2560" max="2560" width="11.1796875" style="18" customWidth="1"/>
    <col min="2561" max="2561" width="2.81640625" style="18" customWidth="1"/>
    <col min="2562" max="2562" width="3.54296875" style="18" customWidth="1"/>
    <col min="2563" max="2807" width="9.1796875" style="18"/>
    <col min="2808" max="2808" width="8.7265625" style="18" customWidth="1"/>
    <col min="2809" max="2809" width="9.81640625" style="18" customWidth="1"/>
    <col min="2810" max="2810" width="14.453125" style="18" customWidth="1"/>
    <col min="2811" max="2811" width="7.26953125" style="18" customWidth="1"/>
    <col min="2812" max="2812" width="5.54296875" style="18" customWidth="1"/>
    <col min="2813" max="2813" width="9" style="18" customWidth="1"/>
    <col min="2814" max="2815" width="9.81640625" style="18" customWidth="1"/>
    <col min="2816" max="2816" width="11.1796875" style="18" customWidth="1"/>
    <col min="2817" max="2817" width="2.81640625" style="18" customWidth="1"/>
    <col min="2818" max="2818" width="3.54296875" style="18" customWidth="1"/>
    <col min="2819" max="3063" width="9.1796875" style="18"/>
    <col min="3064" max="3064" width="8.7265625" style="18" customWidth="1"/>
    <col min="3065" max="3065" width="9.81640625" style="18" customWidth="1"/>
    <col min="3066" max="3066" width="14.453125" style="18" customWidth="1"/>
    <col min="3067" max="3067" width="7.26953125" style="18" customWidth="1"/>
    <col min="3068" max="3068" width="5.54296875" style="18" customWidth="1"/>
    <col min="3069" max="3069" width="9" style="18" customWidth="1"/>
    <col min="3070" max="3071" width="9.81640625" style="18" customWidth="1"/>
    <col min="3072" max="3072" width="11.1796875" style="18" customWidth="1"/>
    <col min="3073" max="3073" width="2.81640625" style="18" customWidth="1"/>
    <col min="3074" max="3074" width="3.54296875" style="18" customWidth="1"/>
    <col min="3075" max="3319" width="9.1796875" style="18"/>
    <col min="3320" max="3320" width="8.7265625" style="18" customWidth="1"/>
    <col min="3321" max="3321" width="9.81640625" style="18" customWidth="1"/>
    <col min="3322" max="3322" width="14.453125" style="18" customWidth="1"/>
    <col min="3323" max="3323" width="7.26953125" style="18" customWidth="1"/>
    <col min="3324" max="3324" width="5.54296875" style="18" customWidth="1"/>
    <col min="3325" max="3325" width="9" style="18" customWidth="1"/>
    <col min="3326" max="3327" width="9.81640625" style="18" customWidth="1"/>
    <col min="3328" max="3328" width="11.1796875" style="18" customWidth="1"/>
    <col min="3329" max="3329" width="2.81640625" style="18" customWidth="1"/>
    <col min="3330" max="3330" width="3.54296875" style="18" customWidth="1"/>
    <col min="3331" max="3575" width="9.1796875" style="18"/>
    <col min="3576" max="3576" width="8.7265625" style="18" customWidth="1"/>
    <col min="3577" max="3577" width="9.81640625" style="18" customWidth="1"/>
    <col min="3578" max="3578" width="14.453125" style="18" customWidth="1"/>
    <col min="3579" max="3579" width="7.26953125" style="18" customWidth="1"/>
    <col min="3580" max="3580" width="5.54296875" style="18" customWidth="1"/>
    <col min="3581" max="3581" width="9" style="18" customWidth="1"/>
    <col min="3582" max="3583" width="9.81640625" style="18" customWidth="1"/>
    <col min="3584" max="3584" width="11.1796875" style="18" customWidth="1"/>
    <col min="3585" max="3585" width="2.81640625" style="18" customWidth="1"/>
    <col min="3586" max="3586" width="3.54296875" style="18" customWidth="1"/>
    <col min="3587" max="3831" width="9.1796875" style="18"/>
    <col min="3832" max="3832" width="8.7265625" style="18" customWidth="1"/>
    <col min="3833" max="3833" width="9.81640625" style="18" customWidth="1"/>
    <col min="3834" max="3834" width="14.453125" style="18" customWidth="1"/>
    <col min="3835" max="3835" width="7.26953125" style="18" customWidth="1"/>
    <col min="3836" max="3836" width="5.54296875" style="18" customWidth="1"/>
    <col min="3837" max="3837" width="9" style="18" customWidth="1"/>
    <col min="3838" max="3839" width="9.81640625" style="18" customWidth="1"/>
    <col min="3840" max="3840" width="11.1796875" style="18" customWidth="1"/>
    <col min="3841" max="3841" width="2.81640625" style="18" customWidth="1"/>
    <col min="3842" max="3842" width="3.54296875" style="18" customWidth="1"/>
    <col min="3843" max="4087" width="9.1796875" style="18"/>
    <col min="4088" max="4088" width="8.7265625" style="18" customWidth="1"/>
    <col min="4089" max="4089" width="9.81640625" style="18" customWidth="1"/>
    <col min="4090" max="4090" width="14.453125" style="18" customWidth="1"/>
    <col min="4091" max="4091" width="7.26953125" style="18" customWidth="1"/>
    <col min="4092" max="4092" width="5.54296875" style="18" customWidth="1"/>
    <col min="4093" max="4093" width="9" style="18" customWidth="1"/>
    <col min="4094" max="4095" width="9.81640625" style="18" customWidth="1"/>
    <col min="4096" max="4096" width="11.1796875" style="18" customWidth="1"/>
    <col min="4097" max="4097" width="2.81640625" style="18" customWidth="1"/>
    <col min="4098" max="4098" width="3.54296875" style="18" customWidth="1"/>
    <col min="4099" max="4343" width="9.1796875" style="18"/>
    <col min="4344" max="4344" width="8.7265625" style="18" customWidth="1"/>
    <col min="4345" max="4345" width="9.81640625" style="18" customWidth="1"/>
    <col min="4346" max="4346" width="14.453125" style="18" customWidth="1"/>
    <col min="4347" max="4347" width="7.26953125" style="18" customWidth="1"/>
    <col min="4348" max="4348" width="5.54296875" style="18" customWidth="1"/>
    <col min="4349" max="4349" width="9" style="18" customWidth="1"/>
    <col min="4350" max="4351" width="9.81640625" style="18" customWidth="1"/>
    <col min="4352" max="4352" width="11.1796875" style="18" customWidth="1"/>
    <col min="4353" max="4353" width="2.81640625" style="18" customWidth="1"/>
    <col min="4354" max="4354" width="3.54296875" style="18" customWidth="1"/>
    <col min="4355" max="4599" width="9.1796875" style="18"/>
    <col min="4600" max="4600" width="8.7265625" style="18" customWidth="1"/>
    <col min="4601" max="4601" width="9.81640625" style="18" customWidth="1"/>
    <col min="4602" max="4602" width="14.453125" style="18" customWidth="1"/>
    <col min="4603" max="4603" width="7.26953125" style="18" customWidth="1"/>
    <col min="4604" max="4604" width="5.54296875" style="18" customWidth="1"/>
    <col min="4605" max="4605" width="9" style="18" customWidth="1"/>
    <col min="4606" max="4607" width="9.81640625" style="18" customWidth="1"/>
    <col min="4608" max="4608" width="11.1796875" style="18" customWidth="1"/>
    <col min="4609" max="4609" width="2.81640625" style="18" customWidth="1"/>
    <col min="4610" max="4610" width="3.54296875" style="18" customWidth="1"/>
    <col min="4611" max="4855" width="9.1796875" style="18"/>
    <col min="4856" max="4856" width="8.7265625" style="18" customWidth="1"/>
    <col min="4857" max="4857" width="9.81640625" style="18" customWidth="1"/>
    <col min="4858" max="4858" width="14.453125" style="18" customWidth="1"/>
    <col min="4859" max="4859" width="7.26953125" style="18" customWidth="1"/>
    <col min="4860" max="4860" width="5.54296875" style="18" customWidth="1"/>
    <col min="4861" max="4861" width="9" style="18" customWidth="1"/>
    <col min="4862" max="4863" width="9.81640625" style="18" customWidth="1"/>
    <col min="4864" max="4864" width="11.1796875" style="18" customWidth="1"/>
    <col min="4865" max="4865" width="2.81640625" style="18" customWidth="1"/>
    <col min="4866" max="4866" width="3.54296875" style="18" customWidth="1"/>
    <col min="4867" max="5111" width="9.1796875" style="18"/>
    <col min="5112" max="5112" width="8.7265625" style="18" customWidth="1"/>
    <col min="5113" max="5113" width="9.81640625" style="18" customWidth="1"/>
    <col min="5114" max="5114" width="14.453125" style="18" customWidth="1"/>
    <col min="5115" max="5115" width="7.26953125" style="18" customWidth="1"/>
    <col min="5116" max="5116" width="5.54296875" style="18" customWidth="1"/>
    <col min="5117" max="5117" width="9" style="18" customWidth="1"/>
    <col min="5118" max="5119" width="9.81640625" style="18" customWidth="1"/>
    <col min="5120" max="5120" width="11.1796875" style="18" customWidth="1"/>
    <col min="5121" max="5121" width="2.81640625" style="18" customWidth="1"/>
    <col min="5122" max="5122" width="3.54296875" style="18" customWidth="1"/>
    <col min="5123" max="5367" width="9.1796875" style="18"/>
    <col min="5368" max="5368" width="8.7265625" style="18" customWidth="1"/>
    <col min="5369" max="5369" width="9.81640625" style="18" customWidth="1"/>
    <col min="5370" max="5370" width="14.453125" style="18" customWidth="1"/>
    <col min="5371" max="5371" width="7.26953125" style="18" customWidth="1"/>
    <col min="5372" max="5372" width="5.54296875" style="18" customWidth="1"/>
    <col min="5373" max="5373" width="9" style="18" customWidth="1"/>
    <col min="5374" max="5375" width="9.81640625" style="18" customWidth="1"/>
    <col min="5376" max="5376" width="11.1796875" style="18" customWidth="1"/>
    <col min="5377" max="5377" width="2.81640625" style="18" customWidth="1"/>
    <col min="5378" max="5378" width="3.54296875" style="18" customWidth="1"/>
    <col min="5379" max="5623" width="9.1796875" style="18"/>
    <col min="5624" max="5624" width="8.7265625" style="18" customWidth="1"/>
    <col min="5625" max="5625" width="9.81640625" style="18" customWidth="1"/>
    <col min="5626" max="5626" width="14.453125" style="18" customWidth="1"/>
    <col min="5627" max="5627" width="7.26953125" style="18" customWidth="1"/>
    <col min="5628" max="5628" width="5.54296875" style="18" customWidth="1"/>
    <col min="5629" max="5629" width="9" style="18" customWidth="1"/>
    <col min="5630" max="5631" width="9.81640625" style="18" customWidth="1"/>
    <col min="5632" max="5632" width="11.1796875" style="18" customWidth="1"/>
    <col min="5633" max="5633" width="2.81640625" style="18" customWidth="1"/>
    <col min="5634" max="5634" width="3.54296875" style="18" customWidth="1"/>
    <col min="5635" max="5879" width="9.1796875" style="18"/>
    <col min="5880" max="5880" width="8.7265625" style="18" customWidth="1"/>
    <col min="5881" max="5881" width="9.81640625" style="18" customWidth="1"/>
    <col min="5882" max="5882" width="14.453125" style="18" customWidth="1"/>
    <col min="5883" max="5883" width="7.26953125" style="18" customWidth="1"/>
    <col min="5884" max="5884" width="5.54296875" style="18" customWidth="1"/>
    <col min="5885" max="5885" width="9" style="18" customWidth="1"/>
    <col min="5886" max="5887" width="9.81640625" style="18" customWidth="1"/>
    <col min="5888" max="5888" width="11.1796875" style="18" customWidth="1"/>
    <col min="5889" max="5889" width="2.81640625" style="18" customWidth="1"/>
    <col min="5890" max="5890" width="3.54296875" style="18" customWidth="1"/>
    <col min="5891" max="6135" width="9.1796875" style="18"/>
    <col min="6136" max="6136" width="8.7265625" style="18" customWidth="1"/>
    <col min="6137" max="6137" width="9.81640625" style="18" customWidth="1"/>
    <col min="6138" max="6138" width="14.453125" style="18" customWidth="1"/>
    <col min="6139" max="6139" width="7.26953125" style="18" customWidth="1"/>
    <col min="6140" max="6140" width="5.54296875" style="18" customWidth="1"/>
    <col min="6141" max="6141" width="9" style="18" customWidth="1"/>
    <col min="6142" max="6143" width="9.81640625" style="18" customWidth="1"/>
    <col min="6144" max="6144" width="11.1796875" style="18" customWidth="1"/>
    <col min="6145" max="6145" width="2.81640625" style="18" customWidth="1"/>
    <col min="6146" max="6146" width="3.54296875" style="18" customWidth="1"/>
    <col min="6147" max="6391" width="9.1796875" style="18"/>
    <col min="6392" max="6392" width="8.7265625" style="18" customWidth="1"/>
    <col min="6393" max="6393" width="9.81640625" style="18" customWidth="1"/>
    <col min="6394" max="6394" width="14.453125" style="18" customWidth="1"/>
    <col min="6395" max="6395" width="7.26953125" style="18" customWidth="1"/>
    <col min="6396" max="6396" width="5.54296875" style="18" customWidth="1"/>
    <col min="6397" max="6397" width="9" style="18" customWidth="1"/>
    <col min="6398" max="6399" width="9.81640625" style="18" customWidth="1"/>
    <col min="6400" max="6400" width="11.1796875" style="18" customWidth="1"/>
    <col min="6401" max="6401" width="2.81640625" style="18" customWidth="1"/>
    <col min="6402" max="6402" width="3.54296875" style="18" customWidth="1"/>
    <col min="6403" max="6647" width="9.1796875" style="18"/>
    <col min="6648" max="6648" width="8.7265625" style="18" customWidth="1"/>
    <col min="6649" max="6649" width="9.81640625" style="18" customWidth="1"/>
    <col min="6650" max="6650" width="14.453125" style="18" customWidth="1"/>
    <col min="6651" max="6651" width="7.26953125" style="18" customWidth="1"/>
    <col min="6652" max="6652" width="5.54296875" style="18" customWidth="1"/>
    <col min="6653" max="6653" width="9" style="18" customWidth="1"/>
    <col min="6654" max="6655" width="9.81640625" style="18" customWidth="1"/>
    <col min="6656" max="6656" width="11.1796875" style="18" customWidth="1"/>
    <col min="6657" max="6657" width="2.81640625" style="18" customWidth="1"/>
    <col min="6658" max="6658" width="3.54296875" style="18" customWidth="1"/>
    <col min="6659" max="6903" width="9.1796875" style="18"/>
    <col min="6904" max="6904" width="8.7265625" style="18" customWidth="1"/>
    <col min="6905" max="6905" width="9.81640625" style="18" customWidth="1"/>
    <col min="6906" max="6906" width="14.453125" style="18" customWidth="1"/>
    <col min="6907" max="6907" width="7.26953125" style="18" customWidth="1"/>
    <col min="6908" max="6908" width="5.54296875" style="18" customWidth="1"/>
    <col min="6909" max="6909" width="9" style="18" customWidth="1"/>
    <col min="6910" max="6911" width="9.81640625" style="18" customWidth="1"/>
    <col min="6912" max="6912" width="11.1796875" style="18" customWidth="1"/>
    <col min="6913" max="6913" width="2.81640625" style="18" customWidth="1"/>
    <col min="6914" max="6914" width="3.54296875" style="18" customWidth="1"/>
    <col min="6915" max="7159" width="9.1796875" style="18"/>
    <col min="7160" max="7160" width="8.7265625" style="18" customWidth="1"/>
    <col min="7161" max="7161" width="9.81640625" style="18" customWidth="1"/>
    <col min="7162" max="7162" width="14.453125" style="18" customWidth="1"/>
    <col min="7163" max="7163" width="7.26953125" style="18" customWidth="1"/>
    <col min="7164" max="7164" width="5.54296875" style="18" customWidth="1"/>
    <col min="7165" max="7165" width="9" style="18" customWidth="1"/>
    <col min="7166" max="7167" width="9.81640625" style="18" customWidth="1"/>
    <col min="7168" max="7168" width="11.1796875" style="18" customWidth="1"/>
    <col min="7169" max="7169" width="2.81640625" style="18" customWidth="1"/>
    <col min="7170" max="7170" width="3.54296875" style="18" customWidth="1"/>
    <col min="7171" max="7415" width="9.1796875" style="18"/>
    <col min="7416" max="7416" width="8.7265625" style="18" customWidth="1"/>
    <col min="7417" max="7417" width="9.81640625" style="18" customWidth="1"/>
    <col min="7418" max="7418" width="14.453125" style="18" customWidth="1"/>
    <col min="7419" max="7419" width="7.26953125" style="18" customWidth="1"/>
    <col min="7420" max="7420" width="5.54296875" style="18" customWidth="1"/>
    <col min="7421" max="7421" width="9" style="18" customWidth="1"/>
    <col min="7422" max="7423" width="9.81640625" style="18" customWidth="1"/>
    <col min="7424" max="7424" width="11.1796875" style="18" customWidth="1"/>
    <col min="7425" max="7425" width="2.81640625" style="18" customWidth="1"/>
    <col min="7426" max="7426" width="3.54296875" style="18" customWidth="1"/>
    <col min="7427" max="7671" width="9.1796875" style="18"/>
    <col min="7672" max="7672" width="8.7265625" style="18" customWidth="1"/>
    <col min="7673" max="7673" width="9.81640625" style="18" customWidth="1"/>
    <col min="7674" max="7674" width="14.453125" style="18" customWidth="1"/>
    <col min="7675" max="7675" width="7.26953125" style="18" customWidth="1"/>
    <col min="7676" max="7676" width="5.54296875" style="18" customWidth="1"/>
    <col min="7677" max="7677" width="9" style="18" customWidth="1"/>
    <col min="7678" max="7679" width="9.81640625" style="18" customWidth="1"/>
    <col min="7680" max="7680" width="11.1796875" style="18" customWidth="1"/>
    <col min="7681" max="7681" width="2.81640625" style="18" customWidth="1"/>
    <col min="7682" max="7682" width="3.54296875" style="18" customWidth="1"/>
    <col min="7683" max="7927" width="9.1796875" style="18"/>
    <col min="7928" max="7928" width="8.7265625" style="18" customWidth="1"/>
    <col min="7929" max="7929" width="9.81640625" style="18" customWidth="1"/>
    <col min="7930" max="7930" width="14.453125" style="18" customWidth="1"/>
    <col min="7931" max="7931" width="7.26953125" style="18" customWidth="1"/>
    <col min="7932" max="7932" width="5.54296875" style="18" customWidth="1"/>
    <col min="7933" max="7933" width="9" style="18" customWidth="1"/>
    <col min="7934" max="7935" width="9.81640625" style="18" customWidth="1"/>
    <col min="7936" max="7936" width="11.1796875" style="18" customWidth="1"/>
    <col min="7937" max="7937" width="2.81640625" style="18" customWidth="1"/>
    <col min="7938" max="7938" width="3.54296875" style="18" customWidth="1"/>
    <col min="7939" max="8183" width="9.1796875" style="18"/>
    <col min="8184" max="8184" width="8.7265625" style="18" customWidth="1"/>
    <col min="8185" max="8185" width="9.81640625" style="18" customWidth="1"/>
    <col min="8186" max="8186" width="14.453125" style="18" customWidth="1"/>
    <col min="8187" max="8187" width="7.26953125" style="18" customWidth="1"/>
    <col min="8188" max="8188" width="5.54296875" style="18" customWidth="1"/>
    <col min="8189" max="8189" width="9" style="18" customWidth="1"/>
    <col min="8190" max="8191" width="9.81640625" style="18" customWidth="1"/>
    <col min="8192" max="8192" width="11.1796875" style="18" customWidth="1"/>
    <col min="8193" max="8193" width="2.81640625" style="18" customWidth="1"/>
    <col min="8194" max="8194" width="3.54296875" style="18" customWidth="1"/>
    <col min="8195" max="8439" width="9.1796875" style="18"/>
    <col min="8440" max="8440" width="8.7265625" style="18" customWidth="1"/>
    <col min="8441" max="8441" width="9.81640625" style="18" customWidth="1"/>
    <col min="8442" max="8442" width="14.453125" style="18" customWidth="1"/>
    <col min="8443" max="8443" width="7.26953125" style="18" customWidth="1"/>
    <col min="8444" max="8444" width="5.54296875" style="18" customWidth="1"/>
    <col min="8445" max="8445" width="9" style="18" customWidth="1"/>
    <col min="8446" max="8447" width="9.81640625" style="18" customWidth="1"/>
    <col min="8448" max="8448" width="11.1796875" style="18" customWidth="1"/>
    <col min="8449" max="8449" width="2.81640625" style="18" customWidth="1"/>
    <col min="8450" max="8450" width="3.54296875" style="18" customWidth="1"/>
    <col min="8451" max="8695" width="9.1796875" style="18"/>
    <col min="8696" max="8696" width="8.7265625" style="18" customWidth="1"/>
    <col min="8697" max="8697" width="9.81640625" style="18" customWidth="1"/>
    <col min="8698" max="8698" width="14.453125" style="18" customWidth="1"/>
    <col min="8699" max="8699" width="7.26953125" style="18" customWidth="1"/>
    <col min="8700" max="8700" width="5.54296875" style="18" customWidth="1"/>
    <col min="8701" max="8701" width="9" style="18" customWidth="1"/>
    <col min="8702" max="8703" width="9.81640625" style="18" customWidth="1"/>
    <col min="8704" max="8704" width="11.1796875" style="18" customWidth="1"/>
    <col min="8705" max="8705" width="2.81640625" style="18" customWidth="1"/>
    <col min="8706" max="8706" width="3.54296875" style="18" customWidth="1"/>
    <col min="8707" max="8951" width="9.1796875" style="18"/>
    <col min="8952" max="8952" width="8.7265625" style="18" customWidth="1"/>
    <col min="8953" max="8953" width="9.81640625" style="18" customWidth="1"/>
    <col min="8954" max="8954" width="14.453125" style="18" customWidth="1"/>
    <col min="8955" max="8955" width="7.26953125" style="18" customWidth="1"/>
    <col min="8956" max="8956" width="5.54296875" style="18" customWidth="1"/>
    <col min="8957" max="8957" width="9" style="18" customWidth="1"/>
    <col min="8958" max="8959" width="9.81640625" style="18" customWidth="1"/>
    <col min="8960" max="8960" width="11.1796875" style="18" customWidth="1"/>
    <col min="8961" max="8961" width="2.81640625" style="18" customWidth="1"/>
    <col min="8962" max="8962" width="3.54296875" style="18" customWidth="1"/>
    <col min="8963" max="9207" width="9.1796875" style="18"/>
    <col min="9208" max="9208" width="8.7265625" style="18" customWidth="1"/>
    <col min="9209" max="9209" width="9.81640625" style="18" customWidth="1"/>
    <col min="9210" max="9210" width="14.453125" style="18" customWidth="1"/>
    <col min="9211" max="9211" width="7.26953125" style="18" customWidth="1"/>
    <col min="9212" max="9212" width="5.54296875" style="18" customWidth="1"/>
    <col min="9213" max="9213" width="9" style="18" customWidth="1"/>
    <col min="9214" max="9215" width="9.81640625" style="18" customWidth="1"/>
    <col min="9216" max="9216" width="11.1796875" style="18" customWidth="1"/>
    <col min="9217" max="9217" width="2.81640625" style="18" customWidth="1"/>
    <col min="9218" max="9218" width="3.54296875" style="18" customWidth="1"/>
    <col min="9219" max="9463" width="9.1796875" style="18"/>
    <col min="9464" max="9464" width="8.7265625" style="18" customWidth="1"/>
    <col min="9465" max="9465" width="9.81640625" style="18" customWidth="1"/>
    <col min="9466" max="9466" width="14.453125" style="18" customWidth="1"/>
    <col min="9467" max="9467" width="7.26953125" style="18" customWidth="1"/>
    <col min="9468" max="9468" width="5.54296875" style="18" customWidth="1"/>
    <col min="9469" max="9469" width="9" style="18" customWidth="1"/>
    <col min="9470" max="9471" width="9.81640625" style="18" customWidth="1"/>
    <col min="9472" max="9472" width="11.1796875" style="18" customWidth="1"/>
    <col min="9473" max="9473" width="2.81640625" style="18" customWidth="1"/>
    <col min="9474" max="9474" width="3.54296875" style="18" customWidth="1"/>
    <col min="9475" max="9719" width="9.1796875" style="18"/>
    <col min="9720" max="9720" width="8.7265625" style="18" customWidth="1"/>
    <col min="9721" max="9721" width="9.81640625" style="18" customWidth="1"/>
    <col min="9722" max="9722" width="14.453125" style="18" customWidth="1"/>
    <col min="9723" max="9723" width="7.26953125" style="18" customWidth="1"/>
    <col min="9724" max="9724" width="5.54296875" style="18" customWidth="1"/>
    <col min="9725" max="9725" width="9" style="18" customWidth="1"/>
    <col min="9726" max="9727" width="9.81640625" style="18" customWidth="1"/>
    <col min="9728" max="9728" width="11.1796875" style="18" customWidth="1"/>
    <col min="9729" max="9729" width="2.81640625" style="18" customWidth="1"/>
    <col min="9730" max="9730" width="3.54296875" style="18" customWidth="1"/>
    <col min="9731" max="9975" width="9.1796875" style="18"/>
    <col min="9976" max="9976" width="8.7265625" style="18" customWidth="1"/>
    <col min="9977" max="9977" width="9.81640625" style="18" customWidth="1"/>
    <col min="9978" max="9978" width="14.453125" style="18" customWidth="1"/>
    <col min="9979" max="9979" width="7.26953125" style="18" customWidth="1"/>
    <col min="9980" max="9980" width="5.54296875" style="18" customWidth="1"/>
    <col min="9981" max="9981" width="9" style="18" customWidth="1"/>
    <col min="9982" max="9983" width="9.81640625" style="18" customWidth="1"/>
    <col min="9984" max="9984" width="11.1796875" style="18" customWidth="1"/>
    <col min="9985" max="9985" width="2.81640625" style="18" customWidth="1"/>
    <col min="9986" max="9986" width="3.54296875" style="18" customWidth="1"/>
    <col min="9987" max="10231" width="9.1796875" style="18"/>
    <col min="10232" max="10232" width="8.7265625" style="18" customWidth="1"/>
    <col min="10233" max="10233" width="9.81640625" style="18" customWidth="1"/>
    <col min="10234" max="10234" width="14.453125" style="18" customWidth="1"/>
    <col min="10235" max="10235" width="7.26953125" style="18" customWidth="1"/>
    <col min="10236" max="10236" width="5.54296875" style="18" customWidth="1"/>
    <col min="10237" max="10237" width="9" style="18" customWidth="1"/>
    <col min="10238" max="10239" width="9.81640625" style="18" customWidth="1"/>
    <col min="10240" max="10240" width="11.1796875" style="18" customWidth="1"/>
    <col min="10241" max="10241" width="2.81640625" style="18" customWidth="1"/>
    <col min="10242" max="10242" width="3.54296875" style="18" customWidth="1"/>
    <col min="10243" max="10487" width="9.1796875" style="18"/>
    <col min="10488" max="10488" width="8.7265625" style="18" customWidth="1"/>
    <col min="10489" max="10489" width="9.81640625" style="18" customWidth="1"/>
    <col min="10490" max="10490" width="14.453125" style="18" customWidth="1"/>
    <col min="10491" max="10491" width="7.26953125" style="18" customWidth="1"/>
    <col min="10492" max="10492" width="5.54296875" style="18" customWidth="1"/>
    <col min="10493" max="10493" width="9" style="18" customWidth="1"/>
    <col min="10494" max="10495" width="9.81640625" style="18" customWidth="1"/>
    <col min="10496" max="10496" width="11.1796875" style="18" customWidth="1"/>
    <col min="10497" max="10497" width="2.81640625" style="18" customWidth="1"/>
    <col min="10498" max="10498" width="3.54296875" style="18" customWidth="1"/>
    <col min="10499" max="10743" width="9.1796875" style="18"/>
    <col min="10744" max="10744" width="8.7265625" style="18" customWidth="1"/>
    <col min="10745" max="10745" width="9.81640625" style="18" customWidth="1"/>
    <col min="10746" max="10746" width="14.453125" style="18" customWidth="1"/>
    <col min="10747" max="10747" width="7.26953125" style="18" customWidth="1"/>
    <col min="10748" max="10748" width="5.54296875" style="18" customWidth="1"/>
    <col min="10749" max="10749" width="9" style="18" customWidth="1"/>
    <col min="10750" max="10751" width="9.81640625" style="18" customWidth="1"/>
    <col min="10752" max="10752" width="11.1796875" style="18" customWidth="1"/>
    <col min="10753" max="10753" width="2.81640625" style="18" customWidth="1"/>
    <col min="10754" max="10754" width="3.54296875" style="18" customWidth="1"/>
    <col min="10755" max="10999" width="9.1796875" style="18"/>
    <col min="11000" max="11000" width="8.7265625" style="18" customWidth="1"/>
    <col min="11001" max="11001" width="9.81640625" style="18" customWidth="1"/>
    <col min="11002" max="11002" width="14.453125" style="18" customWidth="1"/>
    <col min="11003" max="11003" width="7.26953125" style="18" customWidth="1"/>
    <col min="11004" max="11004" width="5.54296875" style="18" customWidth="1"/>
    <col min="11005" max="11005" width="9" style="18" customWidth="1"/>
    <col min="11006" max="11007" width="9.81640625" style="18" customWidth="1"/>
    <col min="11008" max="11008" width="11.1796875" style="18" customWidth="1"/>
    <col min="11009" max="11009" width="2.81640625" style="18" customWidth="1"/>
    <col min="11010" max="11010" width="3.54296875" style="18" customWidth="1"/>
    <col min="11011" max="11255" width="9.1796875" style="18"/>
    <col min="11256" max="11256" width="8.7265625" style="18" customWidth="1"/>
    <col min="11257" max="11257" width="9.81640625" style="18" customWidth="1"/>
    <col min="11258" max="11258" width="14.453125" style="18" customWidth="1"/>
    <col min="11259" max="11259" width="7.26953125" style="18" customWidth="1"/>
    <col min="11260" max="11260" width="5.54296875" style="18" customWidth="1"/>
    <col min="11261" max="11261" width="9" style="18" customWidth="1"/>
    <col min="11262" max="11263" width="9.81640625" style="18" customWidth="1"/>
    <col min="11264" max="11264" width="11.1796875" style="18" customWidth="1"/>
    <col min="11265" max="11265" width="2.81640625" style="18" customWidth="1"/>
    <col min="11266" max="11266" width="3.54296875" style="18" customWidth="1"/>
    <col min="11267" max="11511" width="9.1796875" style="18"/>
    <col min="11512" max="11512" width="8.7265625" style="18" customWidth="1"/>
    <col min="11513" max="11513" width="9.81640625" style="18" customWidth="1"/>
    <col min="11514" max="11514" width="14.453125" style="18" customWidth="1"/>
    <col min="11515" max="11515" width="7.26953125" style="18" customWidth="1"/>
    <col min="11516" max="11516" width="5.54296875" style="18" customWidth="1"/>
    <col min="11517" max="11517" width="9" style="18" customWidth="1"/>
    <col min="11518" max="11519" width="9.81640625" style="18" customWidth="1"/>
    <col min="11520" max="11520" width="11.1796875" style="18" customWidth="1"/>
    <col min="11521" max="11521" width="2.81640625" style="18" customWidth="1"/>
    <col min="11522" max="11522" width="3.54296875" style="18" customWidth="1"/>
    <col min="11523" max="11767" width="9.1796875" style="18"/>
    <col min="11768" max="11768" width="8.7265625" style="18" customWidth="1"/>
    <col min="11769" max="11769" width="9.81640625" style="18" customWidth="1"/>
    <col min="11770" max="11770" width="14.453125" style="18" customWidth="1"/>
    <col min="11771" max="11771" width="7.26953125" style="18" customWidth="1"/>
    <col min="11772" max="11772" width="5.54296875" style="18" customWidth="1"/>
    <col min="11773" max="11773" width="9" style="18" customWidth="1"/>
    <col min="11774" max="11775" width="9.81640625" style="18" customWidth="1"/>
    <col min="11776" max="11776" width="11.1796875" style="18" customWidth="1"/>
    <col min="11777" max="11777" width="2.81640625" style="18" customWidth="1"/>
    <col min="11778" max="11778" width="3.54296875" style="18" customWidth="1"/>
    <col min="11779" max="12023" width="9.1796875" style="18"/>
    <col min="12024" max="12024" width="8.7265625" style="18" customWidth="1"/>
    <col min="12025" max="12025" width="9.81640625" style="18" customWidth="1"/>
    <col min="12026" max="12026" width="14.453125" style="18" customWidth="1"/>
    <col min="12027" max="12027" width="7.26953125" style="18" customWidth="1"/>
    <col min="12028" max="12028" width="5.54296875" style="18" customWidth="1"/>
    <col min="12029" max="12029" width="9" style="18" customWidth="1"/>
    <col min="12030" max="12031" width="9.81640625" style="18" customWidth="1"/>
    <col min="12032" max="12032" width="11.1796875" style="18" customWidth="1"/>
    <col min="12033" max="12033" width="2.81640625" style="18" customWidth="1"/>
    <col min="12034" max="12034" width="3.54296875" style="18" customWidth="1"/>
    <col min="12035" max="12279" width="9.1796875" style="18"/>
    <col min="12280" max="12280" width="8.7265625" style="18" customWidth="1"/>
    <col min="12281" max="12281" width="9.81640625" style="18" customWidth="1"/>
    <col min="12282" max="12282" width="14.453125" style="18" customWidth="1"/>
    <col min="12283" max="12283" width="7.26953125" style="18" customWidth="1"/>
    <col min="12284" max="12284" width="5.54296875" style="18" customWidth="1"/>
    <col min="12285" max="12285" width="9" style="18" customWidth="1"/>
    <col min="12286" max="12287" width="9.81640625" style="18" customWidth="1"/>
    <col min="12288" max="12288" width="11.1796875" style="18" customWidth="1"/>
    <col min="12289" max="12289" width="2.81640625" style="18" customWidth="1"/>
    <col min="12290" max="12290" width="3.54296875" style="18" customWidth="1"/>
    <col min="12291" max="12535" width="9.1796875" style="18"/>
    <col min="12536" max="12536" width="8.7265625" style="18" customWidth="1"/>
    <col min="12537" max="12537" width="9.81640625" style="18" customWidth="1"/>
    <col min="12538" max="12538" width="14.453125" style="18" customWidth="1"/>
    <col min="12539" max="12539" width="7.26953125" style="18" customWidth="1"/>
    <col min="12540" max="12540" width="5.54296875" style="18" customWidth="1"/>
    <col min="12541" max="12541" width="9" style="18" customWidth="1"/>
    <col min="12542" max="12543" width="9.81640625" style="18" customWidth="1"/>
    <col min="12544" max="12544" width="11.1796875" style="18" customWidth="1"/>
    <col min="12545" max="12545" width="2.81640625" style="18" customWidth="1"/>
    <col min="12546" max="12546" width="3.54296875" style="18" customWidth="1"/>
    <col min="12547" max="12791" width="9.1796875" style="18"/>
    <col min="12792" max="12792" width="8.7265625" style="18" customWidth="1"/>
    <col min="12793" max="12793" width="9.81640625" style="18" customWidth="1"/>
    <col min="12794" max="12794" width="14.453125" style="18" customWidth="1"/>
    <col min="12795" max="12795" width="7.26953125" style="18" customWidth="1"/>
    <col min="12796" max="12796" width="5.54296875" style="18" customWidth="1"/>
    <col min="12797" max="12797" width="9" style="18" customWidth="1"/>
    <col min="12798" max="12799" width="9.81640625" style="18" customWidth="1"/>
    <col min="12800" max="12800" width="11.1796875" style="18" customWidth="1"/>
    <col min="12801" max="12801" width="2.81640625" style="18" customWidth="1"/>
    <col min="12802" max="12802" width="3.54296875" style="18" customWidth="1"/>
    <col min="12803" max="13047" width="9.1796875" style="18"/>
    <col min="13048" max="13048" width="8.7265625" style="18" customWidth="1"/>
    <col min="13049" max="13049" width="9.81640625" style="18" customWidth="1"/>
    <col min="13050" max="13050" width="14.453125" style="18" customWidth="1"/>
    <col min="13051" max="13051" width="7.26953125" style="18" customWidth="1"/>
    <col min="13052" max="13052" width="5.54296875" style="18" customWidth="1"/>
    <col min="13053" max="13053" width="9" style="18" customWidth="1"/>
    <col min="13054" max="13055" width="9.81640625" style="18" customWidth="1"/>
    <col min="13056" max="13056" width="11.1796875" style="18" customWidth="1"/>
    <col min="13057" max="13057" width="2.81640625" style="18" customWidth="1"/>
    <col min="13058" max="13058" width="3.54296875" style="18" customWidth="1"/>
    <col min="13059" max="13303" width="9.1796875" style="18"/>
    <col min="13304" max="13304" width="8.7265625" style="18" customWidth="1"/>
    <col min="13305" max="13305" width="9.81640625" style="18" customWidth="1"/>
    <col min="13306" max="13306" width="14.453125" style="18" customWidth="1"/>
    <col min="13307" max="13307" width="7.26953125" style="18" customWidth="1"/>
    <col min="13308" max="13308" width="5.54296875" style="18" customWidth="1"/>
    <col min="13309" max="13309" width="9" style="18" customWidth="1"/>
    <col min="13310" max="13311" width="9.81640625" style="18" customWidth="1"/>
    <col min="13312" max="13312" width="11.1796875" style="18" customWidth="1"/>
    <col min="13313" max="13313" width="2.81640625" style="18" customWidth="1"/>
    <col min="13314" max="13314" width="3.54296875" style="18" customWidth="1"/>
    <col min="13315" max="13559" width="9.1796875" style="18"/>
    <col min="13560" max="13560" width="8.7265625" style="18" customWidth="1"/>
    <col min="13561" max="13561" width="9.81640625" style="18" customWidth="1"/>
    <col min="13562" max="13562" width="14.453125" style="18" customWidth="1"/>
    <col min="13563" max="13563" width="7.26953125" style="18" customWidth="1"/>
    <col min="13564" max="13564" width="5.54296875" style="18" customWidth="1"/>
    <col min="13565" max="13565" width="9" style="18" customWidth="1"/>
    <col min="13566" max="13567" width="9.81640625" style="18" customWidth="1"/>
    <col min="13568" max="13568" width="11.1796875" style="18" customWidth="1"/>
    <col min="13569" max="13569" width="2.81640625" style="18" customWidth="1"/>
    <col min="13570" max="13570" width="3.54296875" style="18" customWidth="1"/>
    <col min="13571" max="13815" width="9.1796875" style="18"/>
    <col min="13816" max="13816" width="8.7265625" style="18" customWidth="1"/>
    <col min="13817" max="13817" width="9.81640625" style="18" customWidth="1"/>
    <col min="13818" max="13818" width="14.453125" style="18" customWidth="1"/>
    <col min="13819" max="13819" width="7.26953125" style="18" customWidth="1"/>
    <col min="13820" max="13820" width="5.54296875" style="18" customWidth="1"/>
    <col min="13821" max="13821" width="9" style="18" customWidth="1"/>
    <col min="13822" max="13823" width="9.81640625" style="18" customWidth="1"/>
    <col min="13824" max="13824" width="11.1796875" style="18" customWidth="1"/>
    <col min="13825" max="13825" width="2.81640625" style="18" customWidth="1"/>
    <col min="13826" max="13826" width="3.54296875" style="18" customWidth="1"/>
    <col min="13827" max="14071" width="9.1796875" style="18"/>
    <col min="14072" max="14072" width="8.7265625" style="18" customWidth="1"/>
    <col min="14073" max="14073" width="9.81640625" style="18" customWidth="1"/>
    <col min="14074" max="14074" width="14.453125" style="18" customWidth="1"/>
    <col min="14075" max="14075" width="7.26953125" style="18" customWidth="1"/>
    <col min="14076" max="14076" width="5.54296875" style="18" customWidth="1"/>
    <col min="14077" max="14077" width="9" style="18" customWidth="1"/>
    <col min="14078" max="14079" width="9.81640625" style="18" customWidth="1"/>
    <col min="14080" max="14080" width="11.1796875" style="18" customWidth="1"/>
    <col min="14081" max="14081" width="2.81640625" style="18" customWidth="1"/>
    <col min="14082" max="14082" width="3.54296875" style="18" customWidth="1"/>
    <col min="14083" max="14327" width="9.1796875" style="18"/>
    <col min="14328" max="14328" width="8.7265625" style="18" customWidth="1"/>
    <col min="14329" max="14329" width="9.81640625" style="18" customWidth="1"/>
    <col min="14330" max="14330" width="14.453125" style="18" customWidth="1"/>
    <col min="14331" max="14331" width="7.26953125" style="18" customWidth="1"/>
    <col min="14332" max="14332" width="5.54296875" style="18" customWidth="1"/>
    <col min="14333" max="14333" width="9" style="18" customWidth="1"/>
    <col min="14334" max="14335" width="9.81640625" style="18" customWidth="1"/>
    <col min="14336" max="14336" width="11.1796875" style="18" customWidth="1"/>
    <col min="14337" max="14337" width="2.81640625" style="18" customWidth="1"/>
    <col min="14338" max="14338" width="3.54296875" style="18" customWidth="1"/>
    <col min="14339" max="14583" width="9.1796875" style="18"/>
    <col min="14584" max="14584" width="8.7265625" style="18" customWidth="1"/>
    <col min="14585" max="14585" width="9.81640625" style="18" customWidth="1"/>
    <col min="14586" max="14586" width="14.453125" style="18" customWidth="1"/>
    <col min="14587" max="14587" width="7.26953125" style="18" customWidth="1"/>
    <col min="14588" max="14588" width="5.54296875" style="18" customWidth="1"/>
    <col min="14589" max="14589" width="9" style="18" customWidth="1"/>
    <col min="14590" max="14591" width="9.81640625" style="18" customWidth="1"/>
    <col min="14592" max="14592" width="11.1796875" style="18" customWidth="1"/>
    <col min="14593" max="14593" width="2.81640625" style="18" customWidth="1"/>
    <col min="14594" max="14594" width="3.54296875" style="18" customWidth="1"/>
    <col min="14595" max="14839" width="9.1796875" style="18"/>
    <col min="14840" max="14840" width="8.7265625" style="18" customWidth="1"/>
    <col min="14841" max="14841" width="9.81640625" style="18" customWidth="1"/>
    <col min="14842" max="14842" width="14.453125" style="18" customWidth="1"/>
    <col min="14843" max="14843" width="7.26953125" style="18" customWidth="1"/>
    <col min="14844" max="14844" width="5.54296875" style="18" customWidth="1"/>
    <col min="14845" max="14845" width="9" style="18" customWidth="1"/>
    <col min="14846" max="14847" width="9.81640625" style="18" customWidth="1"/>
    <col min="14848" max="14848" width="11.1796875" style="18" customWidth="1"/>
    <col min="14849" max="14849" width="2.81640625" style="18" customWidth="1"/>
    <col min="14850" max="14850" width="3.54296875" style="18" customWidth="1"/>
    <col min="14851" max="15095" width="9.1796875" style="18"/>
    <col min="15096" max="15096" width="8.7265625" style="18" customWidth="1"/>
    <col min="15097" max="15097" width="9.81640625" style="18" customWidth="1"/>
    <col min="15098" max="15098" width="14.453125" style="18" customWidth="1"/>
    <col min="15099" max="15099" width="7.26953125" style="18" customWidth="1"/>
    <col min="15100" max="15100" width="5.54296875" style="18" customWidth="1"/>
    <col min="15101" max="15101" width="9" style="18" customWidth="1"/>
    <col min="15102" max="15103" width="9.81640625" style="18" customWidth="1"/>
    <col min="15104" max="15104" width="11.1796875" style="18" customWidth="1"/>
    <col min="15105" max="15105" width="2.81640625" style="18" customWidth="1"/>
    <col min="15106" max="15106" width="3.54296875" style="18" customWidth="1"/>
    <col min="15107" max="15351" width="9.1796875" style="18"/>
    <col min="15352" max="15352" width="8.7265625" style="18" customWidth="1"/>
    <col min="15353" max="15353" width="9.81640625" style="18" customWidth="1"/>
    <col min="15354" max="15354" width="14.453125" style="18" customWidth="1"/>
    <col min="15355" max="15355" width="7.26953125" style="18" customWidth="1"/>
    <col min="15356" max="15356" width="5.54296875" style="18" customWidth="1"/>
    <col min="15357" max="15357" width="9" style="18" customWidth="1"/>
    <col min="15358" max="15359" width="9.81640625" style="18" customWidth="1"/>
    <col min="15360" max="15360" width="11.1796875" style="18" customWidth="1"/>
    <col min="15361" max="15361" width="2.81640625" style="18" customWidth="1"/>
    <col min="15362" max="15362" width="3.54296875" style="18" customWidth="1"/>
    <col min="15363" max="15607" width="9.1796875" style="18"/>
    <col min="15608" max="15608" width="8.7265625" style="18" customWidth="1"/>
    <col min="15609" max="15609" width="9.81640625" style="18" customWidth="1"/>
    <col min="15610" max="15610" width="14.453125" style="18" customWidth="1"/>
    <col min="15611" max="15611" width="7.26953125" style="18" customWidth="1"/>
    <col min="15612" max="15612" width="5.54296875" style="18" customWidth="1"/>
    <col min="15613" max="15613" width="9" style="18" customWidth="1"/>
    <col min="15614" max="15615" width="9.81640625" style="18" customWidth="1"/>
    <col min="15616" max="15616" width="11.1796875" style="18" customWidth="1"/>
    <col min="15617" max="15617" width="2.81640625" style="18" customWidth="1"/>
    <col min="15618" max="15618" width="3.54296875" style="18" customWidth="1"/>
    <col min="15619" max="15863" width="9.1796875" style="18"/>
    <col min="15864" max="15864" width="8.7265625" style="18" customWidth="1"/>
    <col min="15865" max="15865" width="9.81640625" style="18" customWidth="1"/>
    <col min="15866" max="15866" width="14.453125" style="18" customWidth="1"/>
    <col min="15867" max="15867" width="7.26953125" style="18" customWidth="1"/>
    <col min="15868" max="15868" width="5.54296875" style="18" customWidth="1"/>
    <col min="15869" max="15869" width="9" style="18" customWidth="1"/>
    <col min="15870" max="15871" width="9.81640625" style="18" customWidth="1"/>
    <col min="15872" max="15872" width="11.1796875" style="18" customWidth="1"/>
    <col min="15873" max="15873" width="2.81640625" style="18" customWidth="1"/>
    <col min="15874" max="15874" width="3.54296875" style="18" customWidth="1"/>
    <col min="15875" max="16119" width="9.1796875" style="18"/>
    <col min="16120" max="16120" width="8.7265625" style="18" customWidth="1"/>
    <col min="16121" max="16121" width="9.81640625" style="18" customWidth="1"/>
    <col min="16122" max="16122" width="14.453125" style="18" customWidth="1"/>
    <col min="16123" max="16123" width="7.26953125" style="18" customWidth="1"/>
    <col min="16124" max="16124" width="5.54296875" style="18" customWidth="1"/>
    <col min="16125" max="16125" width="9" style="18" customWidth="1"/>
    <col min="16126" max="16127" width="9.81640625" style="18" customWidth="1"/>
    <col min="16128" max="16128" width="11.1796875" style="18" customWidth="1"/>
    <col min="16129" max="16129" width="2.81640625" style="18" customWidth="1"/>
    <col min="16130" max="16130" width="3.54296875" style="18" customWidth="1"/>
    <col min="16131" max="16384" width="9.1796875" style="18"/>
  </cols>
  <sheetData>
    <row r="1" spans="1:14" ht="46.5" customHeight="1" x14ac:dyDescent="0.35">
      <c r="A1" s="173" t="s">
        <v>233</v>
      </c>
      <c r="B1" s="173"/>
      <c r="C1" s="173"/>
      <c r="D1" s="173"/>
      <c r="E1" s="173"/>
      <c r="F1" s="173"/>
      <c r="G1" s="173"/>
      <c r="H1" s="173"/>
    </row>
    <row r="2" spans="1:14" ht="16.5" customHeight="1" x14ac:dyDescent="0.35">
      <c r="A2" s="157" t="s">
        <v>0</v>
      </c>
      <c r="B2" s="157"/>
      <c r="C2" s="157"/>
      <c r="D2" s="157"/>
      <c r="E2" s="157"/>
      <c r="F2" s="157"/>
      <c r="G2" s="157"/>
      <c r="H2" s="157"/>
    </row>
    <row r="3" spans="1:14" x14ac:dyDescent="0.35">
      <c r="A3" s="135" t="s">
        <v>1</v>
      </c>
      <c r="B3" s="135"/>
      <c r="C3" s="135"/>
      <c r="D3" s="135"/>
      <c r="E3" s="135" t="str">
        <f ca="1">TEXT(TODAY(),"DD/MM/YYYY")</f>
        <v>12/07/2025</v>
      </c>
      <c r="F3" s="135"/>
      <c r="G3" s="135"/>
      <c r="H3" s="135"/>
    </row>
    <row r="4" spans="1:14" ht="15" customHeight="1" x14ac:dyDescent="0.35">
      <c r="A4" s="135" t="s">
        <v>2</v>
      </c>
      <c r="B4" s="135"/>
      <c r="C4" s="135"/>
      <c r="D4" s="135"/>
      <c r="E4" s="135" t="s">
        <v>175</v>
      </c>
      <c r="F4" s="135"/>
      <c r="G4" s="135"/>
      <c r="H4" s="135"/>
    </row>
    <row r="5" spans="1:14" x14ac:dyDescent="0.35">
      <c r="A5" s="135" t="s">
        <v>3</v>
      </c>
      <c r="B5" s="135"/>
      <c r="C5" s="135"/>
      <c r="D5" s="135"/>
      <c r="E5" s="174">
        <v>45848</v>
      </c>
      <c r="F5" s="135"/>
      <c r="G5" s="135"/>
      <c r="H5" s="135"/>
    </row>
    <row r="6" spans="1:14" ht="16.5" customHeight="1" x14ac:dyDescent="0.35">
      <c r="A6" s="135" t="s">
        <v>4</v>
      </c>
      <c r="B6" s="135"/>
      <c r="C6" s="135"/>
      <c r="D6" s="135"/>
      <c r="E6" s="135" t="s">
        <v>177</v>
      </c>
      <c r="F6" s="135"/>
      <c r="G6" s="135"/>
      <c r="H6" s="135"/>
    </row>
    <row r="7" spans="1:14" ht="15" customHeight="1" x14ac:dyDescent="0.35">
      <c r="A7" s="135" t="s">
        <v>5</v>
      </c>
      <c r="B7" s="135"/>
      <c r="C7" s="135"/>
      <c r="D7" s="135"/>
      <c r="E7" s="135" t="str">
        <f>E6</f>
        <v>Sri Venkateshwara Builders</v>
      </c>
      <c r="F7" s="135"/>
      <c r="G7" s="135"/>
      <c r="H7" s="135"/>
    </row>
    <row r="8" spans="1:14" x14ac:dyDescent="0.35">
      <c r="A8" s="135" t="s">
        <v>6</v>
      </c>
      <c r="B8" s="135"/>
      <c r="C8" s="135"/>
      <c r="D8" s="135"/>
      <c r="E8" s="87" t="s">
        <v>189</v>
      </c>
      <c r="F8" s="86"/>
      <c r="G8" s="86"/>
      <c r="H8" s="86"/>
      <c r="J8" s="73" t="s">
        <v>236</v>
      </c>
      <c r="K8" s="73"/>
      <c r="L8" s="73"/>
      <c r="M8" s="73"/>
      <c r="N8" s="73"/>
    </row>
    <row r="9" spans="1:14" x14ac:dyDescent="0.35">
      <c r="A9" s="135" t="s">
        <v>173</v>
      </c>
      <c r="B9" s="135"/>
      <c r="C9" s="135"/>
      <c r="D9" s="135"/>
      <c r="E9" s="170" t="s">
        <v>178</v>
      </c>
      <c r="F9" s="135"/>
      <c r="G9" s="135"/>
      <c r="H9" s="135"/>
    </row>
    <row r="10" spans="1:14" x14ac:dyDescent="0.35">
      <c r="A10" s="135" t="s">
        <v>174</v>
      </c>
      <c r="B10" s="135"/>
      <c r="C10" s="135"/>
      <c r="D10" s="135"/>
      <c r="E10" s="170" t="s">
        <v>243</v>
      </c>
      <c r="F10" s="135"/>
      <c r="G10" s="135"/>
      <c r="H10" s="135"/>
    </row>
    <row r="11" spans="1:14" ht="33.75" customHeight="1" x14ac:dyDescent="0.35">
      <c r="A11" s="135" t="s">
        <v>7</v>
      </c>
      <c r="B11" s="135"/>
      <c r="C11" s="135"/>
      <c r="D11" s="135"/>
      <c r="E11" s="170" t="s">
        <v>225</v>
      </c>
      <c r="F11" s="135"/>
      <c r="G11" s="135"/>
      <c r="H11" s="135"/>
    </row>
    <row r="12" spans="1:14" ht="30" customHeight="1" x14ac:dyDescent="0.35">
      <c r="A12" s="135" t="s">
        <v>8</v>
      </c>
      <c r="B12" s="135"/>
      <c r="C12" s="135"/>
      <c r="D12" s="135"/>
      <c r="E12" s="170" t="s">
        <v>180</v>
      </c>
      <c r="F12" s="170"/>
      <c r="G12" s="170"/>
      <c r="H12" s="170"/>
    </row>
    <row r="13" spans="1:14" x14ac:dyDescent="0.35">
      <c r="A13" s="135" t="s">
        <v>9</v>
      </c>
      <c r="B13" s="135"/>
      <c r="C13" s="135"/>
      <c r="D13" s="135"/>
      <c r="E13" s="170" t="s">
        <v>179</v>
      </c>
      <c r="F13" s="135"/>
      <c r="G13" s="135"/>
      <c r="H13" s="135"/>
    </row>
    <row r="14" spans="1:14" ht="33.75" customHeight="1" x14ac:dyDescent="0.35">
      <c r="A14" s="170" t="s">
        <v>10</v>
      </c>
      <c r="B14" s="170"/>
      <c r="C14" s="17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Sai Shri Narayana, Survey No.63/4, near Jijai Angan, Internal Rd, Taloja, Ghot, Panvel, Panvel, Raigad - 410208.</v>
      </c>
      <c r="D14" s="170"/>
      <c r="E14" s="170"/>
      <c r="F14" s="170"/>
      <c r="G14" s="170"/>
      <c r="H14" s="170"/>
    </row>
    <row r="15" spans="1:14" x14ac:dyDescent="0.35">
      <c r="A15" s="170" t="s">
        <v>181</v>
      </c>
      <c r="B15" s="170"/>
      <c r="C15" s="170" t="s">
        <v>182</v>
      </c>
      <c r="D15" s="170"/>
      <c r="E15" s="170"/>
      <c r="F15" s="170"/>
      <c r="G15" s="170"/>
      <c r="H15" s="170"/>
    </row>
    <row r="16" spans="1:14" ht="15.75" customHeight="1" x14ac:dyDescent="0.35">
      <c r="A16" s="170" t="s">
        <v>169</v>
      </c>
      <c r="B16" s="170"/>
      <c r="C16" s="170" t="s">
        <v>187</v>
      </c>
      <c r="D16" s="170"/>
      <c r="E16" s="170"/>
      <c r="F16" s="170"/>
      <c r="G16" s="170"/>
      <c r="H16" s="170"/>
    </row>
    <row r="17" spans="1:8" ht="15.75" customHeight="1" x14ac:dyDescent="0.35">
      <c r="A17" s="170" t="s">
        <v>11</v>
      </c>
      <c r="B17" s="170"/>
      <c r="C17" s="135" t="s">
        <v>188</v>
      </c>
      <c r="D17" s="135"/>
      <c r="E17" s="170" t="s">
        <v>75</v>
      </c>
      <c r="F17" s="170"/>
      <c r="G17" s="170" t="s">
        <v>183</v>
      </c>
      <c r="H17" s="170"/>
    </row>
    <row r="18" spans="1:8" x14ac:dyDescent="0.35">
      <c r="A18" s="135" t="s">
        <v>13</v>
      </c>
      <c r="B18" s="135"/>
      <c r="C18" s="170" t="s">
        <v>184</v>
      </c>
      <c r="D18" s="170"/>
      <c r="E18" s="170" t="s">
        <v>12</v>
      </c>
      <c r="F18" s="170"/>
      <c r="G18" s="175" t="s">
        <v>185</v>
      </c>
      <c r="H18" s="175"/>
    </row>
    <row r="19" spans="1:8" x14ac:dyDescent="0.35">
      <c r="A19" s="135" t="s">
        <v>76</v>
      </c>
      <c r="B19" s="135"/>
      <c r="C19" s="170" t="s">
        <v>184</v>
      </c>
      <c r="D19" s="170"/>
      <c r="E19" s="170" t="s">
        <v>14</v>
      </c>
      <c r="F19" s="170"/>
      <c r="G19" s="170">
        <v>410208</v>
      </c>
      <c r="H19" s="170"/>
    </row>
    <row r="20" spans="1:8" ht="32.25" customHeight="1" x14ac:dyDescent="0.35">
      <c r="A20" s="135" t="s">
        <v>126</v>
      </c>
      <c r="B20" s="135"/>
      <c r="C20" s="170" t="s">
        <v>190</v>
      </c>
      <c r="D20" s="170"/>
      <c r="E20" s="170" t="s">
        <v>15</v>
      </c>
      <c r="F20" s="170"/>
      <c r="G20" s="170" t="s">
        <v>191</v>
      </c>
      <c r="H20" s="170"/>
    </row>
    <row r="21" spans="1:8" ht="15" customHeight="1" x14ac:dyDescent="0.35">
      <c r="A21" s="168" t="s">
        <v>78</v>
      </c>
      <c r="B21" s="168"/>
      <c r="C21" s="168"/>
      <c r="D21" s="168"/>
      <c r="E21" s="135" t="s">
        <v>16</v>
      </c>
      <c r="F21" s="135"/>
      <c r="G21" s="135"/>
      <c r="H21" s="135"/>
    </row>
    <row r="22" spans="1:8" ht="18.75" customHeight="1" x14ac:dyDescent="0.35">
      <c r="A22" s="168"/>
      <c r="B22" s="168"/>
      <c r="C22" s="168"/>
      <c r="D22" s="168"/>
      <c r="E22" s="135"/>
      <c r="F22" s="135"/>
      <c r="G22" s="135"/>
      <c r="H22" s="135"/>
    </row>
    <row r="23" spans="1:8" ht="15" customHeight="1" x14ac:dyDescent="0.35">
      <c r="A23" s="168" t="s">
        <v>17</v>
      </c>
      <c r="B23" s="168"/>
      <c r="C23" s="168"/>
      <c r="D23" s="168"/>
      <c r="E23" s="170" t="s">
        <v>18</v>
      </c>
      <c r="F23" s="170"/>
      <c r="G23" s="170"/>
      <c r="H23" s="170"/>
    </row>
    <row r="24" spans="1:8" ht="15" customHeight="1" x14ac:dyDescent="0.35">
      <c r="A24" s="126" t="s">
        <v>19</v>
      </c>
      <c r="B24" s="126"/>
      <c r="C24" s="126"/>
      <c r="D24" s="126"/>
      <c r="E24" s="170" t="str">
        <f>IF(AND(G18="Mumbai"),"Upper Class","Middle Class")</f>
        <v>Middle Class</v>
      </c>
      <c r="F24" s="170"/>
      <c r="G24" s="170"/>
      <c r="H24" s="170"/>
    </row>
    <row r="25" spans="1:8" x14ac:dyDescent="0.35">
      <c r="A25" s="126" t="s">
        <v>20</v>
      </c>
      <c r="B25" s="126"/>
      <c r="C25" s="126"/>
      <c r="D25" s="126"/>
      <c r="E25" s="170" t="s">
        <v>21</v>
      </c>
      <c r="F25" s="170"/>
      <c r="G25" s="170"/>
      <c r="H25" s="170"/>
    </row>
    <row r="26" spans="1:8" ht="15.75" customHeight="1" x14ac:dyDescent="0.35">
      <c r="A26" s="126" t="s">
        <v>22</v>
      </c>
      <c r="B26" s="126"/>
      <c r="C26" s="126"/>
      <c r="D26" s="126"/>
      <c r="E26" s="170" t="str">
        <f>IF(AND(G18="Mumbai"),"Developed","Developing")</f>
        <v>Developing</v>
      </c>
      <c r="F26" s="170"/>
      <c r="G26" s="170"/>
      <c r="H26" s="170"/>
    </row>
    <row r="27" spans="1:8" x14ac:dyDescent="0.35">
      <c r="A27" s="126" t="s">
        <v>23</v>
      </c>
      <c r="B27" s="126"/>
      <c r="C27" s="126"/>
      <c r="D27" s="126"/>
      <c r="E27" s="170" t="s">
        <v>24</v>
      </c>
      <c r="F27" s="170"/>
      <c r="G27" s="170"/>
      <c r="H27" s="170"/>
    </row>
    <row r="28" spans="1:8" ht="15.75" customHeight="1" x14ac:dyDescent="0.35">
      <c r="A28" s="126" t="s">
        <v>83</v>
      </c>
      <c r="B28" s="126"/>
      <c r="C28" s="126"/>
      <c r="D28" s="126"/>
      <c r="E28" s="170" t="s">
        <v>84</v>
      </c>
      <c r="F28" s="170"/>
      <c r="G28" s="170"/>
      <c r="H28" s="170"/>
    </row>
    <row r="29" spans="1:8" ht="15" customHeight="1" x14ac:dyDescent="0.35">
      <c r="A29" s="126" t="s">
        <v>33</v>
      </c>
      <c r="B29" s="126"/>
      <c r="C29" s="126"/>
      <c r="D29" s="126"/>
      <c r="E29" s="17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70"/>
      <c r="G29" s="170"/>
      <c r="H29" s="170"/>
    </row>
    <row r="30" spans="1:8" ht="15.75" customHeight="1" x14ac:dyDescent="0.35">
      <c r="A30" s="126" t="s">
        <v>95</v>
      </c>
      <c r="B30" s="126"/>
      <c r="C30" s="126"/>
      <c r="D30" s="126"/>
      <c r="E30" s="170" t="s">
        <v>34</v>
      </c>
      <c r="F30" s="170"/>
      <c r="G30" s="170"/>
      <c r="H30" s="170"/>
    </row>
    <row r="31" spans="1:8" s="19" customFormat="1" x14ac:dyDescent="0.35">
      <c r="A31" s="179" t="s">
        <v>96</v>
      </c>
      <c r="B31" s="179"/>
      <c r="C31" s="178" t="s">
        <v>29</v>
      </c>
      <c r="D31" s="178"/>
      <c r="E31" s="178"/>
      <c r="F31" s="178" t="s">
        <v>31</v>
      </c>
      <c r="G31" s="178"/>
      <c r="H31" s="178"/>
    </row>
    <row r="32" spans="1:8" s="19" customFormat="1" x14ac:dyDescent="0.35">
      <c r="A32" s="176" t="s">
        <v>25</v>
      </c>
      <c r="B32" s="176" t="s">
        <v>30</v>
      </c>
      <c r="C32" s="177" t="s">
        <v>30</v>
      </c>
      <c r="D32" s="177"/>
      <c r="E32" s="177"/>
      <c r="F32" s="177" t="s">
        <v>192</v>
      </c>
      <c r="G32" s="177"/>
      <c r="H32" s="177"/>
    </row>
    <row r="33" spans="1:8" x14ac:dyDescent="0.35">
      <c r="A33" s="176" t="s">
        <v>26</v>
      </c>
      <c r="B33" s="176" t="s">
        <v>30</v>
      </c>
      <c r="C33" s="177" t="s">
        <v>30</v>
      </c>
      <c r="D33" s="177"/>
      <c r="E33" s="177"/>
      <c r="F33" s="177" t="s">
        <v>193</v>
      </c>
      <c r="G33" s="177"/>
      <c r="H33" s="177"/>
    </row>
    <row r="34" spans="1:8" s="19" customFormat="1" x14ac:dyDescent="0.35">
      <c r="A34" s="176" t="s">
        <v>28</v>
      </c>
      <c r="B34" s="176" t="s">
        <v>30</v>
      </c>
      <c r="C34" s="177" t="s">
        <v>30</v>
      </c>
      <c r="D34" s="177"/>
      <c r="E34" s="177"/>
      <c r="F34" s="177" t="s">
        <v>194</v>
      </c>
      <c r="G34" s="177"/>
      <c r="H34" s="177"/>
    </row>
    <row r="35" spans="1:8" x14ac:dyDescent="0.35">
      <c r="A35" s="176" t="s">
        <v>27</v>
      </c>
      <c r="B35" s="176" t="s">
        <v>30</v>
      </c>
      <c r="C35" s="177" t="s">
        <v>30</v>
      </c>
      <c r="D35" s="177"/>
      <c r="E35" s="177"/>
      <c r="F35" s="177" t="s">
        <v>195</v>
      </c>
      <c r="G35" s="177"/>
      <c r="H35" s="177"/>
    </row>
    <row r="36" spans="1:8" x14ac:dyDescent="0.35">
      <c r="A36" s="126" t="s">
        <v>32</v>
      </c>
      <c r="B36" s="126"/>
      <c r="C36" s="126"/>
      <c r="D36" s="126"/>
      <c r="E36" s="126"/>
      <c r="F36" s="126"/>
      <c r="G36" s="126"/>
      <c r="H36" s="126"/>
    </row>
    <row r="37" spans="1:8" ht="15.75" customHeight="1" x14ac:dyDescent="0.35">
      <c r="A37" s="167" t="s">
        <v>171</v>
      </c>
      <c r="B37" s="167"/>
      <c r="C37" s="126" t="s">
        <v>232</v>
      </c>
      <c r="D37" s="126"/>
      <c r="E37" s="126"/>
      <c r="F37" s="126"/>
      <c r="G37" s="126"/>
      <c r="H37" s="126"/>
    </row>
    <row r="38" spans="1:8" x14ac:dyDescent="0.35">
      <c r="A38" s="167" t="s">
        <v>168</v>
      </c>
      <c r="B38" s="167"/>
      <c r="C38" s="198" t="s">
        <v>186</v>
      </c>
      <c r="D38" s="170"/>
      <c r="E38" s="170"/>
      <c r="F38" s="170"/>
      <c r="G38" s="170"/>
      <c r="H38" s="170"/>
    </row>
    <row r="39" spans="1:8" x14ac:dyDescent="0.35">
      <c r="A39" s="167" t="s">
        <v>35</v>
      </c>
      <c r="B39" s="167"/>
      <c r="C39" s="167"/>
      <c r="D39" s="167"/>
      <c r="E39" s="167"/>
      <c r="F39" s="167"/>
      <c r="G39" s="167"/>
      <c r="H39" s="167"/>
    </row>
    <row r="40" spans="1:8" x14ac:dyDescent="0.35">
      <c r="A40" s="135" t="s">
        <v>36</v>
      </c>
      <c r="B40" s="135"/>
      <c r="C40" s="135"/>
      <c r="D40" s="135"/>
      <c r="E40" s="185">
        <v>5504.9949999999999</v>
      </c>
      <c r="F40" s="185"/>
      <c r="G40" s="185"/>
      <c r="H40" s="185"/>
    </row>
    <row r="41" spans="1:8" x14ac:dyDescent="0.35">
      <c r="A41" s="135" t="s">
        <v>37</v>
      </c>
      <c r="B41" s="135"/>
      <c r="C41" s="135"/>
      <c r="D41" s="135"/>
      <c r="E41" s="181">
        <v>1.6</v>
      </c>
      <c r="F41" s="181"/>
      <c r="G41" s="181"/>
      <c r="H41" s="181"/>
    </row>
    <row r="42" spans="1:8" x14ac:dyDescent="0.35">
      <c r="A42" s="135" t="s">
        <v>38</v>
      </c>
      <c r="B42" s="135"/>
      <c r="C42" s="135"/>
      <c r="D42" s="135"/>
      <c r="E42" s="181">
        <f>E44/E40-E41</f>
        <v>0.88246238189135484</v>
      </c>
      <c r="F42" s="181"/>
      <c r="G42" s="181"/>
      <c r="H42" s="181"/>
    </row>
    <row r="43" spans="1:8" x14ac:dyDescent="0.35">
      <c r="A43" s="135" t="s">
        <v>39</v>
      </c>
      <c r="B43" s="135"/>
      <c r="C43" s="135"/>
      <c r="D43" s="135"/>
      <c r="E43" s="181">
        <f>E41+E42</f>
        <v>2.4824623818913549</v>
      </c>
      <c r="F43" s="181"/>
      <c r="G43" s="181"/>
      <c r="H43" s="181"/>
    </row>
    <row r="44" spans="1:8" x14ac:dyDescent="0.35">
      <c r="A44" s="135" t="s">
        <v>94</v>
      </c>
      <c r="B44" s="135"/>
      <c r="C44" s="135"/>
      <c r="D44" s="135"/>
      <c r="E44" s="182">
        <v>13665.942999999999</v>
      </c>
      <c r="F44" s="182"/>
      <c r="G44" s="182"/>
      <c r="H44" s="182"/>
    </row>
    <row r="45" spans="1:8" x14ac:dyDescent="0.35">
      <c r="A45" s="135" t="s">
        <v>40</v>
      </c>
      <c r="B45" s="135"/>
      <c r="C45" s="135"/>
      <c r="D45" s="135"/>
      <c r="E45" s="135" t="s">
        <v>226</v>
      </c>
      <c r="F45" s="135"/>
      <c r="G45" s="135"/>
      <c r="H45" s="135"/>
    </row>
    <row r="46" spans="1:8" x14ac:dyDescent="0.35">
      <c r="A46" s="167" t="s">
        <v>41</v>
      </c>
      <c r="B46" s="167"/>
      <c r="C46" s="167"/>
      <c r="D46" s="167"/>
      <c r="E46" s="167"/>
      <c r="F46" s="167"/>
      <c r="G46" s="167"/>
      <c r="H46" s="167"/>
    </row>
    <row r="47" spans="1:8" ht="33.75" customHeight="1" x14ac:dyDescent="0.35">
      <c r="A47" s="121" t="s">
        <v>155</v>
      </c>
      <c r="B47" s="122"/>
      <c r="C47" s="190" t="s">
        <v>224</v>
      </c>
      <c r="D47" s="199"/>
      <c r="E47" s="199"/>
      <c r="F47" s="199"/>
      <c r="G47" s="199"/>
      <c r="H47" s="191"/>
    </row>
    <row r="48" spans="1:8" ht="15.75" customHeight="1" x14ac:dyDescent="0.35">
      <c r="A48" s="121" t="s">
        <v>42</v>
      </c>
      <c r="B48" s="122"/>
      <c r="C48" s="121" t="s">
        <v>196</v>
      </c>
      <c r="D48" s="123"/>
      <c r="E48" s="122"/>
      <c r="F48" s="60" t="s">
        <v>43</v>
      </c>
      <c r="G48" s="124">
        <v>44613</v>
      </c>
      <c r="H48" s="122"/>
    </row>
    <row r="49" spans="1:14" x14ac:dyDescent="0.35">
      <c r="A49" s="121" t="s">
        <v>44</v>
      </c>
      <c r="B49" s="122"/>
      <c r="C49" s="121" t="str">
        <f>C48</f>
        <v>J.K./PMP/NRV/15984/J.K.408/2022</v>
      </c>
      <c r="D49" s="123"/>
      <c r="E49" s="122"/>
      <c r="F49" s="60" t="s">
        <v>43</v>
      </c>
      <c r="G49" s="124">
        <v>44613</v>
      </c>
      <c r="H49" s="125"/>
    </row>
    <row r="50" spans="1:14" s="20" customFormat="1" ht="32.25" customHeight="1" x14ac:dyDescent="0.35">
      <c r="A50" s="129" t="s">
        <v>159</v>
      </c>
      <c r="B50" s="183"/>
      <c r="C50" s="121" t="s">
        <v>235</v>
      </c>
      <c r="D50" s="127"/>
      <c r="E50" s="128"/>
      <c r="F50" s="60" t="s">
        <v>43</v>
      </c>
      <c r="G50" s="124">
        <f>G49</f>
        <v>44613</v>
      </c>
      <c r="H50" s="125"/>
    </row>
    <row r="51" spans="1:14" s="20" customFormat="1" x14ac:dyDescent="0.35">
      <c r="A51" s="133"/>
      <c r="B51" s="184"/>
      <c r="C51" s="121" t="s">
        <v>197</v>
      </c>
      <c r="D51" s="123"/>
      <c r="E51" s="123"/>
      <c r="F51" s="123"/>
      <c r="G51" s="123"/>
      <c r="H51" s="122"/>
    </row>
    <row r="52" spans="1:14" x14ac:dyDescent="0.35">
      <c r="A52" s="187" t="s">
        <v>45</v>
      </c>
      <c r="B52" s="188"/>
      <c r="C52" s="187" t="s">
        <v>108</v>
      </c>
      <c r="D52" s="189"/>
      <c r="E52" s="188"/>
      <c r="F52" s="61" t="s">
        <v>43</v>
      </c>
      <c r="G52" s="190" t="s">
        <v>30</v>
      </c>
      <c r="H52" s="191"/>
    </row>
    <row r="53" spans="1:14" x14ac:dyDescent="0.35">
      <c r="A53" s="169" t="s">
        <v>47</v>
      </c>
      <c r="B53" s="169"/>
      <c r="C53" s="169"/>
      <c r="D53" s="169"/>
      <c r="E53" s="169"/>
      <c r="F53" s="169"/>
      <c r="G53" s="169"/>
      <c r="H53" s="169"/>
    </row>
    <row r="54" spans="1:14" x14ac:dyDescent="0.35">
      <c r="A54" s="168" t="s">
        <v>93</v>
      </c>
      <c r="B54" s="168"/>
      <c r="C54" s="168"/>
      <c r="D54" s="126">
        <f>E44</f>
        <v>13665.942999999999</v>
      </c>
      <c r="E54" s="126"/>
      <c r="F54" s="126"/>
      <c r="G54" s="126"/>
      <c r="H54" s="126"/>
    </row>
    <row r="55" spans="1:14" x14ac:dyDescent="0.35">
      <c r="A55" s="170" t="s">
        <v>48</v>
      </c>
      <c r="B55" s="135"/>
      <c r="C55" s="135"/>
      <c r="D55" s="135" t="s">
        <v>220</v>
      </c>
      <c r="E55" s="135"/>
      <c r="F55" s="135"/>
      <c r="G55" s="135"/>
      <c r="H55" s="135"/>
      <c r="I55" s="21"/>
    </row>
    <row r="56" spans="1:14" ht="48" customHeight="1" x14ac:dyDescent="0.35">
      <c r="A56" s="129" t="s">
        <v>49</v>
      </c>
      <c r="B56" s="130"/>
      <c r="C56" s="183"/>
      <c r="D56" s="170" t="s">
        <v>223</v>
      </c>
      <c r="E56" s="135"/>
      <c r="F56" s="135"/>
      <c r="G56" s="135"/>
      <c r="H56" s="135"/>
    </row>
    <row r="57" spans="1:14" ht="15.75" customHeight="1" x14ac:dyDescent="0.35">
      <c r="A57" s="129" t="s">
        <v>91</v>
      </c>
      <c r="B57" s="130"/>
      <c r="C57" s="130"/>
      <c r="D57" s="135" t="s">
        <v>231</v>
      </c>
      <c r="E57" s="135"/>
      <c r="F57" s="135"/>
      <c r="G57" s="135"/>
      <c r="H57" s="135"/>
    </row>
    <row r="58" spans="1:14" ht="15.75" customHeight="1" x14ac:dyDescent="0.35">
      <c r="A58" s="131"/>
      <c r="B58" s="132"/>
      <c r="C58" s="132"/>
      <c r="D58" s="135" t="s">
        <v>230</v>
      </c>
      <c r="E58" s="135"/>
      <c r="F58" s="135"/>
      <c r="G58" s="135"/>
      <c r="H58" s="135"/>
    </row>
    <row r="59" spans="1:14" ht="15.75" customHeight="1" x14ac:dyDescent="0.35">
      <c r="A59" s="131"/>
      <c r="B59" s="132"/>
      <c r="C59" s="132"/>
      <c r="D59" s="135" t="s">
        <v>221</v>
      </c>
      <c r="E59" s="135"/>
      <c r="F59" s="135"/>
      <c r="G59" s="135"/>
      <c r="H59" s="135"/>
    </row>
    <row r="60" spans="1:14" ht="15.75" customHeight="1" x14ac:dyDescent="0.35">
      <c r="A60" s="133"/>
      <c r="B60" s="134"/>
      <c r="C60" s="134"/>
      <c r="D60" s="135" t="s">
        <v>222</v>
      </c>
      <c r="E60" s="135"/>
      <c r="F60" s="135"/>
      <c r="G60" s="135"/>
      <c r="H60" s="135"/>
    </row>
    <row r="61" spans="1:14" ht="15.75" customHeight="1" x14ac:dyDescent="0.35">
      <c r="A61" s="126" t="s">
        <v>46</v>
      </c>
      <c r="B61" s="126"/>
      <c r="C61" s="126"/>
      <c r="D61" s="186" t="s">
        <v>198</v>
      </c>
      <c r="E61" s="186"/>
      <c r="F61" s="186"/>
      <c r="G61" s="186"/>
      <c r="H61" s="186"/>
      <c r="J61" s="22"/>
      <c r="K61" s="21"/>
      <c r="N61" s="21"/>
    </row>
    <row r="62" spans="1:14" ht="15.75" customHeight="1" x14ac:dyDescent="0.35">
      <c r="A62" s="126" t="s">
        <v>89</v>
      </c>
      <c r="B62" s="126"/>
      <c r="C62" s="126"/>
      <c r="D62" s="180" t="str">
        <f>(IF(G52="NA","60 Years After Completion",IF(G52&lt;&gt;"NA",""&amp;60-ROUNDDOWN((E3-G52)/360,0)&amp;" Years"," ")))</f>
        <v>60 Years After Completion</v>
      </c>
      <c r="E62" s="180"/>
      <c r="F62" s="180"/>
      <c r="G62" s="180"/>
      <c r="H62" s="180"/>
      <c r="N62" s="21"/>
    </row>
    <row r="63" spans="1:14" ht="15.75" customHeight="1" x14ac:dyDescent="0.35">
      <c r="A63" s="126" t="s">
        <v>90</v>
      </c>
      <c r="B63" s="126"/>
      <c r="C63" s="126"/>
      <c r="D63" s="168" t="s">
        <v>24</v>
      </c>
      <c r="E63" s="168"/>
      <c r="F63" s="168"/>
      <c r="G63" s="168"/>
      <c r="H63" s="168"/>
      <c r="J63" s="23"/>
      <c r="K63" s="23"/>
    </row>
    <row r="64" spans="1:14" ht="30" customHeight="1" x14ac:dyDescent="0.35">
      <c r="A64" s="126" t="s">
        <v>77</v>
      </c>
      <c r="B64" s="126"/>
      <c r="C64" s="126"/>
      <c r="D64" s="170" t="s">
        <v>199</v>
      </c>
      <c r="E64" s="168"/>
      <c r="F64" s="168"/>
      <c r="G64" s="168"/>
      <c r="H64" s="168"/>
    </row>
    <row r="65" spans="1:14" x14ac:dyDescent="0.35">
      <c r="A65" s="168" t="s">
        <v>152</v>
      </c>
      <c r="B65" s="168"/>
      <c r="C65" s="168"/>
      <c r="D65" s="168" t="s">
        <v>30</v>
      </c>
      <c r="E65" s="168"/>
      <c r="F65" s="168"/>
      <c r="G65" s="168"/>
      <c r="H65" s="168"/>
      <c r="I65" s="24"/>
      <c r="J65" s="24"/>
      <c r="K65" s="24"/>
      <c r="L65" s="24"/>
      <c r="M65" s="24"/>
      <c r="N65" s="24"/>
    </row>
    <row r="66" spans="1:14" ht="15.75" customHeight="1" x14ac:dyDescent="0.35">
      <c r="A66" s="171" t="s">
        <v>88</v>
      </c>
      <c r="B66" s="171"/>
      <c r="C66" s="171"/>
      <c r="D66" s="172" t="str">
        <f ca="1">(IF(G72&gt;95%,"Nothing",IF(G72&gt;0%,"Cement, Aggregate, Steel, etc",IF(G72=0%,"Work not yet Started"))))</f>
        <v>Cement, Aggregate, Steel, etc</v>
      </c>
      <c r="E66" s="172"/>
      <c r="F66" s="172"/>
      <c r="G66" s="172"/>
      <c r="H66" s="172"/>
      <c r="J66" s="23"/>
    </row>
    <row r="67" spans="1:14" ht="33.75" customHeight="1" thickBot="1" x14ac:dyDescent="0.4">
      <c r="A67" s="168" t="s">
        <v>121</v>
      </c>
      <c r="B67" s="168"/>
      <c r="C67" s="168"/>
      <c r="D67" s="170" t="str">
        <f ca="1">(IF(D66="Nothing","Yes",IF(D66="Cement, Aggregate, Steel, etc","Under Construction",IF(D66="Work not yet Started","Work not yet Started"))))</f>
        <v>Under Construction</v>
      </c>
      <c r="E67" s="170"/>
      <c r="F67" s="170" t="str">
        <f ca="1">(IF(D66="Nothing","Yes",IF(D66="Cement, Aggregate, Steel, etc","Under Construction",IF(D66="Work not yet Started","Work not yet Started"))))</f>
        <v>Under Construction</v>
      </c>
      <c r="G67" s="170"/>
      <c r="H67" s="170"/>
    </row>
    <row r="68" spans="1:14" ht="15.75" customHeight="1" x14ac:dyDescent="0.35">
      <c r="A68" s="87" t="s">
        <v>144</v>
      </c>
      <c r="B68" s="87"/>
      <c r="C68" s="87" t="str">
        <f>D57</f>
        <v>Building No. 1 Wing A &amp; B = Gr + 1st to 7th Floor</v>
      </c>
      <c r="D68" s="87"/>
      <c r="E68" s="87"/>
      <c r="F68" s="87"/>
      <c r="G68" s="87"/>
      <c r="H68" s="87"/>
      <c r="I68" s="75" t="str">
        <f ca="1">IF(D81=100%,"All work Completed. Possession granted to the Building.",IF(D80=100%,"All work Completed, Waiting for OC",I69&amp;""&amp;I70&amp;""&amp;J69&amp;""&amp;J68&amp;" "&amp;J70))</f>
        <v>Excavation, Plinth Completed, RCC upto 7 Slab, Brickwork upto 5 Floor, Internal Plaster upto 5 Floor Completed</v>
      </c>
      <c r="J68" s="43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RCC upto 7 Slab, Brickwork upto 5 Floor, Internal Plaster upto 5 Floor</v>
      </c>
    </row>
    <row r="69" spans="1:14" x14ac:dyDescent="0.35">
      <c r="A69" s="74" t="s">
        <v>146</v>
      </c>
      <c r="B69" s="74">
        <f>IF(AND(ISNUMBER(SEARCH("1B",C68))),1,IF(AND(ISNUMBER(SEARCH("2B",C68))),2,IF(AND(ISNUMBER(SEARCH("3B",C68))),3,IF(AND(ISNUMBER(SEARCH("4B",C68))),4,IF(ISNUMBER(SEARCH("5B",C68)),5,0)))))</f>
        <v>0</v>
      </c>
      <c r="C69" s="74" t="s">
        <v>74</v>
      </c>
      <c r="D69" s="74">
        <v>1</v>
      </c>
      <c r="E69" s="74" t="s">
        <v>73</v>
      </c>
      <c r="F69" s="74">
        <v>0</v>
      </c>
      <c r="G69" s="74" t="s">
        <v>82</v>
      </c>
      <c r="H69" s="74">
        <f ca="1">--TRIM(RIGHT(SUBSTITUTE(LEFT(C68,_xlfn.AGGREGATE(16,6,FIND({0,1,2,3,4,5,6,7,8,9},C68,ROW(INDIRECT("1:"&amp;LEN(C68)))),1))," ",REPT(" ",LEN(C68))),LEN(C68)))</f>
        <v>7</v>
      </c>
      <c r="I69" s="76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9" s="45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2.25" customHeight="1" x14ac:dyDescent="0.35">
      <c r="A70" s="86" t="s">
        <v>92</v>
      </c>
      <c r="B70" s="86"/>
      <c r="C70" s="87" t="str">
        <f ca="1">I68</f>
        <v>Excavation, Plinth Completed, RCC upto 7 Slab, Brickwork upto 5 Floor, Internal Plaster upto 5 Floor Completed</v>
      </c>
      <c r="D70" s="87"/>
      <c r="E70" s="87"/>
      <c r="F70" s="87"/>
      <c r="G70" s="87"/>
      <c r="H70" s="87"/>
      <c r="I70" s="76" t="str">
        <f ca="1">IF(I69&lt;&gt;""," Completed","")</f>
        <v xml:space="preserve"> Completed</v>
      </c>
      <c r="J70" s="45" t="str">
        <f ca="1">IF(J68&lt;&gt;"","Completed","")</f>
        <v>Completed</v>
      </c>
    </row>
    <row r="71" spans="1:14" ht="15.75" customHeight="1" x14ac:dyDescent="0.35">
      <c r="A71" s="89" t="s">
        <v>50</v>
      </c>
      <c r="B71" s="90"/>
      <c r="C71" s="62" t="s">
        <v>143</v>
      </c>
      <c r="D71" s="62" t="s">
        <v>85</v>
      </c>
      <c r="E71" s="90" t="s">
        <v>87</v>
      </c>
      <c r="F71" s="90"/>
      <c r="G71" s="90" t="s">
        <v>86</v>
      </c>
      <c r="H71" s="91"/>
      <c r="I71" s="14" t="s">
        <v>145</v>
      </c>
      <c r="J71" s="25">
        <f ca="1">H69*25%</f>
        <v>1.75</v>
      </c>
    </row>
    <row r="72" spans="1:14" x14ac:dyDescent="0.35">
      <c r="A72" s="89" t="s">
        <v>132</v>
      </c>
      <c r="B72" s="90"/>
      <c r="C72" s="62">
        <f ca="1">J73</f>
        <v>7</v>
      </c>
      <c r="D72" s="63">
        <f ca="1">((100/H69)*C72)/100</f>
        <v>1</v>
      </c>
      <c r="E72" s="92">
        <f ca="1">(((C73/H69*10)+(40/(D69+F69+H69)*C74)+(7.5/(H69)*C75)+(7.5/(H69)*C76)+(10/H69*C77)+(10/H69*C78)+(5/H69*C79)+(5/H69*C80)+(5/H69*C81))/100)</f>
        <v>0.55714285714285705</v>
      </c>
      <c r="F72" s="93"/>
      <c r="G72" s="92">
        <f ca="1">((((C72/H69)*20)+((C73/H69)*25)+(30/(H69+F69+D69)*C74)+(5/H69*C75)+(5/H69*C76)+(5/H69*C77)+(5/H69*C78)+(0/H69*C79)+(0/H69*C80)+(5/H69*C81))/100)</f>
        <v>0.78392857142857142</v>
      </c>
      <c r="H72" s="98"/>
      <c r="I72" s="14" t="s">
        <v>103</v>
      </c>
      <c r="J72" s="26">
        <f ca="1">H69*50%</f>
        <v>3.5</v>
      </c>
    </row>
    <row r="73" spans="1:14" x14ac:dyDescent="0.35">
      <c r="A73" s="89" t="s">
        <v>51</v>
      </c>
      <c r="B73" s="90"/>
      <c r="C73" s="62">
        <f ca="1">J81</f>
        <v>7</v>
      </c>
      <c r="D73" s="63">
        <f ca="1">((100/H69)*C73)/100</f>
        <v>1</v>
      </c>
      <c r="E73" s="94"/>
      <c r="F73" s="95"/>
      <c r="G73" s="94"/>
      <c r="H73" s="99"/>
      <c r="I73" s="14" t="s">
        <v>104</v>
      </c>
      <c r="J73" s="26">
        <f ca="1">H69</f>
        <v>7</v>
      </c>
    </row>
    <row r="74" spans="1:14" ht="15.75" customHeight="1" x14ac:dyDescent="0.35">
      <c r="A74" s="89" t="s">
        <v>133</v>
      </c>
      <c r="B74" s="90"/>
      <c r="C74" s="62">
        <v>7</v>
      </c>
      <c r="D74" s="63">
        <f ca="1">((100/(D69+F69+H69))*C74)/100</f>
        <v>0.875</v>
      </c>
      <c r="E74" s="94"/>
      <c r="F74" s="95"/>
      <c r="G74" s="94"/>
      <c r="H74" s="99"/>
      <c r="I74" s="14" t="s">
        <v>105</v>
      </c>
      <c r="J74" s="27">
        <f ca="1">(IF(B69&gt;1,(H69/(B69+2)),H69/4))</f>
        <v>1.75</v>
      </c>
    </row>
    <row r="75" spans="1:14" ht="15.75" customHeight="1" x14ac:dyDescent="0.35">
      <c r="A75" s="89" t="s">
        <v>140</v>
      </c>
      <c r="B75" s="90" t="s">
        <v>134</v>
      </c>
      <c r="C75" s="62">
        <v>5</v>
      </c>
      <c r="D75" s="63">
        <f ca="1">((100/H69)*C75)/100</f>
        <v>0.7142857142857143</v>
      </c>
      <c r="E75" s="94"/>
      <c r="F75" s="95"/>
      <c r="G75" s="94"/>
      <c r="H75" s="99"/>
      <c r="I75" s="14" t="s">
        <v>106</v>
      </c>
      <c r="J75" s="27">
        <f ca="1">(IF(B69&gt;1,(H69/(B69+2)+J74),H69/4+J74))</f>
        <v>3.5</v>
      </c>
    </row>
    <row r="76" spans="1:14" ht="15.75" customHeight="1" x14ac:dyDescent="0.35">
      <c r="A76" s="89" t="s">
        <v>141</v>
      </c>
      <c r="B76" s="90" t="s">
        <v>134</v>
      </c>
      <c r="C76" s="62">
        <v>5</v>
      </c>
      <c r="D76" s="63">
        <f ca="1">((100/H69)*C76)/100</f>
        <v>0.7142857142857143</v>
      </c>
      <c r="E76" s="94"/>
      <c r="F76" s="95"/>
      <c r="G76" s="94"/>
      <c r="H76" s="99"/>
      <c r="I76" s="14" t="s">
        <v>150</v>
      </c>
      <c r="J76" s="27">
        <f>(IF(B69&gt;1,(H69/(B69+2)+J75),0))</f>
        <v>0</v>
      </c>
    </row>
    <row r="77" spans="1:14" ht="15" customHeight="1" x14ac:dyDescent="0.35">
      <c r="A77" s="89" t="s">
        <v>139</v>
      </c>
      <c r="B77" s="90" t="s">
        <v>136</v>
      </c>
      <c r="C77" s="62">
        <v>0</v>
      </c>
      <c r="D77" s="63">
        <f ca="1">((100/(H69))*C77)/100</f>
        <v>0</v>
      </c>
      <c r="E77" s="94"/>
      <c r="F77" s="95"/>
      <c r="G77" s="94"/>
      <c r="H77" s="99"/>
      <c r="I77" s="14" t="s">
        <v>147</v>
      </c>
      <c r="J77" s="27">
        <f>(IF(B69&gt;2,(H69/(B69+2)+J76),0))</f>
        <v>0</v>
      </c>
    </row>
    <row r="78" spans="1:14" ht="15.75" customHeight="1" x14ac:dyDescent="0.35">
      <c r="A78" s="89" t="s">
        <v>135</v>
      </c>
      <c r="B78" s="90" t="s">
        <v>135</v>
      </c>
      <c r="C78" s="62">
        <v>0</v>
      </c>
      <c r="D78" s="63">
        <f ca="1">((100/H69)*C78)/100</f>
        <v>0</v>
      </c>
      <c r="E78" s="94"/>
      <c r="F78" s="95"/>
      <c r="G78" s="94"/>
      <c r="H78" s="99"/>
      <c r="I78" s="14" t="s">
        <v>148</v>
      </c>
      <c r="J78" s="28">
        <f>(IF(B69&gt;3,(H69/(B69+2)+J77),0))</f>
        <v>0</v>
      </c>
    </row>
    <row r="79" spans="1:14" ht="15.75" customHeight="1" x14ac:dyDescent="0.35">
      <c r="A79" s="89" t="s">
        <v>142</v>
      </c>
      <c r="B79" s="90"/>
      <c r="C79" s="62">
        <v>0</v>
      </c>
      <c r="D79" s="63">
        <f ca="1">((100/H69)*C79)/100</f>
        <v>0</v>
      </c>
      <c r="E79" s="94"/>
      <c r="F79" s="95"/>
      <c r="G79" s="94"/>
      <c r="H79" s="99"/>
      <c r="I79" s="14" t="s">
        <v>149</v>
      </c>
      <c r="J79" s="27">
        <f>(IF(B69&gt;4,(H69/(B69+2)+J78),0))</f>
        <v>0</v>
      </c>
    </row>
    <row r="80" spans="1:14" ht="15.75" customHeight="1" x14ac:dyDescent="0.35">
      <c r="A80" s="89" t="s">
        <v>137</v>
      </c>
      <c r="B80" s="90" t="s">
        <v>137</v>
      </c>
      <c r="C80" s="62">
        <v>0</v>
      </c>
      <c r="D80" s="63">
        <f ca="1">((100/(H69))*C80)/100</f>
        <v>0</v>
      </c>
      <c r="E80" s="94"/>
      <c r="F80" s="95"/>
      <c r="G80" s="94"/>
      <c r="H80" s="99"/>
      <c r="I80" s="14" t="s">
        <v>151</v>
      </c>
      <c r="J80" s="27">
        <f ca="1">(IF(B69=1,(H69/(B69+3)+J75),IF(B69=0,(H69/4+J75),IF(B69&gt;1,0))))</f>
        <v>5.25</v>
      </c>
    </row>
    <row r="81" spans="1:10" ht="16" thickBot="1" x14ac:dyDescent="0.4">
      <c r="A81" s="101" t="s">
        <v>138</v>
      </c>
      <c r="B81" s="102"/>
      <c r="C81" s="64">
        <v>0</v>
      </c>
      <c r="D81" s="65">
        <f ca="1">((100/(H69))*C81)/100</f>
        <v>0</v>
      </c>
      <c r="E81" s="96"/>
      <c r="F81" s="97"/>
      <c r="G81" s="96"/>
      <c r="H81" s="100"/>
      <c r="I81" s="15" t="s">
        <v>107</v>
      </c>
      <c r="J81" s="29">
        <f ca="1">(IF(B69&gt;1.5,(H69/(B69+2)+J75+MAX(0,J76-J75)+MAX(0,J77-J76)+MAX(0,J78-J77)+MAX(0,J79-J78)+MAX(0,J80-J79)),IF(B69=1,(H69/(B69+3)+J80),IF(B69=0,H69/4+J80))))</f>
        <v>7</v>
      </c>
    </row>
    <row r="82" spans="1:10" ht="15.75" hidden="1" customHeight="1" x14ac:dyDescent="0.35">
      <c r="A82" s="80" t="s">
        <v>144</v>
      </c>
      <c r="B82" s="81"/>
      <c r="C82" s="82" t="s">
        <v>229</v>
      </c>
      <c r="D82" s="83"/>
      <c r="E82" s="83"/>
      <c r="F82" s="83"/>
      <c r="G82" s="83"/>
      <c r="H82" s="84"/>
      <c r="I82" s="42" t="str">
        <f ca="1">IF(D95=100%,"All work Completed. Possession granted to the Building.",IF(D94=100%,"All work Completed, Waiting for OC",I83&amp;""&amp;I84&amp;""&amp;J83&amp;""&amp;J82&amp;" "&amp;J84))</f>
        <v>Excavation, Plinth Completed, RCC upto 1 Slab Completed</v>
      </c>
      <c r="J82" s="43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RCC upto 1 Slab</v>
      </c>
    </row>
    <row r="83" spans="1:10" hidden="1" x14ac:dyDescent="0.35">
      <c r="A83" s="16" t="s">
        <v>146</v>
      </c>
      <c r="B83" s="59">
        <f>IF(AND(ISNUMBER(SEARCH("1B",C82))),1,IF(AND(ISNUMBER(SEARCH("2B",C82))),2,IF(AND(ISNUMBER(SEARCH("3B",C82))),3,IF(AND(ISNUMBER(SEARCH("4B",C82))),4,IF(ISNUMBER(SEARCH("5B",C82)),5,0)))))</f>
        <v>0</v>
      </c>
      <c r="C83" s="59" t="s">
        <v>74</v>
      </c>
      <c r="D83" s="59">
        <v>1</v>
      </c>
      <c r="E83" s="59" t="s">
        <v>73</v>
      </c>
      <c r="F83" s="59">
        <v>0</v>
      </c>
      <c r="G83" s="59" t="s">
        <v>82</v>
      </c>
      <c r="H83" s="17">
        <f ca="1">--TRIM(RIGHT(SUBSTITUTE(LEFT(C82,_xlfn.AGGREGATE(16,6,FIND({0,1,2,3,4,5,6,7,8,9},C82,ROW(INDIRECT("1:"&amp;LEN(C82)))),1))," ",REPT(" ",LEN(C82))),LEN(C82)))</f>
        <v>7</v>
      </c>
      <c r="I83" s="44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</v>
      </c>
      <c r="J83" s="45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idden="1" x14ac:dyDescent="0.35">
      <c r="A84" s="85" t="s">
        <v>92</v>
      </c>
      <c r="B84" s="86"/>
      <c r="C84" s="87" t="str">
        <f ca="1">(IF($G$52="NA",I82,"All work Completed. OC Received."))</f>
        <v>Excavation, Plinth Completed, RCC upto 1 Slab Completed</v>
      </c>
      <c r="D84" s="87"/>
      <c r="E84" s="87"/>
      <c r="F84" s="87"/>
      <c r="G84" s="87"/>
      <c r="H84" s="88"/>
      <c r="I84" s="44" t="str">
        <f ca="1">IF(I83&lt;&gt;""," Completed","")</f>
        <v xml:space="preserve"> Completed</v>
      </c>
      <c r="J84" s="45" t="str">
        <f ca="1">IF(J82&lt;&gt;"","Completed","")</f>
        <v>Completed</v>
      </c>
    </row>
    <row r="85" spans="1:10" ht="15.75" hidden="1" customHeight="1" x14ac:dyDescent="0.35">
      <c r="A85" s="89" t="s">
        <v>50</v>
      </c>
      <c r="B85" s="90"/>
      <c r="C85" s="62" t="s">
        <v>143</v>
      </c>
      <c r="D85" s="62" t="s">
        <v>85</v>
      </c>
      <c r="E85" s="90" t="s">
        <v>87</v>
      </c>
      <c r="F85" s="90"/>
      <c r="G85" s="90" t="s">
        <v>86</v>
      </c>
      <c r="H85" s="91"/>
      <c r="I85" s="14" t="s">
        <v>145</v>
      </c>
      <c r="J85" s="25">
        <f ca="1">H83*25%</f>
        <v>1.75</v>
      </c>
    </row>
    <row r="86" spans="1:10" hidden="1" x14ac:dyDescent="0.35">
      <c r="A86" s="89" t="s">
        <v>132</v>
      </c>
      <c r="B86" s="90"/>
      <c r="C86" s="62">
        <f ca="1">J87</f>
        <v>7</v>
      </c>
      <c r="D86" s="63">
        <f ca="1">((100/H83)*C86)/100</f>
        <v>1</v>
      </c>
      <c r="E86" s="92">
        <f ca="1">(((C87/H83*10)+(40/(D83+F83+H83)*C88)+(7.5/(H83)*C89)+(7.5/(H83)*C90)+(10/H83*C91)+(10/H83*C92)+(5/H83*C93)+(5/H83*C94)+(5/H83*C95))/100)</f>
        <v>0.15</v>
      </c>
      <c r="F86" s="93"/>
      <c r="G86" s="92">
        <f ca="1">((((C86/H83)*20)+((C87/H83)*25)+(30/(H83+F83+D83)*C88)+(5/H83*C89)+(5/H83*C90)+(5/H83*C91)+(5/H83*C92)+(0/H83*C93)+(0/H83*C94)+(5/H83*C95))/100)</f>
        <v>0.48749999999999999</v>
      </c>
      <c r="H86" s="98"/>
      <c r="I86" s="14" t="s">
        <v>103</v>
      </c>
      <c r="J86" s="26">
        <f ca="1">H83*50%</f>
        <v>3.5</v>
      </c>
    </row>
    <row r="87" spans="1:10" hidden="1" x14ac:dyDescent="0.35">
      <c r="A87" s="89" t="s">
        <v>51</v>
      </c>
      <c r="B87" s="90"/>
      <c r="C87" s="66">
        <f ca="1">J95</f>
        <v>7</v>
      </c>
      <c r="D87" s="63">
        <f ca="1">((100/H83)*C87)/100</f>
        <v>1</v>
      </c>
      <c r="E87" s="94"/>
      <c r="F87" s="95"/>
      <c r="G87" s="94"/>
      <c r="H87" s="99"/>
      <c r="I87" s="14" t="s">
        <v>104</v>
      </c>
      <c r="J87" s="26">
        <f ca="1">H83</f>
        <v>7</v>
      </c>
    </row>
    <row r="88" spans="1:10" ht="15.75" hidden="1" customHeight="1" x14ac:dyDescent="0.35">
      <c r="A88" s="89" t="s">
        <v>133</v>
      </c>
      <c r="B88" s="90"/>
      <c r="C88" s="62">
        <v>1</v>
      </c>
      <c r="D88" s="63">
        <f ca="1">((100/(D83+F83+H83))*C88)/100</f>
        <v>0.125</v>
      </c>
      <c r="E88" s="94"/>
      <c r="F88" s="95"/>
      <c r="G88" s="94"/>
      <c r="H88" s="99"/>
      <c r="I88" s="14" t="s">
        <v>105</v>
      </c>
      <c r="J88" s="27">
        <f ca="1">(IF(B83&gt;1,(H83/(B83+2)),H83/4))</f>
        <v>1.75</v>
      </c>
    </row>
    <row r="89" spans="1:10" ht="15.75" hidden="1" customHeight="1" x14ac:dyDescent="0.35">
      <c r="A89" s="89" t="s">
        <v>140</v>
      </c>
      <c r="B89" s="90" t="s">
        <v>134</v>
      </c>
      <c r="C89" s="62">
        <v>0</v>
      </c>
      <c r="D89" s="63">
        <f ca="1">((100/H83)*C89)/100</f>
        <v>0</v>
      </c>
      <c r="E89" s="94"/>
      <c r="F89" s="95"/>
      <c r="G89" s="94"/>
      <c r="H89" s="99"/>
      <c r="I89" s="14" t="s">
        <v>106</v>
      </c>
      <c r="J89" s="27">
        <f ca="1">(IF(B83&gt;1,(H83/(B83+2)+J88),H83/4+J88))</f>
        <v>3.5</v>
      </c>
    </row>
    <row r="90" spans="1:10" ht="15.75" hidden="1" customHeight="1" x14ac:dyDescent="0.35">
      <c r="A90" s="89" t="s">
        <v>141</v>
      </c>
      <c r="B90" s="90" t="s">
        <v>134</v>
      </c>
      <c r="C90" s="62">
        <v>0</v>
      </c>
      <c r="D90" s="63">
        <f ca="1">((100/H83)*C90)/100</f>
        <v>0</v>
      </c>
      <c r="E90" s="94"/>
      <c r="F90" s="95"/>
      <c r="G90" s="94"/>
      <c r="H90" s="99"/>
      <c r="I90" s="14" t="s">
        <v>150</v>
      </c>
      <c r="J90" s="27">
        <f>(IF(B83&gt;1,(H83/(B83+2)+J89),0))</f>
        <v>0</v>
      </c>
    </row>
    <row r="91" spans="1:10" ht="15" hidden="1" customHeight="1" x14ac:dyDescent="0.35">
      <c r="A91" s="89" t="s">
        <v>139</v>
      </c>
      <c r="B91" s="90" t="s">
        <v>136</v>
      </c>
      <c r="C91" s="62">
        <v>0</v>
      </c>
      <c r="D91" s="63">
        <f ca="1">((100/(H83))*C91)/100</f>
        <v>0</v>
      </c>
      <c r="E91" s="94"/>
      <c r="F91" s="95"/>
      <c r="G91" s="94"/>
      <c r="H91" s="99"/>
      <c r="I91" s="14" t="s">
        <v>147</v>
      </c>
      <c r="J91" s="27">
        <f>(IF(B83&gt;2,(H83/(B83+2)+J90),0))</f>
        <v>0</v>
      </c>
    </row>
    <row r="92" spans="1:10" ht="15.75" hidden="1" customHeight="1" x14ac:dyDescent="0.35">
      <c r="A92" s="89" t="s">
        <v>135</v>
      </c>
      <c r="B92" s="90" t="s">
        <v>135</v>
      </c>
      <c r="C92" s="62">
        <v>0</v>
      </c>
      <c r="D92" s="63">
        <f ca="1">((100/H83)*C92)/100</f>
        <v>0</v>
      </c>
      <c r="E92" s="94"/>
      <c r="F92" s="95"/>
      <c r="G92" s="94"/>
      <c r="H92" s="99"/>
      <c r="I92" s="14" t="s">
        <v>148</v>
      </c>
      <c r="J92" s="28">
        <f>(IF(B83&gt;3,(H83/(B83+2)+J91),0))</f>
        <v>0</v>
      </c>
    </row>
    <row r="93" spans="1:10" ht="15.75" hidden="1" customHeight="1" x14ac:dyDescent="0.35">
      <c r="A93" s="89" t="s">
        <v>142</v>
      </c>
      <c r="B93" s="90"/>
      <c r="C93" s="62">
        <v>0</v>
      </c>
      <c r="D93" s="63">
        <f ca="1">((100/H83)*C93)/100</f>
        <v>0</v>
      </c>
      <c r="E93" s="94"/>
      <c r="F93" s="95"/>
      <c r="G93" s="94"/>
      <c r="H93" s="99"/>
      <c r="I93" s="14" t="s">
        <v>149</v>
      </c>
      <c r="J93" s="27">
        <f>(IF(B83&gt;4,(H83/(B83+2)+J92),0))</f>
        <v>0</v>
      </c>
    </row>
    <row r="94" spans="1:10" ht="15.75" hidden="1" customHeight="1" x14ac:dyDescent="0.35">
      <c r="A94" s="89" t="s">
        <v>137</v>
      </c>
      <c r="B94" s="90" t="s">
        <v>137</v>
      </c>
      <c r="C94" s="62">
        <v>0</v>
      </c>
      <c r="D94" s="63">
        <f ca="1">((100/(H83))*C94)/100</f>
        <v>0</v>
      </c>
      <c r="E94" s="94"/>
      <c r="F94" s="95"/>
      <c r="G94" s="94"/>
      <c r="H94" s="99"/>
      <c r="I94" s="14" t="s">
        <v>151</v>
      </c>
      <c r="J94" s="27">
        <f ca="1">(IF(B83=1,(H83/(B83+3)+J89),IF(B83=0,(H83/4+J89),IF(B83&gt;1,0))))</f>
        <v>5.25</v>
      </c>
    </row>
    <row r="95" spans="1:10" ht="16" hidden="1" thickBot="1" x14ac:dyDescent="0.4">
      <c r="A95" s="101" t="s">
        <v>138</v>
      </c>
      <c r="B95" s="102"/>
      <c r="C95" s="64">
        <v>0</v>
      </c>
      <c r="D95" s="65">
        <f ca="1">((100/(H83))*C95)/100</f>
        <v>0</v>
      </c>
      <c r="E95" s="96"/>
      <c r="F95" s="97"/>
      <c r="G95" s="96"/>
      <c r="H95" s="100"/>
      <c r="I95" s="15" t="s">
        <v>107</v>
      </c>
      <c r="J95" s="29">
        <f ca="1">(IF(B83&gt;1.5,(H83/(B83+2)+J89+MAX(0,J90-J89)+MAX(0,J91-J90)+MAX(0,J92-J91)+MAX(0,J93-J92)+MAX(0,J94-J93)),IF(B83=1,(H83/(B83+3)+J94),IF(B83=0,H83/4+J94))))</f>
        <v>7</v>
      </c>
    </row>
    <row r="96" spans="1:10" ht="15.75" customHeight="1" x14ac:dyDescent="0.35">
      <c r="A96" s="80" t="s">
        <v>144</v>
      </c>
      <c r="B96" s="81"/>
      <c r="C96" s="82" t="s">
        <v>242</v>
      </c>
      <c r="D96" s="83"/>
      <c r="E96" s="83"/>
      <c r="F96" s="83"/>
      <c r="G96" s="83"/>
      <c r="H96" s="84"/>
      <c r="I96" s="42" t="str">
        <f ca="1">IF(D109=100%,"All work Completed. Possession granted to the Building.",IF(D108=100%,"All work Completed, Waiting for OC",I97&amp;""&amp;I98&amp;""&amp;J97&amp;""&amp;J96&amp;" "&amp;J98))</f>
        <v>Excavation, Plinth, RCC Slab, Brickwork Completed, Internal Plaster upto 6 Floor, External Plaster upto 3 Floor Completed</v>
      </c>
      <c r="J96" s="43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>, Internal Plaster upto 6 Floor, External Plaster upto 3 Floor</v>
      </c>
    </row>
    <row r="97" spans="1:10" x14ac:dyDescent="0.35">
      <c r="A97" s="16" t="s">
        <v>146</v>
      </c>
      <c r="B97" s="58">
        <f>IF(AND(ISNUMBER(SEARCH("1B",C96))),1,IF(AND(ISNUMBER(SEARCH("2B",C96))),2,IF(AND(ISNUMBER(SEARCH("3B",C96))),3,IF(AND(ISNUMBER(SEARCH("4B",C96))),4,IF(ISNUMBER(SEARCH("5B",C96)),5,0)))))</f>
        <v>0</v>
      </c>
      <c r="C97" s="58" t="s">
        <v>74</v>
      </c>
      <c r="D97" s="58">
        <v>1</v>
      </c>
      <c r="E97" s="58" t="s">
        <v>73</v>
      </c>
      <c r="F97" s="58">
        <v>0</v>
      </c>
      <c r="G97" s="58" t="s">
        <v>82</v>
      </c>
      <c r="H97" s="17">
        <f ca="1">--TRIM(RIGHT(SUBSTITUTE(LEFT(C96,_xlfn.AGGREGATE(16,6,FIND({0,1,2,3,4,5,6,7,8,9},C96,ROW(INDIRECT("1:"&amp;LEN(C96)))),1))," ",REPT(" ",LEN(C96))),LEN(C96)))</f>
        <v>7</v>
      </c>
      <c r="I97" s="44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Plinth, RCC Slab, Brickwork</v>
      </c>
      <c r="J97" s="45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ht="32.15" customHeight="1" x14ac:dyDescent="0.35">
      <c r="A98" s="85" t="s">
        <v>92</v>
      </c>
      <c r="B98" s="86"/>
      <c r="C98" s="87" t="str">
        <f ca="1">(IF($G$52="NA",I96,"All work Completed. OC Received."))</f>
        <v>Excavation, Plinth, RCC Slab, Brickwork Completed, Internal Plaster upto 6 Floor, External Plaster upto 3 Floor Completed</v>
      </c>
      <c r="D98" s="87"/>
      <c r="E98" s="87"/>
      <c r="F98" s="87"/>
      <c r="G98" s="87"/>
      <c r="H98" s="88"/>
      <c r="I98" s="44" t="str">
        <f ca="1">IF(I97&lt;&gt;""," Completed","")</f>
        <v xml:space="preserve"> Completed</v>
      </c>
      <c r="J98" s="45" t="str">
        <f ca="1">IF(J96&lt;&gt;"","Completed","")</f>
        <v>Completed</v>
      </c>
    </row>
    <row r="99" spans="1:10" ht="15.75" customHeight="1" x14ac:dyDescent="0.35">
      <c r="A99" s="89" t="s">
        <v>50</v>
      </c>
      <c r="B99" s="90"/>
      <c r="C99" s="62" t="s">
        <v>143</v>
      </c>
      <c r="D99" s="62" t="s">
        <v>85</v>
      </c>
      <c r="E99" s="90" t="s">
        <v>87</v>
      </c>
      <c r="F99" s="90"/>
      <c r="G99" s="90" t="s">
        <v>86</v>
      </c>
      <c r="H99" s="91"/>
      <c r="I99" s="14" t="s">
        <v>145</v>
      </c>
      <c r="J99" s="25">
        <f ca="1">H97*25%</f>
        <v>1.75</v>
      </c>
    </row>
    <row r="100" spans="1:10" x14ac:dyDescent="0.35">
      <c r="A100" s="89" t="s">
        <v>132</v>
      </c>
      <c r="B100" s="90"/>
      <c r="C100" s="62">
        <f ca="1">J101</f>
        <v>7</v>
      </c>
      <c r="D100" s="63">
        <f ca="1">((100/H97)*C100)/100</f>
        <v>1</v>
      </c>
      <c r="E100" s="92">
        <f ca="1">(((C101/H97*10)+(40/(D97+F97+H97)*C102)+(7.5/(H97)*C103)+(7.5/(H97)*C104)+(10/H97*C105)+(10/H97*C106)+(5/H97*C107)+(5/H97*C108)+(5/H97*C109))/100)</f>
        <v>0.68214285714285727</v>
      </c>
      <c r="F100" s="93"/>
      <c r="G100" s="92">
        <f ca="1">((((C100/H97)*20)+((C101/H97)*25)+(30/(H97+F97+D97)*C102)+(5/H97*C103)+(5/H97*C104)+(5/H97*C105)+(5/H97*C106)+(0/H97*C107)+(0/H97*C108)+(5/H97*C109))/100)</f>
        <v>0.86428571428571432</v>
      </c>
      <c r="H100" s="98"/>
      <c r="I100" s="14" t="s">
        <v>103</v>
      </c>
      <c r="J100" s="26">
        <f ca="1">H97*50%</f>
        <v>3.5</v>
      </c>
    </row>
    <row r="101" spans="1:10" x14ac:dyDescent="0.35">
      <c r="A101" s="89" t="s">
        <v>51</v>
      </c>
      <c r="B101" s="90"/>
      <c r="C101" s="66">
        <f ca="1">J109</f>
        <v>7</v>
      </c>
      <c r="D101" s="63">
        <f ca="1">((100/H97)*C101)/100</f>
        <v>1</v>
      </c>
      <c r="E101" s="94"/>
      <c r="F101" s="95"/>
      <c r="G101" s="94"/>
      <c r="H101" s="99"/>
      <c r="I101" s="14" t="s">
        <v>104</v>
      </c>
      <c r="J101" s="26">
        <f ca="1">H97</f>
        <v>7</v>
      </c>
    </row>
    <row r="102" spans="1:10" ht="15.75" customHeight="1" x14ac:dyDescent="0.35">
      <c r="A102" s="89" t="s">
        <v>133</v>
      </c>
      <c r="B102" s="90"/>
      <c r="C102" s="62">
        <v>8</v>
      </c>
      <c r="D102" s="63">
        <f ca="1">((100/(D97+F97+H97))*C102)/100</f>
        <v>1</v>
      </c>
      <c r="E102" s="94"/>
      <c r="F102" s="95"/>
      <c r="G102" s="94"/>
      <c r="H102" s="99"/>
      <c r="I102" s="14" t="s">
        <v>105</v>
      </c>
      <c r="J102" s="27">
        <f ca="1">(IF(B97&gt;1,(H97/(B97+2)),H97/4))</f>
        <v>1.75</v>
      </c>
    </row>
    <row r="103" spans="1:10" ht="15.75" customHeight="1" x14ac:dyDescent="0.35">
      <c r="A103" s="89" t="s">
        <v>140</v>
      </c>
      <c r="B103" s="90" t="s">
        <v>134</v>
      </c>
      <c r="C103" s="62">
        <v>7</v>
      </c>
      <c r="D103" s="63">
        <f ca="1">((100/H97)*C103)/100</f>
        <v>1</v>
      </c>
      <c r="E103" s="94"/>
      <c r="F103" s="95"/>
      <c r="G103" s="94"/>
      <c r="H103" s="99"/>
      <c r="I103" s="14" t="s">
        <v>106</v>
      </c>
      <c r="J103" s="27">
        <f ca="1">(IF(B97&gt;1,(H97/(B97+2)+J102),H97/4+J102))</f>
        <v>3.5</v>
      </c>
    </row>
    <row r="104" spans="1:10" ht="15.75" customHeight="1" x14ac:dyDescent="0.35">
      <c r="A104" s="89" t="s">
        <v>141</v>
      </c>
      <c r="B104" s="90" t="s">
        <v>134</v>
      </c>
      <c r="C104" s="62">
        <v>6</v>
      </c>
      <c r="D104" s="63">
        <f ca="1">((100/H97)*C104)/100</f>
        <v>0.85714285714285721</v>
      </c>
      <c r="E104" s="94"/>
      <c r="F104" s="95"/>
      <c r="G104" s="94"/>
      <c r="H104" s="99"/>
      <c r="I104" s="14" t="s">
        <v>150</v>
      </c>
      <c r="J104" s="27">
        <f>(IF(B97&gt;1,(H97/(B97+2)+J103),0))</f>
        <v>0</v>
      </c>
    </row>
    <row r="105" spans="1:10" ht="15" customHeight="1" x14ac:dyDescent="0.35">
      <c r="A105" s="89" t="s">
        <v>139</v>
      </c>
      <c r="B105" s="90" t="s">
        <v>136</v>
      </c>
      <c r="C105" s="62">
        <v>3</v>
      </c>
      <c r="D105" s="63">
        <f ca="1">((100/(H97))*C105)/100</f>
        <v>0.4285714285714286</v>
      </c>
      <c r="E105" s="94"/>
      <c r="F105" s="95"/>
      <c r="G105" s="94"/>
      <c r="H105" s="99"/>
      <c r="I105" s="14" t="s">
        <v>147</v>
      </c>
      <c r="J105" s="27">
        <f>(IF(B97&gt;2,(H97/(B97+2)+J104),0))</f>
        <v>0</v>
      </c>
    </row>
    <row r="106" spans="1:10" ht="15.75" customHeight="1" x14ac:dyDescent="0.35">
      <c r="A106" s="89" t="s">
        <v>135</v>
      </c>
      <c r="B106" s="90" t="s">
        <v>135</v>
      </c>
      <c r="C106" s="62">
        <v>0</v>
      </c>
      <c r="D106" s="63">
        <f ca="1">((100/H97)*C106)/100</f>
        <v>0</v>
      </c>
      <c r="E106" s="94"/>
      <c r="F106" s="95"/>
      <c r="G106" s="94"/>
      <c r="H106" s="99"/>
      <c r="I106" s="14" t="s">
        <v>148</v>
      </c>
      <c r="J106" s="28">
        <f>(IF(B97&gt;3,(H97/(B97+2)+J105),0))</f>
        <v>0</v>
      </c>
    </row>
    <row r="107" spans="1:10" ht="15.75" customHeight="1" x14ac:dyDescent="0.35">
      <c r="A107" s="89" t="s">
        <v>142</v>
      </c>
      <c r="B107" s="90"/>
      <c r="C107" s="62">
        <v>0</v>
      </c>
      <c r="D107" s="63">
        <f ca="1">((100/H97)*C107)/100</f>
        <v>0</v>
      </c>
      <c r="E107" s="94"/>
      <c r="F107" s="95"/>
      <c r="G107" s="94"/>
      <c r="H107" s="99"/>
      <c r="I107" s="14" t="s">
        <v>149</v>
      </c>
      <c r="J107" s="27">
        <f>(IF(B97&gt;4,(H97/(B97+2)+J106),0))</f>
        <v>0</v>
      </c>
    </row>
    <row r="108" spans="1:10" ht="15.75" customHeight="1" x14ac:dyDescent="0.35">
      <c r="A108" s="89" t="s">
        <v>137</v>
      </c>
      <c r="B108" s="90" t="s">
        <v>137</v>
      </c>
      <c r="C108" s="62">
        <v>0</v>
      </c>
      <c r="D108" s="63">
        <f ca="1">((100/(H97))*C108)/100</f>
        <v>0</v>
      </c>
      <c r="E108" s="94"/>
      <c r="F108" s="95"/>
      <c r="G108" s="94"/>
      <c r="H108" s="99"/>
      <c r="I108" s="14" t="s">
        <v>151</v>
      </c>
      <c r="J108" s="27">
        <f ca="1">(IF(B97=1,(H97/(B97+3)+J103),IF(B97=0,(H97/4+J103),IF(B97&gt;1,0))))</f>
        <v>5.25</v>
      </c>
    </row>
    <row r="109" spans="1:10" ht="16" thickBot="1" x14ac:dyDescent="0.4">
      <c r="A109" s="101" t="s">
        <v>138</v>
      </c>
      <c r="B109" s="102"/>
      <c r="C109" s="64">
        <v>0</v>
      </c>
      <c r="D109" s="65">
        <f ca="1">((100/(H97))*C109)/100</f>
        <v>0</v>
      </c>
      <c r="E109" s="96"/>
      <c r="F109" s="97"/>
      <c r="G109" s="96"/>
      <c r="H109" s="100"/>
      <c r="I109" s="15" t="s">
        <v>107</v>
      </c>
      <c r="J109" s="29">
        <f ca="1">(IF(B97&gt;1.5,(H97/(B97+2)+J103+MAX(0,J104-J103)+MAX(0,J105-J104)+MAX(0,J106-J105)+MAX(0,J107-J106)+MAX(0,J108-J107)),IF(B97=1,(H97/(B97+3)+J108),IF(B97=0,H97/4+J108))))</f>
        <v>7</v>
      </c>
    </row>
    <row r="110" spans="1:10" ht="15.75" customHeight="1" x14ac:dyDescent="0.35">
      <c r="A110" s="80" t="s">
        <v>144</v>
      </c>
      <c r="B110" s="81"/>
      <c r="C110" s="82" t="s">
        <v>241</v>
      </c>
      <c r="D110" s="83"/>
      <c r="E110" s="83"/>
      <c r="F110" s="83"/>
      <c r="G110" s="83"/>
      <c r="H110" s="84"/>
      <c r="I110" s="42" t="str">
        <f ca="1">IF(D123=100%,"All work Completed. Possession granted to the Building.",IF(D122=100%,"All work Completed, Waiting for OC",I111&amp;""&amp;I112&amp;""&amp;J111&amp;""&amp;J110&amp;" "&amp;J112))</f>
        <v>Excavation, Plinth, RCC Slab, Brickwork, Internal Plaster Completed, External Plaster upto 5 Floor Completed</v>
      </c>
      <c r="J110" s="43" t="str">
        <f ca="1">(IF(C116=(D111+F111+H111),"",IF(C116&gt;0,", RCC upto "&amp;C116&amp;" Slab","")))&amp;(IF(C117=H111,"",IF(C117&gt;0,", Brickwork upto "&amp;C117&amp;" Floor","")))&amp;(IF(C118=H111,"",IF(C118&gt;0,", Internal Plaster upto "&amp;C118&amp;" Floor","")))&amp;(IF(C119=H111,"",IF(C119&gt;0,", External Plaster upto "&amp;C119&amp;" Floor","")))&amp;(IF(C120=H111,"",IF(C120&gt;0,", Flooring upto "&amp;C120&amp;" Floor","")))&amp;(IF(C121=H111,"",IF(C121&gt;0,", Painting upto "&amp;C121&amp;" Floor","")))&amp;(IF(C122=H111,"",IF(C122&gt;0,", Finishing upto "&amp;C122&amp;" Floor","")))&amp;(IF(C123=H111,"",IF(C123&gt;0,", Possession upto "&amp;C123&amp;" Floor","")))</f>
        <v>, External Plaster upto 5 Floor</v>
      </c>
    </row>
    <row r="111" spans="1:10" x14ac:dyDescent="0.35">
      <c r="A111" s="16" t="s">
        <v>146</v>
      </c>
      <c r="B111" s="77">
        <f>IF(AND(ISNUMBER(SEARCH("1B",C110))),1,IF(AND(ISNUMBER(SEARCH("2B",C110))),2,IF(AND(ISNUMBER(SEARCH("3B",C110))),3,IF(AND(ISNUMBER(SEARCH("4B",C110))),4,IF(ISNUMBER(SEARCH("5B",C110)),5,0)))))</f>
        <v>0</v>
      </c>
      <c r="C111" s="77" t="s">
        <v>74</v>
      </c>
      <c r="D111" s="77">
        <v>1</v>
      </c>
      <c r="E111" s="77" t="s">
        <v>73</v>
      </c>
      <c r="F111" s="77">
        <v>0</v>
      </c>
      <c r="G111" s="77" t="s">
        <v>82</v>
      </c>
      <c r="H111" s="17">
        <f ca="1">--TRIM(RIGHT(SUBSTITUTE(LEFT(C110,_xlfn.AGGREGATE(16,6,FIND({0,1,2,3,4,5,6,7,8,9},C110,ROW(INDIRECT("1:"&amp;LEN(C110)))),1))," ",REPT(" ",LEN(C110))),LEN(C110)))</f>
        <v>7</v>
      </c>
      <c r="I111" s="44" t="str">
        <f ca="1">IF(D114=100%,"Excavation","")&amp;IF(D115=100%,", Plinth","")&amp;IF(D116=100%,", RCC Slab","")&amp;IF(D117=100%,", Brickwork","")&amp;IF(D118=100%,", Internal Plaster","")&amp;IF(D119=100%,", External Plaster","")&amp;IF(D120=100%,", Flooring","")&amp;IF(D121=100%,", Painting","")&amp;IF(D122=100%,", Building common Amenities","")</f>
        <v>Excavation, Plinth, RCC Slab, Brickwork, Internal Plaster</v>
      </c>
      <c r="J111" s="45" t="str">
        <f ca="1">(IF(C114=0,"Work not yet Started.",IF(D114=25%,"Piling work in process",IF(D114=50%,"Excavation work in process",IF(D114=100%,"","0")))))&amp;(IF(C115=0%,"",IF(C115=J116,", Footing work is process",IF(C115=J117,", Footing work Completed",IF(C115=J118,", 1st Basement Completed",IF(C115=J119,", 1st &amp; 2nd Basement Completed",IF(C115=J120,", 1st to 3rd Basement Completed",IF(C115=J121,", 1st to 4th Basement Completed",IF(C115=J122,", Plinth work is process",IF(C115=J123,"","0"))))))))))</f>
        <v/>
      </c>
    </row>
    <row r="112" spans="1:10" ht="32.15" customHeight="1" x14ac:dyDescent="0.35">
      <c r="A112" s="86" t="s">
        <v>92</v>
      </c>
      <c r="B112" s="86"/>
      <c r="C112" s="87" t="str">
        <f ca="1">(IF($G$52="NA",I110,"All work Completed. OC Received."))</f>
        <v>Excavation, Plinth, RCC Slab, Brickwork, Internal Plaster Completed, External Plaster upto 5 Floor Completed</v>
      </c>
      <c r="D112" s="87"/>
      <c r="E112" s="87"/>
      <c r="F112" s="87"/>
      <c r="G112" s="87"/>
      <c r="H112" s="87"/>
      <c r="I112" s="76" t="str">
        <f ca="1">IF(I111&lt;&gt;""," Completed","")</f>
        <v xml:space="preserve"> Completed</v>
      </c>
      <c r="J112" s="45" t="str">
        <f ca="1">IF(J110&lt;&gt;"","Completed","")</f>
        <v>Completed</v>
      </c>
    </row>
    <row r="113" spans="1:10" ht="15.75" customHeight="1" x14ac:dyDescent="0.35">
      <c r="A113" s="90" t="s">
        <v>50</v>
      </c>
      <c r="B113" s="90"/>
      <c r="C113" s="78" t="s">
        <v>143</v>
      </c>
      <c r="D113" s="78" t="s">
        <v>85</v>
      </c>
      <c r="E113" s="90" t="s">
        <v>87</v>
      </c>
      <c r="F113" s="90"/>
      <c r="G113" s="90" t="s">
        <v>86</v>
      </c>
      <c r="H113" s="90"/>
      <c r="I113" s="14" t="s">
        <v>145</v>
      </c>
      <c r="J113" s="25">
        <f ca="1">H111*25%</f>
        <v>1.75</v>
      </c>
    </row>
    <row r="114" spans="1:10" x14ac:dyDescent="0.35">
      <c r="A114" s="90" t="s">
        <v>132</v>
      </c>
      <c r="B114" s="90"/>
      <c r="C114" s="78">
        <f ca="1">J115</f>
        <v>7</v>
      </c>
      <c r="D114" s="63">
        <f ca="1">((100/H111)*C114)/100</f>
        <v>1</v>
      </c>
      <c r="E114" s="201">
        <f ca="1">(((C115/H111*10)+(40/(D111+F111+H111)*C116)+(7.5/(H111)*C117)+(7.5/(H111)*C118)+(10/H111*C119)+(10/H111*C120)+(5/H111*C121)+(5/H111*C122)+(5/H111*C123))/100)</f>
        <v>0.72142857142857142</v>
      </c>
      <c r="F114" s="201"/>
      <c r="G114" s="201">
        <f ca="1">((((C114/H111)*20)+((C115/H111)*25)+(30/(H111+F111+D111)*C116)+(5/H111*C117)+(5/H111*C118)+(5/H111*C119)+(5/H111*C120)+(0/H111*C121)+(0/H111*C122)+(5/H111*C123))/100)</f>
        <v>0.88571428571428568</v>
      </c>
      <c r="H114" s="201"/>
      <c r="I114" s="14" t="s">
        <v>103</v>
      </c>
      <c r="J114" s="26">
        <f ca="1">H111*50%</f>
        <v>3.5</v>
      </c>
    </row>
    <row r="115" spans="1:10" x14ac:dyDescent="0.35">
      <c r="A115" s="90" t="s">
        <v>51</v>
      </c>
      <c r="B115" s="90"/>
      <c r="C115" s="66">
        <f ca="1">J123</f>
        <v>7</v>
      </c>
      <c r="D115" s="63">
        <f ca="1">((100/H111)*C115)/100</f>
        <v>1</v>
      </c>
      <c r="E115" s="201"/>
      <c r="F115" s="201"/>
      <c r="G115" s="201"/>
      <c r="H115" s="201"/>
      <c r="I115" s="14" t="s">
        <v>104</v>
      </c>
      <c r="J115" s="26">
        <f ca="1">H111</f>
        <v>7</v>
      </c>
    </row>
    <row r="116" spans="1:10" ht="15.75" customHeight="1" x14ac:dyDescent="0.35">
      <c r="A116" s="90" t="s">
        <v>133</v>
      </c>
      <c r="B116" s="90"/>
      <c r="C116" s="78">
        <v>8</v>
      </c>
      <c r="D116" s="63">
        <f ca="1">((100/(D111+F111+H111))*C116)/100</f>
        <v>1</v>
      </c>
      <c r="E116" s="201"/>
      <c r="F116" s="201"/>
      <c r="G116" s="201"/>
      <c r="H116" s="201"/>
      <c r="I116" s="14" t="s">
        <v>105</v>
      </c>
      <c r="J116" s="27">
        <f ca="1">(IF(B111&gt;1,(H111/(B111+2)),H111/4))</f>
        <v>1.75</v>
      </c>
    </row>
    <row r="117" spans="1:10" ht="15.75" customHeight="1" x14ac:dyDescent="0.35">
      <c r="A117" s="90" t="s">
        <v>140</v>
      </c>
      <c r="B117" s="90" t="s">
        <v>134</v>
      </c>
      <c r="C117" s="78">
        <v>7</v>
      </c>
      <c r="D117" s="63">
        <f ca="1">((100/H111)*C117)/100</f>
        <v>1</v>
      </c>
      <c r="E117" s="201"/>
      <c r="F117" s="201"/>
      <c r="G117" s="201"/>
      <c r="H117" s="201"/>
      <c r="I117" s="14" t="s">
        <v>106</v>
      </c>
      <c r="J117" s="27">
        <f ca="1">(IF(B111&gt;1,(H111/(B111+2)+J116),H111/4+J116))</f>
        <v>3.5</v>
      </c>
    </row>
    <row r="118" spans="1:10" ht="15.75" customHeight="1" x14ac:dyDescent="0.35">
      <c r="A118" s="90" t="s">
        <v>141</v>
      </c>
      <c r="B118" s="90" t="s">
        <v>134</v>
      </c>
      <c r="C118" s="78">
        <v>7</v>
      </c>
      <c r="D118" s="63">
        <f ca="1">((100/H111)*C118)/100</f>
        <v>1</v>
      </c>
      <c r="E118" s="201"/>
      <c r="F118" s="201"/>
      <c r="G118" s="201"/>
      <c r="H118" s="201"/>
      <c r="I118" s="14" t="s">
        <v>150</v>
      </c>
      <c r="J118" s="27">
        <f>(IF(B111&gt;1,(H111/(B111+2)+J117),0))</f>
        <v>0</v>
      </c>
    </row>
    <row r="119" spans="1:10" ht="15" customHeight="1" x14ac:dyDescent="0.35">
      <c r="A119" s="90" t="s">
        <v>139</v>
      </c>
      <c r="B119" s="90" t="s">
        <v>136</v>
      </c>
      <c r="C119" s="78">
        <v>5</v>
      </c>
      <c r="D119" s="63">
        <f ca="1">((100/(H111))*C119)/100</f>
        <v>0.7142857142857143</v>
      </c>
      <c r="E119" s="201"/>
      <c r="F119" s="201"/>
      <c r="G119" s="201"/>
      <c r="H119" s="201"/>
      <c r="I119" s="14" t="s">
        <v>147</v>
      </c>
      <c r="J119" s="27">
        <f>(IF(B111&gt;2,(H111/(B111+2)+J118),0))</f>
        <v>0</v>
      </c>
    </row>
    <row r="120" spans="1:10" ht="15.75" customHeight="1" x14ac:dyDescent="0.35">
      <c r="A120" s="90" t="s">
        <v>135</v>
      </c>
      <c r="B120" s="90" t="s">
        <v>135</v>
      </c>
      <c r="C120" s="78">
        <v>0</v>
      </c>
      <c r="D120" s="63">
        <f ca="1">((100/H111)*C120)/100</f>
        <v>0</v>
      </c>
      <c r="E120" s="201"/>
      <c r="F120" s="201"/>
      <c r="G120" s="201"/>
      <c r="H120" s="201"/>
      <c r="I120" s="14" t="s">
        <v>148</v>
      </c>
      <c r="J120" s="28">
        <f>(IF(B111&gt;3,(H111/(B111+2)+J119),0))</f>
        <v>0</v>
      </c>
    </row>
    <row r="121" spans="1:10" ht="15.75" customHeight="1" x14ac:dyDescent="0.35">
      <c r="A121" s="90" t="s">
        <v>142</v>
      </c>
      <c r="B121" s="90"/>
      <c r="C121" s="78">
        <v>0</v>
      </c>
      <c r="D121" s="63">
        <f ca="1">((100/H111)*C121)/100</f>
        <v>0</v>
      </c>
      <c r="E121" s="201"/>
      <c r="F121" s="201"/>
      <c r="G121" s="201"/>
      <c r="H121" s="201"/>
      <c r="I121" s="14" t="s">
        <v>149</v>
      </c>
      <c r="J121" s="27">
        <f>(IF(B111&gt;4,(H111/(B111+2)+J120),0))</f>
        <v>0</v>
      </c>
    </row>
    <row r="122" spans="1:10" ht="15.75" customHeight="1" x14ac:dyDescent="0.35">
      <c r="A122" s="90" t="s">
        <v>137</v>
      </c>
      <c r="B122" s="90" t="s">
        <v>137</v>
      </c>
      <c r="C122" s="78">
        <v>0</v>
      </c>
      <c r="D122" s="63">
        <f ca="1">((100/(H111))*C122)/100</f>
        <v>0</v>
      </c>
      <c r="E122" s="201"/>
      <c r="F122" s="201"/>
      <c r="G122" s="201"/>
      <c r="H122" s="201"/>
      <c r="I122" s="14" t="s">
        <v>151</v>
      </c>
      <c r="J122" s="27">
        <f ca="1">(IF(B111=1,(H111/(B111+3)+J117),IF(B111=0,(H111/4+J117),IF(B111&gt;1,0))))</f>
        <v>5.25</v>
      </c>
    </row>
    <row r="123" spans="1:10" ht="16" thickBot="1" x14ac:dyDescent="0.4">
      <c r="A123" s="90" t="s">
        <v>138</v>
      </c>
      <c r="B123" s="90"/>
      <c r="C123" s="78">
        <v>0</v>
      </c>
      <c r="D123" s="63">
        <f ca="1">((100/(H111))*C123)/100</f>
        <v>0</v>
      </c>
      <c r="E123" s="201"/>
      <c r="F123" s="201"/>
      <c r="G123" s="201"/>
      <c r="H123" s="201"/>
      <c r="I123" s="15" t="s">
        <v>107</v>
      </c>
      <c r="J123" s="29">
        <f ca="1">(IF(B111&gt;1.5,(H111/(B111+2)+J117+MAX(0,J118-J117)+MAX(0,J119-J118)+MAX(0,J120-J119)+MAX(0,J121-J120)+MAX(0,J122-J121)),IF(B111=1,(H111/(B111+3)+J122),IF(B111=0,H111/4+J122))))</f>
        <v>7</v>
      </c>
    </row>
    <row r="124" spans="1:10" ht="15.75" customHeight="1" x14ac:dyDescent="0.35">
      <c r="A124" s="87" t="s">
        <v>144</v>
      </c>
      <c r="B124" s="87"/>
      <c r="C124" s="87" t="s">
        <v>234</v>
      </c>
      <c r="D124" s="87"/>
      <c r="E124" s="87"/>
      <c r="F124" s="87"/>
      <c r="G124" s="87"/>
      <c r="H124" s="87"/>
      <c r="I124" s="75" t="str">
        <f ca="1">IF(D137=100%,"All work Completed. Possession granted to the Building.",IF(D136=100%,"All work Completed, Waiting for OC",I125&amp;""&amp;I126&amp;""&amp;J125&amp;""&amp;J124&amp;" "&amp;J126))</f>
        <v>Excavation, Plinth, RCC Slab, Brickwork, Internal Plaster, External Plaster Completed, Flooring upto 3 Floor, Painting upto 3 Floor Completed</v>
      </c>
      <c r="J124" s="43" t="str">
        <f ca="1">(IF(C130=(D125+F125+H125),"",IF(C130&gt;0,", RCC upto "&amp;C130&amp;" Slab","")))&amp;(IF(C131=H125,"",IF(C131&gt;0,", Brickwork upto "&amp;C131&amp;" Floor","")))&amp;(IF(C132=H125,"",IF(C132&gt;0,", Internal Plaster upto "&amp;C132&amp;" Floor","")))&amp;(IF(C133=H125,"",IF(C133&gt;0,", External Plaster upto "&amp;C133&amp;" Floor","")))&amp;(IF(C134=H125,"",IF(C134&gt;0,", Flooring upto "&amp;C134&amp;" Floor","")))&amp;(IF(C135=H125,"",IF(C135&gt;0,", Painting upto "&amp;C135&amp;" Floor","")))&amp;(IF(C136=H125,"",IF(C136&gt;0,", Finishing upto "&amp;C136&amp;" Floor","")))&amp;(IF(C137=H125,"",IF(C137&gt;0,", Possession upto "&amp;C137&amp;" Floor","")))</f>
        <v>, Flooring upto 3 Floor, Painting upto 3 Floor</v>
      </c>
    </row>
    <row r="125" spans="1:10" x14ac:dyDescent="0.35">
      <c r="A125" s="16" t="s">
        <v>146</v>
      </c>
      <c r="B125" s="58">
        <f>IF(AND(ISNUMBER(SEARCH("1B",C124))),1,IF(AND(ISNUMBER(SEARCH("2B",C124))),2,IF(AND(ISNUMBER(SEARCH("3B",C124))),3,IF(AND(ISNUMBER(SEARCH("4B",C124))),4,IF(ISNUMBER(SEARCH("5B",C124)),5,0)))))</f>
        <v>0</v>
      </c>
      <c r="C125" s="58" t="s">
        <v>74</v>
      </c>
      <c r="D125" s="58">
        <v>1</v>
      </c>
      <c r="E125" s="58" t="s">
        <v>73</v>
      </c>
      <c r="F125" s="58">
        <v>0</v>
      </c>
      <c r="G125" s="58" t="s">
        <v>82</v>
      </c>
      <c r="H125" s="17">
        <f ca="1">--TRIM(RIGHT(SUBSTITUTE(LEFT(C124,_xlfn.AGGREGATE(16,6,FIND({0,1,2,3,4,5,6,7,8,9},C124,ROW(INDIRECT("1:"&amp;LEN(C124)))),1))," ",REPT(" ",LEN(C124))),LEN(C124)))</f>
        <v>7</v>
      </c>
      <c r="I125" s="44" t="str">
        <f ca="1">IF(D128=100%,"Excavation","")&amp;IF(D129=100%,", Plinth","")&amp;IF(D130=100%,", RCC Slab","")&amp;IF(D131=100%,", Brickwork","")&amp;IF(D132=100%,", Internal Plaster","")&amp;IF(D133=100%,", External Plaster","")&amp;IF(D134=100%,", Flooring","")&amp;IF(D135=100%,", Painting","")&amp;IF(D136=100%,", Building common Amenities","")</f>
        <v>Excavation, Plinth, RCC Slab, Brickwork, Internal Plaster, External Plaster</v>
      </c>
      <c r="J125" s="45" t="str">
        <f ca="1">(IF(C128=0,"Work not yet Started.",IF(D128=25%,"Piling work in process",IF(D128=50%,"Excavation work in process",IF(D128=100%,"","0")))))&amp;(IF(C129=0%,"",IF(C129=J130,", Footing work is process",IF(C129=J131,", Footing work Completed",IF(C129=J132,", 1st Basement Completed",IF(C129=J133,", 1st &amp; 2nd Basement Completed",IF(C129=J134,", 1st to 3rd Basement Completed",IF(C129=J135,", 1st to 4th Basement Completed",IF(C129=J136,", Plinth work is process",IF(C129=J137,"","0"))))))))))</f>
        <v/>
      </c>
    </row>
    <row r="126" spans="1:10" ht="34.5" customHeight="1" x14ac:dyDescent="0.35">
      <c r="A126" s="85" t="s">
        <v>92</v>
      </c>
      <c r="B126" s="86"/>
      <c r="C126" s="87" t="str">
        <f ca="1">(IF($G$52="NA",I124,"All work Completed. OC Received."))</f>
        <v>Excavation, Plinth, RCC Slab, Brickwork, Internal Plaster, External Plaster Completed, Flooring upto 3 Floor, Painting upto 3 Floor Completed</v>
      </c>
      <c r="D126" s="87"/>
      <c r="E126" s="87"/>
      <c r="F126" s="87"/>
      <c r="G126" s="87"/>
      <c r="H126" s="88"/>
      <c r="I126" s="44" t="str">
        <f ca="1">IF(I125&lt;&gt;""," Completed","")</f>
        <v xml:space="preserve"> Completed</v>
      </c>
      <c r="J126" s="45" t="str">
        <f ca="1">IF(J124&lt;&gt;"","Completed","")</f>
        <v>Completed</v>
      </c>
    </row>
    <row r="127" spans="1:10" ht="15.75" customHeight="1" x14ac:dyDescent="0.35">
      <c r="A127" s="89" t="s">
        <v>50</v>
      </c>
      <c r="B127" s="90"/>
      <c r="C127" s="62" t="s">
        <v>143</v>
      </c>
      <c r="D127" s="62" t="s">
        <v>85</v>
      </c>
      <c r="E127" s="90" t="s">
        <v>87</v>
      </c>
      <c r="F127" s="90"/>
      <c r="G127" s="90" t="s">
        <v>86</v>
      </c>
      <c r="H127" s="91"/>
      <c r="I127" s="14" t="s">
        <v>145</v>
      </c>
      <c r="J127" s="25">
        <f ca="1">H125*25%</f>
        <v>1.75</v>
      </c>
    </row>
    <row r="128" spans="1:10" x14ac:dyDescent="0.35">
      <c r="A128" s="89" t="s">
        <v>132</v>
      </c>
      <c r="B128" s="90"/>
      <c r="C128" s="62">
        <f ca="1">J129</f>
        <v>7</v>
      </c>
      <c r="D128" s="63">
        <f ca="1">((100/H125)*C128)/100</f>
        <v>1</v>
      </c>
      <c r="E128" s="92">
        <f ca="1">(((C129/H125*10)+(40/(D125+F125+H125)*C130)+(7.5/(H125)*C131)+(7.5/(H125)*C132)+(10/H125*C133)+(10/H125*C134)+(5/H125*C135)+(5/H125*C136)+(5/H125*C137))/100)</f>
        <v>0.81428571428571428</v>
      </c>
      <c r="F128" s="93"/>
      <c r="G128" s="92">
        <f ca="1">((((C128/H125)*20)+((C129/H125)*25)+(30/(H125+F125+D125)*C130)+(5/H125*C131)+(5/H125*C132)+(5/H125*C133)+(5/H125*C134)+(0/H125*C135)+(0/H125*C136)+(5/H125*C137))/100)</f>
        <v>0.92142857142857137</v>
      </c>
      <c r="H128" s="98"/>
      <c r="I128" s="14" t="s">
        <v>103</v>
      </c>
      <c r="J128" s="26">
        <f ca="1">H125*50%</f>
        <v>3.5</v>
      </c>
    </row>
    <row r="129" spans="1:10" x14ac:dyDescent="0.35">
      <c r="A129" s="89" t="s">
        <v>51</v>
      </c>
      <c r="B129" s="90"/>
      <c r="C129" s="66">
        <f ca="1">J137</f>
        <v>7</v>
      </c>
      <c r="D129" s="63">
        <f ca="1">((100/H125)*C129)/100</f>
        <v>1</v>
      </c>
      <c r="E129" s="94"/>
      <c r="F129" s="95"/>
      <c r="G129" s="94"/>
      <c r="H129" s="99"/>
      <c r="I129" s="14" t="s">
        <v>104</v>
      </c>
      <c r="J129" s="26">
        <f ca="1">H125</f>
        <v>7</v>
      </c>
    </row>
    <row r="130" spans="1:10" ht="15.75" customHeight="1" x14ac:dyDescent="0.35">
      <c r="A130" s="89" t="s">
        <v>133</v>
      </c>
      <c r="B130" s="90"/>
      <c r="C130" s="62">
        <v>8</v>
      </c>
      <c r="D130" s="63">
        <f ca="1">((100/(D125+F125+H125))*C130)/100</f>
        <v>1</v>
      </c>
      <c r="E130" s="94"/>
      <c r="F130" s="95"/>
      <c r="G130" s="94"/>
      <c r="H130" s="99"/>
      <c r="I130" s="14" t="s">
        <v>105</v>
      </c>
      <c r="J130" s="27">
        <f ca="1">(IF(B125&gt;1,(H125/(B125+2)),H125/4))</f>
        <v>1.75</v>
      </c>
    </row>
    <row r="131" spans="1:10" ht="15.75" customHeight="1" x14ac:dyDescent="0.35">
      <c r="A131" s="89" t="s">
        <v>140</v>
      </c>
      <c r="B131" s="90" t="s">
        <v>134</v>
      </c>
      <c r="C131" s="62">
        <v>7</v>
      </c>
      <c r="D131" s="63">
        <f ca="1">((100/H125)*C131)/100</f>
        <v>1</v>
      </c>
      <c r="E131" s="94"/>
      <c r="F131" s="95"/>
      <c r="G131" s="94"/>
      <c r="H131" s="99"/>
      <c r="I131" s="14" t="s">
        <v>106</v>
      </c>
      <c r="J131" s="27">
        <f ca="1">(IF(B125&gt;1,(H125/(B125+2)+J130),H125/4+J130))</f>
        <v>3.5</v>
      </c>
    </row>
    <row r="132" spans="1:10" ht="15.75" customHeight="1" x14ac:dyDescent="0.35">
      <c r="A132" s="89" t="s">
        <v>141</v>
      </c>
      <c r="B132" s="90" t="s">
        <v>134</v>
      </c>
      <c r="C132" s="62">
        <v>7</v>
      </c>
      <c r="D132" s="63">
        <f ca="1">((100/H125)*C132)/100</f>
        <v>1</v>
      </c>
      <c r="E132" s="94"/>
      <c r="F132" s="95"/>
      <c r="G132" s="94"/>
      <c r="H132" s="99"/>
      <c r="I132" s="14" t="s">
        <v>150</v>
      </c>
      <c r="J132" s="27">
        <f>(IF(B125&gt;1,(H125/(B125+2)+J131),0))</f>
        <v>0</v>
      </c>
    </row>
    <row r="133" spans="1:10" ht="15" customHeight="1" x14ac:dyDescent="0.35">
      <c r="A133" s="89" t="s">
        <v>139</v>
      </c>
      <c r="B133" s="90" t="s">
        <v>136</v>
      </c>
      <c r="C133" s="62">
        <v>7</v>
      </c>
      <c r="D133" s="63">
        <f ca="1">((100/(H125))*C133)/100</f>
        <v>1</v>
      </c>
      <c r="E133" s="94"/>
      <c r="F133" s="95"/>
      <c r="G133" s="94"/>
      <c r="H133" s="99"/>
      <c r="I133" s="14" t="s">
        <v>147</v>
      </c>
      <c r="J133" s="27">
        <f>(IF(B125&gt;2,(H125/(B125+2)+J132),0))</f>
        <v>0</v>
      </c>
    </row>
    <row r="134" spans="1:10" ht="15.75" customHeight="1" x14ac:dyDescent="0.35">
      <c r="A134" s="89" t="s">
        <v>135</v>
      </c>
      <c r="B134" s="90" t="s">
        <v>135</v>
      </c>
      <c r="C134" s="62">
        <v>3</v>
      </c>
      <c r="D134" s="63">
        <f ca="1">((100/H125)*C134)/100</f>
        <v>0.4285714285714286</v>
      </c>
      <c r="E134" s="94"/>
      <c r="F134" s="95"/>
      <c r="G134" s="94"/>
      <c r="H134" s="99"/>
      <c r="I134" s="14" t="s">
        <v>148</v>
      </c>
      <c r="J134" s="28">
        <f>(IF(B125&gt;3,(H125/(B125+2)+J133),0))</f>
        <v>0</v>
      </c>
    </row>
    <row r="135" spans="1:10" ht="15.75" customHeight="1" x14ac:dyDescent="0.35">
      <c r="A135" s="89" t="s">
        <v>142</v>
      </c>
      <c r="B135" s="90"/>
      <c r="C135" s="62">
        <v>3</v>
      </c>
      <c r="D135" s="63">
        <f ca="1">((100/H125)*C135)/100</f>
        <v>0.4285714285714286</v>
      </c>
      <c r="E135" s="94"/>
      <c r="F135" s="95"/>
      <c r="G135" s="94"/>
      <c r="H135" s="99"/>
      <c r="I135" s="14" t="s">
        <v>149</v>
      </c>
      <c r="J135" s="27">
        <f>(IF(B125&gt;4,(H125/(B125+2)+J134),0))</f>
        <v>0</v>
      </c>
    </row>
    <row r="136" spans="1:10" ht="15.75" customHeight="1" x14ac:dyDescent="0.35">
      <c r="A136" s="89" t="s">
        <v>137</v>
      </c>
      <c r="B136" s="90" t="s">
        <v>137</v>
      </c>
      <c r="C136" s="62">
        <v>0</v>
      </c>
      <c r="D136" s="63">
        <f ca="1">((100/(H125))*C136)/100</f>
        <v>0</v>
      </c>
      <c r="E136" s="94"/>
      <c r="F136" s="95"/>
      <c r="G136" s="94"/>
      <c r="H136" s="99"/>
      <c r="I136" s="14" t="s">
        <v>151</v>
      </c>
      <c r="J136" s="27">
        <f ca="1">(IF(B125=1,(H125/(B125+3)+J131),IF(B125=0,(H125/4+J131),IF(B125&gt;1,0))))</f>
        <v>5.25</v>
      </c>
    </row>
    <row r="137" spans="1:10" ht="16" thickBot="1" x14ac:dyDescent="0.4">
      <c r="A137" s="101" t="s">
        <v>138</v>
      </c>
      <c r="B137" s="102"/>
      <c r="C137" s="64">
        <v>0</v>
      </c>
      <c r="D137" s="65">
        <f ca="1">((100/(H125))*C137)/100</f>
        <v>0</v>
      </c>
      <c r="E137" s="96"/>
      <c r="F137" s="97"/>
      <c r="G137" s="96"/>
      <c r="H137" s="100"/>
      <c r="I137" s="15" t="s">
        <v>107</v>
      </c>
      <c r="J137" s="29">
        <f ca="1">(IF(B125&gt;1.5,(H125/(B125+2)+J131+MAX(0,J132-J131)+MAX(0,J133-J132)+MAX(0,J134-J133)+MAX(0,J135-J134)+MAX(0,J136-J135)),IF(B125=1,(H125/(B125+3)+J136),IF(B125=0,H125/4+J136))))</f>
        <v>7</v>
      </c>
    </row>
    <row r="138" spans="1:10" ht="15.75" customHeight="1" x14ac:dyDescent="0.35">
      <c r="A138" s="80" t="s">
        <v>144</v>
      </c>
      <c r="B138" s="81"/>
      <c r="C138" s="82" t="s">
        <v>237</v>
      </c>
      <c r="D138" s="83"/>
      <c r="E138" s="83"/>
      <c r="F138" s="83"/>
      <c r="G138" s="83"/>
      <c r="H138" s="84"/>
      <c r="I138" s="42" t="str">
        <f ca="1">IF(D151=100%,"All work Completed. Possession granted to the Building.",IF(D150=100%,"All work Completed, Waiting for OC",I139&amp;""&amp;I140&amp;""&amp;J139&amp;""&amp;J138&amp;" "&amp;J140))</f>
        <v>Excavation, Plinth, RCC Slab, Brickwork, Internal Plaster Completed, External Plaster upto 4 Floor, Painting upto 1 Floor Completed</v>
      </c>
      <c r="J138" s="43" t="str">
        <f ca="1">(IF(C144=(D139+F139+H139),"",IF(C144&gt;0,", RCC upto "&amp;C144&amp;" Slab","")))&amp;(IF(C145=H139,"",IF(C145&gt;0,", Brickwork upto "&amp;C145&amp;" Floor","")))&amp;(IF(C146=H139,"",IF(C146&gt;0,", Internal Plaster upto "&amp;C146&amp;" Floor","")))&amp;(IF(C147=H139,"",IF(C147&gt;0,", External Plaster upto "&amp;C147&amp;" Floor","")))&amp;(IF(C148=H139,"",IF(C148&gt;0,", Flooring upto "&amp;C148&amp;" Floor","")))&amp;(IF(C149=H139,"",IF(C149&gt;0,", Painting upto "&amp;C149&amp;" Floor","")))&amp;(IF(C150=H139,"",IF(C150&gt;0,", Finishing upto "&amp;C150&amp;" Floor","")))&amp;(IF(C151=H139,"",IF(C151&gt;0,", Possession upto "&amp;C151&amp;" Floor","")))</f>
        <v>, External Plaster upto 4 Floor, Painting upto 1 Floor</v>
      </c>
    </row>
    <row r="139" spans="1:10" x14ac:dyDescent="0.35">
      <c r="A139" s="16" t="s">
        <v>146</v>
      </c>
      <c r="B139" s="72">
        <f>IF(AND(ISNUMBER(SEARCH("1B",C138))),1,IF(AND(ISNUMBER(SEARCH("2B",C138))),2,IF(AND(ISNUMBER(SEARCH("3B",C138))),3,IF(AND(ISNUMBER(SEARCH("4B",C138))),4,IF(ISNUMBER(SEARCH("5B",C138)),5,0)))))</f>
        <v>0</v>
      </c>
      <c r="C139" s="72" t="s">
        <v>74</v>
      </c>
      <c r="D139" s="72">
        <v>1</v>
      </c>
      <c r="E139" s="72" t="s">
        <v>73</v>
      </c>
      <c r="F139" s="72">
        <v>0</v>
      </c>
      <c r="G139" s="72" t="s">
        <v>82</v>
      </c>
      <c r="H139" s="17">
        <f ca="1">--TRIM(RIGHT(SUBSTITUTE(LEFT(C138,_xlfn.AGGREGATE(16,6,FIND({0,1,2,3,4,5,6,7,8,9},C138,ROW(INDIRECT("1:"&amp;LEN(C138)))),1))," ",REPT(" ",LEN(C138))),LEN(C138)))</f>
        <v>7</v>
      </c>
      <c r="I139" s="44" t="str">
        <f ca="1">IF(D142=100%,"Excavation","")&amp;IF(D143=100%,", Plinth","")&amp;IF(D144=100%,", RCC Slab","")&amp;IF(D145=100%,", Brickwork","")&amp;IF(D146=100%,", Internal Plaster","")&amp;IF(D147=100%,", External Plaster","")&amp;IF(D148=100%,", Flooring","")&amp;IF(D149=100%,", Painting","")&amp;IF(D150=100%,", Building common Amenities","")</f>
        <v>Excavation, Plinth, RCC Slab, Brickwork, Internal Plaster</v>
      </c>
      <c r="J139" s="45" t="str">
        <f ca="1">(IF(C142=0,"Work not yet Started.",IF(D142=25%,"Piling work in process",IF(D142=50%,"Excavation work in process",IF(D142=100%,"","0")))))&amp;(IF(C143=0%,"",IF(C143=J144,", Footing work is process",IF(C143=J145,", Footing work Completed",IF(C143=J146,", 1st Basement Completed",IF(C143=J147,", 1st &amp; 2nd Basement Completed",IF(C143=J148,", 1st to 3rd Basement Completed",IF(C143=J149,", 1st to 4th Basement Completed",IF(C143=J150,", Plinth work is process",IF(C143=J151,"","0"))))))))))</f>
        <v/>
      </c>
    </row>
    <row r="140" spans="1:10" ht="32.25" customHeight="1" x14ac:dyDescent="0.35">
      <c r="A140" s="85" t="s">
        <v>92</v>
      </c>
      <c r="B140" s="86"/>
      <c r="C140" s="87" t="str">
        <f ca="1">(IF($G$52="NA",I138,"All work Completed. OC Received."))</f>
        <v>Excavation, Plinth, RCC Slab, Brickwork, Internal Plaster Completed, External Plaster upto 4 Floor, Painting upto 1 Floor Completed</v>
      </c>
      <c r="D140" s="87"/>
      <c r="E140" s="87"/>
      <c r="F140" s="87"/>
      <c r="G140" s="87"/>
      <c r="H140" s="88"/>
      <c r="I140" s="44" t="str">
        <f ca="1">IF(I139&lt;&gt;""," Completed","")</f>
        <v xml:space="preserve"> Completed</v>
      </c>
      <c r="J140" s="45" t="str">
        <f ca="1">IF(J138&lt;&gt;"","Completed","")</f>
        <v>Completed</v>
      </c>
    </row>
    <row r="141" spans="1:10" ht="15.75" customHeight="1" x14ac:dyDescent="0.35">
      <c r="A141" s="89" t="s">
        <v>50</v>
      </c>
      <c r="B141" s="90"/>
      <c r="C141" s="71" t="s">
        <v>143</v>
      </c>
      <c r="D141" s="71" t="s">
        <v>85</v>
      </c>
      <c r="E141" s="90" t="s">
        <v>87</v>
      </c>
      <c r="F141" s="90"/>
      <c r="G141" s="90" t="s">
        <v>86</v>
      </c>
      <c r="H141" s="91"/>
      <c r="I141" s="14" t="s">
        <v>145</v>
      </c>
      <c r="J141" s="25">
        <f ca="1">H139*25%</f>
        <v>1.75</v>
      </c>
    </row>
    <row r="142" spans="1:10" x14ac:dyDescent="0.35">
      <c r="A142" s="90" t="s">
        <v>132</v>
      </c>
      <c r="B142" s="90"/>
      <c r="C142" s="78">
        <f ca="1">J143</f>
        <v>7</v>
      </c>
      <c r="D142" s="63">
        <f ca="1">((100/H139)*C142)/100</f>
        <v>1</v>
      </c>
      <c r="E142" s="201">
        <f ca="1">(((C143/H139*10)+(40/(D139+F139+H139)*C144)+(7.5/(H139)*C145)+(7.5/(H139)*C146)+(10/H139*C147)+(10/H139*C148)+(5/H139*C149)+(5/H139*C150)+(5/H139*C151))/100)</f>
        <v>0.71428571428571419</v>
      </c>
      <c r="F142" s="201"/>
      <c r="G142" s="201">
        <f ca="1">((((C142/H139)*20)+((C143/H139)*25)+(30/(H139+F139+D139)*C144)+(5/H139*C145)+(5/H139*C146)+(5/H139*C147)+(5/H139*C148)+(0/H139*C149)+(0/H139*C150)+(5/H139*C151))/100)</f>
        <v>0.87857142857142856</v>
      </c>
      <c r="H142" s="201"/>
      <c r="I142" s="14" t="s">
        <v>103</v>
      </c>
      <c r="J142" s="26">
        <f ca="1">H139*50%</f>
        <v>3.5</v>
      </c>
    </row>
    <row r="143" spans="1:10" x14ac:dyDescent="0.35">
      <c r="A143" s="90" t="s">
        <v>51</v>
      </c>
      <c r="B143" s="90"/>
      <c r="C143" s="66">
        <f ca="1">J151</f>
        <v>7</v>
      </c>
      <c r="D143" s="63">
        <f ca="1">((100/H139)*C143)/100</f>
        <v>1</v>
      </c>
      <c r="E143" s="201"/>
      <c r="F143" s="201"/>
      <c r="G143" s="201"/>
      <c r="H143" s="201"/>
      <c r="I143" s="14" t="s">
        <v>104</v>
      </c>
      <c r="J143" s="26">
        <f ca="1">H139</f>
        <v>7</v>
      </c>
    </row>
    <row r="144" spans="1:10" ht="15.75" customHeight="1" x14ac:dyDescent="0.35">
      <c r="A144" s="90" t="s">
        <v>133</v>
      </c>
      <c r="B144" s="90"/>
      <c r="C144" s="78">
        <v>8</v>
      </c>
      <c r="D144" s="63">
        <f ca="1">((100/(D139+F139+H139))*C144)/100</f>
        <v>1</v>
      </c>
      <c r="E144" s="201"/>
      <c r="F144" s="201"/>
      <c r="G144" s="201"/>
      <c r="H144" s="201"/>
      <c r="I144" s="14" t="s">
        <v>105</v>
      </c>
      <c r="J144" s="27">
        <f ca="1">(IF(B139&gt;1,(H139/(B139+2)),H139/4))</f>
        <v>1.75</v>
      </c>
    </row>
    <row r="145" spans="1:10" ht="15.75" customHeight="1" x14ac:dyDescent="0.35">
      <c r="A145" s="90" t="s">
        <v>140</v>
      </c>
      <c r="B145" s="90" t="s">
        <v>134</v>
      </c>
      <c r="C145" s="78">
        <v>7</v>
      </c>
      <c r="D145" s="63">
        <f ca="1">((100/H139)*C145)/100</f>
        <v>1</v>
      </c>
      <c r="E145" s="201"/>
      <c r="F145" s="201"/>
      <c r="G145" s="201"/>
      <c r="H145" s="201"/>
      <c r="I145" s="14" t="s">
        <v>106</v>
      </c>
      <c r="J145" s="27">
        <f ca="1">(IF(B139&gt;1,(H139/(B139+2)+J144),H139/4+J144))</f>
        <v>3.5</v>
      </c>
    </row>
    <row r="146" spans="1:10" ht="15.75" customHeight="1" x14ac:dyDescent="0.35">
      <c r="A146" s="90" t="s">
        <v>141</v>
      </c>
      <c r="B146" s="90" t="s">
        <v>134</v>
      </c>
      <c r="C146" s="78">
        <v>7</v>
      </c>
      <c r="D146" s="63">
        <f ca="1">((100/H139)*C146)/100</f>
        <v>1</v>
      </c>
      <c r="E146" s="201"/>
      <c r="F146" s="201"/>
      <c r="G146" s="201"/>
      <c r="H146" s="201"/>
      <c r="I146" s="14" t="s">
        <v>150</v>
      </c>
      <c r="J146" s="27">
        <f>(IF(B139&gt;1,(H139/(B139+2)+J145),0))</f>
        <v>0</v>
      </c>
    </row>
    <row r="147" spans="1:10" ht="15" customHeight="1" x14ac:dyDescent="0.35">
      <c r="A147" s="90" t="s">
        <v>139</v>
      </c>
      <c r="B147" s="90" t="s">
        <v>136</v>
      </c>
      <c r="C147" s="78">
        <v>4</v>
      </c>
      <c r="D147" s="63">
        <f ca="1">((100/(H139))*C147)/100</f>
        <v>0.57142857142857151</v>
      </c>
      <c r="E147" s="201"/>
      <c r="F147" s="201"/>
      <c r="G147" s="201"/>
      <c r="H147" s="201"/>
      <c r="I147" s="14" t="s">
        <v>147</v>
      </c>
      <c r="J147" s="27">
        <f>(IF(B139&gt;2,(H139/(B139+2)+J146),0))</f>
        <v>0</v>
      </c>
    </row>
    <row r="148" spans="1:10" ht="15.75" customHeight="1" x14ac:dyDescent="0.35">
      <c r="A148" s="90" t="s">
        <v>135</v>
      </c>
      <c r="B148" s="90" t="s">
        <v>135</v>
      </c>
      <c r="C148" s="78">
        <v>0</v>
      </c>
      <c r="D148" s="63">
        <f ca="1">((100/H139)*C148)/100</f>
        <v>0</v>
      </c>
      <c r="E148" s="201"/>
      <c r="F148" s="201"/>
      <c r="G148" s="201"/>
      <c r="H148" s="201"/>
      <c r="I148" s="14" t="s">
        <v>148</v>
      </c>
      <c r="J148" s="28">
        <f>(IF(B139&gt;3,(H139/(B139+2)+J147),0))</f>
        <v>0</v>
      </c>
    </row>
    <row r="149" spans="1:10" ht="15.75" customHeight="1" x14ac:dyDescent="0.35">
      <c r="A149" s="90" t="s">
        <v>142</v>
      </c>
      <c r="B149" s="90"/>
      <c r="C149" s="78">
        <v>1</v>
      </c>
      <c r="D149" s="63">
        <f ca="1">((100/H139)*C149)/100</f>
        <v>0.14285714285714288</v>
      </c>
      <c r="E149" s="201"/>
      <c r="F149" s="201"/>
      <c r="G149" s="201"/>
      <c r="H149" s="201"/>
      <c r="I149" s="14" t="s">
        <v>149</v>
      </c>
      <c r="J149" s="27">
        <f>(IF(B139&gt;4,(H139/(B139+2)+J148),0))</f>
        <v>0</v>
      </c>
    </row>
    <row r="150" spans="1:10" ht="15.75" customHeight="1" x14ac:dyDescent="0.35">
      <c r="A150" s="90" t="s">
        <v>137</v>
      </c>
      <c r="B150" s="90" t="s">
        <v>137</v>
      </c>
      <c r="C150" s="78">
        <v>0</v>
      </c>
      <c r="D150" s="63">
        <f ca="1">((100/(H139))*C150)/100</f>
        <v>0</v>
      </c>
      <c r="E150" s="201"/>
      <c r="F150" s="201"/>
      <c r="G150" s="201"/>
      <c r="H150" s="201"/>
      <c r="I150" s="14" t="s">
        <v>151</v>
      </c>
      <c r="J150" s="27">
        <f ca="1">(IF(B139=1,(H139/(B139+3)+J145),IF(B139=0,(H139/4+J145),IF(B139&gt;1,0))))</f>
        <v>5.25</v>
      </c>
    </row>
    <row r="151" spans="1:10" ht="16" thickBot="1" x14ac:dyDescent="0.4">
      <c r="A151" s="90" t="s">
        <v>138</v>
      </c>
      <c r="B151" s="90"/>
      <c r="C151" s="78">
        <v>0</v>
      </c>
      <c r="D151" s="63">
        <f ca="1">((100/(H139))*C151)/100</f>
        <v>0</v>
      </c>
      <c r="E151" s="201"/>
      <c r="F151" s="201"/>
      <c r="G151" s="201"/>
      <c r="H151" s="201"/>
      <c r="I151" s="15" t="s">
        <v>107</v>
      </c>
      <c r="J151" s="29">
        <f ca="1">(IF(B139&gt;1.5,(H139/(B139+2)+J145+MAX(0,J146-J145)+MAX(0,J147-J146)+MAX(0,J148-J147)+MAX(0,J149-J148)+MAX(0,J150-J149)),IF(B139=1,(H139/(B139+3)+J150),IF(B139=0,H139/4+J150))))</f>
        <v>7</v>
      </c>
    </row>
    <row r="152" spans="1:10" ht="15.75" customHeight="1" x14ac:dyDescent="0.35">
      <c r="A152" s="87" t="s">
        <v>144</v>
      </c>
      <c r="B152" s="87"/>
      <c r="C152" s="87" t="str">
        <f>D60</f>
        <v>Building No. 2 Wing C = Gr + 1st to 7th Floor</v>
      </c>
      <c r="D152" s="87"/>
      <c r="E152" s="87"/>
      <c r="F152" s="87"/>
      <c r="G152" s="87"/>
      <c r="H152" s="87"/>
      <c r="I152" s="75" t="str">
        <f ca="1">IF(D165=100%,"All work Completed. Possession granted to the Building.",IF(D164=100%,"All work Completed, Waiting for OC",I153&amp;""&amp;I154&amp;""&amp;J153&amp;""&amp;J152&amp;" "&amp;J154))</f>
        <v>Excavation, Plinth, RCC Slab, Brickwork, Internal Plaster, External Plaster Completed, Painting upto 3 Floor Completed</v>
      </c>
      <c r="J152" s="43" t="str">
        <f ca="1">(IF(C158=(D153+F153+H153),"",IF(C158&gt;0,", RCC upto "&amp;C158&amp;" Slab","")))&amp;(IF(C159=H153,"",IF(C159&gt;0,", Brickwork upto "&amp;C159&amp;" Floor","")))&amp;(IF(C160=H153,"",IF(C160&gt;0,", Internal Plaster upto "&amp;C160&amp;" Floor","")))&amp;(IF(C161=H153,"",IF(C161&gt;0,", External Plaster upto "&amp;C161&amp;" Floor","")))&amp;(IF(C162=H153,"",IF(C162&gt;0,", Flooring upto "&amp;C162&amp;" Floor","")))&amp;(IF(C163=H153,"",IF(C163&gt;0,", Painting upto "&amp;C163&amp;" Floor","")))&amp;(IF(C164=H153,"",IF(C164&gt;0,", Finishing upto "&amp;C164&amp;" Floor","")))&amp;(IF(C165=H153,"",IF(C165&gt;0,", Possession upto "&amp;C165&amp;" Floor","")))</f>
        <v>, Painting upto 3 Floor</v>
      </c>
    </row>
    <row r="153" spans="1:10" x14ac:dyDescent="0.35">
      <c r="A153" s="79" t="s">
        <v>146</v>
      </c>
      <c r="B153" s="79">
        <f>IF(AND(ISNUMBER(SEARCH("1B",C152))),1,IF(AND(ISNUMBER(SEARCH("2B",C152))),2,IF(AND(ISNUMBER(SEARCH("3B",C152))),3,IF(AND(ISNUMBER(SEARCH("4B",C152))),4,IF(ISNUMBER(SEARCH("5B",C152)),5,0)))))</f>
        <v>0</v>
      </c>
      <c r="C153" s="79" t="s">
        <v>74</v>
      </c>
      <c r="D153" s="79">
        <v>1</v>
      </c>
      <c r="E153" s="79" t="s">
        <v>73</v>
      </c>
      <c r="F153" s="79">
        <v>0</v>
      </c>
      <c r="G153" s="79" t="s">
        <v>82</v>
      </c>
      <c r="H153" s="79">
        <f ca="1">--TRIM(RIGHT(SUBSTITUTE(LEFT(C152,_xlfn.AGGREGATE(16,6,FIND({0,1,2,3,4,5,6,7,8,9},C152,ROW(INDIRECT("1:"&amp;LEN(C152)))),1))," ",REPT(" ",LEN(C152))),LEN(C152)))</f>
        <v>7</v>
      </c>
      <c r="I153" s="76" t="str">
        <f ca="1">IF(D156=100%,"Excavation","")&amp;IF(D157=100%,", Plinth","")&amp;IF(D158=100%,", RCC Slab","")&amp;IF(D159=100%,", Brickwork","")&amp;IF(D160=100%,", Internal Plaster","")&amp;IF(D161=100%,", External Plaster","")&amp;IF(D162=100%,", Flooring","")&amp;IF(D163=100%,", Painting","")&amp;IF(D164=100%,", Building common Amenities","")</f>
        <v>Excavation, Plinth, RCC Slab, Brickwork, Internal Plaster, External Plaster</v>
      </c>
      <c r="J153" s="45" t="str">
        <f ca="1">(IF(C156=0,"Work not yet Started.",IF(D156=25%,"Piling work in process",IF(D156=50%,"Excavation work in process",IF(D156=100%,"","0")))))&amp;(IF(C157=0%,"",IF(C157=J158,", Footing work is process",IF(C157=J159,", Footing work Completed",IF(C157=J160,", 1st Basement Completed",IF(C157=J161,", 1st &amp; 2nd Basement Completed",IF(C157=J162,", 1st to 3rd Basement Completed",IF(C157=J163,", 1st to 4th Basement Completed",IF(C157=J164,", Plinth work is process",IF(C157=J165,"","0"))))))))))</f>
        <v/>
      </c>
    </row>
    <row r="154" spans="1:10" ht="33" customHeight="1" x14ac:dyDescent="0.35">
      <c r="A154" s="86" t="s">
        <v>92</v>
      </c>
      <c r="B154" s="86"/>
      <c r="C154" s="87" t="str">
        <f ca="1">(IF($G$52="NA",I152,"All work Completed. OC Received."))</f>
        <v>Excavation, Plinth, RCC Slab, Brickwork, Internal Plaster, External Plaster Completed, Painting upto 3 Floor Completed</v>
      </c>
      <c r="D154" s="87"/>
      <c r="E154" s="87"/>
      <c r="F154" s="87"/>
      <c r="G154" s="87"/>
      <c r="H154" s="87"/>
      <c r="I154" s="76" t="str">
        <f ca="1">IF(I153&lt;&gt;""," Completed","")</f>
        <v xml:space="preserve"> Completed</v>
      </c>
      <c r="J154" s="45" t="str">
        <f ca="1">IF(J152&lt;&gt;"","Completed","")</f>
        <v>Completed</v>
      </c>
    </row>
    <row r="155" spans="1:10" ht="15.75" customHeight="1" x14ac:dyDescent="0.35">
      <c r="A155" s="90" t="s">
        <v>50</v>
      </c>
      <c r="B155" s="90"/>
      <c r="C155" s="78" t="s">
        <v>143</v>
      </c>
      <c r="D155" s="78" t="s">
        <v>85</v>
      </c>
      <c r="E155" s="90" t="s">
        <v>87</v>
      </c>
      <c r="F155" s="90"/>
      <c r="G155" s="90" t="s">
        <v>86</v>
      </c>
      <c r="H155" s="90"/>
      <c r="I155" s="14" t="s">
        <v>145</v>
      </c>
      <c r="J155" s="25">
        <f ca="1">H153*25%</f>
        <v>1.75</v>
      </c>
    </row>
    <row r="156" spans="1:10" x14ac:dyDescent="0.35">
      <c r="A156" s="90" t="s">
        <v>132</v>
      </c>
      <c r="B156" s="90"/>
      <c r="C156" s="78">
        <f ca="1">J157</f>
        <v>7</v>
      </c>
      <c r="D156" s="63">
        <f ca="1">((100/H153)*C156)/100</f>
        <v>1</v>
      </c>
      <c r="E156" s="201">
        <f ca="1">(((C157/H153*10)+(40/(D153+F153+H153)*C158)+(7.5/(H153)*C159)+(7.5/(H153)*C160)+(10/H153*C161)+(10/H153*C162)+(5/H153*C163)+(5/H153*C164)+(5/H153*C165))/100)</f>
        <v>0.77142857142857135</v>
      </c>
      <c r="F156" s="201"/>
      <c r="G156" s="201">
        <f ca="1">((((C156/H153)*20)+((C157/H153)*25)+(30/(H153+F153+D153)*C158)+(5/H153*C159)+(5/H153*C160)+(5/H153*C161)+(5/H153*C162)+(0/H153*C163)+(0/H153*C164)+(5/H153*C165))/100)</f>
        <v>0.9</v>
      </c>
      <c r="H156" s="201"/>
      <c r="I156" s="14" t="s">
        <v>103</v>
      </c>
      <c r="J156" s="26">
        <f ca="1">H153*50%</f>
        <v>3.5</v>
      </c>
    </row>
    <row r="157" spans="1:10" x14ac:dyDescent="0.35">
      <c r="A157" s="90" t="s">
        <v>51</v>
      </c>
      <c r="B157" s="90"/>
      <c r="C157" s="66">
        <f ca="1">J165</f>
        <v>7</v>
      </c>
      <c r="D157" s="63">
        <f ca="1">((100/H153)*C157)/100</f>
        <v>1</v>
      </c>
      <c r="E157" s="201"/>
      <c r="F157" s="201"/>
      <c r="G157" s="201"/>
      <c r="H157" s="201"/>
      <c r="I157" s="14" t="s">
        <v>104</v>
      </c>
      <c r="J157" s="26">
        <f ca="1">H153</f>
        <v>7</v>
      </c>
    </row>
    <row r="158" spans="1:10" ht="15.75" customHeight="1" x14ac:dyDescent="0.35">
      <c r="A158" s="90" t="s">
        <v>133</v>
      </c>
      <c r="B158" s="90"/>
      <c r="C158" s="78">
        <v>8</v>
      </c>
      <c r="D158" s="63">
        <f ca="1">((100/(D153+F153+H153))*C158)/100</f>
        <v>1</v>
      </c>
      <c r="E158" s="201"/>
      <c r="F158" s="201"/>
      <c r="G158" s="201"/>
      <c r="H158" s="201"/>
      <c r="I158" s="14" t="s">
        <v>105</v>
      </c>
      <c r="J158" s="27">
        <f ca="1">(IF(B153&gt;1,(H153/(B153+2)),H153/4))</f>
        <v>1.75</v>
      </c>
    </row>
    <row r="159" spans="1:10" ht="15.75" customHeight="1" x14ac:dyDescent="0.35">
      <c r="A159" s="90" t="s">
        <v>140</v>
      </c>
      <c r="B159" s="90" t="s">
        <v>134</v>
      </c>
      <c r="C159" s="78">
        <v>7</v>
      </c>
      <c r="D159" s="63">
        <f ca="1">((100/H153)*C159)/100</f>
        <v>1</v>
      </c>
      <c r="E159" s="201"/>
      <c r="F159" s="201"/>
      <c r="G159" s="201"/>
      <c r="H159" s="201"/>
      <c r="I159" s="14" t="s">
        <v>106</v>
      </c>
      <c r="J159" s="27">
        <f ca="1">(IF(B153&gt;1,(H153/(B153+2)+J158),H153/4+J158))</f>
        <v>3.5</v>
      </c>
    </row>
    <row r="160" spans="1:10" ht="15.75" customHeight="1" x14ac:dyDescent="0.35">
      <c r="A160" s="90" t="s">
        <v>141</v>
      </c>
      <c r="B160" s="90" t="s">
        <v>134</v>
      </c>
      <c r="C160" s="78">
        <v>7</v>
      </c>
      <c r="D160" s="63">
        <f ca="1">((100/H153)*C160)/100</f>
        <v>1</v>
      </c>
      <c r="E160" s="201"/>
      <c r="F160" s="201"/>
      <c r="G160" s="201"/>
      <c r="H160" s="201"/>
      <c r="I160" s="14" t="s">
        <v>150</v>
      </c>
      <c r="J160" s="27">
        <f>(IF(B153&gt;1,(H153/(B153+2)+J159),0))</f>
        <v>0</v>
      </c>
    </row>
    <row r="161" spans="1:10" ht="15" customHeight="1" x14ac:dyDescent="0.35">
      <c r="A161" s="90" t="s">
        <v>139</v>
      </c>
      <c r="B161" s="90" t="s">
        <v>136</v>
      </c>
      <c r="C161" s="78">
        <v>7</v>
      </c>
      <c r="D161" s="63">
        <f ca="1">((100/(H153))*C161)/100</f>
        <v>1</v>
      </c>
      <c r="E161" s="201"/>
      <c r="F161" s="201"/>
      <c r="G161" s="201"/>
      <c r="H161" s="201"/>
      <c r="I161" s="14" t="s">
        <v>147</v>
      </c>
      <c r="J161" s="27">
        <f>(IF(B153&gt;2,(H153/(B153+2)+J160),0))</f>
        <v>0</v>
      </c>
    </row>
    <row r="162" spans="1:10" ht="15.75" customHeight="1" x14ac:dyDescent="0.35">
      <c r="A162" s="90" t="s">
        <v>135</v>
      </c>
      <c r="B162" s="90" t="s">
        <v>135</v>
      </c>
      <c r="C162" s="78">
        <v>0</v>
      </c>
      <c r="D162" s="63">
        <f ca="1">((100/H153)*C162)/100</f>
        <v>0</v>
      </c>
      <c r="E162" s="201"/>
      <c r="F162" s="201"/>
      <c r="G162" s="201"/>
      <c r="H162" s="201"/>
      <c r="I162" s="14" t="s">
        <v>148</v>
      </c>
      <c r="J162" s="28">
        <f>(IF(B153&gt;3,(H153/(B153+2)+J161),0))</f>
        <v>0</v>
      </c>
    </row>
    <row r="163" spans="1:10" ht="15.75" customHeight="1" x14ac:dyDescent="0.35">
      <c r="A163" s="90" t="s">
        <v>142</v>
      </c>
      <c r="B163" s="90"/>
      <c r="C163" s="78">
        <v>3</v>
      </c>
      <c r="D163" s="63">
        <f ca="1">((100/H153)*C163)/100</f>
        <v>0.4285714285714286</v>
      </c>
      <c r="E163" s="201"/>
      <c r="F163" s="201"/>
      <c r="G163" s="201"/>
      <c r="H163" s="201"/>
      <c r="I163" s="14" t="s">
        <v>149</v>
      </c>
      <c r="J163" s="27">
        <f>(IF(B153&gt;4,(H153/(B153+2)+J162),0))</f>
        <v>0</v>
      </c>
    </row>
    <row r="164" spans="1:10" ht="15.75" customHeight="1" x14ac:dyDescent="0.35">
      <c r="A164" s="90" t="s">
        <v>137</v>
      </c>
      <c r="B164" s="90" t="s">
        <v>137</v>
      </c>
      <c r="C164" s="78">
        <v>0</v>
      </c>
      <c r="D164" s="63">
        <f ca="1">((100/(H153))*C164)/100</f>
        <v>0</v>
      </c>
      <c r="E164" s="201"/>
      <c r="F164" s="201"/>
      <c r="G164" s="201"/>
      <c r="H164" s="201"/>
      <c r="I164" s="14" t="s">
        <v>151</v>
      </c>
      <c r="J164" s="27">
        <f ca="1">(IF(B153=1,(H153/(B153+3)+J159),IF(B153=0,(H153/4+J159),IF(B153&gt;1,0))))</f>
        <v>5.25</v>
      </c>
    </row>
    <row r="165" spans="1:10" ht="16" thickBot="1" x14ac:dyDescent="0.4">
      <c r="A165" s="90" t="s">
        <v>138</v>
      </c>
      <c r="B165" s="90"/>
      <c r="C165" s="78">
        <v>0</v>
      </c>
      <c r="D165" s="63">
        <f ca="1">((100/(H153))*C165)/100</f>
        <v>0</v>
      </c>
      <c r="E165" s="201"/>
      <c r="F165" s="201"/>
      <c r="G165" s="201"/>
      <c r="H165" s="201"/>
      <c r="I165" s="15" t="s">
        <v>107</v>
      </c>
      <c r="J165" s="29">
        <f ca="1">(IF(B153&gt;1.5,(H153/(B153+2)+J159+MAX(0,J160-J159)+MAX(0,J161-J160)+MAX(0,J162-J161)+MAX(0,J163-J162)+MAX(0,J164-J163)),IF(B153=1,(H153/(B153+3)+J164),IF(B153=0,H153/4+J164))))</f>
        <v>7</v>
      </c>
    </row>
    <row r="166" spans="1:10" x14ac:dyDescent="0.35">
      <c r="A166" s="197" t="s">
        <v>161</v>
      </c>
      <c r="B166" s="197"/>
      <c r="C166" s="197"/>
      <c r="D166" s="197"/>
      <c r="E166" s="197"/>
      <c r="F166" s="196" t="s">
        <v>166</v>
      </c>
      <c r="G166" s="196"/>
      <c r="H166" s="196"/>
    </row>
    <row r="167" spans="1:10" x14ac:dyDescent="0.35">
      <c r="A167" s="126" t="s">
        <v>164</v>
      </c>
      <c r="B167" s="126"/>
      <c r="C167" s="126"/>
      <c r="D167" s="126"/>
      <c r="E167" s="126"/>
      <c r="F167" s="120">
        <v>4600</v>
      </c>
      <c r="G167" s="120"/>
      <c r="H167" s="120"/>
      <c r="I167" s="18" t="s">
        <v>239</v>
      </c>
    </row>
    <row r="168" spans="1:10" ht="16.5" customHeight="1" x14ac:dyDescent="0.35">
      <c r="A168" s="126" t="s">
        <v>163</v>
      </c>
      <c r="B168" s="126"/>
      <c r="C168" s="126"/>
      <c r="D168" s="126"/>
      <c r="E168" s="126"/>
      <c r="F168" s="136">
        <v>10000</v>
      </c>
      <c r="G168" s="136"/>
      <c r="H168" s="136"/>
    </row>
    <row r="169" spans="1:10" hidden="1" x14ac:dyDescent="0.35">
      <c r="A169" s="126" t="s">
        <v>165</v>
      </c>
      <c r="B169" s="126"/>
      <c r="C169" s="126"/>
      <c r="D169" s="126"/>
      <c r="E169" s="126"/>
      <c r="F169" s="136"/>
      <c r="G169" s="136"/>
      <c r="H169" s="136"/>
      <c r="J169" s="18">
        <v>4500</v>
      </c>
    </row>
    <row r="170" spans="1:10" s="30" customFormat="1" hidden="1" x14ac:dyDescent="0.3">
      <c r="A170" s="126" t="s">
        <v>162</v>
      </c>
      <c r="B170" s="126"/>
      <c r="C170" s="126"/>
      <c r="D170" s="126"/>
      <c r="E170" s="126"/>
      <c r="F170" s="136"/>
      <c r="G170" s="136"/>
      <c r="H170" s="136"/>
    </row>
    <row r="171" spans="1:10" s="30" customFormat="1" x14ac:dyDescent="0.3">
      <c r="A171" s="126" t="s">
        <v>97</v>
      </c>
      <c r="B171" s="126"/>
      <c r="C171" s="126"/>
      <c r="D171" s="126"/>
      <c r="E171" s="126"/>
      <c r="F171" s="136">
        <v>125000</v>
      </c>
      <c r="G171" s="136"/>
      <c r="H171" s="136"/>
    </row>
    <row r="172" spans="1:10" s="30" customFormat="1" x14ac:dyDescent="0.3">
      <c r="A172" s="126" t="s">
        <v>98</v>
      </c>
      <c r="B172" s="126"/>
      <c r="C172" s="126"/>
      <c r="D172" s="126"/>
      <c r="E172" s="126"/>
      <c r="F172" s="136">
        <v>75000</v>
      </c>
      <c r="G172" s="136"/>
      <c r="H172" s="136"/>
    </row>
    <row r="173" spans="1:10" s="30" customFormat="1" hidden="1" x14ac:dyDescent="0.3">
      <c r="A173" s="126" t="s">
        <v>167</v>
      </c>
      <c r="B173" s="126"/>
      <c r="C173" s="126"/>
      <c r="D173" s="126"/>
      <c r="E173" s="126"/>
      <c r="F173" s="136"/>
      <c r="G173" s="136"/>
      <c r="H173" s="136"/>
    </row>
    <row r="174" spans="1:10" s="30" customFormat="1" hidden="1" x14ac:dyDescent="0.3">
      <c r="A174" s="126" t="s">
        <v>99</v>
      </c>
      <c r="B174" s="126"/>
      <c r="C174" s="126"/>
      <c r="D174" s="126"/>
      <c r="E174" s="126"/>
      <c r="F174" s="136"/>
      <c r="G174" s="136"/>
      <c r="H174" s="136"/>
    </row>
    <row r="175" spans="1:10" s="30" customFormat="1" hidden="1" x14ac:dyDescent="0.3">
      <c r="A175" s="126" t="s">
        <v>100</v>
      </c>
      <c r="B175" s="126"/>
      <c r="C175" s="126"/>
      <c r="D175" s="126"/>
      <c r="E175" s="126"/>
      <c r="F175" s="136"/>
      <c r="G175" s="136"/>
      <c r="H175" s="136"/>
    </row>
    <row r="176" spans="1:10" s="30" customFormat="1" x14ac:dyDescent="0.3">
      <c r="A176" s="126" t="s">
        <v>101</v>
      </c>
      <c r="B176" s="126"/>
      <c r="C176" s="126"/>
      <c r="D176" s="126"/>
      <c r="E176" s="126"/>
      <c r="F176" s="136">
        <v>50000</v>
      </c>
      <c r="G176" s="136"/>
      <c r="H176" s="136"/>
    </row>
    <row r="177" spans="1:12" s="30" customFormat="1" ht="20.25" hidden="1" customHeight="1" x14ac:dyDescent="0.3">
      <c r="A177" s="126" t="s">
        <v>102</v>
      </c>
      <c r="B177" s="126"/>
      <c r="C177" s="126"/>
      <c r="D177" s="126"/>
      <c r="E177" s="126"/>
      <c r="F177" s="136"/>
      <c r="G177" s="136"/>
      <c r="H177" s="136"/>
    </row>
    <row r="178" spans="1:12" x14ac:dyDescent="0.35">
      <c r="A178" s="126" t="s">
        <v>52</v>
      </c>
      <c r="B178" s="126"/>
      <c r="C178" s="126"/>
      <c r="D178" s="126"/>
      <c r="E178" s="126"/>
      <c r="F178" s="136">
        <v>250000</v>
      </c>
      <c r="G178" s="136"/>
      <c r="H178" s="136"/>
    </row>
    <row r="179" spans="1:12" s="31" customFormat="1" x14ac:dyDescent="0.35">
      <c r="A179" s="167" t="s">
        <v>53</v>
      </c>
      <c r="B179" s="167"/>
      <c r="C179" s="167"/>
      <c r="D179" s="167"/>
      <c r="E179" s="167"/>
      <c r="F179" s="136">
        <f>F167*0.8</f>
        <v>3680</v>
      </c>
      <c r="G179" s="136"/>
      <c r="H179" s="136"/>
    </row>
    <row r="180" spans="1:12" s="32" customFormat="1" ht="15.75" customHeight="1" x14ac:dyDescent="0.35">
      <c r="A180" s="110" t="s">
        <v>218</v>
      </c>
      <c r="B180" s="110"/>
      <c r="C180" s="110"/>
      <c r="D180" s="110"/>
      <c r="E180" s="110"/>
      <c r="F180" s="110"/>
      <c r="G180" s="110"/>
      <c r="H180" s="110"/>
      <c r="J180" s="32" t="s">
        <v>227</v>
      </c>
    </row>
    <row r="181" spans="1:12" s="32" customFormat="1" ht="15.75" customHeight="1" x14ac:dyDescent="0.35">
      <c r="A181" s="138" t="s">
        <v>54</v>
      </c>
      <c r="B181" s="138"/>
      <c r="C181" s="137" t="s">
        <v>80</v>
      </c>
      <c r="D181" s="137"/>
      <c r="E181" s="139" t="s">
        <v>55</v>
      </c>
      <c r="F181" s="139"/>
      <c r="G181" s="138" t="s">
        <v>56</v>
      </c>
      <c r="H181" s="138"/>
      <c r="J181" s="68">
        <v>4500</v>
      </c>
      <c r="K181" s="67">
        <f>2950000/670</f>
        <v>4402.9850746268658</v>
      </c>
      <c r="L181" s="67">
        <f>2700000/670</f>
        <v>4029.8507462686566</v>
      </c>
    </row>
    <row r="182" spans="1:12" s="32" customFormat="1" x14ac:dyDescent="0.35">
      <c r="A182" s="114" t="s">
        <v>200</v>
      </c>
      <c r="B182" s="56" t="s">
        <v>202</v>
      </c>
      <c r="C182" s="106">
        <f>COUNT(D203:D211)</f>
        <v>9</v>
      </c>
      <c r="D182" s="107"/>
      <c r="E182" s="108">
        <f>SUM(D203:D211)</f>
        <v>1601.73702</v>
      </c>
      <c r="F182" s="109"/>
      <c r="G182" s="108">
        <f>SUM(F203:F211)</f>
        <v>2562.7792319999999</v>
      </c>
      <c r="H182" s="109"/>
      <c r="K182" s="67">
        <f>3000000/680</f>
        <v>4411.7647058823532</v>
      </c>
    </row>
    <row r="183" spans="1:12" s="32" customFormat="1" x14ac:dyDescent="0.35">
      <c r="A183" s="115"/>
      <c r="B183" s="56" t="s">
        <v>205</v>
      </c>
      <c r="C183" s="106">
        <f>COUNT(D214:D220)</f>
        <v>7</v>
      </c>
      <c r="D183" s="107"/>
      <c r="E183" s="108">
        <f>SUM(D214:D220)</f>
        <v>1323.4338</v>
      </c>
      <c r="F183" s="109"/>
      <c r="G183" s="108">
        <f>SUM(F214:F220)</f>
        <v>2117.4940799999999</v>
      </c>
      <c r="H183" s="109"/>
      <c r="K183" s="67">
        <f>3050000/690</f>
        <v>4420.289855072464</v>
      </c>
    </row>
    <row r="184" spans="1:12" s="32" customFormat="1" x14ac:dyDescent="0.35">
      <c r="A184" s="110" t="s">
        <v>154</v>
      </c>
      <c r="B184" s="110"/>
      <c r="C184" s="143">
        <f>SUM(C182:C183)</f>
        <v>16</v>
      </c>
      <c r="D184" s="137"/>
      <c r="E184" s="144">
        <f>SUM(E182:E183)</f>
        <v>2925.1708200000003</v>
      </c>
      <c r="F184" s="139"/>
      <c r="G184" s="138">
        <f>SUM(G182:G183)</f>
        <v>4680.2733119999994</v>
      </c>
      <c r="H184" s="138"/>
      <c r="K184" s="67">
        <f>4300000/980</f>
        <v>4387.7551020408164</v>
      </c>
    </row>
    <row r="185" spans="1:12" s="32" customFormat="1" x14ac:dyDescent="0.35">
      <c r="A185" s="110" t="s">
        <v>72</v>
      </c>
      <c r="B185" s="110"/>
      <c r="C185" s="110"/>
      <c r="D185" s="110"/>
      <c r="E185" s="110"/>
      <c r="F185" s="110"/>
      <c r="G185" s="110"/>
      <c r="H185" s="110"/>
      <c r="K185" s="67">
        <f>4450000/1010</f>
        <v>4405.9405940594061</v>
      </c>
    </row>
    <row r="186" spans="1:12" s="32" customFormat="1" ht="15.75" customHeight="1" x14ac:dyDescent="0.35">
      <c r="A186" s="138" t="s">
        <v>54</v>
      </c>
      <c r="B186" s="138"/>
      <c r="C186" s="137" t="s">
        <v>80</v>
      </c>
      <c r="D186" s="137"/>
      <c r="E186" s="139" t="s">
        <v>55</v>
      </c>
      <c r="F186" s="139"/>
      <c r="G186" s="138" t="s">
        <v>56</v>
      </c>
      <c r="H186" s="138"/>
      <c r="K186" s="69">
        <f>AVERAGE(K181:K185)</f>
        <v>4405.7470663363811</v>
      </c>
    </row>
    <row r="187" spans="1:12" s="32" customFormat="1" x14ac:dyDescent="0.35">
      <c r="A187" s="114" t="s">
        <v>200</v>
      </c>
      <c r="B187" s="56" t="s">
        <v>202</v>
      </c>
      <c r="C187" s="106">
        <f>COUNT(D226:D229)+COUNT(D231:D234)*5</f>
        <v>24</v>
      </c>
      <c r="D187" s="106"/>
      <c r="E187" s="108">
        <f>SUM(D226:D229)+SUM(D231:D234)*5</f>
        <v>14608.900799999999</v>
      </c>
      <c r="F187" s="108"/>
      <c r="G187" s="108">
        <f>SUM(F226:F229)+SUM(F231:F234)*5</f>
        <v>24240</v>
      </c>
      <c r="H187" s="108"/>
    </row>
    <row r="188" spans="1:12" s="32" customFormat="1" x14ac:dyDescent="0.35">
      <c r="A188" s="116"/>
      <c r="B188" s="56" t="s">
        <v>205</v>
      </c>
      <c r="C188" s="106">
        <f>COUNT(D237:D242)+COUNT(D244:D249)*5</f>
        <v>36</v>
      </c>
      <c r="D188" s="106"/>
      <c r="E188" s="108">
        <f>SUM(D237:D242)+SUM(D244:D249)*5</f>
        <v>15823.725840000001</v>
      </c>
      <c r="F188" s="108"/>
      <c r="G188" s="108">
        <f>SUM(F237:F242)+SUM(F244:F249)*5</f>
        <v>26100</v>
      </c>
      <c r="H188" s="108"/>
    </row>
    <row r="189" spans="1:12" s="32" customFormat="1" x14ac:dyDescent="0.35">
      <c r="A189" s="116"/>
      <c r="B189" s="56" t="s">
        <v>207</v>
      </c>
      <c r="C189" s="106">
        <f>COUNT(D253:D258)+COUNT(D260:D265)*6</f>
        <v>42</v>
      </c>
      <c r="D189" s="106"/>
      <c r="E189" s="108">
        <f>SUM(D253:D258)+SUM(D260:D265)*6</f>
        <v>18433.134720000002</v>
      </c>
      <c r="F189" s="108"/>
      <c r="G189" s="108">
        <f>SUM(F253:F258)+SUM(F260:F265)*6</f>
        <v>30450</v>
      </c>
      <c r="H189" s="108"/>
      <c r="I189" s="70" t="s">
        <v>228</v>
      </c>
    </row>
    <row r="190" spans="1:12" s="32" customFormat="1" x14ac:dyDescent="0.35">
      <c r="A190" s="115"/>
      <c r="B190" s="56" t="s">
        <v>209</v>
      </c>
      <c r="C190" s="106">
        <f>COUNT(D269:D274)+COUNT(D276:D281)*6</f>
        <v>42</v>
      </c>
      <c r="D190" s="106"/>
      <c r="E190" s="108">
        <f>SUM(D269:D274)+SUM(D276:D281)*6</f>
        <v>18957.180060000002</v>
      </c>
      <c r="F190" s="108"/>
      <c r="G190" s="108">
        <f>SUM(F269:F274)+SUM(F276:F281)*6</f>
        <v>30800</v>
      </c>
      <c r="H190" s="108"/>
    </row>
    <row r="191" spans="1:12" s="32" customFormat="1" x14ac:dyDescent="0.35">
      <c r="A191" s="114" t="s">
        <v>213</v>
      </c>
      <c r="B191" s="56" t="s">
        <v>202</v>
      </c>
      <c r="C191" s="106">
        <f>COUNT(D285:D288)+COUNT(D290:D296)*7</f>
        <v>53</v>
      </c>
      <c r="D191" s="106"/>
      <c r="E191" s="108">
        <f>SUM(D285:D288)+SUM(D290:D296)*7</f>
        <v>22215.335220000001</v>
      </c>
      <c r="F191" s="108"/>
      <c r="G191" s="108">
        <f>SUM(F285:F288)+SUM(F290:F296)*7</f>
        <v>36570</v>
      </c>
      <c r="H191" s="108"/>
    </row>
    <row r="192" spans="1:12" s="32" customFormat="1" x14ac:dyDescent="0.35">
      <c r="A192" s="116"/>
      <c r="B192" s="56" t="s">
        <v>205</v>
      </c>
      <c r="C192" s="106">
        <f>COUNT(D299:D300)+COUNT(D302:D305)*7</f>
        <v>30</v>
      </c>
      <c r="D192" s="106"/>
      <c r="E192" s="108">
        <f>SUM(D299:D300)+SUM(D302:D305)*7</f>
        <v>12554.3223</v>
      </c>
      <c r="F192" s="108"/>
      <c r="G192" s="108">
        <f>SUM(F299:F300)+SUM(F302:F305)*7</f>
        <v>20700</v>
      </c>
      <c r="H192" s="108"/>
    </row>
    <row r="193" spans="1:14" s="32" customFormat="1" x14ac:dyDescent="0.35">
      <c r="A193" s="115"/>
      <c r="B193" s="56" t="s">
        <v>207</v>
      </c>
      <c r="C193" s="106">
        <f>COUNT(D308:D309)+COUNT(D311:D314)*7</f>
        <v>30</v>
      </c>
      <c r="D193" s="106"/>
      <c r="E193" s="108">
        <f>SUM(D308:D309)+SUM(D311:D314)*7</f>
        <v>12554.3223</v>
      </c>
      <c r="F193" s="108"/>
      <c r="G193" s="108">
        <f>SUM(F308:F309)+SUM(F311:F314)*7</f>
        <v>20700</v>
      </c>
      <c r="H193" s="108"/>
    </row>
    <row r="194" spans="1:14" s="32" customFormat="1" ht="16" thickBot="1" x14ac:dyDescent="0.4">
      <c r="A194" s="158" t="s">
        <v>154</v>
      </c>
      <c r="B194" s="158"/>
      <c r="C194" s="149">
        <f>SUM(C187:C193)</f>
        <v>257</v>
      </c>
      <c r="D194" s="150"/>
      <c r="E194" s="159">
        <f>SUM(E187:E193)</f>
        <v>115146.92124</v>
      </c>
      <c r="F194" s="160"/>
      <c r="G194" s="146">
        <f>SUM(G187:G193)</f>
        <v>189560</v>
      </c>
      <c r="H194" s="146"/>
    </row>
    <row r="195" spans="1:14" s="32" customFormat="1" ht="16" thickBot="1" x14ac:dyDescent="0.4">
      <c r="A195" s="151" t="s">
        <v>172</v>
      </c>
      <c r="B195" s="152"/>
      <c r="C195" s="153">
        <f>C184+C194</f>
        <v>273</v>
      </c>
      <c r="D195" s="153"/>
      <c r="E195" s="154">
        <f>E184+E194</f>
        <v>118072.09206</v>
      </c>
      <c r="F195" s="154"/>
      <c r="G195" s="155">
        <f>G184+G194</f>
        <v>194240.273312</v>
      </c>
      <c r="H195" s="156"/>
    </row>
    <row r="196" spans="1:14" s="31" customFormat="1" x14ac:dyDescent="0.35">
      <c r="A196" s="196" t="s">
        <v>57</v>
      </c>
      <c r="B196" s="196"/>
      <c r="C196" s="196"/>
      <c r="D196" s="196"/>
      <c r="E196" s="196"/>
      <c r="F196" s="196"/>
      <c r="G196" s="196"/>
      <c r="H196" s="196"/>
    </row>
    <row r="197" spans="1:14" x14ac:dyDescent="0.35">
      <c r="A197" s="157" t="s">
        <v>58</v>
      </c>
      <c r="B197" s="157"/>
      <c r="C197" s="157"/>
      <c r="D197" s="157"/>
      <c r="E197" s="157"/>
      <c r="F197" s="157"/>
      <c r="G197" s="157"/>
      <c r="H197" s="157"/>
    </row>
    <row r="198" spans="1:14" ht="47.25" customHeight="1" x14ac:dyDescent="0.35">
      <c r="A198" s="147" t="s">
        <v>123</v>
      </c>
      <c r="B198" s="147" t="s">
        <v>122</v>
      </c>
      <c r="C198" s="147" t="s">
        <v>59</v>
      </c>
      <c r="D198" s="147" t="s">
        <v>60</v>
      </c>
      <c r="E198" s="192" t="s">
        <v>160</v>
      </c>
      <c r="F198" s="40" t="s">
        <v>153</v>
      </c>
      <c r="G198" s="141" t="s">
        <v>62</v>
      </c>
      <c r="H198" s="142"/>
    </row>
    <row r="199" spans="1:14" s="34" customFormat="1" x14ac:dyDescent="0.35">
      <c r="A199" s="148"/>
      <c r="B199" s="148"/>
      <c r="C199" s="148"/>
      <c r="D199" s="148"/>
      <c r="E199" s="193"/>
      <c r="F199" s="13">
        <v>0.6</v>
      </c>
      <c r="G199" s="194"/>
      <c r="H199" s="195"/>
    </row>
    <row r="200" spans="1:14" s="47" customFormat="1" x14ac:dyDescent="0.35">
      <c r="A200" s="117" t="s">
        <v>200</v>
      </c>
      <c r="B200" s="118"/>
      <c r="C200" s="118"/>
      <c r="D200" s="118"/>
      <c r="E200" s="118"/>
      <c r="F200" s="118"/>
      <c r="G200" s="118"/>
      <c r="H200" s="119"/>
      <c r="J200" s="33"/>
    </row>
    <row r="201" spans="1:14" s="47" customFormat="1" x14ac:dyDescent="0.35">
      <c r="A201" s="117" t="s">
        <v>202</v>
      </c>
      <c r="B201" s="118"/>
      <c r="C201" s="118"/>
      <c r="D201" s="118"/>
      <c r="E201" s="118"/>
      <c r="F201" s="118"/>
      <c r="G201" s="118"/>
      <c r="H201" s="119"/>
      <c r="J201" s="33"/>
    </row>
    <row r="202" spans="1:14" s="34" customFormat="1" ht="15.75" customHeight="1" x14ac:dyDescent="0.35">
      <c r="A202" s="117" t="s">
        <v>219</v>
      </c>
      <c r="B202" s="118"/>
      <c r="C202" s="118"/>
      <c r="D202" s="118"/>
      <c r="E202" s="118"/>
      <c r="F202" s="118"/>
      <c r="G202" s="118"/>
      <c r="H202" s="119"/>
      <c r="J202" s="33"/>
    </row>
    <row r="203" spans="1:14" s="34" customFormat="1" x14ac:dyDescent="0.35">
      <c r="A203" s="112">
        <v>1</v>
      </c>
      <c r="B203" s="113"/>
      <c r="C203" s="39" t="s">
        <v>201</v>
      </c>
      <c r="D203" s="50">
        <f>(8.35*2.7+2.65*0.55)*10.764</f>
        <v>258.36291</v>
      </c>
      <c r="E203" s="39">
        <v>0</v>
      </c>
      <c r="F203" s="39">
        <f>(D203+E203)*(($F$199)+1)</f>
        <v>413.38065600000004</v>
      </c>
      <c r="G203" s="112" t="str">
        <f>A202</f>
        <v>Ground Floor For Entrance Lobby, Commercial, Meter Room,  &amp; Parking</v>
      </c>
      <c r="H203" s="113"/>
      <c r="I203" s="33"/>
      <c r="J203" s="33">
        <v>10.763999999999999</v>
      </c>
      <c r="L203" s="111"/>
      <c r="M203" s="111"/>
      <c r="N203" s="33"/>
    </row>
    <row r="204" spans="1:14" s="34" customFormat="1" x14ac:dyDescent="0.35">
      <c r="A204" s="112">
        <f t="shared" ref="A204:A220" si="0">A203+1</f>
        <v>2</v>
      </c>
      <c r="B204" s="113"/>
      <c r="C204" s="46" t="s">
        <v>201</v>
      </c>
      <c r="D204" s="50">
        <f>(5.55*2.6+1.95*1.05)*10.764</f>
        <v>177.36380999999997</v>
      </c>
      <c r="E204" s="39">
        <v>0</v>
      </c>
      <c r="F204" s="39">
        <f>(D204+E204)*(($F$199)+1)</f>
        <v>283.78209599999997</v>
      </c>
      <c r="G204" s="112" t="str">
        <f t="shared" ref="G204:G220" si="1">G203</f>
        <v>Ground Floor For Entrance Lobby, Commercial, Meter Room,  &amp; Parking</v>
      </c>
      <c r="H204" s="113"/>
      <c r="I204" s="33"/>
      <c r="L204" s="111"/>
      <c r="M204" s="111"/>
      <c r="N204" s="33"/>
    </row>
    <row r="205" spans="1:14" s="34" customFormat="1" x14ac:dyDescent="0.35">
      <c r="A205" s="112">
        <f t="shared" si="0"/>
        <v>3</v>
      </c>
      <c r="B205" s="113"/>
      <c r="C205" s="46" t="s">
        <v>201</v>
      </c>
      <c r="D205" s="50">
        <f>(5.9*2.2+1.65*1.2)*10.764</f>
        <v>161.02944000000002</v>
      </c>
      <c r="E205" s="39">
        <v>0</v>
      </c>
      <c r="F205" s="39">
        <f>(D205+E205)*(($F$199)+1)</f>
        <v>257.64710400000007</v>
      </c>
      <c r="G205" s="112" t="str">
        <f t="shared" si="1"/>
        <v>Ground Floor For Entrance Lobby, Commercial, Meter Room,  &amp; Parking</v>
      </c>
      <c r="H205" s="113"/>
      <c r="I205" s="33"/>
      <c r="L205" s="111"/>
      <c r="M205" s="111"/>
      <c r="N205" s="33"/>
    </row>
    <row r="206" spans="1:14" s="34" customFormat="1" x14ac:dyDescent="0.35">
      <c r="A206" s="112">
        <f t="shared" si="0"/>
        <v>4</v>
      </c>
      <c r="B206" s="113"/>
      <c r="C206" s="46" t="s">
        <v>201</v>
      </c>
      <c r="D206" s="50">
        <f>(5.9*2.7)*10.764</f>
        <v>171.47051999999999</v>
      </c>
      <c r="E206" s="39">
        <v>0</v>
      </c>
      <c r="F206" s="39">
        <f>(D206+E206)*(($F$199)+1)</f>
        <v>274.35283199999998</v>
      </c>
      <c r="G206" s="112" t="str">
        <f t="shared" si="1"/>
        <v>Ground Floor For Entrance Lobby, Commercial, Meter Room,  &amp; Parking</v>
      </c>
      <c r="H206" s="113"/>
      <c r="I206" s="33"/>
      <c r="L206" s="111"/>
      <c r="M206" s="111"/>
      <c r="N206" s="33"/>
    </row>
    <row r="207" spans="1:14" s="47" customFormat="1" x14ac:dyDescent="0.35">
      <c r="A207" s="112">
        <f t="shared" si="0"/>
        <v>5</v>
      </c>
      <c r="B207" s="113"/>
      <c r="C207" s="46" t="s">
        <v>201</v>
      </c>
      <c r="D207" s="50">
        <f>(3.6*2.6)*10.764</f>
        <v>100.75104</v>
      </c>
      <c r="E207" s="46">
        <v>0</v>
      </c>
      <c r="F207" s="46">
        <f t="shared" ref="F207:F214" si="2">(D207+E207)*(($F$199)+1)</f>
        <v>161.20166400000002</v>
      </c>
      <c r="G207" s="112" t="str">
        <f t="shared" si="1"/>
        <v>Ground Floor For Entrance Lobby, Commercial, Meter Room,  &amp; Parking</v>
      </c>
      <c r="H207" s="113"/>
      <c r="I207" s="33"/>
      <c r="L207" s="111"/>
      <c r="M207" s="111"/>
      <c r="N207" s="33"/>
    </row>
    <row r="208" spans="1:14" s="47" customFormat="1" x14ac:dyDescent="0.35">
      <c r="A208" s="112">
        <f t="shared" si="0"/>
        <v>6</v>
      </c>
      <c r="B208" s="113"/>
      <c r="C208" s="46" t="s">
        <v>201</v>
      </c>
      <c r="D208" s="50">
        <f>(5.9*2.7+1.8*0.7)*10.764</f>
        <v>185.03316000000001</v>
      </c>
      <c r="E208" s="46">
        <v>0</v>
      </c>
      <c r="F208" s="46">
        <f t="shared" si="2"/>
        <v>296.05305600000003</v>
      </c>
      <c r="G208" s="112" t="str">
        <f t="shared" si="1"/>
        <v>Ground Floor For Entrance Lobby, Commercial, Meter Room,  &amp; Parking</v>
      </c>
      <c r="H208" s="113"/>
      <c r="I208" s="33"/>
      <c r="L208" s="111"/>
      <c r="M208" s="111"/>
      <c r="N208" s="33"/>
    </row>
    <row r="209" spans="1:14" s="47" customFormat="1" x14ac:dyDescent="0.35">
      <c r="A209" s="112">
        <f t="shared" si="0"/>
        <v>7</v>
      </c>
      <c r="B209" s="113"/>
      <c r="C209" s="46" t="s">
        <v>201</v>
      </c>
      <c r="D209" s="50">
        <f>(5.9*2.2+1.65*1.2)*10.764</f>
        <v>161.02944000000002</v>
      </c>
      <c r="E209" s="46">
        <v>0</v>
      </c>
      <c r="F209" s="46">
        <f t="shared" si="2"/>
        <v>257.64710400000007</v>
      </c>
      <c r="G209" s="112" t="str">
        <f t="shared" si="1"/>
        <v>Ground Floor For Entrance Lobby, Commercial, Meter Room,  &amp; Parking</v>
      </c>
      <c r="H209" s="113"/>
      <c r="I209" s="33"/>
      <c r="L209" s="111"/>
      <c r="M209" s="111"/>
      <c r="N209" s="33"/>
    </row>
    <row r="210" spans="1:14" s="47" customFormat="1" x14ac:dyDescent="0.35">
      <c r="A210" s="112">
        <f t="shared" si="0"/>
        <v>8</v>
      </c>
      <c r="B210" s="113"/>
      <c r="C210" s="46" t="s">
        <v>201</v>
      </c>
      <c r="D210" s="50">
        <f>(5.55*2.6+1.2*1.6)*10.764</f>
        <v>175.9914</v>
      </c>
      <c r="E210" s="46">
        <v>0</v>
      </c>
      <c r="F210" s="46">
        <f t="shared" si="2"/>
        <v>281.58624000000003</v>
      </c>
      <c r="G210" s="112" t="str">
        <f t="shared" si="1"/>
        <v>Ground Floor For Entrance Lobby, Commercial, Meter Room,  &amp; Parking</v>
      </c>
      <c r="H210" s="113"/>
      <c r="I210" s="33"/>
      <c r="L210" s="111"/>
      <c r="M210" s="111"/>
      <c r="N210" s="33"/>
    </row>
    <row r="211" spans="1:14" s="47" customFormat="1" x14ac:dyDescent="0.35">
      <c r="A211" s="112">
        <f t="shared" si="0"/>
        <v>9</v>
      </c>
      <c r="B211" s="113"/>
      <c r="C211" s="46" t="s">
        <v>201</v>
      </c>
      <c r="D211" s="50">
        <f>(7.25*2.7)*10.764</f>
        <v>210.70530000000002</v>
      </c>
      <c r="E211" s="46">
        <v>0</v>
      </c>
      <c r="F211" s="46">
        <f t="shared" si="2"/>
        <v>337.12848000000008</v>
      </c>
      <c r="G211" s="112" t="str">
        <f t="shared" si="1"/>
        <v>Ground Floor For Entrance Lobby, Commercial, Meter Room,  &amp; Parking</v>
      </c>
      <c r="H211" s="113"/>
      <c r="I211" s="33"/>
      <c r="L211" s="111"/>
      <c r="M211" s="111"/>
      <c r="N211" s="33"/>
    </row>
    <row r="212" spans="1:14" s="51" customFormat="1" x14ac:dyDescent="0.35">
      <c r="A212" s="117" t="s">
        <v>205</v>
      </c>
      <c r="B212" s="118"/>
      <c r="C212" s="118"/>
      <c r="D212" s="118"/>
      <c r="E212" s="118"/>
      <c r="F212" s="118"/>
      <c r="G212" s="118"/>
      <c r="H212" s="119"/>
      <c r="J212" s="33"/>
    </row>
    <row r="213" spans="1:14" s="51" customFormat="1" x14ac:dyDescent="0.35">
      <c r="A213" s="117" t="s">
        <v>219</v>
      </c>
      <c r="B213" s="118"/>
      <c r="C213" s="118"/>
      <c r="D213" s="118"/>
      <c r="E213" s="118"/>
      <c r="F213" s="118"/>
      <c r="G213" s="118"/>
      <c r="H213" s="119"/>
      <c r="J213" s="33"/>
    </row>
    <row r="214" spans="1:14" s="47" customFormat="1" x14ac:dyDescent="0.35">
      <c r="A214" s="112">
        <f>A211+1</f>
        <v>10</v>
      </c>
      <c r="B214" s="113"/>
      <c r="C214" s="46" t="s">
        <v>201</v>
      </c>
      <c r="D214" s="50">
        <f>(7.25*2.7)*10.764</f>
        <v>210.70530000000002</v>
      </c>
      <c r="E214" s="46">
        <v>0</v>
      </c>
      <c r="F214" s="46">
        <f t="shared" si="2"/>
        <v>337.12848000000008</v>
      </c>
      <c r="G214" s="112" t="str">
        <f>G211</f>
        <v>Ground Floor For Entrance Lobby, Commercial, Meter Room,  &amp; Parking</v>
      </c>
      <c r="H214" s="113"/>
      <c r="I214" s="33"/>
      <c r="L214" s="111"/>
      <c r="M214" s="111"/>
      <c r="N214" s="33"/>
    </row>
    <row r="215" spans="1:14" s="47" customFormat="1" x14ac:dyDescent="0.35">
      <c r="A215" s="112">
        <f t="shared" si="0"/>
        <v>11</v>
      </c>
      <c r="B215" s="113"/>
      <c r="C215" s="46" t="s">
        <v>201</v>
      </c>
      <c r="D215" s="50">
        <f>(5.6*2.1+2.15*1.2)*10.764</f>
        <v>154.35575999999998</v>
      </c>
      <c r="E215" s="46">
        <v>0</v>
      </c>
      <c r="F215" s="46">
        <f t="shared" ref="F215:F220" si="3">(D215+E215)*(($F$199)+1)</f>
        <v>246.96921599999996</v>
      </c>
      <c r="G215" s="112" t="str">
        <f t="shared" si="1"/>
        <v>Ground Floor For Entrance Lobby, Commercial, Meter Room,  &amp; Parking</v>
      </c>
      <c r="H215" s="113"/>
      <c r="I215" s="33"/>
      <c r="L215" s="111"/>
      <c r="M215" s="111"/>
      <c r="N215" s="33"/>
    </row>
    <row r="216" spans="1:14" s="47" customFormat="1" x14ac:dyDescent="0.35">
      <c r="A216" s="112">
        <f t="shared" si="0"/>
        <v>12</v>
      </c>
      <c r="B216" s="113"/>
      <c r="C216" s="46" t="s">
        <v>201</v>
      </c>
      <c r="D216" s="50">
        <f>(5.55*2.7+1.8*1.3)*10.764</f>
        <v>186.48630000000003</v>
      </c>
      <c r="E216" s="46">
        <v>0</v>
      </c>
      <c r="F216" s="46">
        <f t="shared" si="3"/>
        <v>298.37808000000007</v>
      </c>
      <c r="G216" s="112" t="str">
        <f t="shared" si="1"/>
        <v>Ground Floor For Entrance Lobby, Commercial, Meter Room,  &amp; Parking</v>
      </c>
      <c r="H216" s="113"/>
      <c r="I216" s="33"/>
      <c r="L216" s="111"/>
      <c r="M216" s="111"/>
      <c r="N216" s="33"/>
    </row>
    <row r="217" spans="1:14" s="47" customFormat="1" x14ac:dyDescent="0.35">
      <c r="A217" s="112">
        <f t="shared" si="0"/>
        <v>13</v>
      </c>
      <c r="B217" s="113"/>
      <c r="C217" s="46" t="s">
        <v>201</v>
      </c>
      <c r="D217" s="50">
        <f>(7.5*2.85)*10.764</f>
        <v>230.08049999999997</v>
      </c>
      <c r="E217" s="46">
        <v>0</v>
      </c>
      <c r="F217" s="46">
        <f t="shared" si="3"/>
        <v>368.12879999999996</v>
      </c>
      <c r="G217" s="112" t="str">
        <f t="shared" si="1"/>
        <v>Ground Floor For Entrance Lobby, Commercial, Meter Room,  &amp; Parking</v>
      </c>
      <c r="H217" s="113"/>
      <c r="I217" s="33"/>
      <c r="L217" s="111"/>
      <c r="M217" s="111"/>
      <c r="N217" s="33"/>
    </row>
    <row r="218" spans="1:14" s="47" customFormat="1" x14ac:dyDescent="0.35">
      <c r="A218" s="112">
        <f t="shared" si="0"/>
        <v>14</v>
      </c>
      <c r="B218" s="113"/>
      <c r="C218" s="46" t="s">
        <v>201</v>
      </c>
      <c r="D218" s="50">
        <f>(5.55*2.15+1.85*1)*10.764</f>
        <v>148.35482999999999</v>
      </c>
      <c r="E218" s="46">
        <v>0</v>
      </c>
      <c r="F218" s="46">
        <f t="shared" si="3"/>
        <v>237.367728</v>
      </c>
      <c r="G218" s="112" t="str">
        <f t="shared" si="1"/>
        <v>Ground Floor For Entrance Lobby, Commercial, Meter Room,  &amp; Parking</v>
      </c>
      <c r="H218" s="113"/>
      <c r="I218" s="33"/>
      <c r="L218" s="111"/>
      <c r="M218" s="111"/>
      <c r="N218" s="33"/>
    </row>
    <row r="219" spans="1:14" s="47" customFormat="1" x14ac:dyDescent="0.35">
      <c r="A219" s="112">
        <f t="shared" si="0"/>
        <v>15</v>
      </c>
      <c r="B219" s="113"/>
      <c r="C219" s="46" t="s">
        <v>201</v>
      </c>
      <c r="D219" s="50">
        <f>(5.55*2.65)*10.764</f>
        <v>158.31152999999998</v>
      </c>
      <c r="E219" s="46">
        <v>0</v>
      </c>
      <c r="F219" s="46">
        <f t="shared" si="3"/>
        <v>253.29844799999998</v>
      </c>
      <c r="G219" s="112" t="str">
        <f t="shared" si="1"/>
        <v>Ground Floor For Entrance Lobby, Commercial, Meter Room,  &amp; Parking</v>
      </c>
      <c r="H219" s="113"/>
      <c r="I219" s="33"/>
      <c r="L219" s="111"/>
      <c r="M219" s="111"/>
      <c r="N219" s="33"/>
    </row>
    <row r="220" spans="1:14" s="47" customFormat="1" x14ac:dyDescent="0.35">
      <c r="A220" s="112">
        <f t="shared" si="0"/>
        <v>16</v>
      </c>
      <c r="B220" s="113"/>
      <c r="C220" s="46" t="s">
        <v>201</v>
      </c>
      <c r="D220" s="50">
        <f>(5.6*2.7+2.1*2.25+2*1)*10.764</f>
        <v>235.13957999999997</v>
      </c>
      <c r="E220" s="46">
        <v>0</v>
      </c>
      <c r="F220" s="46">
        <f t="shared" si="3"/>
        <v>376.22332799999998</v>
      </c>
      <c r="G220" s="112" t="str">
        <f t="shared" si="1"/>
        <v>Ground Floor For Entrance Lobby, Commercial, Meter Room,  &amp; Parking</v>
      </c>
      <c r="H220" s="113"/>
      <c r="I220" s="33"/>
      <c r="L220" s="111"/>
      <c r="M220" s="111"/>
      <c r="N220" s="33"/>
    </row>
    <row r="221" spans="1:14" s="34" customFormat="1" x14ac:dyDescent="0.35">
      <c r="A221" s="112"/>
      <c r="B221" s="145"/>
      <c r="C221" s="145"/>
      <c r="D221" s="145"/>
      <c r="E221" s="145"/>
      <c r="F221" s="145"/>
      <c r="G221" s="145"/>
      <c r="H221" s="113"/>
      <c r="I221" s="33"/>
      <c r="N221" s="33"/>
    </row>
    <row r="222" spans="1:14" ht="47.25" customHeight="1" x14ac:dyDescent="0.35">
      <c r="A222" s="55" t="s">
        <v>124</v>
      </c>
      <c r="B222" s="55" t="s">
        <v>125</v>
      </c>
      <c r="C222" s="53" t="s">
        <v>59</v>
      </c>
      <c r="D222" s="53" t="s">
        <v>60</v>
      </c>
      <c r="E222" s="54" t="s">
        <v>61</v>
      </c>
      <c r="F222" s="40" t="s">
        <v>217</v>
      </c>
      <c r="G222" s="141" t="s">
        <v>62</v>
      </c>
      <c r="H222" s="142"/>
      <c r="I222" s="33"/>
    </row>
    <row r="223" spans="1:14" s="47" customFormat="1" x14ac:dyDescent="0.35">
      <c r="A223" s="117" t="s">
        <v>200</v>
      </c>
      <c r="B223" s="118"/>
      <c r="C223" s="118"/>
      <c r="D223" s="118"/>
      <c r="E223" s="118"/>
      <c r="F223" s="118"/>
      <c r="G223" s="118"/>
      <c r="H223" s="119"/>
      <c r="J223" s="33"/>
    </row>
    <row r="224" spans="1:14" s="47" customFormat="1" x14ac:dyDescent="0.35">
      <c r="A224" s="117" t="s">
        <v>202</v>
      </c>
      <c r="B224" s="118"/>
      <c r="C224" s="118"/>
      <c r="D224" s="118"/>
      <c r="E224" s="118"/>
      <c r="F224" s="118"/>
      <c r="G224" s="118"/>
      <c r="H224" s="119"/>
      <c r="J224" s="33"/>
    </row>
    <row r="225" spans="1:14" s="34" customFormat="1" x14ac:dyDescent="0.35">
      <c r="A225" s="117" t="s">
        <v>204</v>
      </c>
      <c r="B225" s="118"/>
      <c r="C225" s="118"/>
      <c r="D225" s="118"/>
      <c r="E225" s="118"/>
      <c r="F225" s="118"/>
      <c r="G225" s="118"/>
      <c r="H225" s="119"/>
      <c r="J225" s="50">
        <v>10.763999999999999</v>
      </c>
    </row>
    <row r="226" spans="1:14" s="34" customFormat="1" x14ac:dyDescent="0.35">
      <c r="A226" s="112">
        <v>1</v>
      </c>
      <c r="B226" s="113"/>
      <c r="C226" s="39" t="s">
        <v>203</v>
      </c>
      <c r="D226" s="50">
        <f>(3.9*2.75+2.85*1+2.55*1+2.1*2.2+2.1*2.65+2.95*1.15+3.6*2.75+2*1.2+1.2*2.1+1.2*1.2+0.9*2.65+0.45*0.45+1*(2.85+2.3+2.85))*10.764</f>
        <v>608.7041999999999</v>
      </c>
      <c r="E226" s="50">
        <f>(6.865)*10.764</f>
        <v>73.894859999999994</v>
      </c>
      <c r="F226" s="39">
        <v>1010</v>
      </c>
      <c r="G226" s="112" t="str">
        <f>A225</f>
        <v>1st Floor For Residential</v>
      </c>
      <c r="H226" s="113"/>
      <c r="I226" s="33"/>
      <c r="L226" s="111"/>
      <c r="M226" s="111"/>
      <c r="N226" s="33"/>
    </row>
    <row r="227" spans="1:14" s="34" customFormat="1" x14ac:dyDescent="0.35">
      <c r="A227" s="112">
        <f>A226+1</f>
        <v>2</v>
      </c>
      <c r="B227" s="113"/>
      <c r="C227" s="46" t="s">
        <v>203</v>
      </c>
      <c r="D227" s="50">
        <f>(3.9*2.75+2.85*1+2.55*1+2.1*2.2+2.1*2.65+2.95*1.15+3.6*2.75+2*1.2+1.2*2.1+1.2*1.2+0.9*2.65+0.45*0.45+1*(2.85+2.3+2.85))*10.764</f>
        <v>608.7041999999999</v>
      </c>
      <c r="E227" s="50">
        <f>(6.865)*10.764</f>
        <v>73.894859999999994</v>
      </c>
      <c r="F227" s="52">
        <v>1010</v>
      </c>
      <c r="G227" s="112" t="str">
        <f>G226</f>
        <v>1st Floor For Residential</v>
      </c>
      <c r="H227" s="113"/>
      <c r="I227" s="33"/>
      <c r="L227" s="111"/>
      <c r="M227" s="111"/>
      <c r="N227" s="33"/>
    </row>
    <row r="228" spans="1:14" s="34" customFormat="1" x14ac:dyDescent="0.35">
      <c r="A228" s="112">
        <f>A227+1</f>
        <v>3</v>
      </c>
      <c r="B228" s="113"/>
      <c r="C228" s="46" t="s">
        <v>203</v>
      </c>
      <c r="D228" s="50">
        <f>(3.9*2.75+2.85*1+2.55*1+2.1*2.2+2.1*2.65+2.95*1.15+3.6*2.75+2*1.2+1.2*2.1+1.2*1.2+0.9*2.65+0.45*0.45+1*(2.85+2.3+2.85))*10.764</f>
        <v>608.7041999999999</v>
      </c>
      <c r="E228" s="50">
        <f>(3.6*2.6)*10.764</f>
        <v>100.75104</v>
      </c>
      <c r="F228" s="52">
        <v>1010</v>
      </c>
      <c r="G228" s="112" t="str">
        <f>G227</f>
        <v>1st Floor For Residential</v>
      </c>
      <c r="H228" s="113"/>
      <c r="I228" s="33"/>
      <c r="J228" s="34">
        <f>(1.95*1.2+3.35*3.4)/2</f>
        <v>6.8650000000000002</v>
      </c>
      <c r="L228" s="111"/>
      <c r="M228" s="111"/>
      <c r="N228" s="33"/>
    </row>
    <row r="229" spans="1:14" s="34" customFormat="1" x14ac:dyDescent="0.35">
      <c r="A229" s="112">
        <f>A228+1</f>
        <v>4</v>
      </c>
      <c r="B229" s="113"/>
      <c r="C229" s="46" t="s">
        <v>203</v>
      </c>
      <c r="D229" s="50">
        <f>(3.9*2.75+2.85*1+2.55*1+2.1*2.2+2.1*2.65+2.95*1.15+3.6*2.75+2*1.2+1.2*2.1+1.2*1.2+0.9*2.65+0.45*0.45+1*(2.85+2.3+2.85))*10.764</f>
        <v>608.7041999999999</v>
      </c>
      <c r="E229" s="50">
        <v>0</v>
      </c>
      <c r="F229" s="52">
        <v>1010</v>
      </c>
      <c r="G229" s="112" t="str">
        <f>G228</f>
        <v>1st Floor For Residential</v>
      </c>
      <c r="H229" s="113"/>
      <c r="I229" s="33"/>
      <c r="L229" s="111"/>
      <c r="M229" s="111"/>
      <c r="N229" s="33"/>
    </row>
    <row r="230" spans="1:14" s="51" customFormat="1" x14ac:dyDescent="0.35">
      <c r="A230" s="117" t="s">
        <v>211</v>
      </c>
      <c r="B230" s="118"/>
      <c r="C230" s="118"/>
      <c r="D230" s="118"/>
      <c r="E230" s="118"/>
      <c r="F230" s="118"/>
      <c r="G230" s="118"/>
      <c r="H230" s="119"/>
      <c r="J230" s="50">
        <v>10.763999999999999</v>
      </c>
    </row>
    <row r="231" spans="1:14" s="51" customFormat="1" x14ac:dyDescent="0.35">
      <c r="A231" s="112">
        <v>1</v>
      </c>
      <c r="B231" s="113"/>
      <c r="C231" s="52" t="s">
        <v>203</v>
      </c>
      <c r="D231" s="50">
        <f>(3.9*2.75+2.85*1+2.55*1+2.1*2.2+2.1*2.65+2.95*1.15+3.6*2.75+2*1.2+1.2*2.1+1.2*1.2+0.9*2.65+0.45*0.45+1*(2.85+2.3+2.85))*10.764</f>
        <v>608.7041999999999</v>
      </c>
      <c r="E231" s="50">
        <v>0</v>
      </c>
      <c r="F231" s="52">
        <v>1010</v>
      </c>
      <c r="G231" s="112" t="str">
        <f>A230</f>
        <v>2nd to 6th Floor</v>
      </c>
      <c r="H231" s="113"/>
      <c r="I231" s="33"/>
      <c r="L231" s="111"/>
      <c r="M231" s="111"/>
      <c r="N231" s="33"/>
    </row>
    <row r="232" spans="1:14" s="51" customFormat="1" x14ac:dyDescent="0.35">
      <c r="A232" s="112">
        <f>A231+1</f>
        <v>2</v>
      </c>
      <c r="B232" s="113"/>
      <c r="C232" s="52" t="s">
        <v>203</v>
      </c>
      <c r="D232" s="50">
        <f>(3.9*2.75+2.85*1+2.55*1+2.1*2.2+2.1*2.65+2.95*1.15+3.6*2.75+2*1.2+1.2*2.1+1.2*1.2+0.9*2.65+0.45*0.45+1*(2.85+2.3+2.85))*10.764</f>
        <v>608.7041999999999</v>
      </c>
      <c r="E232" s="50">
        <v>0</v>
      </c>
      <c r="F232" s="52">
        <v>1010</v>
      </c>
      <c r="G232" s="112" t="str">
        <f>G231</f>
        <v>2nd to 6th Floor</v>
      </c>
      <c r="H232" s="113"/>
      <c r="I232" s="33"/>
      <c r="L232" s="111"/>
      <c r="M232" s="111"/>
      <c r="N232" s="33"/>
    </row>
    <row r="233" spans="1:14" s="51" customFormat="1" x14ac:dyDescent="0.35">
      <c r="A233" s="112">
        <f>A232+1</f>
        <v>3</v>
      </c>
      <c r="B233" s="113"/>
      <c r="C233" s="52" t="s">
        <v>203</v>
      </c>
      <c r="D233" s="50">
        <f>(3.9*2.75+2.85*1+2.55*1+2.1*2.2+2.1*2.65+2.95*1.15+3.6*2.75+2*1.2+1.2*2.1+1.2*1.2+0.9*2.65+0.45*0.45+1*(2.85+2.3+2.85))*10.764</f>
        <v>608.7041999999999</v>
      </c>
      <c r="E233" s="50">
        <v>0</v>
      </c>
      <c r="F233" s="52">
        <v>1010</v>
      </c>
      <c r="G233" s="112" t="str">
        <f>G232</f>
        <v>2nd to 6th Floor</v>
      </c>
      <c r="H233" s="113"/>
      <c r="I233" s="33"/>
      <c r="J233" s="51">
        <f>(1.95*1.2+3.35*3.4)/2</f>
        <v>6.8650000000000002</v>
      </c>
      <c r="L233" s="111"/>
      <c r="M233" s="111"/>
      <c r="N233" s="33"/>
    </row>
    <row r="234" spans="1:14" s="51" customFormat="1" x14ac:dyDescent="0.35">
      <c r="A234" s="112">
        <f>A233+1</f>
        <v>4</v>
      </c>
      <c r="B234" s="113"/>
      <c r="C234" s="52" t="s">
        <v>203</v>
      </c>
      <c r="D234" s="50">
        <f>(3.9*2.75+2.85*1+2.55*1+2.1*2.2+2.1*2.65+2.95*1.15+3.6*2.75+2*1.2+1.2*2.1+1.2*1.2+0.9*2.65+0.45*0.45+1*(2.85+2.3+2.85))*10.764</f>
        <v>608.7041999999999</v>
      </c>
      <c r="E234" s="50">
        <v>0</v>
      </c>
      <c r="F234" s="52">
        <v>1010</v>
      </c>
      <c r="G234" s="112" t="str">
        <f>G233</f>
        <v>2nd to 6th Floor</v>
      </c>
      <c r="H234" s="113"/>
      <c r="I234" s="33"/>
      <c r="L234" s="111"/>
      <c r="M234" s="111"/>
      <c r="N234" s="33"/>
    </row>
    <row r="235" spans="1:14" s="47" customFormat="1" x14ac:dyDescent="0.35">
      <c r="A235" s="117" t="s">
        <v>205</v>
      </c>
      <c r="B235" s="118"/>
      <c r="C235" s="118"/>
      <c r="D235" s="118"/>
      <c r="E235" s="118"/>
      <c r="F235" s="118"/>
      <c r="G235" s="118"/>
      <c r="H235" s="119"/>
      <c r="J235" s="33"/>
    </row>
    <row r="236" spans="1:14" s="47" customFormat="1" x14ac:dyDescent="0.35">
      <c r="A236" s="117" t="s">
        <v>204</v>
      </c>
      <c r="B236" s="118"/>
      <c r="C236" s="118"/>
      <c r="D236" s="118"/>
      <c r="E236" s="118"/>
      <c r="F236" s="118"/>
      <c r="G236" s="118"/>
      <c r="H236" s="119"/>
      <c r="J236" s="50">
        <v>10.763999999999999</v>
      </c>
      <c r="L236" s="33"/>
    </row>
    <row r="237" spans="1:14" s="47" customFormat="1" x14ac:dyDescent="0.35">
      <c r="A237" s="112">
        <v>1</v>
      </c>
      <c r="B237" s="113"/>
      <c r="C237" s="46" t="s">
        <v>206</v>
      </c>
      <c r="D237" s="50">
        <f>(4.25*2.75+2.3*2.1+2.2*2.75+2.85*1.25+1.5*1.2+1*1.5+1.4*1.2+0.9*0.9+(1.25*2.7)+(1*2.4))*10.764</f>
        <v>405.74897999999996</v>
      </c>
      <c r="E237" s="50">
        <v>0</v>
      </c>
      <c r="F237" s="46">
        <v>680</v>
      </c>
      <c r="G237" s="112" t="str">
        <f>A236</f>
        <v>1st Floor For Residential</v>
      </c>
      <c r="H237" s="113"/>
      <c r="I237" s="33">
        <f>2799000/F237</f>
        <v>4116.1764705882351</v>
      </c>
      <c r="J237" s="47">
        <f>3400000/F237</f>
        <v>5000</v>
      </c>
      <c r="L237" s="111"/>
      <c r="M237" s="111"/>
      <c r="N237" s="33"/>
    </row>
    <row r="238" spans="1:14" s="47" customFormat="1" x14ac:dyDescent="0.35">
      <c r="A238" s="112">
        <f>A237+1</f>
        <v>2</v>
      </c>
      <c r="B238" s="113"/>
      <c r="C238" s="46" t="s">
        <v>206</v>
      </c>
      <c r="D238" s="50">
        <f>(3.55*2.75+2.775*1+2.35*2.1+2.25*2.75+2.85*1.25+1.9*1.2+1*1.5+1.2*1.2+0.9*0.9+1*(2.775+2.4))*10.764</f>
        <v>413.63360999999998</v>
      </c>
      <c r="E238" s="50">
        <v>0</v>
      </c>
      <c r="F238" s="52">
        <v>680</v>
      </c>
      <c r="G238" s="112" t="str">
        <f>G237</f>
        <v>1st Floor For Residential</v>
      </c>
      <c r="H238" s="113"/>
      <c r="I238" s="33">
        <f>2799000/F238</f>
        <v>4116.1764705882351</v>
      </c>
      <c r="J238" s="57">
        <f>3400000/F238</f>
        <v>5000</v>
      </c>
      <c r="L238" s="111"/>
      <c r="M238" s="111"/>
      <c r="N238" s="33"/>
    </row>
    <row r="239" spans="1:14" s="47" customFormat="1" x14ac:dyDescent="0.35">
      <c r="A239" s="112">
        <f>A238+1</f>
        <v>3</v>
      </c>
      <c r="B239" s="113"/>
      <c r="C239" s="46" t="s">
        <v>203</v>
      </c>
      <c r="D239" s="50">
        <f>(3.55*2.9+2.925*1+2.1*2.2+2.15*2.65+2.95*1.1+3.6*2.75+1.2*2.1+1.2*2.1+0.9*4.4+1.45*0.55+(1.1*2.85)+1*(2.3+2.925))*10.764</f>
        <v>590.29776000000004</v>
      </c>
      <c r="E239" s="50">
        <v>0</v>
      </c>
      <c r="F239" s="46">
        <v>980</v>
      </c>
      <c r="G239" s="112" t="str">
        <f>G238</f>
        <v>1st Floor For Residential</v>
      </c>
      <c r="H239" s="113"/>
      <c r="I239" s="33">
        <f>4099000/F239</f>
        <v>4182.6530612244896</v>
      </c>
      <c r="J239" s="33">
        <f>4200000/F239</f>
        <v>4285.7142857142853</v>
      </c>
      <c r="L239" s="111"/>
      <c r="M239" s="111"/>
      <c r="N239" s="33"/>
    </row>
    <row r="240" spans="1:14" s="47" customFormat="1" x14ac:dyDescent="0.35">
      <c r="A240" s="112">
        <f>A239+1</f>
        <v>4</v>
      </c>
      <c r="B240" s="113"/>
      <c r="C240" s="46" t="s">
        <v>206</v>
      </c>
      <c r="D240" s="50">
        <f>(2.75*4.25+2.1*2.35+2.75*2.25+2.7*1.25+1.5*1+1.2*1.5+2.1*1.15+1.2*0.45+(2.85*1.1)+(2.4*1))*10.764</f>
        <v>408.7629</v>
      </c>
      <c r="E240" s="50">
        <v>0</v>
      </c>
      <c r="F240" s="46">
        <v>670</v>
      </c>
      <c r="G240" s="112" t="str">
        <f>G239</f>
        <v>1st Floor For Residential</v>
      </c>
      <c r="H240" s="113"/>
      <c r="I240" s="33"/>
      <c r="L240" s="111"/>
      <c r="M240" s="111"/>
      <c r="N240" s="33"/>
    </row>
    <row r="241" spans="1:14" s="47" customFormat="1" x14ac:dyDescent="0.35">
      <c r="A241" s="112">
        <f>A240+1</f>
        <v>5</v>
      </c>
      <c r="B241" s="113"/>
      <c r="C241" s="46" t="s">
        <v>206</v>
      </c>
      <c r="D241" s="50">
        <f>(2.75*4.25+2.1*2.35+2.75*2.25+2.815*1.25+1.5*1+1.2*1.5+2.1*1.15+1.2*0.45+(2.85*1.1)+(2.4*1))*10.764</f>
        <v>410.31022499999995</v>
      </c>
      <c r="E241" s="50">
        <v>0</v>
      </c>
      <c r="F241" s="52">
        <v>670</v>
      </c>
      <c r="G241" s="112" t="str">
        <f>G240</f>
        <v>1st Floor For Residential</v>
      </c>
      <c r="H241" s="113"/>
      <c r="I241" s="33"/>
      <c r="L241" s="111"/>
      <c r="M241" s="111"/>
      <c r="N241" s="33"/>
    </row>
    <row r="242" spans="1:14" s="47" customFormat="1" x14ac:dyDescent="0.35">
      <c r="A242" s="112">
        <f>A241+1</f>
        <v>6</v>
      </c>
      <c r="B242" s="113"/>
      <c r="C242" s="46" t="s">
        <v>206</v>
      </c>
      <c r="D242" s="50">
        <f>(2.75*4.25+2.1*2.35+2.75*2.25+2.815*1.25+1.5*1+1.2*1.5+2.1*1.15+1.2*0.45+(2.7*1.1)+(2.4*1))*10.764</f>
        <v>408.53416499999997</v>
      </c>
      <c r="E242" s="50">
        <v>0</v>
      </c>
      <c r="F242" s="52">
        <v>670</v>
      </c>
      <c r="G242" s="112" t="str">
        <f>G241</f>
        <v>1st Floor For Residential</v>
      </c>
      <c r="H242" s="113"/>
      <c r="I242" s="33"/>
      <c r="L242" s="111"/>
      <c r="M242" s="111"/>
      <c r="N242" s="33"/>
    </row>
    <row r="243" spans="1:14" s="51" customFormat="1" x14ac:dyDescent="0.35">
      <c r="A243" s="117" t="s">
        <v>211</v>
      </c>
      <c r="B243" s="118"/>
      <c r="C243" s="118"/>
      <c r="D243" s="118"/>
      <c r="E243" s="118"/>
      <c r="F243" s="118"/>
      <c r="G243" s="118"/>
      <c r="H243" s="119"/>
      <c r="J243" s="50">
        <v>10.763999999999999</v>
      </c>
    </row>
    <row r="244" spans="1:14" s="51" customFormat="1" x14ac:dyDescent="0.35">
      <c r="A244" s="112">
        <v>1</v>
      </c>
      <c r="B244" s="113"/>
      <c r="C244" s="52" t="s">
        <v>206</v>
      </c>
      <c r="D244" s="50">
        <f>(4.25*2.75+2.3*2.1+2.2*2.75+2.85*1.25+1.5*1.2+1*1.5+1.4*1.2+0.9*0.9+(1.25*2.7)+(1*2.4))*10.764</f>
        <v>405.74897999999996</v>
      </c>
      <c r="E244" s="50">
        <v>0</v>
      </c>
      <c r="F244" s="52">
        <v>680</v>
      </c>
      <c r="G244" s="112" t="str">
        <f>A243</f>
        <v>2nd to 6th Floor</v>
      </c>
      <c r="H244" s="113"/>
      <c r="I244" s="33"/>
      <c r="L244" s="111"/>
      <c r="M244" s="111"/>
      <c r="N244" s="33"/>
    </row>
    <row r="245" spans="1:14" s="51" customFormat="1" x14ac:dyDescent="0.35">
      <c r="A245" s="112">
        <f>A244+1</f>
        <v>2</v>
      </c>
      <c r="B245" s="113"/>
      <c r="C245" s="52" t="s">
        <v>206</v>
      </c>
      <c r="D245" s="50">
        <f>(3.55*2.75+2.775*1+2.35*2.1+2.25*2.75+2.85*1.25+1.9*1.2+1*1.5+1.2*1.2+0.9*0.9+1*(2.775+2.4))*10.764</f>
        <v>413.63360999999998</v>
      </c>
      <c r="E245" s="50">
        <v>0</v>
      </c>
      <c r="F245" s="52">
        <v>680</v>
      </c>
      <c r="G245" s="112" t="str">
        <f>G244</f>
        <v>2nd to 6th Floor</v>
      </c>
      <c r="H245" s="113"/>
      <c r="I245" s="33"/>
      <c r="L245" s="111"/>
      <c r="M245" s="111"/>
      <c r="N245" s="33"/>
    </row>
    <row r="246" spans="1:14" s="51" customFormat="1" x14ac:dyDescent="0.35">
      <c r="A246" s="112">
        <f>A245+1</f>
        <v>3</v>
      </c>
      <c r="B246" s="113"/>
      <c r="C246" s="52" t="s">
        <v>203</v>
      </c>
      <c r="D246" s="50">
        <f>(3.55*2.9+2.925*1+2.1*2.2+2.15*2.65+2.95*1.1+3.6*2.75+1.2*2.1+1.2*2.1+0.9*4.4+1.45*0.55+(1.1*2.85)+1*(2.3+2.925))*10.764</f>
        <v>590.29776000000004</v>
      </c>
      <c r="E246" s="50">
        <v>0</v>
      </c>
      <c r="F246" s="52">
        <v>980</v>
      </c>
      <c r="G246" s="112" t="str">
        <f>G245</f>
        <v>2nd to 6th Floor</v>
      </c>
      <c r="H246" s="113"/>
      <c r="I246" s="33"/>
      <c r="L246" s="111"/>
      <c r="M246" s="111"/>
      <c r="N246" s="33"/>
    </row>
    <row r="247" spans="1:14" s="51" customFormat="1" x14ac:dyDescent="0.35">
      <c r="A247" s="112">
        <f>A246+1</f>
        <v>4</v>
      </c>
      <c r="B247" s="113"/>
      <c r="C247" s="52" t="s">
        <v>206</v>
      </c>
      <c r="D247" s="50">
        <f>(2.75*4.25+2.1*2.35+2.75*2.25+2.7*1.25+1.5*1+1.2*1.5+2.1*1.15+1.2*0.45+(2.85*1.1)+(2.4*1))*10.764</f>
        <v>408.7629</v>
      </c>
      <c r="E247" s="50">
        <v>0</v>
      </c>
      <c r="F247" s="52">
        <v>670</v>
      </c>
      <c r="G247" s="112" t="str">
        <f>G246</f>
        <v>2nd to 6th Floor</v>
      </c>
      <c r="H247" s="113"/>
      <c r="I247" s="33"/>
      <c r="L247" s="111"/>
      <c r="M247" s="111"/>
      <c r="N247" s="33"/>
    </row>
    <row r="248" spans="1:14" s="51" customFormat="1" x14ac:dyDescent="0.35">
      <c r="A248" s="112">
        <f>A247+1</f>
        <v>5</v>
      </c>
      <c r="B248" s="113"/>
      <c r="C248" s="52" t="s">
        <v>206</v>
      </c>
      <c r="D248" s="50">
        <f>(2.75*4.25+2.1*2.35+2.75*2.25+2.815*1.25+1.5*1+1.2*1.5+2.1*1.15+1.2*0.45+(2.85*1.1)+(2.4*1))*10.764</f>
        <v>410.31022499999995</v>
      </c>
      <c r="E248" s="50">
        <v>0</v>
      </c>
      <c r="F248" s="52">
        <v>670</v>
      </c>
      <c r="G248" s="112" t="str">
        <f>G247</f>
        <v>2nd to 6th Floor</v>
      </c>
      <c r="H248" s="113"/>
      <c r="I248" s="33"/>
      <c r="L248" s="111"/>
      <c r="M248" s="111"/>
      <c r="N248" s="33"/>
    </row>
    <row r="249" spans="1:14" s="51" customFormat="1" x14ac:dyDescent="0.35">
      <c r="A249" s="112">
        <f>A248+1</f>
        <v>6</v>
      </c>
      <c r="B249" s="113"/>
      <c r="C249" s="52" t="s">
        <v>206</v>
      </c>
      <c r="D249" s="50">
        <f>(2.75*4.25+2.1*2.35+2.75*2.25+2.815*1.25+1.5*1+1.2*1.5+2.1*1.15+1.2*0.45+(2.7*1.1)+(2.4*1))*10.764</f>
        <v>408.53416499999997</v>
      </c>
      <c r="E249" s="50">
        <v>0</v>
      </c>
      <c r="F249" s="52">
        <v>670</v>
      </c>
      <c r="G249" s="112" t="str">
        <f>G248</f>
        <v>2nd to 6th Floor</v>
      </c>
      <c r="H249" s="113"/>
      <c r="I249" s="33"/>
      <c r="L249" s="111"/>
      <c r="M249" s="111"/>
      <c r="N249" s="33"/>
    </row>
    <row r="250" spans="1:14" s="49" customFormat="1" x14ac:dyDescent="0.35">
      <c r="A250" s="117" t="s">
        <v>207</v>
      </c>
      <c r="B250" s="118"/>
      <c r="C250" s="118"/>
      <c r="D250" s="118"/>
      <c r="E250" s="118"/>
      <c r="F250" s="118"/>
      <c r="G250" s="118"/>
      <c r="H250" s="119"/>
      <c r="I250" s="111"/>
      <c r="J250" s="111"/>
    </row>
    <row r="251" spans="1:14" s="49" customFormat="1" x14ac:dyDescent="0.35">
      <c r="A251" s="117" t="s">
        <v>208</v>
      </c>
      <c r="B251" s="118"/>
      <c r="C251" s="118"/>
      <c r="D251" s="118"/>
      <c r="E251" s="118"/>
      <c r="F251" s="118"/>
      <c r="G251" s="118"/>
      <c r="H251" s="119"/>
      <c r="I251" s="111"/>
      <c r="J251" s="111"/>
    </row>
    <row r="252" spans="1:14" s="49" customFormat="1" x14ac:dyDescent="0.35">
      <c r="A252" s="117" t="s">
        <v>204</v>
      </c>
      <c r="B252" s="118"/>
      <c r="C252" s="118"/>
      <c r="D252" s="118"/>
      <c r="E252" s="118"/>
      <c r="F252" s="118"/>
      <c r="G252" s="118"/>
      <c r="H252" s="119"/>
      <c r="J252" s="50">
        <v>10.763999999999999</v>
      </c>
    </row>
    <row r="253" spans="1:14" s="49" customFormat="1" x14ac:dyDescent="0.35">
      <c r="A253" s="112">
        <v>1</v>
      </c>
      <c r="B253" s="113"/>
      <c r="C253" s="48" t="s">
        <v>206</v>
      </c>
      <c r="D253" s="50">
        <f>(2.75*4.25+2.1*2.35+2.75*2.25+2.815*1.25+1.5*1+1.2*1.5+2.1*1.15+1.2*0.45+(2.7*1.1)+(2.4*1))*10.764</f>
        <v>408.53416499999997</v>
      </c>
      <c r="E253" s="50">
        <v>0</v>
      </c>
      <c r="F253" s="48">
        <v>670</v>
      </c>
      <c r="G253" s="112" t="str">
        <f>A252</f>
        <v>1st Floor For Residential</v>
      </c>
      <c r="H253" s="113"/>
      <c r="I253" s="33"/>
      <c r="L253" s="111"/>
      <c r="M253" s="111"/>
      <c r="N253" s="33"/>
    </row>
    <row r="254" spans="1:14" s="49" customFormat="1" x14ac:dyDescent="0.35">
      <c r="A254" s="112">
        <f>A253+1</f>
        <v>2</v>
      </c>
      <c r="B254" s="113"/>
      <c r="C254" s="48" t="s">
        <v>206</v>
      </c>
      <c r="D254" s="50">
        <f>(2.75*4.25+2.1*2.35+2.75*2.25+2.815*1.25+1.5*1+1.2*1.5+2.1*1.15+1.2*0.45+(2.85*1.1)+(2.4*1))*10.764</f>
        <v>410.31022499999995</v>
      </c>
      <c r="E254" s="50">
        <v>0</v>
      </c>
      <c r="F254" s="52">
        <v>670</v>
      </c>
      <c r="G254" s="112" t="str">
        <f>G253</f>
        <v>1st Floor For Residential</v>
      </c>
      <c r="H254" s="113"/>
      <c r="I254" s="33"/>
      <c r="L254" s="111"/>
      <c r="M254" s="111"/>
      <c r="N254" s="33"/>
    </row>
    <row r="255" spans="1:14" s="49" customFormat="1" x14ac:dyDescent="0.35">
      <c r="A255" s="112">
        <f>A254+1</f>
        <v>3</v>
      </c>
      <c r="B255" s="113"/>
      <c r="C255" s="52" t="s">
        <v>206</v>
      </c>
      <c r="D255" s="50">
        <f>(2.75*4.25+2.1*2.35+2.75*2.25+2.7*1.25+1.5*1+1.2*1.5+2.1*1.15+1.2*0.45+(2.85*1.1)+(2.4*1))*10.764</f>
        <v>408.7629</v>
      </c>
      <c r="E255" s="50">
        <v>0</v>
      </c>
      <c r="F255" s="52">
        <v>670</v>
      </c>
      <c r="G255" s="112" t="str">
        <f>G254</f>
        <v>1st Floor For Residential</v>
      </c>
      <c r="H255" s="113"/>
      <c r="I255" s="33"/>
      <c r="L255" s="111"/>
      <c r="M255" s="111"/>
      <c r="N255" s="33"/>
    </row>
    <row r="256" spans="1:14" s="49" customFormat="1" x14ac:dyDescent="0.35">
      <c r="A256" s="112">
        <f>A255+1</f>
        <v>4</v>
      </c>
      <c r="B256" s="113"/>
      <c r="C256" s="48" t="s">
        <v>203</v>
      </c>
      <c r="D256" s="50">
        <f>(3.55*2.9+3*1+2.1*2.2+2.15*2.65+2.95*1.1+3.6*2.75+1.2*2.1+1.2*2.1+0.9*4.4+1.45*0.55+(1.1*2.85)+1*(2.3+3))*10.764</f>
        <v>591.91236000000004</v>
      </c>
      <c r="E256" s="50">
        <v>0</v>
      </c>
      <c r="F256" s="48">
        <v>980</v>
      </c>
      <c r="G256" s="112" t="str">
        <f>G255</f>
        <v>1st Floor For Residential</v>
      </c>
      <c r="H256" s="113"/>
      <c r="I256" s="33"/>
      <c r="L256" s="111"/>
      <c r="M256" s="111"/>
      <c r="N256" s="33"/>
    </row>
    <row r="257" spans="1:14" s="49" customFormat="1" x14ac:dyDescent="0.35">
      <c r="A257" s="112">
        <f>A256+1</f>
        <v>5</v>
      </c>
      <c r="B257" s="113"/>
      <c r="C257" s="48" t="s">
        <v>206</v>
      </c>
      <c r="D257" s="50">
        <f>(2.75*4.25+2.1*2.3+2.75*2.2+2.815*1.25+1.5*1+1.2*1.5+1.45*1.2+0.9*1+(2.7*1.25)+(2.4*1))*10.764</f>
        <v>406.89265499999993</v>
      </c>
      <c r="E257" s="50">
        <v>0</v>
      </c>
      <c r="F257" s="48">
        <v>680</v>
      </c>
      <c r="G257" s="112" t="str">
        <f>G256</f>
        <v>1st Floor For Residential</v>
      </c>
      <c r="H257" s="113"/>
      <c r="I257" s="33"/>
      <c r="L257" s="111"/>
      <c r="M257" s="111"/>
      <c r="N257" s="33"/>
    </row>
    <row r="258" spans="1:14" s="49" customFormat="1" x14ac:dyDescent="0.35">
      <c r="A258" s="112">
        <f>A257+1</f>
        <v>6</v>
      </c>
      <c r="B258" s="113"/>
      <c r="C258" s="48" t="s">
        <v>206</v>
      </c>
      <c r="D258" s="50">
        <f>(2.75*4.25+2.1*2.3+2.75*2.2+2.815*1.25+1.5*1+1.2*1.5+1.45*1.2+0.9*1+(2.7*1.25)+(2.4*1))*10.764</f>
        <v>406.89265499999993</v>
      </c>
      <c r="E258" s="50">
        <v>0</v>
      </c>
      <c r="F258" s="48">
        <v>680</v>
      </c>
      <c r="G258" s="112" t="str">
        <f>G257</f>
        <v>1st Floor For Residential</v>
      </c>
      <c r="H258" s="113"/>
      <c r="I258" s="33"/>
      <c r="L258" s="111"/>
      <c r="M258" s="111"/>
      <c r="N258" s="33"/>
    </row>
    <row r="259" spans="1:14" s="51" customFormat="1" x14ac:dyDescent="0.35">
      <c r="A259" s="117" t="s">
        <v>212</v>
      </c>
      <c r="B259" s="118"/>
      <c r="C259" s="118"/>
      <c r="D259" s="118"/>
      <c r="E259" s="118"/>
      <c r="F259" s="118"/>
      <c r="G259" s="118"/>
      <c r="H259" s="119"/>
      <c r="J259" s="50">
        <v>10.763999999999999</v>
      </c>
    </row>
    <row r="260" spans="1:14" s="51" customFormat="1" x14ac:dyDescent="0.35">
      <c r="A260" s="112">
        <v>1</v>
      </c>
      <c r="B260" s="113"/>
      <c r="C260" s="52" t="s">
        <v>206</v>
      </c>
      <c r="D260" s="50">
        <f>(2.75*4.25+2.1*2.35+2.75*2.25+2.815*1.25+1.5*1+1.2*1.5+2.1*1.15+1.2*0.45+(2.7*1.1)+(2.4*1))*10.764</f>
        <v>408.53416499999997</v>
      </c>
      <c r="E260" s="50">
        <v>0</v>
      </c>
      <c r="F260" s="52">
        <v>670</v>
      </c>
      <c r="G260" s="112" t="str">
        <f>A259</f>
        <v>2nd to 7th Floor</v>
      </c>
      <c r="H260" s="113"/>
      <c r="I260" s="33"/>
      <c r="L260" s="111"/>
      <c r="M260" s="111"/>
      <c r="N260" s="33"/>
    </row>
    <row r="261" spans="1:14" s="51" customFormat="1" x14ac:dyDescent="0.35">
      <c r="A261" s="112">
        <f>A260+1</f>
        <v>2</v>
      </c>
      <c r="B261" s="113"/>
      <c r="C261" s="52" t="s">
        <v>206</v>
      </c>
      <c r="D261" s="50">
        <f>(2.75*4.25+2.1*2.35+2.75*2.25+2.815*1.25+1.5*1+1.2*1.5+2.1*1.15+1.2*0.45+(2.85*1.1)+(2.4*1))*10.764</f>
        <v>410.31022499999995</v>
      </c>
      <c r="E261" s="50">
        <v>0</v>
      </c>
      <c r="F261" s="52">
        <v>670</v>
      </c>
      <c r="G261" s="112" t="str">
        <f>G260</f>
        <v>2nd to 7th Floor</v>
      </c>
      <c r="H261" s="113"/>
      <c r="I261" s="33"/>
      <c r="L261" s="111"/>
      <c r="M261" s="111"/>
      <c r="N261" s="33"/>
    </row>
    <row r="262" spans="1:14" s="51" customFormat="1" x14ac:dyDescent="0.35">
      <c r="A262" s="112">
        <f>A261+1</f>
        <v>3</v>
      </c>
      <c r="B262" s="113"/>
      <c r="C262" s="52" t="s">
        <v>206</v>
      </c>
      <c r="D262" s="50">
        <f>(2.75*4.25+2.1*2.35+2.75*2.25+2.7*1.25+1.5*1+1.2*1.5+2.1*1.15+1.2*0.45+(2.85*1.1)+(2.4*1))*10.764</f>
        <v>408.7629</v>
      </c>
      <c r="E262" s="50">
        <v>0</v>
      </c>
      <c r="F262" s="52">
        <v>670</v>
      </c>
      <c r="G262" s="112" t="str">
        <f>G261</f>
        <v>2nd to 7th Floor</v>
      </c>
      <c r="H262" s="113"/>
      <c r="I262" s="33"/>
      <c r="L262" s="111"/>
      <c r="M262" s="111"/>
      <c r="N262" s="33"/>
    </row>
    <row r="263" spans="1:14" s="51" customFormat="1" x14ac:dyDescent="0.35">
      <c r="A263" s="112">
        <f>A262+1</f>
        <v>4</v>
      </c>
      <c r="B263" s="113"/>
      <c r="C263" s="52" t="s">
        <v>203</v>
      </c>
      <c r="D263" s="50">
        <f>(3.55*2.9+3*1+2.1*2.2+2.15*2.65+2.95*1.1+3.6*2.75+1.2*2.1+1.2*2.1+0.9*4.4+1.45*0.55+(1.1*2.85)+1*(2.3+3))*10.764</f>
        <v>591.91236000000004</v>
      </c>
      <c r="E263" s="50">
        <v>0</v>
      </c>
      <c r="F263" s="52">
        <v>980</v>
      </c>
      <c r="G263" s="112" t="str">
        <f>G262</f>
        <v>2nd to 7th Floor</v>
      </c>
      <c r="H263" s="113"/>
      <c r="I263" s="33"/>
      <c r="L263" s="111"/>
      <c r="M263" s="111"/>
      <c r="N263" s="33"/>
    </row>
    <row r="264" spans="1:14" s="51" customFormat="1" x14ac:dyDescent="0.35">
      <c r="A264" s="112">
        <f>A263+1</f>
        <v>5</v>
      </c>
      <c r="B264" s="113"/>
      <c r="C264" s="52" t="s">
        <v>206</v>
      </c>
      <c r="D264" s="50">
        <f>(2.75*4.25+2.1*2.3+2.75*2.2+2.815*1.25+1.5*1+1.2*1.5+1.45*1.2+0.9*1+(2.7*1.25)+(2.4*1))*10.764</f>
        <v>406.89265499999993</v>
      </c>
      <c r="E264" s="50">
        <v>0</v>
      </c>
      <c r="F264" s="52">
        <v>680</v>
      </c>
      <c r="G264" s="112" t="str">
        <f>G263</f>
        <v>2nd to 7th Floor</v>
      </c>
      <c r="H264" s="113"/>
      <c r="I264" s="33"/>
      <c r="L264" s="111"/>
      <c r="M264" s="111"/>
      <c r="N264" s="33"/>
    </row>
    <row r="265" spans="1:14" s="51" customFormat="1" x14ac:dyDescent="0.35">
      <c r="A265" s="112">
        <f>A264+1</f>
        <v>6</v>
      </c>
      <c r="B265" s="113"/>
      <c r="C265" s="52" t="s">
        <v>206</v>
      </c>
      <c r="D265" s="50">
        <f>(2.75*4.25+2.1*2.3+2.75*2.2+2.815*1.25+1.5*1+1.2*1.5+1.45*1.2+0.9*1+(2.7*1.25)+(2.4*1))*10.764</f>
        <v>406.89265499999993</v>
      </c>
      <c r="E265" s="50">
        <v>0</v>
      </c>
      <c r="F265" s="52">
        <v>680</v>
      </c>
      <c r="G265" s="112" t="str">
        <f>G264</f>
        <v>2nd to 7th Floor</v>
      </c>
      <c r="H265" s="113"/>
      <c r="I265" s="33"/>
      <c r="L265" s="111"/>
      <c r="M265" s="111"/>
      <c r="N265" s="33"/>
    </row>
    <row r="266" spans="1:14" s="51" customFormat="1" x14ac:dyDescent="0.35">
      <c r="A266" s="117" t="s">
        <v>209</v>
      </c>
      <c r="B266" s="118"/>
      <c r="C266" s="118"/>
      <c r="D266" s="118"/>
      <c r="E266" s="118"/>
      <c r="F266" s="118"/>
      <c r="G266" s="118"/>
      <c r="H266" s="119"/>
      <c r="I266" s="111"/>
      <c r="J266" s="111"/>
    </row>
    <row r="267" spans="1:14" s="51" customFormat="1" x14ac:dyDescent="0.35">
      <c r="A267" s="117" t="s">
        <v>210</v>
      </c>
      <c r="B267" s="118"/>
      <c r="C267" s="118"/>
      <c r="D267" s="118"/>
      <c r="E267" s="118"/>
      <c r="F267" s="118"/>
      <c r="G267" s="118"/>
      <c r="H267" s="119"/>
      <c r="I267" s="111"/>
      <c r="J267" s="111"/>
    </row>
    <row r="268" spans="1:14" s="51" customFormat="1" x14ac:dyDescent="0.35">
      <c r="A268" s="117" t="s">
        <v>204</v>
      </c>
      <c r="B268" s="118"/>
      <c r="C268" s="118"/>
      <c r="D268" s="118"/>
      <c r="E268" s="118"/>
      <c r="F268" s="118"/>
      <c r="G268" s="118"/>
      <c r="H268" s="119"/>
      <c r="J268" s="50">
        <v>10.763999999999999</v>
      </c>
    </row>
    <row r="269" spans="1:14" s="51" customFormat="1" x14ac:dyDescent="0.35">
      <c r="A269" s="112">
        <v>1</v>
      </c>
      <c r="B269" s="113"/>
      <c r="C269" s="52" t="s">
        <v>206</v>
      </c>
      <c r="D269" s="50">
        <f>(3.73*2.75+2.85*1+2.35*2.1+2.25*2.75+2.85*1.25+1.65*1.2+1*1.5+1.5*1.2+0.9*0.9+(2.85*1)+(2.4*1))*10.764</f>
        <v>421.22222999999997</v>
      </c>
      <c r="E269" s="50">
        <v>0</v>
      </c>
      <c r="F269" s="52">
        <v>680</v>
      </c>
      <c r="G269" s="112" t="str">
        <f>A268</f>
        <v>1st Floor For Residential</v>
      </c>
      <c r="H269" s="113"/>
      <c r="I269" s="33"/>
      <c r="L269" s="111"/>
      <c r="M269" s="111"/>
      <c r="N269" s="33"/>
    </row>
    <row r="270" spans="1:14" s="51" customFormat="1" x14ac:dyDescent="0.35">
      <c r="A270" s="112">
        <f>A269+1</f>
        <v>2</v>
      </c>
      <c r="B270" s="113"/>
      <c r="C270" s="52" t="s">
        <v>206</v>
      </c>
      <c r="D270" s="50">
        <f>(3.73*2.75+2.85*1+2.35*2.1+2.25*2.75+2.85*1.25+1.65*1.2+1*1.5+1.5*1.2+0.9*0.9+(2.85*1)+(2.4*1))*10.764</f>
        <v>421.22222999999997</v>
      </c>
      <c r="E270" s="50">
        <v>0</v>
      </c>
      <c r="F270" s="52">
        <v>680</v>
      </c>
      <c r="G270" s="112" t="str">
        <f>G269</f>
        <v>1st Floor For Residential</v>
      </c>
      <c r="H270" s="113"/>
      <c r="I270" s="33"/>
      <c r="L270" s="111"/>
      <c r="M270" s="111"/>
      <c r="N270" s="33"/>
    </row>
    <row r="271" spans="1:14" s="51" customFormat="1" x14ac:dyDescent="0.35">
      <c r="A271" s="112">
        <f>A270+1</f>
        <v>3</v>
      </c>
      <c r="B271" s="113"/>
      <c r="C271" s="52" t="s">
        <v>206</v>
      </c>
      <c r="D271" s="50">
        <f>(3.73*2.75+2.7*1+2.35*2.1+2.25*2.75+2.85*1.25+1.65*1.2+1*1.5+1.5*1.2+0.9*0.9+(2.7*1)+(2.4*1))*10.764</f>
        <v>417.99303000000003</v>
      </c>
      <c r="E271" s="50">
        <v>0</v>
      </c>
      <c r="F271" s="52">
        <v>680</v>
      </c>
      <c r="G271" s="112" t="str">
        <f>G270</f>
        <v>1st Floor For Residential</v>
      </c>
      <c r="H271" s="113"/>
      <c r="I271" s="33"/>
      <c r="L271" s="111"/>
      <c r="M271" s="111"/>
      <c r="N271" s="33"/>
    </row>
    <row r="272" spans="1:14" s="51" customFormat="1" x14ac:dyDescent="0.35">
      <c r="A272" s="112">
        <f>A271+1</f>
        <v>4</v>
      </c>
      <c r="B272" s="113"/>
      <c r="C272" s="52" t="s">
        <v>206</v>
      </c>
      <c r="D272" s="50">
        <f>(3.73*2.75+2.85*1+2.35*2.1+2.25*2.75+2.85*1.25+1.65*1.2+1*1.5+1.5*1.2+0.9*0.9+(2.85*1)+(2.4*1))*10.764</f>
        <v>421.22222999999997</v>
      </c>
      <c r="E272" s="50">
        <v>0</v>
      </c>
      <c r="F272" s="52">
        <v>680</v>
      </c>
      <c r="G272" s="112" t="str">
        <f>G271</f>
        <v>1st Floor For Residential</v>
      </c>
      <c r="H272" s="113"/>
      <c r="I272" s="33"/>
      <c r="L272" s="111"/>
      <c r="M272" s="111"/>
      <c r="N272" s="33"/>
    </row>
    <row r="273" spans="1:14" s="51" customFormat="1" x14ac:dyDescent="0.35">
      <c r="A273" s="112">
        <f>A272+1</f>
        <v>5</v>
      </c>
      <c r="B273" s="113"/>
      <c r="C273" s="52" t="s">
        <v>203</v>
      </c>
      <c r="D273" s="50">
        <f>(3.9*2.75+2.85*1+2.55*1+2.1*2.2+2.15*2.65+2.95*1.15+3.6*2.75+2*1.2+1.2*2.1+1.2*1.2+0.9*2.65+0.45*0.45+1*(2.3+2.85)+2.85*1.1)*10.764</f>
        <v>613.19816999999989</v>
      </c>
      <c r="E273" s="50">
        <v>0</v>
      </c>
      <c r="F273" s="52">
        <v>1010</v>
      </c>
      <c r="G273" s="112" t="str">
        <f>G272</f>
        <v>1st Floor For Residential</v>
      </c>
      <c r="H273" s="113"/>
      <c r="I273" s="33"/>
      <c r="L273" s="111"/>
      <c r="M273" s="111"/>
      <c r="N273" s="33"/>
    </row>
    <row r="274" spans="1:14" s="51" customFormat="1" x14ac:dyDescent="0.35">
      <c r="A274" s="112">
        <f>A273+1</f>
        <v>6</v>
      </c>
      <c r="B274" s="113"/>
      <c r="C274" s="52" t="s">
        <v>206</v>
      </c>
      <c r="D274" s="50">
        <f>(3.55*2.75+2.85*1+2.35*2.1+2.25*2.75+2.85*1.25+1.5*1.2+1*1.5+1.45*1.2+0.9*0.9+(2.85*1)+(2.4*1))*10.764</f>
        <v>413.31068999999997</v>
      </c>
      <c r="E274" s="50">
        <v>0</v>
      </c>
      <c r="F274" s="52">
        <v>670</v>
      </c>
      <c r="G274" s="112" t="str">
        <f>G273</f>
        <v>1st Floor For Residential</v>
      </c>
      <c r="H274" s="113"/>
      <c r="I274" s="33"/>
      <c r="L274" s="111"/>
      <c r="M274" s="111"/>
      <c r="N274" s="33"/>
    </row>
    <row r="275" spans="1:14" s="51" customFormat="1" x14ac:dyDescent="0.35">
      <c r="A275" s="117" t="s">
        <v>212</v>
      </c>
      <c r="B275" s="118"/>
      <c r="C275" s="118"/>
      <c r="D275" s="118"/>
      <c r="E275" s="118"/>
      <c r="F275" s="118"/>
      <c r="G275" s="118"/>
      <c r="H275" s="119"/>
      <c r="J275" s="50">
        <v>10.763999999999999</v>
      </c>
    </row>
    <row r="276" spans="1:14" s="51" customFormat="1" x14ac:dyDescent="0.35">
      <c r="A276" s="112">
        <v>1</v>
      </c>
      <c r="B276" s="113"/>
      <c r="C276" s="52" t="s">
        <v>206</v>
      </c>
      <c r="D276" s="50">
        <f>(3.73*2.75+2.85*1+2.35*2.1+2.25*2.75+2.85*1.25+1.65*1.2+1*1.5+1.5*1.2+0.9*0.9+(2.85*1)+(2.4*1))*10.764</f>
        <v>421.22222999999997</v>
      </c>
      <c r="E276" s="50">
        <v>0</v>
      </c>
      <c r="F276" s="52">
        <v>680</v>
      </c>
      <c r="G276" s="112" t="str">
        <f>A275</f>
        <v>2nd to 7th Floor</v>
      </c>
      <c r="H276" s="113"/>
      <c r="I276" s="33"/>
      <c r="L276" s="111"/>
      <c r="M276" s="111"/>
      <c r="N276" s="33"/>
    </row>
    <row r="277" spans="1:14" s="51" customFormat="1" x14ac:dyDescent="0.35">
      <c r="A277" s="112">
        <f>A276+1</f>
        <v>2</v>
      </c>
      <c r="B277" s="113"/>
      <c r="C277" s="52" t="s">
        <v>206</v>
      </c>
      <c r="D277" s="50">
        <f>(3.73*2.75+2.85*1+2.35*2.1+2.25*2.75+2.85*1.25+1.65*1.2+1*1.5+1.5*1.2+0.9*0.9+(2.85*1)+(2.4*1))*10.764</f>
        <v>421.22222999999997</v>
      </c>
      <c r="E277" s="50">
        <v>0</v>
      </c>
      <c r="F277" s="52">
        <v>680</v>
      </c>
      <c r="G277" s="112" t="str">
        <f>G276</f>
        <v>2nd to 7th Floor</v>
      </c>
      <c r="H277" s="113"/>
      <c r="I277" s="33"/>
      <c r="L277" s="111"/>
      <c r="M277" s="111"/>
      <c r="N277" s="33"/>
    </row>
    <row r="278" spans="1:14" s="51" customFormat="1" x14ac:dyDescent="0.35">
      <c r="A278" s="112">
        <f>A277+1</f>
        <v>3</v>
      </c>
      <c r="B278" s="113"/>
      <c r="C278" s="52" t="s">
        <v>206</v>
      </c>
      <c r="D278" s="50">
        <f>(3.73*2.75+2.7*1+2.35*2.1+2.25*2.75+2.85*1.25+1.65*1.2+1*1.5+1.5*1.2+0.9*0.9+(2.7*1)+(2.4*1))*10.764</f>
        <v>417.99303000000003</v>
      </c>
      <c r="E278" s="50">
        <v>0</v>
      </c>
      <c r="F278" s="52">
        <v>680</v>
      </c>
      <c r="G278" s="112" t="str">
        <f>G277</f>
        <v>2nd to 7th Floor</v>
      </c>
      <c r="H278" s="113"/>
      <c r="I278" s="33"/>
      <c r="L278" s="111"/>
      <c r="M278" s="111"/>
      <c r="N278" s="33"/>
    </row>
    <row r="279" spans="1:14" s="51" customFormat="1" x14ac:dyDescent="0.35">
      <c r="A279" s="112">
        <f>A278+1</f>
        <v>4</v>
      </c>
      <c r="B279" s="113"/>
      <c r="C279" s="52" t="s">
        <v>206</v>
      </c>
      <c r="D279" s="50">
        <f>(3.73*2.75+2.85*1+2.35*2.1+2.25*2.75+2.85*1.25+1.65*1.2+1*1.5+1.5*1.2+0.9*0.9+(2.85*1)+(2.4*1))*10.764</f>
        <v>421.22222999999997</v>
      </c>
      <c r="E279" s="50">
        <v>0</v>
      </c>
      <c r="F279" s="52">
        <v>680</v>
      </c>
      <c r="G279" s="112" t="str">
        <f>G278</f>
        <v>2nd to 7th Floor</v>
      </c>
      <c r="H279" s="113"/>
      <c r="I279" s="33"/>
      <c r="L279" s="111"/>
      <c r="M279" s="111"/>
      <c r="N279" s="33"/>
    </row>
    <row r="280" spans="1:14" s="51" customFormat="1" x14ac:dyDescent="0.35">
      <c r="A280" s="112">
        <f>A279+1</f>
        <v>5</v>
      </c>
      <c r="B280" s="113"/>
      <c r="C280" s="52" t="s">
        <v>203</v>
      </c>
      <c r="D280" s="50">
        <f>(3.9*2.75+2.85*1+2.55*1+2.1*2.2+2.15*2.65+2.95*1.15+3.6*2.75+2*1.2+1.2*2.1+1.2*1.2+0.9*2.65+0.45*0.45+1*(2.3+2.85)+2.85*1.1)*10.764</f>
        <v>613.19816999999989</v>
      </c>
      <c r="E280" s="50">
        <v>0</v>
      </c>
      <c r="F280" s="52">
        <v>1010</v>
      </c>
      <c r="G280" s="112" t="str">
        <f>G279</f>
        <v>2nd to 7th Floor</v>
      </c>
      <c r="H280" s="113"/>
      <c r="I280" s="33"/>
      <c r="L280" s="111"/>
      <c r="M280" s="111"/>
      <c r="N280" s="33"/>
    </row>
    <row r="281" spans="1:14" s="51" customFormat="1" x14ac:dyDescent="0.35">
      <c r="A281" s="112">
        <f>A280+1</f>
        <v>6</v>
      </c>
      <c r="B281" s="113"/>
      <c r="C281" s="52" t="s">
        <v>206</v>
      </c>
      <c r="D281" s="50">
        <f>(3.55*2.75+2.85*1+2.35*2.1+2.25*2.75+2.85*1.25+1.5*1.2+1*1.5+1.45*1.2+0.9*0.9+(2.85*1)+(2.4*1))*10.764</f>
        <v>413.31068999999997</v>
      </c>
      <c r="E281" s="50">
        <v>0</v>
      </c>
      <c r="F281" s="52">
        <v>670</v>
      </c>
      <c r="G281" s="112" t="str">
        <f>G280</f>
        <v>2nd to 7th Floor</v>
      </c>
      <c r="H281" s="113"/>
      <c r="I281" s="33"/>
      <c r="L281" s="111"/>
      <c r="M281" s="111"/>
      <c r="N281" s="33"/>
    </row>
    <row r="282" spans="1:14" s="51" customFormat="1" x14ac:dyDescent="0.35">
      <c r="A282" s="117" t="s">
        <v>213</v>
      </c>
      <c r="B282" s="118"/>
      <c r="C282" s="118"/>
      <c r="D282" s="118"/>
      <c r="E282" s="118"/>
      <c r="F282" s="118"/>
      <c r="G282" s="118"/>
      <c r="H282" s="119"/>
      <c r="J282" s="33"/>
    </row>
    <row r="283" spans="1:14" s="51" customFormat="1" x14ac:dyDescent="0.35">
      <c r="A283" s="117" t="s">
        <v>202</v>
      </c>
      <c r="B283" s="118"/>
      <c r="C283" s="118"/>
      <c r="D283" s="118"/>
      <c r="E283" s="118"/>
      <c r="F283" s="118"/>
      <c r="G283" s="118"/>
      <c r="H283" s="119"/>
      <c r="J283" s="33"/>
    </row>
    <row r="284" spans="1:14" s="51" customFormat="1" x14ac:dyDescent="0.35">
      <c r="A284" s="117" t="s">
        <v>214</v>
      </c>
      <c r="B284" s="118"/>
      <c r="C284" s="118"/>
      <c r="D284" s="118"/>
      <c r="E284" s="118"/>
      <c r="F284" s="118"/>
      <c r="G284" s="118"/>
      <c r="H284" s="119"/>
      <c r="J284" s="33"/>
    </row>
    <row r="285" spans="1:14" s="51" customFormat="1" x14ac:dyDescent="0.35">
      <c r="A285" s="112">
        <v>1</v>
      </c>
      <c r="B285" s="113"/>
      <c r="C285" s="52" t="s">
        <v>206</v>
      </c>
      <c r="D285" s="50">
        <f>(2.75*3.4+2.775*1+2.1*2.35+2.75*2.4+2.775*1.1+1.2*2+1.8*1.2+2.1*0.9+1.2*0.45+(2.4*1+2.775*1))*10.764</f>
        <v>418.47740999999996</v>
      </c>
      <c r="E285" s="50">
        <v>0</v>
      </c>
      <c r="F285" s="52">
        <v>690</v>
      </c>
      <c r="G285" s="112" t="str">
        <f>A284</f>
        <v>Ground Floor For Entrance Lobby, Residential &amp; Parking</v>
      </c>
      <c r="H285" s="113"/>
      <c r="I285" s="33"/>
      <c r="J285" s="33"/>
      <c r="L285" s="111"/>
      <c r="M285" s="111"/>
      <c r="N285" s="33"/>
    </row>
    <row r="286" spans="1:14" s="51" customFormat="1" x14ac:dyDescent="0.35">
      <c r="A286" s="112">
        <f>A285+1</f>
        <v>2</v>
      </c>
      <c r="B286" s="113"/>
      <c r="C286" s="52" t="s">
        <v>206</v>
      </c>
      <c r="D286" s="50">
        <f>(2.75*3.4+2.775*1+2.1*2.35+2.75*3.35+2.85*1.1+1.2*2+1.8*1.2+2.1*0.9+1.2*0.45+(2.775*1))*10.764</f>
        <v>421.65278999999998</v>
      </c>
      <c r="E286" s="50">
        <v>0</v>
      </c>
      <c r="F286" s="52">
        <v>690</v>
      </c>
      <c r="G286" s="112" t="str">
        <f>G285</f>
        <v>Ground Floor For Entrance Lobby, Residential &amp; Parking</v>
      </c>
      <c r="H286" s="113"/>
      <c r="I286" s="33"/>
      <c r="J286" s="33"/>
      <c r="L286" s="111"/>
      <c r="M286" s="111"/>
      <c r="N286" s="33"/>
    </row>
    <row r="287" spans="1:14" s="51" customFormat="1" x14ac:dyDescent="0.35">
      <c r="A287" s="112">
        <f>A286+1</f>
        <v>3</v>
      </c>
      <c r="B287" s="113"/>
      <c r="C287" s="52" t="s">
        <v>206</v>
      </c>
      <c r="D287" s="50">
        <f>(2.75*3.4+2.775*1+2.1*2.35+2.75*2.4+2.85*1.1+1.2*2+1.8*1.2+2.1*0.9+1.2*0.45+(2.4*1+2.775*1))*10.764</f>
        <v>419.36543999999998</v>
      </c>
      <c r="E287" s="50">
        <v>0</v>
      </c>
      <c r="F287" s="52">
        <v>690</v>
      </c>
      <c r="G287" s="112" t="str">
        <f>G286</f>
        <v>Ground Floor For Entrance Lobby, Residential &amp; Parking</v>
      </c>
      <c r="H287" s="113"/>
      <c r="I287" s="33"/>
      <c r="J287" s="33"/>
      <c r="L287" s="111"/>
      <c r="M287" s="111"/>
      <c r="N287" s="33"/>
    </row>
    <row r="288" spans="1:14" s="51" customFormat="1" x14ac:dyDescent="0.35">
      <c r="A288" s="112">
        <f>A287+1</f>
        <v>4</v>
      </c>
      <c r="B288" s="113"/>
      <c r="C288" s="52" t="s">
        <v>206</v>
      </c>
      <c r="D288" s="50">
        <f>(2.75*3.4+2.775*1+2.1*2.35+2.75*2.4+2.85*1.1+1.2*2+1.8*1.2+2.1*0.9+1.2*0.45+(2.4*1+2.775*1))*10.764</f>
        <v>419.36543999999998</v>
      </c>
      <c r="E288" s="50">
        <v>0</v>
      </c>
      <c r="F288" s="52">
        <v>690</v>
      </c>
      <c r="G288" s="112" t="str">
        <f>G287</f>
        <v>Ground Floor For Entrance Lobby, Residential &amp; Parking</v>
      </c>
      <c r="H288" s="113"/>
      <c r="I288" s="33"/>
      <c r="J288" s="33"/>
      <c r="L288" s="111"/>
      <c r="M288" s="111"/>
      <c r="N288" s="33"/>
    </row>
    <row r="289" spans="1:14" s="51" customFormat="1" x14ac:dyDescent="0.35">
      <c r="A289" s="117" t="s">
        <v>215</v>
      </c>
      <c r="B289" s="118"/>
      <c r="C289" s="118"/>
      <c r="D289" s="118"/>
      <c r="E289" s="118"/>
      <c r="F289" s="118"/>
      <c r="G289" s="118"/>
      <c r="H289" s="119"/>
      <c r="J289" s="33"/>
    </row>
    <row r="290" spans="1:14" s="51" customFormat="1" x14ac:dyDescent="0.35">
      <c r="A290" s="112">
        <v>1</v>
      </c>
      <c r="B290" s="113"/>
      <c r="C290" s="52" t="s">
        <v>206</v>
      </c>
      <c r="D290" s="50">
        <f>(2.75*3.4+2.775*1+2.1*2.35+2.75*2.4+2.775*1.1+1.2*2+1.8*1.2+2.1*0.9+1.2*0.45+(2.4*1+2.775*1))*10.764</f>
        <v>418.47740999999996</v>
      </c>
      <c r="E290" s="50">
        <v>0</v>
      </c>
      <c r="F290" s="52">
        <v>690</v>
      </c>
      <c r="G290" s="112" t="str">
        <f>A289</f>
        <v>1st to 7th Floor</v>
      </c>
      <c r="H290" s="113"/>
      <c r="I290" s="33"/>
      <c r="J290" s="33"/>
      <c r="L290" s="111"/>
      <c r="M290" s="111"/>
      <c r="N290" s="33"/>
    </row>
    <row r="291" spans="1:14" s="51" customFormat="1" x14ac:dyDescent="0.35">
      <c r="A291" s="112">
        <f t="shared" ref="A291:A296" si="4">A290+1</f>
        <v>2</v>
      </c>
      <c r="B291" s="113"/>
      <c r="C291" s="52" t="s">
        <v>206</v>
      </c>
      <c r="D291" s="50">
        <f>(2.75*3.4+2.775*1+2.1*2.35+2.75*2.4+2.775*1.1+1.2*2+1.8*1.2+2.1*0.9+1.2*0.45+(2.4*1+2.775*1))*10.764</f>
        <v>418.47740999999996</v>
      </c>
      <c r="E291" s="50">
        <v>0</v>
      </c>
      <c r="F291" s="52">
        <v>690</v>
      </c>
      <c r="G291" s="112" t="str">
        <f t="shared" ref="G291:G296" si="5">G290</f>
        <v>1st to 7th Floor</v>
      </c>
      <c r="H291" s="113"/>
      <c r="I291" s="33"/>
      <c r="J291" s="33"/>
      <c r="L291" s="111"/>
      <c r="M291" s="111"/>
      <c r="N291" s="33"/>
    </row>
    <row r="292" spans="1:14" s="51" customFormat="1" x14ac:dyDescent="0.35">
      <c r="A292" s="112">
        <f t="shared" si="4"/>
        <v>3</v>
      </c>
      <c r="B292" s="113"/>
      <c r="C292" s="52" t="s">
        <v>206</v>
      </c>
      <c r="D292" s="50">
        <f>(2.75*3.4+2.775*1+2.1*2.35+2.75*2.4+2.85*1.1+1.2*2+1.8*1.2+2.1*0.9+1.2*0.45+(2.4*1+2.775*1))*10.764</f>
        <v>419.36543999999998</v>
      </c>
      <c r="E292" s="50">
        <v>0</v>
      </c>
      <c r="F292" s="52">
        <v>690</v>
      </c>
      <c r="G292" s="112" t="str">
        <f t="shared" si="5"/>
        <v>1st to 7th Floor</v>
      </c>
      <c r="H292" s="113"/>
      <c r="I292" s="33"/>
      <c r="J292" s="33"/>
      <c r="L292" s="111"/>
      <c r="M292" s="111"/>
      <c r="N292" s="33"/>
    </row>
    <row r="293" spans="1:14" s="51" customFormat="1" x14ac:dyDescent="0.35">
      <c r="A293" s="112">
        <f t="shared" si="4"/>
        <v>4</v>
      </c>
      <c r="B293" s="113"/>
      <c r="C293" s="52" t="s">
        <v>206</v>
      </c>
      <c r="D293" s="50">
        <f>(2.75*3.4+2.775*1+2.1*2.35+2.75*2.4+2.85*1.1+1.2*2+1.8*1.2+2.1*0.9+1.2*0.45+(2.4*1+2.775*1))*10.764</f>
        <v>419.36543999999998</v>
      </c>
      <c r="E293" s="50">
        <v>0</v>
      </c>
      <c r="F293" s="52">
        <v>690</v>
      </c>
      <c r="G293" s="112" t="str">
        <f t="shared" si="5"/>
        <v>1st to 7th Floor</v>
      </c>
      <c r="H293" s="113"/>
      <c r="I293" s="33"/>
      <c r="J293" s="33"/>
      <c r="L293" s="111"/>
      <c r="M293" s="111"/>
      <c r="N293" s="33"/>
    </row>
    <row r="294" spans="1:14" s="51" customFormat="1" x14ac:dyDescent="0.35">
      <c r="A294" s="112">
        <f t="shared" si="4"/>
        <v>5</v>
      </c>
      <c r="B294" s="113"/>
      <c r="C294" s="52" t="s">
        <v>206</v>
      </c>
      <c r="D294" s="50">
        <f>(2.75*3.4+2.775*1+2.1*2.35+2.75*2.4+2.85*1.1+1.2*2+1.8*1.2+2.1*0.9+1.2*0.45+(2.4*1+2.775*1))*10.764</f>
        <v>419.36543999999998</v>
      </c>
      <c r="E294" s="50">
        <v>0</v>
      </c>
      <c r="F294" s="52">
        <v>690</v>
      </c>
      <c r="G294" s="112" t="str">
        <f t="shared" si="5"/>
        <v>1st to 7th Floor</v>
      </c>
      <c r="H294" s="113"/>
      <c r="I294" s="33"/>
      <c r="J294" s="33"/>
      <c r="L294" s="111"/>
      <c r="M294" s="111"/>
      <c r="N294" s="33"/>
    </row>
    <row r="295" spans="1:14" s="51" customFormat="1" x14ac:dyDescent="0.35">
      <c r="A295" s="112">
        <f t="shared" si="4"/>
        <v>6</v>
      </c>
      <c r="B295" s="113"/>
      <c r="C295" s="52" t="s">
        <v>206</v>
      </c>
      <c r="D295" s="50">
        <f>(2.75*3.4+2.775*1+2.1*2.35+2.75*2.4+2.85*1.1+1.2*2+1.8*1.2+2.1*0.9+1.2*0.45+(2.4*1+2.775*1))*10.764</f>
        <v>419.36543999999998</v>
      </c>
      <c r="E295" s="50">
        <v>0</v>
      </c>
      <c r="F295" s="52">
        <v>690</v>
      </c>
      <c r="G295" s="112" t="str">
        <f t="shared" si="5"/>
        <v>1st to 7th Floor</v>
      </c>
      <c r="H295" s="113"/>
      <c r="I295" s="33"/>
      <c r="J295" s="33"/>
      <c r="L295" s="111"/>
      <c r="M295" s="111"/>
      <c r="N295" s="33"/>
    </row>
    <row r="296" spans="1:14" s="51" customFormat="1" x14ac:dyDescent="0.35">
      <c r="A296" s="112">
        <f t="shared" si="4"/>
        <v>7</v>
      </c>
      <c r="B296" s="113"/>
      <c r="C296" s="52" t="s">
        <v>206</v>
      </c>
      <c r="D296" s="50">
        <f>(2.75*3.4+2.775*1+2.1*2.35+2.75*2.4+2.85*1.1+1.2*2+1.8*1.2+2.1*0.9+1.2*0.45+(2.4*1+2.775*1))*10.764</f>
        <v>419.36543999999998</v>
      </c>
      <c r="E296" s="50">
        <v>0</v>
      </c>
      <c r="F296" s="52">
        <v>690</v>
      </c>
      <c r="G296" s="112" t="str">
        <f t="shared" si="5"/>
        <v>1st to 7th Floor</v>
      </c>
      <c r="H296" s="113"/>
      <c r="I296" s="33"/>
      <c r="J296" s="33"/>
      <c r="L296" s="111"/>
      <c r="M296" s="111"/>
      <c r="N296" s="33"/>
    </row>
    <row r="297" spans="1:14" s="51" customFormat="1" x14ac:dyDescent="0.35">
      <c r="A297" s="117" t="s">
        <v>205</v>
      </c>
      <c r="B297" s="118"/>
      <c r="C297" s="118"/>
      <c r="D297" s="118"/>
      <c r="E297" s="118"/>
      <c r="F297" s="118"/>
      <c r="G297" s="118"/>
      <c r="H297" s="119"/>
      <c r="J297" s="33"/>
    </row>
    <row r="298" spans="1:14" s="51" customFormat="1" ht="15.75" customHeight="1" x14ac:dyDescent="0.35">
      <c r="A298" s="117" t="s">
        <v>214</v>
      </c>
      <c r="B298" s="118"/>
      <c r="C298" s="118"/>
      <c r="D298" s="118"/>
      <c r="E298" s="118"/>
      <c r="F298" s="118"/>
      <c r="G298" s="118"/>
      <c r="H298" s="119"/>
      <c r="J298" s="33"/>
    </row>
    <row r="299" spans="1:14" s="51" customFormat="1" x14ac:dyDescent="0.35">
      <c r="A299" s="112">
        <v>1</v>
      </c>
      <c r="B299" s="113"/>
      <c r="C299" s="52" t="s">
        <v>206</v>
      </c>
      <c r="D299" s="50">
        <f>(2.75*3.4+2.775*1+2.1*2.35+2.75*2.4+2.775*1.1+1.2*2+1.8*1.2+2.1*0.9+1.2*0.45+(2.4*1+2.775*1))*10.764</f>
        <v>418.47740999999996</v>
      </c>
      <c r="E299" s="50">
        <v>0</v>
      </c>
      <c r="F299" s="52">
        <v>690</v>
      </c>
      <c r="G299" s="112" t="str">
        <f>A298</f>
        <v>Ground Floor For Entrance Lobby, Residential &amp; Parking</v>
      </c>
      <c r="H299" s="113"/>
      <c r="I299" s="33"/>
      <c r="J299" s="33"/>
      <c r="L299" s="111"/>
      <c r="M299" s="111"/>
      <c r="N299" s="33"/>
    </row>
    <row r="300" spans="1:14" s="51" customFormat="1" x14ac:dyDescent="0.35">
      <c r="A300" s="112">
        <f>A299+1</f>
        <v>2</v>
      </c>
      <c r="B300" s="113"/>
      <c r="C300" s="52" t="s">
        <v>206</v>
      </c>
      <c r="D300" s="50">
        <f>(2.75*3.4+2.775*1+2.1*2.35+2.75*2.4+2.775*1.1+1.2*2+1.8*1.2+2.1*0.9+1.2*0.45+(2.4*1+2.775*1))*10.764</f>
        <v>418.47740999999996</v>
      </c>
      <c r="E300" s="50">
        <v>0</v>
      </c>
      <c r="F300" s="52">
        <v>690</v>
      </c>
      <c r="G300" s="112" t="str">
        <f>G299</f>
        <v>Ground Floor For Entrance Lobby, Residential &amp; Parking</v>
      </c>
      <c r="H300" s="113"/>
      <c r="I300" s="33"/>
      <c r="J300" s="33"/>
      <c r="L300" s="111"/>
      <c r="M300" s="111"/>
      <c r="N300" s="33"/>
    </row>
    <row r="301" spans="1:14" s="51" customFormat="1" ht="15.75" customHeight="1" x14ac:dyDescent="0.35">
      <c r="A301" s="117" t="s">
        <v>215</v>
      </c>
      <c r="B301" s="118"/>
      <c r="C301" s="118"/>
      <c r="D301" s="118"/>
      <c r="E301" s="118"/>
      <c r="F301" s="118"/>
      <c r="G301" s="118"/>
      <c r="H301" s="119"/>
      <c r="J301" s="33"/>
    </row>
    <row r="302" spans="1:14" s="51" customFormat="1" x14ac:dyDescent="0.35">
      <c r="A302" s="112">
        <v>1</v>
      </c>
      <c r="B302" s="113"/>
      <c r="C302" s="52" t="s">
        <v>206</v>
      </c>
      <c r="D302" s="50">
        <f>(2.75*3.4+2.775*1+2.1*2.35+2.75*2.4+2.775*1.1+1.2*2+1.8*1.2+2.1*0.9+1.2*0.45+(2.4*1+2.775*1))*10.764</f>
        <v>418.47740999999996</v>
      </c>
      <c r="E302" s="50">
        <v>0</v>
      </c>
      <c r="F302" s="52">
        <v>690</v>
      </c>
      <c r="G302" s="112" t="str">
        <f>A301</f>
        <v>1st to 7th Floor</v>
      </c>
      <c r="H302" s="113"/>
      <c r="I302" s="33"/>
      <c r="J302" s="33"/>
      <c r="L302" s="111"/>
      <c r="M302" s="111"/>
      <c r="N302" s="33"/>
    </row>
    <row r="303" spans="1:14" s="51" customFormat="1" x14ac:dyDescent="0.35">
      <c r="A303" s="112">
        <v>2</v>
      </c>
      <c r="B303" s="113"/>
      <c r="C303" s="52" t="s">
        <v>206</v>
      </c>
      <c r="D303" s="50">
        <f>(2.75*3.4+2.775*1+2.1*2.35+2.75*2.4+2.775*1.1+1.2*2+1.8*1.2+2.1*0.9+1.2*0.45+(2.4*1+2.775*1))*10.764</f>
        <v>418.47740999999996</v>
      </c>
      <c r="E303" s="50">
        <v>0</v>
      </c>
      <c r="F303" s="52">
        <v>690</v>
      </c>
      <c r="G303" s="112" t="str">
        <f>G302</f>
        <v>1st to 7th Floor</v>
      </c>
      <c r="H303" s="113"/>
      <c r="I303" s="33"/>
      <c r="J303" s="33"/>
      <c r="L303" s="111"/>
      <c r="M303" s="111"/>
      <c r="N303" s="33"/>
    </row>
    <row r="304" spans="1:14" s="51" customFormat="1" x14ac:dyDescent="0.35">
      <c r="A304" s="112">
        <v>3</v>
      </c>
      <c r="B304" s="113"/>
      <c r="C304" s="52" t="s">
        <v>206</v>
      </c>
      <c r="D304" s="50">
        <f>(2.75*3.4+2.775*1+2.1*2.35+2.75*2.4+2.775*1.1+1.2*2+1.8*1.2+2.1*0.9+1.2*0.45+(2.4*1+2.775*1))*10.764</f>
        <v>418.47740999999996</v>
      </c>
      <c r="E304" s="50">
        <v>0</v>
      </c>
      <c r="F304" s="52">
        <v>690</v>
      </c>
      <c r="G304" s="112" t="str">
        <f>G303</f>
        <v>1st to 7th Floor</v>
      </c>
      <c r="H304" s="113"/>
      <c r="I304" s="33"/>
      <c r="J304" s="33"/>
      <c r="L304" s="111"/>
      <c r="M304" s="111"/>
      <c r="N304" s="33"/>
    </row>
    <row r="305" spans="1:14" s="51" customFormat="1" x14ac:dyDescent="0.35">
      <c r="A305" s="112">
        <v>4</v>
      </c>
      <c r="B305" s="113"/>
      <c r="C305" s="52" t="s">
        <v>206</v>
      </c>
      <c r="D305" s="50">
        <f>(2.75*3.4+2.775*1+2.1*2.35+2.75*2.4+2.775*1.1+1.2*2+1.8*1.2+2.1*0.9+1.2*0.45+(2.4*1+2.775*1))*10.764</f>
        <v>418.47740999999996</v>
      </c>
      <c r="E305" s="50">
        <v>0</v>
      </c>
      <c r="F305" s="52">
        <v>690</v>
      </c>
      <c r="G305" s="112" t="str">
        <f>G304</f>
        <v>1st to 7th Floor</v>
      </c>
      <c r="H305" s="113"/>
      <c r="I305" s="33"/>
      <c r="J305" s="33"/>
      <c r="L305" s="111"/>
      <c r="M305" s="111"/>
      <c r="N305" s="33"/>
    </row>
    <row r="306" spans="1:14" s="51" customFormat="1" x14ac:dyDescent="0.35">
      <c r="A306" s="117" t="s">
        <v>207</v>
      </c>
      <c r="B306" s="118"/>
      <c r="C306" s="118"/>
      <c r="D306" s="118"/>
      <c r="E306" s="118"/>
      <c r="F306" s="118"/>
      <c r="G306" s="118"/>
      <c r="H306" s="119"/>
      <c r="J306" s="33"/>
    </row>
    <row r="307" spans="1:14" s="51" customFormat="1" ht="15.75" customHeight="1" x14ac:dyDescent="0.35">
      <c r="A307" s="117" t="s">
        <v>214</v>
      </c>
      <c r="B307" s="118"/>
      <c r="C307" s="118"/>
      <c r="D307" s="118"/>
      <c r="E307" s="118"/>
      <c r="F307" s="118"/>
      <c r="G307" s="118"/>
      <c r="H307" s="119"/>
      <c r="J307" s="33"/>
    </row>
    <row r="308" spans="1:14" s="51" customFormat="1" x14ac:dyDescent="0.35">
      <c r="A308" s="112">
        <v>1</v>
      </c>
      <c r="B308" s="113"/>
      <c r="C308" s="52" t="s">
        <v>206</v>
      </c>
      <c r="D308" s="50">
        <f>(2.75*3.4+2.775*1+2.1*2.35+2.75*2.4+2.775*1.1+1.2*2+1.8*1.2+2.1*0.9+1.2*0.45+(2.4*1+2.775*1))*10.764</f>
        <v>418.47740999999996</v>
      </c>
      <c r="E308" s="50">
        <v>0</v>
      </c>
      <c r="F308" s="52">
        <v>690</v>
      </c>
      <c r="G308" s="112" t="str">
        <f>A307</f>
        <v>Ground Floor For Entrance Lobby, Residential &amp; Parking</v>
      </c>
      <c r="H308" s="113"/>
      <c r="I308" s="33"/>
      <c r="J308" s="33"/>
      <c r="L308" s="111"/>
      <c r="M308" s="111"/>
      <c r="N308" s="33"/>
    </row>
    <row r="309" spans="1:14" s="51" customFormat="1" x14ac:dyDescent="0.35">
      <c r="A309" s="112">
        <f>A308+1</f>
        <v>2</v>
      </c>
      <c r="B309" s="113"/>
      <c r="C309" s="52" t="s">
        <v>206</v>
      </c>
      <c r="D309" s="50">
        <f>(2.75*3.4+2.775*1+2.1*2.35+2.75*2.4+2.775*1.1+1.2*2+1.8*1.2+2.1*0.9+1.2*0.45+(2.4*1+2.775*1))*10.764</f>
        <v>418.47740999999996</v>
      </c>
      <c r="E309" s="50">
        <v>0</v>
      </c>
      <c r="F309" s="52">
        <v>690</v>
      </c>
      <c r="G309" s="112" t="str">
        <f>G308</f>
        <v>Ground Floor For Entrance Lobby, Residential &amp; Parking</v>
      </c>
      <c r="H309" s="113"/>
      <c r="I309" s="33"/>
      <c r="L309" s="111"/>
      <c r="M309" s="111"/>
      <c r="N309" s="33"/>
    </row>
    <row r="310" spans="1:14" s="51" customFormat="1" ht="15.75" customHeight="1" x14ac:dyDescent="0.35">
      <c r="A310" s="117" t="s">
        <v>215</v>
      </c>
      <c r="B310" s="118"/>
      <c r="C310" s="118"/>
      <c r="D310" s="118"/>
      <c r="E310" s="118"/>
      <c r="F310" s="118"/>
      <c r="G310" s="118"/>
      <c r="H310" s="119"/>
      <c r="J310" s="33"/>
    </row>
    <row r="311" spans="1:14" s="51" customFormat="1" x14ac:dyDescent="0.35">
      <c r="A311" s="112">
        <v>1</v>
      </c>
      <c r="B311" s="113"/>
      <c r="C311" s="52" t="s">
        <v>206</v>
      </c>
      <c r="D311" s="50">
        <f>(2.75*3.4+2.775*1+2.1*2.35+2.75*2.4+2.775*1.1+1.2*2+1.8*1.2+2.1*0.9+1.2*0.45+(2.4*1+2.775*1))*10.764</f>
        <v>418.47740999999996</v>
      </c>
      <c r="E311" s="50">
        <v>0</v>
      </c>
      <c r="F311" s="52">
        <v>690</v>
      </c>
      <c r="G311" s="112" t="str">
        <f>A310</f>
        <v>1st to 7th Floor</v>
      </c>
      <c r="H311" s="113"/>
      <c r="I311" s="33"/>
      <c r="J311" s="33"/>
      <c r="L311" s="111"/>
      <c r="M311" s="111"/>
      <c r="N311" s="33"/>
    </row>
    <row r="312" spans="1:14" s="51" customFormat="1" x14ac:dyDescent="0.35">
      <c r="A312" s="112">
        <v>2</v>
      </c>
      <c r="B312" s="113"/>
      <c r="C312" s="52" t="s">
        <v>206</v>
      </c>
      <c r="D312" s="50">
        <f>(2.75*3.4+2.775*1+2.1*2.35+2.75*2.4+2.775*1.1+1.2*2+1.8*1.2+2.1*0.9+1.2*0.45+(2.4*1+2.775*1))*10.764</f>
        <v>418.47740999999996</v>
      </c>
      <c r="E312" s="50">
        <v>0</v>
      </c>
      <c r="F312" s="52">
        <v>690</v>
      </c>
      <c r="G312" s="112" t="str">
        <f>G311</f>
        <v>1st to 7th Floor</v>
      </c>
      <c r="H312" s="113"/>
      <c r="I312" s="33"/>
      <c r="J312" s="33"/>
      <c r="L312" s="111"/>
      <c r="M312" s="111"/>
      <c r="N312" s="33"/>
    </row>
    <row r="313" spans="1:14" s="51" customFormat="1" x14ac:dyDescent="0.35">
      <c r="A313" s="112">
        <v>3</v>
      </c>
      <c r="B313" s="113"/>
      <c r="C313" s="52" t="s">
        <v>206</v>
      </c>
      <c r="D313" s="50">
        <f>(2.75*3.4+2.775*1+2.1*2.35+2.75*2.4+2.775*1.1+1.2*2+1.8*1.2+2.1*0.9+1.2*0.45+(2.4*1+2.775*1))*10.764</f>
        <v>418.47740999999996</v>
      </c>
      <c r="E313" s="50">
        <v>0</v>
      </c>
      <c r="F313" s="52">
        <v>690</v>
      </c>
      <c r="G313" s="112" t="str">
        <f>G312</f>
        <v>1st to 7th Floor</v>
      </c>
      <c r="H313" s="113"/>
      <c r="I313" s="33"/>
      <c r="J313" s="33"/>
      <c r="L313" s="111"/>
      <c r="M313" s="111"/>
      <c r="N313" s="33"/>
    </row>
    <row r="314" spans="1:14" s="51" customFormat="1" x14ac:dyDescent="0.35">
      <c r="A314" s="112">
        <v>4</v>
      </c>
      <c r="B314" s="113"/>
      <c r="C314" s="52" t="s">
        <v>206</v>
      </c>
      <c r="D314" s="50">
        <f>(2.75*3.4+2.775*1+2.1*2.35+2.75*2.4+2.775*1.1+1.2*2+1.8*1.2+2.1*0.9+1.2*0.45+(2.4*1+2.775*1))*10.764</f>
        <v>418.47740999999996</v>
      </c>
      <c r="E314" s="50">
        <v>0</v>
      </c>
      <c r="F314" s="52">
        <v>690</v>
      </c>
      <c r="G314" s="112" t="str">
        <f>G313</f>
        <v>1st to 7th Floor</v>
      </c>
      <c r="H314" s="113"/>
      <c r="I314" s="33"/>
      <c r="J314" s="33"/>
      <c r="L314" s="111"/>
      <c r="M314" s="111"/>
      <c r="N314" s="33"/>
    </row>
    <row r="315" spans="1:14" s="32" customFormat="1" x14ac:dyDescent="0.35">
      <c r="A315" s="164" t="s">
        <v>70</v>
      </c>
      <c r="B315" s="164"/>
      <c r="C315" s="164"/>
      <c r="D315" s="164"/>
      <c r="E315" s="164"/>
      <c r="F315" s="164"/>
      <c r="G315" s="164"/>
      <c r="H315" s="164"/>
    </row>
    <row r="316" spans="1:14" s="32" customFormat="1" ht="33" customHeight="1" x14ac:dyDescent="0.35">
      <c r="A316" s="41" t="s">
        <v>157</v>
      </c>
      <c r="B316" s="161" t="s">
        <v>238</v>
      </c>
      <c r="C316" s="162"/>
      <c r="D316" s="162"/>
      <c r="E316" s="162"/>
      <c r="F316" s="162"/>
      <c r="G316" s="162"/>
      <c r="H316" s="163"/>
    </row>
    <row r="317" spans="1:14" s="32" customFormat="1" x14ac:dyDescent="0.35">
      <c r="A317" s="41" t="s">
        <v>157</v>
      </c>
      <c r="B317" s="161" t="str">
        <f>(IF(F222="Saleable area Loading :","We have considered Saleable area of Flats as per our Calculation.","We considered Saleable area of Flat as per Builder area Sheet."))</f>
        <v>We considered Saleable area of Flat as per Builder area Sheet.</v>
      </c>
      <c r="C317" s="162"/>
      <c r="D317" s="162"/>
      <c r="E317" s="162"/>
      <c r="F317" s="162"/>
      <c r="G317" s="162"/>
      <c r="H317" s="163"/>
    </row>
    <row r="318" spans="1:14" s="32" customFormat="1" x14ac:dyDescent="0.35">
      <c r="A318" s="41" t="s">
        <v>157</v>
      </c>
      <c r="B318" s="161" t="str">
        <f>(IF(F198="Saleable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18" s="162"/>
      <c r="D318" s="162"/>
      <c r="E318" s="162"/>
      <c r="F318" s="162"/>
      <c r="G318" s="162"/>
      <c r="H318" s="163"/>
    </row>
    <row r="319" spans="1:14" s="32" customFormat="1" x14ac:dyDescent="0.35">
      <c r="A319" s="41" t="s">
        <v>157</v>
      </c>
      <c r="B319" s="161" t="s">
        <v>127</v>
      </c>
      <c r="C319" s="162"/>
      <c r="D319" s="162"/>
      <c r="E319" s="162"/>
      <c r="F319" s="162"/>
      <c r="G319" s="162"/>
      <c r="H319" s="163"/>
    </row>
    <row r="320" spans="1:14" s="32" customFormat="1" x14ac:dyDescent="0.35">
      <c r="A320" s="41" t="s">
        <v>157</v>
      </c>
      <c r="B320" s="161" t="s">
        <v>216</v>
      </c>
      <c r="C320" s="162"/>
      <c r="D320" s="162"/>
      <c r="E320" s="162"/>
      <c r="F320" s="162"/>
      <c r="G320" s="162"/>
      <c r="H320" s="163"/>
    </row>
    <row r="321" spans="1:8" s="32" customFormat="1" x14ac:dyDescent="0.35">
      <c r="A321" s="41" t="s">
        <v>157</v>
      </c>
      <c r="B321" s="103" t="s">
        <v>156</v>
      </c>
      <c r="C321" s="104"/>
      <c r="D321" s="104"/>
      <c r="E321" s="104"/>
      <c r="F321" s="104"/>
      <c r="G321" s="104"/>
      <c r="H321" s="105"/>
    </row>
    <row r="322" spans="1:8" s="32" customFormat="1" x14ac:dyDescent="0.35">
      <c r="A322" s="41" t="s">
        <v>157</v>
      </c>
      <c r="B322" s="103" t="s">
        <v>128</v>
      </c>
      <c r="C322" s="104"/>
      <c r="D322" s="104"/>
      <c r="E322" s="104"/>
      <c r="F322" s="104"/>
      <c r="G322" s="104"/>
      <c r="H322" s="105"/>
    </row>
    <row r="323" spans="1:8" s="32" customFormat="1" ht="34.5" customHeight="1" x14ac:dyDescent="0.35">
      <c r="A323" s="41" t="s">
        <v>157</v>
      </c>
      <c r="B323" s="103" t="s">
        <v>158</v>
      </c>
      <c r="C323" s="104"/>
      <c r="D323" s="104"/>
      <c r="E323" s="104"/>
      <c r="F323" s="104"/>
      <c r="G323" s="104"/>
      <c r="H323" s="105"/>
    </row>
    <row r="324" spans="1:8" s="32" customFormat="1" x14ac:dyDescent="0.35">
      <c r="A324" s="41" t="s">
        <v>157</v>
      </c>
      <c r="B324" s="103" t="s">
        <v>129</v>
      </c>
      <c r="C324" s="104"/>
      <c r="D324" s="104"/>
      <c r="E324" s="104"/>
      <c r="F324" s="104"/>
      <c r="G324" s="104"/>
      <c r="H324" s="105"/>
    </row>
    <row r="325" spans="1:8" s="32" customFormat="1" ht="30" customHeight="1" x14ac:dyDescent="0.35">
      <c r="A325" s="56" t="s">
        <v>157</v>
      </c>
      <c r="B325" s="103" t="s">
        <v>240</v>
      </c>
      <c r="C325" s="104"/>
      <c r="D325" s="104"/>
      <c r="E325" s="104"/>
      <c r="F325" s="104"/>
      <c r="G325" s="104"/>
      <c r="H325" s="105"/>
    </row>
    <row r="326" spans="1:8" x14ac:dyDescent="0.35">
      <c r="A326" s="169" t="s">
        <v>63</v>
      </c>
      <c r="B326" s="169"/>
      <c r="C326" s="169"/>
      <c r="D326" s="169"/>
      <c r="E326" s="169"/>
      <c r="F326" s="169"/>
      <c r="G326" s="169"/>
      <c r="H326" s="169"/>
    </row>
    <row r="327" spans="1:8" x14ac:dyDescent="0.35">
      <c r="A327" s="126" t="s">
        <v>64</v>
      </c>
      <c r="B327" s="126"/>
      <c r="C327" s="126"/>
      <c r="D327" s="126"/>
      <c r="E327" s="126"/>
      <c r="F327" s="126"/>
      <c r="G327" s="126"/>
      <c r="H327" s="126"/>
    </row>
    <row r="328" spans="1:8" ht="15.75" customHeight="1" x14ac:dyDescent="0.35">
      <c r="A328" s="140" t="s">
        <v>65</v>
      </c>
      <c r="B328" s="140"/>
      <c r="C328" s="140"/>
      <c r="D328" s="140"/>
      <c r="E328" s="140"/>
      <c r="F328" s="140"/>
      <c r="G328" s="140"/>
      <c r="H328" s="140"/>
    </row>
    <row r="329" spans="1:8" x14ac:dyDescent="0.35">
      <c r="A329" s="126" t="s">
        <v>66</v>
      </c>
      <c r="B329" s="126"/>
      <c r="C329" s="126"/>
      <c r="D329" s="126"/>
      <c r="E329" s="126"/>
      <c r="F329" s="126"/>
      <c r="G329" s="126"/>
      <c r="H329" s="126"/>
    </row>
    <row r="330" spans="1:8" x14ac:dyDescent="0.35">
      <c r="A330" s="126" t="s">
        <v>67</v>
      </c>
      <c r="B330" s="126"/>
      <c r="C330" s="126"/>
      <c r="D330" s="126"/>
      <c r="E330" s="126"/>
      <c r="F330" s="126"/>
      <c r="G330" s="126"/>
      <c r="H330" s="126"/>
    </row>
    <row r="331" spans="1:8" x14ac:dyDescent="0.35">
      <c r="A331" s="126" t="s">
        <v>130</v>
      </c>
      <c r="B331" s="126"/>
      <c r="C331" s="126"/>
      <c r="D331" s="126"/>
      <c r="E331" s="126"/>
      <c r="F331" s="126"/>
      <c r="G331" s="126"/>
      <c r="H331" s="126"/>
    </row>
    <row r="332" spans="1:8" x14ac:dyDescent="0.35">
      <c r="A332" s="168" t="s">
        <v>131</v>
      </c>
      <c r="B332" s="168"/>
      <c r="C332" s="168"/>
      <c r="D332" s="168"/>
      <c r="E332" s="168"/>
      <c r="F332" s="168"/>
      <c r="G332" s="168"/>
      <c r="H332" s="168"/>
    </row>
    <row r="333" spans="1:8" x14ac:dyDescent="0.35">
      <c r="A333" s="166" t="s">
        <v>79</v>
      </c>
      <c r="B333" s="166"/>
      <c r="C333" s="166" t="s">
        <v>176</v>
      </c>
      <c r="D333" s="166"/>
      <c r="E333" s="166" t="s">
        <v>109</v>
      </c>
      <c r="F333" s="166"/>
      <c r="G333" s="166" t="s">
        <v>244</v>
      </c>
      <c r="H333" s="166"/>
    </row>
    <row r="334" spans="1:8" x14ac:dyDescent="0.35">
      <c r="A334" s="165" t="s">
        <v>81</v>
      </c>
      <c r="B334" s="165"/>
      <c r="C334" s="165"/>
      <c r="D334" s="165"/>
      <c r="E334" s="165"/>
      <c r="F334" s="165"/>
      <c r="G334" s="165"/>
      <c r="H334" s="165"/>
    </row>
    <row r="335" spans="1:8" x14ac:dyDescent="0.35">
      <c r="A335" s="165"/>
      <c r="B335" s="165"/>
      <c r="C335" s="165"/>
      <c r="D335" s="165"/>
      <c r="E335" s="165"/>
      <c r="F335" s="165"/>
      <c r="G335" s="165"/>
      <c r="H335" s="165"/>
    </row>
    <row r="336" spans="1:8" x14ac:dyDescent="0.35">
      <c r="A336" s="165"/>
      <c r="B336" s="165"/>
      <c r="C336" s="165"/>
      <c r="D336" s="165"/>
      <c r="E336" s="165"/>
      <c r="F336" s="165"/>
      <c r="G336" s="165"/>
      <c r="H336" s="165"/>
    </row>
    <row r="337" spans="1:8" x14ac:dyDescent="0.35">
      <c r="A337" s="165"/>
      <c r="B337" s="165"/>
      <c r="C337" s="165"/>
      <c r="D337" s="165"/>
      <c r="E337" s="165"/>
      <c r="F337" s="165"/>
      <c r="G337" s="165"/>
      <c r="H337" s="165"/>
    </row>
    <row r="338" spans="1:8" x14ac:dyDescent="0.35">
      <c r="A338" s="35" t="s">
        <v>68</v>
      </c>
      <c r="B338" s="36"/>
      <c r="C338" s="36"/>
      <c r="D338" s="35" t="str">
        <f>E8</f>
        <v>Sai Shri Narayana</v>
      </c>
      <c r="F338" s="36"/>
      <c r="G338" s="36"/>
      <c r="H338" s="36"/>
    </row>
    <row r="339" spans="1:8" x14ac:dyDescent="0.35">
      <c r="A339" s="35"/>
      <c r="B339" s="36"/>
      <c r="C339" s="36"/>
      <c r="D339" s="36"/>
      <c r="E339" s="36"/>
      <c r="F339" s="36"/>
      <c r="G339" s="36"/>
      <c r="H339" s="36"/>
    </row>
    <row r="340" spans="1:8" x14ac:dyDescent="0.35">
      <c r="A340" s="36"/>
      <c r="B340" s="36"/>
      <c r="C340" s="36"/>
      <c r="D340" s="36"/>
      <c r="E340" s="36"/>
      <c r="F340" s="36"/>
      <c r="G340" s="36"/>
      <c r="H340" s="36"/>
    </row>
    <row r="341" spans="1:8" ht="15" customHeight="1" x14ac:dyDescent="0.35"/>
    <row r="381" spans="1:1" x14ac:dyDescent="0.35">
      <c r="A381" s="38" t="s">
        <v>170</v>
      </c>
    </row>
    <row r="424" spans="1:1" x14ac:dyDescent="0.35">
      <c r="A424" s="38" t="s">
        <v>69</v>
      </c>
    </row>
  </sheetData>
  <mergeCells count="668">
    <mergeCell ref="A82:B82"/>
    <mergeCell ref="C82:H82"/>
    <mergeCell ref="A84:B84"/>
    <mergeCell ref="C84:H84"/>
    <mergeCell ref="A85:B85"/>
    <mergeCell ref="E85:F85"/>
    <mergeCell ref="G85:H85"/>
    <mergeCell ref="A86:B86"/>
    <mergeCell ref="E86:F95"/>
    <mergeCell ref="G86:H95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124:B124"/>
    <mergeCell ref="C124:H124"/>
    <mergeCell ref="A126:B126"/>
    <mergeCell ref="C126:H126"/>
    <mergeCell ref="A127:B127"/>
    <mergeCell ref="E127:F127"/>
    <mergeCell ref="G127:H127"/>
    <mergeCell ref="A128:B128"/>
    <mergeCell ref="E128:F137"/>
    <mergeCell ref="G128:H137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38:B38"/>
    <mergeCell ref="C38:H38"/>
    <mergeCell ref="B323:H323"/>
    <mergeCell ref="A47:B47"/>
    <mergeCell ref="C47:H47"/>
    <mergeCell ref="B321:H321"/>
    <mergeCell ref="G100:H109"/>
    <mergeCell ref="A101:B101"/>
    <mergeCell ref="A102:B102"/>
    <mergeCell ref="A103:B103"/>
    <mergeCell ref="F168:H168"/>
    <mergeCell ref="A168:E168"/>
    <mergeCell ref="G264:H264"/>
    <mergeCell ref="G260:H260"/>
    <mergeCell ref="D198:D199"/>
    <mergeCell ref="A170:E170"/>
    <mergeCell ref="A203:B203"/>
    <mergeCell ref="A204:B204"/>
    <mergeCell ref="A250:H250"/>
    <mergeCell ref="A251:H251"/>
    <mergeCell ref="A256:B256"/>
    <mergeCell ref="G256:H256"/>
    <mergeCell ref="A98:B98"/>
    <mergeCell ref="C98:H98"/>
    <mergeCell ref="A99:B99"/>
    <mergeCell ref="E99:F99"/>
    <mergeCell ref="G99:H99"/>
    <mergeCell ref="A172:E172"/>
    <mergeCell ref="F172:H172"/>
    <mergeCell ref="A173:E173"/>
    <mergeCell ref="A175:E175"/>
    <mergeCell ref="F169:H169"/>
    <mergeCell ref="A174:E174"/>
    <mergeCell ref="A169:E169"/>
    <mergeCell ref="A166:E166"/>
    <mergeCell ref="F170:H170"/>
    <mergeCell ref="A171:E171"/>
    <mergeCell ref="A109:B109"/>
    <mergeCell ref="A152:B152"/>
    <mergeCell ref="C152:H152"/>
    <mergeCell ref="A154:B154"/>
    <mergeCell ref="C154:H154"/>
    <mergeCell ref="A155:B155"/>
    <mergeCell ref="E155:F155"/>
    <mergeCell ref="G155:H155"/>
    <mergeCell ref="A156:B156"/>
    <mergeCell ref="E156:F165"/>
    <mergeCell ref="G156:H165"/>
    <mergeCell ref="A254:B254"/>
    <mergeCell ref="G254:H254"/>
    <mergeCell ref="A255:B255"/>
    <mergeCell ref="A196:H196"/>
    <mergeCell ref="C198:C199"/>
    <mergeCell ref="A229:B229"/>
    <mergeCell ref="A226:B226"/>
    <mergeCell ref="A206:B206"/>
    <mergeCell ref="A241:B241"/>
    <mergeCell ref="G241:H241"/>
    <mergeCell ref="G233:H233"/>
    <mergeCell ref="A44:D44"/>
    <mergeCell ref="L206:M206"/>
    <mergeCell ref="L205:M205"/>
    <mergeCell ref="L204:M204"/>
    <mergeCell ref="L203:M203"/>
    <mergeCell ref="A79:B79"/>
    <mergeCell ref="C189:D189"/>
    <mergeCell ref="E189:F189"/>
    <mergeCell ref="G189:H189"/>
    <mergeCell ref="F173:H173"/>
    <mergeCell ref="A167:E167"/>
    <mergeCell ref="A202:H202"/>
    <mergeCell ref="E198:E199"/>
    <mergeCell ref="G198:H199"/>
    <mergeCell ref="A100:B100"/>
    <mergeCell ref="E100:F109"/>
    <mergeCell ref="A107:B107"/>
    <mergeCell ref="A108:B108"/>
    <mergeCell ref="F166:H166"/>
    <mergeCell ref="F171:H171"/>
    <mergeCell ref="A177:E177"/>
    <mergeCell ref="A62:C62"/>
    <mergeCell ref="E72:F81"/>
    <mergeCell ref="G72:H81"/>
    <mergeCell ref="A36:H36"/>
    <mergeCell ref="A35:B35"/>
    <mergeCell ref="C35:E35"/>
    <mergeCell ref="A40:D40"/>
    <mergeCell ref="E40:H40"/>
    <mergeCell ref="F32:H32"/>
    <mergeCell ref="F33:H33"/>
    <mergeCell ref="A39:H39"/>
    <mergeCell ref="A61:C61"/>
    <mergeCell ref="D61:H61"/>
    <mergeCell ref="F35:H35"/>
    <mergeCell ref="D58:H58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E41:H41"/>
    <mergeCell ref="A41:D41"/>
    <mergeCell ref="A80:B80"/>
    <mergeCell ref="A81:B81"/>
    <mergeCell ref="D62:H62"/>
    <mergeCell ref="A42:D42"/>
    <mergeCell ref="E42:H42"/>
    <mergeCell ref="E43:H43"/>
    <mergeCell ref="E44:H44"/>
    <mergeCell ref="E45:H45"/>
    <mergeCell ref="A37:B37"/>
    <mergeCell ref="C37:H37"/>
    <mergeCell ref="A43:D43"/>
    <mergeCell ref="A45:D45"/>
    <mergeCell ref="A46:H46"/>
    <mergeCell ref="D56:H56"/>
    <mergeCell ref="A56:C56"/>
    <mergeCell ref="G49:H49"/>
    <mergeCell ref="A50:B51"/>
    <mergeCell ref="A78:B78"/>
    <mergeCell ref="A71:B71"/>
    <mergeCell ref="A74:B74"/>
    <mergeCell ref="A70:B70"/>
    <mergeCell ref="A68:B68"/>
    <mergeCell ref="C68:H68"/>
    <mergeCell ref="A76:B76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63:C63"/>
    <mergeCell ref="D63:H63"/>
    <mergeCell ref="C70:H70"/>
    <mergeCell ref="A73:B73"/>
    <mergeCell ref="A75:B75"/>
    <mergeCell ref="E71:F71"/>
    <mergeCell ref="A64:C64"/>
    <mergeCell ref="D64:H64"/>
    <mergeCell ref="A67:C67"/>
    <mergeCell ref="D67:H67"/>
    <mergeCell ref="A65:C65"/>
    <mergeCell ref="D65:H65"/>
    <mergeCell ref="A66:C66"/>
    <mergeCell ref="D66:H66"/>
    <mergeCell ref="A72:B72"/>
    <mergeCell ref="G71:H71"/>
    <mergeCell ref="A334:H337"/>
    <mergeCell ref="A333:B333"/>
    <mergeCell ref="E333:F333"/>
    <mergeCell ref="C333:D333"/>
    <mergeCell ref="G333:H333"/>
    <mergeCell ref="A180:H180"/>
    <mergeCell ref="A178:E178"/>
    <mergeCell ref="F178:H178"/>
    <mergeCell ref="A179:E179"/>
    <mergeCell ref="F179:H179"/>
    <mergeCell ref="A265:B265"/>
    <mergeCell ref="A329:H329"/>
    <mergeCell ref="A185:H185"/>
    <mergeCell ref="A332:H332"/>
    <mergeCell ref="A330:H330"/>
    <mergeCell ref="A326:H326"/>
    <mergeCell ref="C186:D186"/>
    <mergeCell ref="A327:H327"/>
    <mergeCell ref="E186:F186"/>
    <mergeCell ref="B324:H324"/>
    <mergeCell ref="G205:H205"/>
    <mergeCell ref="G203:H203"/>
    <mergeCell ref="G204:H204"/>
    <mergeCell ref="G206:H206"/>
    <mergeCell ref="B322:H322"/>
    <mergeCell ref="B318:H318"/>
    <mergeCell ref="A277:B277"/>
    <mergeCell ref="G277:H277"/>
    <mergeCell ref="G276:H276"/>
    <mergeCell ref="A276:B276"/>
    <mergeCell ref="A279:B279"/>
    <mergeCell ref="G279:H279"/>
    <mergeCell ref="A278:B278"/>
    <mergeCell ref="G278:H278"/>
    <mergeCell ref="B316:H316"/>
    <mergeCell ref="B317:H317"/>
    <mergeCell ref="A313:B313"/>
    <mergeCell ref="G313:H313"/>
    <mergeCell ref="B319:H319"/>
    <mergeCell ref="B320:H320"/>
    <mergeCell ref="A315:H315"/>
    <mergeCell ref="C184:D184"/>
    <mergeCell ref="E184:F184"/>
    <mergeCell ref="G184:H184"/>
    <mergeCell ref="G186:H186"/>
    <mergeCell ref="A221:H221"/>
    <mergeCell ref="G194:H194"/>
    <mergeCell ref="B198:B199"/>
    <mergeCell ref="A198:A199"/>
    <mergeCell ref="C194:D194"/>
    <mergeCell ref="C193:D193"/>
    <mergeCell ref="E193:F193"/>
    <mergeCell ref="G193:H193"/>
    <mergeCell ref="C192:D192"/>
    <mergeCell ref="E192:F192"/>
    <mergeCell ref="G192:H192"/>
    <mergeCell ref="A195:B195"/>
    <mergeCell ref="C195:D195"/>
    <mergeCell ref="E195:F195"/>
    <mergeCell ref="G195:H195"/>
    <mergeCell ref="A197:H197"/>
    <mergeCell ref="A194:B194"/>
    <mergeCell ref="E194:F194"/>
    <mergeCell ref="A331:H331"/>
    <mergeCell ref="A328:H328"/>
    <mergeCell ref="A186:B186"/>
    <mergeCell ref="G222:H222"/>
    <mergeCell ref="A104:B104"/>
    <mergeCell ref="A105:B105"/>
    <mergeCell ref="A106:B106"/>
    <mergeCell ref="A96:B96"/>
    <mergeCell ref="C96:H96"/>
    <mergeCell ref="A215:B215"/>
    <mergeCell ref="G215:H215"/>
    <mergeCell ref="A234:B234"/>
    <mergeCell ref="G234:H234"/>
    <mergeCell ref="A230:H230"/>
    <mergeCell ref="A231:B231"/>
    <mergeCell ref="G231:H231"/>
    <mergeCell ref="A259:H259"/>
    <mergeCell ref="A280:B280"/>
    <mergeCell ref="G280:H280"/>
    <mergeCell ref="A286:B286"/>
    <mergeCell ref="G286:H286"/>
    <mergeCell ref="A300:B300"/>
    <mergeCell ref="G300:H300"/>
    <mergeCell ref="G311:H311"/>
    <mergeCell ref="A77:B77"/>
    <mergeCell ref="F167:H167"/>
    <mergeCell ref="G182:H182"/>
    <mergeCell ref="A48:B48"/>
    <mergeCell ref="C48:E48"/>
    <mergeCell ref="G48:H48"/>
    <mergeCell ref="G50:H50"/>
    <mergeCell ref="D54:H54"/>
    <mergeCell ref="C50:E50"/>
    <mergeCell ref="A57:C60"/>
    <mergeCell ref="D57:H57"/>
    <mergeCell ref="D59:H59"/>
    <mergeCell ref="D60:H60"/>
    <mergeCell ref="F174:H174"/>
    <mergeCell ref="C181:D181"/>
    <mergeCell ref="F177:H177"/>
    <mergeCell ref="F175:H175"/>
    <mergeCell ref="G181:H181"/>
    <mergeCell ref="A176:E176"/>
    <mergeCell ref="C182:D182"/>
    <mergeCell ref="F176:H176"/>
    <mergeCell ref="E181:F181"/>
    <mergeCell ref="A181:B181"/>
    <mergeCell ref="E182:F182"/>
    <mergeCell ref="L210:M210"/>
    <mergeCell ref="A211:B211"/>
    <mergeCell ref="G211:H211"/>
    <mergeCell ref="L211:M211"/>
    <mergeCell ref="A214:B214"/>
    <mergeCell ref="G214:H214"/>
    <mergeCell ref="L214:M214"/>
    <mergeCell ref="A201:H201"/>
    <mergeCell ref="A200:H200"/>
    <mergeCell ref="A207:B207"/>
    <mergeCell ref="G207:H207"/>
    <mergeCell ref="L207:M207"/>
    <mergeCell ref="A208:B208"/>
    <mergeCell ref="G208:H208"/>
    <mergeCell ref="L208:M208"/>
    <mergeCell ref="A209:B209"/>
    <mergeCell ref="G209:H209"/>
    <mergeCell ref="L209:M209"/>
    <mergeCell ref="A205:B205"/>
    <mergeCell ref="A212:H212"/>
    <mergeCell ref="A213:H213"/>
    <mergeCell ref="A210:B210"/>
    <mergeCell ref="G210:H210"/>
    <mergeCell ref="L215:M215"/>
    <mergeCell ref="A216:B216"/>
    <mergeCell ref="G216:H216"/>
    <mergeCell ref="L216:M216"/>
    <mergeCell ref="A217:B217"/>
    <mergeCell ref="G217:H217"/>
    <mergeCell ref="L217:M217"/>
    <mergeCell ref="G228:H228"/>
    <mergeCell ref="L228:M228"/>
    <mergeCell ref="A218:B218"/>
    <mergeCell ref="G218:H218"/>
    <mergeCell ref="L218:M218"/>
    <mergeCell ref="A219:B219"/>
    <mergeCell ref="G219:H219"/>
    <mergeCell ref="L219:M219"/>
    <mergeCell ref="A220:B220"/>
    <mergeCell ref="G220:H220"/>
    <mergeCell ref="L220:M220"/>
    <mergeCell ref="A225:H225"/>
    <mergeCell ref="L258:M258"/>
    <mergeCell ref="L241:M241"/>
    <mergeCell ref="A223:H223"/>
    <mergeCell ref="A224:H224"/>
    <mergeCell ref="A235:H235"/>
    <mergeCell ref="A236:H236"/>
    <mergeCell ref="A237:B237"/>
    <mergeCell ref="G237:H237"/>
    <mergeCell ref="L237:M237"/>
    <mergeCell ref="A238:B238"/>
    <mergeCell ref="G238:H238"/>
    <mergeCell ref="L238:M238"/>
    <mergeCell ref="L229:M229"/>
    <mergeCell ref="G226:H226"/>
    <mergeCell ref="L226:M226"/>
    <mergeCell ref="A227:B227"/>
    <mergeCell ref="G227:H227"/>
    <mergeCell ref="L227:M227"/>
    <mergeCell ref="A228:B228"/>
    <mergeCell ref="G229:H229"/>
    <mergeCell ref="L231:M231"/>
    <mergeCell ref="A232:B232"/>
    <mergeCell ref="G232:H232"/>
    <mergeCell ref="L232:M232"/>
    <mergeCell ref="I250:J250"/>
    <mergeCell ref="I251:J251"/>
    <mergeCell ref="A266:H266"/>
    <mergeCell ref="I266:J266"/>
    <mergeCell ref="A267:H267"/>
    <mergeCell ref="I267:J267"/>
    <mergeCell ref="A268:H268"/>
    <mergeCell ref="A269:B269"/>
    <mergeCell ref="G269:H269"/>
    <mergeCell ref="A263:B263"/>
    <mergeCell ref="A261:B261"/>
    <mergeCell ref="G265:H265"/>
    <mergeCell ref="G263:H263"/>
    <mergeCell ref="A260:B260"/>
    <mergeCell ref="G261:H261"/>
    <mergeCell ref="A262:B262"/>
    <mergeCell ref="G262:H262"/>
    <mergeCell ref="A257:B257"/>
    <mergeCell ref="G257:H257"/>
    <mergeCell ref="A258:B258"/>
    <mergeCell ref="G258:H258"/>
    <mergeCell ref="A252:H252"/>
    <mergeCell ref="A253:B253"/>
    <mergeCell ref="G253:H253"/>
    <mergeCell ref="L233:M233"/>
    <mergeCell ref="G245:H245"/>
    <mergeCell ref="L245:M245"/>
    <mergeCell ref="L234:M234"/>
    <mergeCell ref="A243:H243"/>
    <mergeCell ref="A244:B244"/>
    <mergeCell ref="G244:H244"/>
    <mergeCell ref="L244:M244"/>
    <mergeCell ref="A245:B245"/>
    <mergeCell ref="A242:B242"/>
    <mergeCell ref="G242:H242"/>
    <mergeCell ref="L242:M242"/>
    <mergeCell ref="A239:B239"/>
    <mergeCell ref="G239:H239"/>
    <mergeCell ref="L239:M239"/>
    <mergeCell ref="A240:B240"/>
    <mergeCell ref="G240:H240"/>
    <mergeCell ref="L240:M240"/>
    <mergeCell ref="A233:B233"/>
    <mergeCell ref="L246:M246"/>
    <mergeCell ref="A247:B247"/>
    <mergeCell ref="G247:H247"/>
    <mergeCell ref="L247:M247"/>
    <mergeCell ref="A248:B248"/>
    <mergeCell ref="G248:H248"/>
    <mergeCell ref="L248:M248"/>
    <mergeCell ref="A249:B249"/>
    <mergeCell ref="G249:H249"/>
    <mergeCell ref="L249:M249"/>
    <mergeCell ref="A246:B246"/>
    <mergeCell ref="G246:H246"/>
    <mergeCell ref="L253:M253"/>
    <mergeCell ref="L254:M254"/>
    <mergeCell ref="G255:H255"/>
    <mergeCell ref="L255:M255"/>
    <mergeCell ref="L263:M263"/>
    <mergeCell ref="A264:B264"/>
    <mergeCell ref="L264:M264"/>
    <mergeCell ref="L265:M265"/>
    <mergeCell ref="A275:H275"/>
    <mergeCell ref="A270:B270"/>
    <mergeCell ref="G270:H270"/>
    <mergeCell ref="L270:M270"/>
    <mergeCell ref="A271:B271"/>
    <mergeCell ref="G271:H271"/>
    <mergeCell ref="L271:M271"/>
    <mergeCell ref="A272:B272"/>
    <mergeCell ref="G272:H272"/>
    <mergeCell ref="L272:M272"/>
    <mergeCell ref="L269:M269"/>
    <mergeCell ref="L260:M260"/>
    <mergeCell ref="L261:M261"/>
    <mergeCell ref="L262:M262"/>
    <mergeCell ref="L256:M256"/>
    <mergeCell ref="L257:M257"/>
    <mergeCell ref="L276:M276"/>
    <mergeCell ref="L277:M277"/>
    <mergeCell ref="L278:M278"/>
    <mergeCell ref="L279:M279"/>
    <mergeCell ref="A273:B273"/>
    <mergeCell ref="G273:H273"/>
    <mergeCell ref="L273:M273"/>
    <mergeCell ref="A274:B274"/>
    <mergeCell ref="G274:H274"/>
    <mergeCell ref="L274:M274"/>
    <mergeCell ref="L280:M280"/>
    <mergeCell ref="A281:B281"/>
    <mergeCell ref="G281:H281"/>
    <mergeCell ref="L281:M281"/>
    <mergeCell ref="A282:H282"/>
    <mergeCell ref="A283:H283"/>
    <mergeCell ref="A284:H284"/>
    <mergeCell ref="A285:B285"/>
    <mergeCell ref="G285:H285"/>
    <mergeCell ref="L285:M285"/>
    <mergeCell ref="L286:M286"/>
    <mergeCell ref="A287:B287"/>
    <mergeCell ref="G287:H287"/>
    <mergeCell ref="L287:M287"/>
    <mergeCell ref="A297:H297"/>
    <mergeCell ref="A298:H298"/>
    <mergeCell ref="A299:B299"/>
    <mergeCell ref="G299:H299"/>
    <mergeCell ref="L299:M299"/>
    <mergeCell ref="A288:B288"/>
    <mergeCell ref="G288:H288"/>
    <mergeCell ref="L288:M288"/>
    <mergeCell ref="A289:H289"/>
    <mergeCell ref="A290:B290"/>
    <mergeCell ref="G290:H290"/>
    <mergeCell ref="L290:M290"/>
    <mergeCell ref="A291:B291"/>
    <mergeCell ref="G291:H291"/>
    <mergeCell ref="L291:M291"/>
    <mergeCell ref="A292:B292"/>
    <mergeCell ref="G292:H292"/>
    <mergeCell ref="L292:M292"/>
    <mergeCell ref="L300:M300"/>
    <mergeCell ref="A295:B295"/>
    <mergeCell ref="G295:H295"/>
    <mergeCell ref="L295:M295"/>
    <mergeCell ref="A296:B296"/>
    <mergeCell ref="G296:H296"/>
    <mergeCell ref="L296:M296"/>
    <mergeCell ref="A293:B293"/>
    <mergeCell ref="G293:H293"/>
    <mergeCell ref="L293:M293"/>
    <mergeCell ref="A294:B294"/>
    <mergeCell ref="G294:H294"/>
    <mergeCell ref="L294:M294"/>
    <mergeCell ref="L311:M311"/>
    <mergeCell ref="A312:B312"/>
    <mergeCell ref="G312:H312"/>
    <mergeCell ref="L312:M312"/>
    <mergeCell ref="A301:H301"/>
    <mergeCell ref="A302:B302"/>
    <mergeCell ref="G302:H302"/>
    <mergeCell ref="L302:M302"/>
    <mergeCell ref="A303:B303"/>
    <mergeCell ref="G303:H303"/>
    <mergeCell ref="L303:M303"/>
    <mergeCell ref="A304:B304"/>
    <mergeCell ref="G304:H304"/>
    <mergeCell ref="L304:M304"/>
    <mergeCell ref="A306:H306"/>
    <mergeCell ref="A307:H307"/>
    <mergeCell ref="A308:B308"/>
    <mergeCell ref="G308:H308"/>
    <mergeCell ref="L308:M308"/>
    <mergeCell ref="A309:B309"/>
    <mergeCell ref="G309:H309"/>
    <mergeCell ref="L309:M309"/>
    <mergeCell ref="L313:M313"/>
    <mergeCell ref="A314:B314"/>
    <mergeCell ref="G314:H314"/>
    <mergeCell ref="L314:M314"/>
    <mergeCell ref="A182:A183"/>
    <mergeCell ref="C187:D187"/>
    <mergeCell ref="E187:F187"/>
    <mergeCell ref="G187:H187"/>
    <mergeCell ref="C188:D188"/>
    <mergeCell ref="E188:F188"/>
    <mergeCell ref="G188:H188"/>
    <mergeCell ref="C190:D190"/>
    <mergeCell ref="E190:F190"/>
    <mergeCell ref="G190:H190"/>
    <mergeCell ref="A187:A190"/>
    <mergeCell ref="C191:D191"/>
    <mergeCell ref="E191:F191"/>
    <mergeCell ref="A305:B305"/>
    <mergeCell ref="G305:H305"/>
    <mergeCell ref="L305:M305"/>
    <mergeCell ref="A310:H310"/>
    <mergeCell ref="A311:B311"/>
    <mergeCell ref="G191:H191"/>
    <mergeCell ref="A191:A193"/>
    <mergeCell ref="B325:H325"/>
    <mergeCell ref="A138:B138"/>
    <mergeCell ref="C138:H138"/>
    <mergeCell ref="A140:B140"/>
    <mergeCell ref="C140:H140"/>
    <mergeCell ref="A141:B141"/>
    <mergeCell ref="E141:F141"/>
    <mergeCell ref="G141:H141"/>
    <mergeCell ref="A142:B142"/>
    <mergeCell ref="E142:F151"/>
    <mergeCell ref="G142:H151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C183:D183"/>
    <mergeCell ref="E183:F183"/>
    <mergeCell ref="G183:H183"/>
    <mergeCell ref="A184:B184"/>
    <mergeCell ref="A110:B110"/>
    <mergeCell ref="C110:H110"/>
    <mergeCell ref="A112:B112"/>
    <mergeCell ref="C112:H112"/>
    <mergeCell ref="A113:B113"/>
    <mergeCell ref="E113:F113"/>
    <mergeCell ref="G113:H113"/>
    <mergeCell ref="A114:B114"/>
    <mergeCell ref="E114:F123"/>
    <mergeCell ref="G114:H123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</mergeCells>
  <hyperlinks>
    <hyperlink ref="C38" r:id="rId1"/>
    <hyperlink ref="I189" r:id="rId2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5" manualBreakCount="5">
    <brk id="67" max="16383" man="1"/>
    <brk id="151" max="16383" man="1"/>
    <brk id="337" max="16383" man="1"/>
    <brk id="380" max="16383" man="1"/>
    <brk id="423" max="16383" man="1"/>
  </rowBreaks>
  <colBreaks count="1" manualBreakCount="1">
    <brk id="3" max="447" man="1"/>
  </col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00" t="s">
        <v>110</v>
      </c>
      <c r="C3" s="200"/>
      <c r="D3" s="200"/>
      <c r="E3" s="200"/>
      <c r="F3" s="200"/>
      <c r="G3" s="200"/>
      <c r="H3" s="200"/>
    </row>
    <row r="4" spans="1:9" x14ac:dyDescent="0.35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C8" sqref="C8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2025-07-12T15:53:14Z</cp:lastPrinted>
  <dcterms:created xsi:type="dcterms:W3CDTF">2019-07-16T09:29:46Z</dcterms:created>
  <dcterms:modified xsi:type="dcterms:W3CDTF">2025-07-12T15:54:07Z</dcterms:modified>
</cp:coreProperties>
</file>