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09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5" i="1" l="1"/>
  <c r="E177" i="1"/>
  <c r="D194" i="1"/>
  <c r="E176" i="1"/>
  <c r="D193" i="1"/>
  <c r="D192" i="1"/>
  <c r="D189" i="1"/>
  <c r="D187" i="1"/>
  <c r="D191" i="1"/>
  <c r="D188" i="1"/>
  <c r="E188" i="1"/>
  <c r="D182" i="1"/>
  <c r="D185" i="1"/>
  <c r="D183" i="1"/>
  <c r="E183" i="1"/>
  <c r="E182" i="1"/>
  <c r="D181" i="1"/>
  <c r="E181" i="1"/>
  <c r="D180" i="1"/>
  <c r="E180" i="1"/>
  <c r="D179" i="1"/>
  <c r="E179" i="1"/>
  <c r="D177" i="1"/>
  <c r="D176" i="1"/>
  <c r="D175" i="1"/>
  <c r="D174" i="1"/>
  <c r="D173" i="1"/>
  <c r="J173" i="1"/>
  <c r="D166" i="1"/>
  <c r="D164" i="1"/>
  <c r="D159" i="1"/>
  <c r="I147" i="1"/>
  <c r="I149" i="1"/>
  <c r="I136" i="1"/>
  <c r="G42" i="1"/>
  <c r="G43" i="1" s="1"/>
  <c r="E117" i="1" l="1"/>
  <c r="C81" i="1"/>
  <c r="J92" i="1"/>
  <c r="J91" i="1"/>
  <c r="J90" i="1"/>
  <c r="J89" i="1"/>
  <c r="C117" i="1" l="1"/>
  <c r="F194" i="1"/>
  <c r="F192" i="1"/>
  <c r="F191" i="1"/>
  <c r="E185" i="1"/>
  <c r="F185" i="1" s="1"/>
  <c r="F187" i="1"/>
  <c r="F189" i="1"/>
  <c r="F181" i="1"/>
  <c r="F180" i="1"/>
  <c r="F182" i="1"/>
  <c r="F179" i="1"/>
  <c r="F176" i="1"/>
  <c r="E174" i="1"/>
  <c r="F174" i="1" s="1"/>
  <c r="I174" i="1" s="1"/>
  <c r="E175" i="1"/>
  <c r="F175" i="1" s="1"/>
  <c r="E173" i="1"/>
  <c r="F173" i="1" s="1"/>
  <c r="F193" i="1"/>
  <c r="G191" i="1"/>
  <c r="A191" i="1"/>
  <c r="A192" i="1" s="1"/>
  <c r="A193" i="1" s="1"/>
  <c r="A194" i="1" s="1"/>
  <c r="A195" i="1" s="1"/>
  <c r="F188" i="1"/>
  <c r="G185" i="1"/>
  <c r="A185" i="1"/>
  <c r="A186" i="1" s="1"/>
  <c r="A187" i="1" s="1"/>
  <c r="A188" i="1" s="1"/>
  <c r="A189" i="1" s="1"/>
  <c r="G179" i="1"/>
  <c r="G173" i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D141" i="1"/>
  <c r="F141" i="1" s="1"/>
  <c r="D140" i="1"/>
  <c r="F140" i="1" s="1"/>
  <c r="D139" i="1"/>
  <c r="A140" i="1"/>
  <c r="A141" i="1" s="1"/>
  <c r="A142" i="1" s="1"/>
  <c r="A143" i="1" s="1"/>
  <c r="A144" i="1" s="1"/>
  <c r="A145" i="1" s="1"/>
  <c r="A146" i="1" s="1"/>
  <c r="A147" i="1" s="1"/>
  <c r="A148" i="1" s="1"/>
  <c r="A149" i="1" s="1"/>
  <c r="G139" i="1"/>
  <c r="A173" i="1"/>
  <c r="A179" i="1"/>
  <c r="F139" i="1" l="1"/>
  <c r="G112" i="1" s="1"/>
  <c r="E112" i="1"/>
  <c r="K176" i="1"/>
  <c r="I176" i="1"/>
  <c r="C112" i="1"/>
  <c r="F195" i="1"/>
  <c r="F183" i="1"/>
  <c r="I183" i="1" s="1"/>
  <c r="F177" i="1"/>
  <c r="D169" i="1"/>
  <c r="F169" i="1" s="1"/>
  <c r="I169" i="1" s="1"/>
  <c r="D168" i="1"/>
  <c r="F168" i="1" s="1"/>
  <c r="D167" i="1"/>
  <c r="F167" i="1" s="1"/>
  <c r="I167" i="1" s="1"/>
  <c r="F166" i="1"/>
  <c r="D163" i="1"/>
  <c r="D162" i="1"/>
  <c r="E163" i="1"/>
  <c r="E162" i="1"/>
  <c r="E164" i="1"/>
  <c r="E156" i="1"/>
  <c r="E161" i="1"/>
  <c r="D161" i="1"/>
  <c r="D158" i="1"/>
  <c r="E158" i="1"/>
  <c r="E159" i="1"/>
  <c r="E157" i="1"/>
  <c r="D157" i="1"/>
  <c r="D156" i="1"/>
  <c r="K156" i="1"/>
  <c r="J156" i="1"/>
  <c r="G166" i="1"/>
  <c r="A166" i="1"/>
  <c r="A167" i="1" s="1"/>
  <c r="A168" i="1" s="1"/>
  <c r="A169" i="1" s="1"/>
  <c r="G161" i="1"/>
  <c r="A174" i="1"/>
  <c r="A180" i="1"/>
  <c r="G117" i="1" l="1"/>
  <c r="E116" i="1"/>
  <c r="E118" i="1" s="1"/>
  <c r="C116" i="1"/>
  <c r="C118" i="1" s="1"/>
  <c r="F161" i="1"/>
  <c r="F163" i="1"/>
  <c r="I163" i="1" s="1"/>
  <c r="F164" i="1"/>
  <c r="I164" i="1" s="1"/>
  <c r="F162" i="1"/>
  <c r="F159" i="1"/>
  <c r="F158" i="1"/>
  <c r="F157" i="1"/>
  <c r="G156" i="1"/>
  <c r="F156" i="1"/>
  <c r="D134" i="1"/>
  <c r="F134" i="1" s="1"/>
  <c r="D136" i="1"/>
  <c r="F136" i="1" s="1"/>
  <c r="D135" i="1"/>
  <c r="F135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D127" i="1"/>
  <c r="D126" i="1"/>
  <c r="D125" i="1"/>
  <c r="A181" i="1"/>
  <c r="A175" i="1"/>
  <c r="E111" i="1" l="1"/>
  <c r="E113" i="1" s="1"/>
  <c r="G116" i="1"/>
  <c r="G118" i="1" s="1"/>
  <c r="C111" i="1"/>
  <c r="C113" i="1" s="1"/>
  <c r="C14" i="1"/>
  <c r="A182" i="1"/>
  <c r="A176" i="1"/>
  <c r="E29" i="1" l="1"/>
  <c r="A183" i="1"/>
  <c r="A177" i="1"/>
  <c r="F108" i="1" l="1"/>
  <c r="F126" i="1" l="1"/>
  <c r="F127" i="1"/>
  <c r="F128" i="1"/>
  <c r="F125" i="1"/>
  <c r="G111" i="1" l="1"/>
  <c r="G113" i="1" s="1"/>
  <c r="B198" i="1"/>
  <c r="B199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0" i="1"/>
  <c r="A126" i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G125" i="1"/>
  <c r="J78" i="1"/>
  <c r="J77" i="1"/>
  <c r="J76" i="1"/>
  <c r="J75" i="1"/>
  <c r="C67" i="1"/>
  <c r="D55" i="1"/>
  <c r="G49" i="1"/>
  <c r="G50" i="1" s="1"/>
  <c r="C49" i="1"/>
  <c r="C50" i="1" s="1"/>
  <c r="E42" i="1"/>
  <c r="E43" i="1" s="1"/>
  <c r="E26" i="1"/>
  <c r="E24" i="1"/>
  <c r="E7" i="1"/>
  <c r="E3" i="1"/>
  <c r="H68" i="1"/>
  <c r="D61" i="1" l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D73" i="1" l="1"/>
  <c r="J69" i="1"/>
  <c r="E71" i="1"/>
  <c r="D72" i="1"/>
  <c r="G71" i="1"/>
  <c r="D65" i="1" s="1"/>
  <c r="D71" i="1"/>
  <c r="J68" i="1" s="1"/>
  <c r="I68" i="1" l="1"/>
  <c r="F66" i="1"/>
  <c r="D66" i="1"/>
  <c r="H82" i="1"/>
  <c r="D94" i="1" l="1"/>
  <c r="D92" i="1"/>
  <c r="D90" i="1"/>
  <c r="D88" i="1"/>
  <c r="J86" i="1"/>
  <c r="D85" i="1" s="1"/>
  <c r="J84" i="1"/>
  <c r="J87" i="1"/>
  <c r="J88" i="1" s="1"/>
  <c r="J93" i="1" s="1"/>
  <c r="J94" i="1" s="1"/>
  <c r="D93" i="1"/>
  <c r="D91" i="1"/>
  <c r="D89" i="1"/>
  <c r="J81" i="1"/>
  <c r="J83" i="1" s="1"/>
  <c r="J85" i="1"/>
  <c r="I69" i="1"/>
  <c r="I67" i="1" s="1"/>
  <c r="C69" i="1" s="1"/>
  <c r="E85" i="1" l="1"/>
  <c r="D87" i="1"/>
  <c r="D86" i="1"/>
  <c r="G85" i="1"/>
  <c r="J82" i="1"/>
  <c r="I82" i="1" l="1"/>
  <c r="I83" i="1" s="1"/>
  <c r="I81" i="1" s="1"/>
  <c r="C83" i="1" s="1"/>
</calcChain>
</file>

<file path=xl/sharedStrings.xml><?xml version="1.0" encoding="utf-8"?>
<sst xmlns="http://schemas.openxmlformats.org/spreadsheetml/2006/main" count="350" uniqueCount="234">
  <si>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</si>
  <si>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</si>
  <si>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</si>
  <si>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</si>
  <si>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</si>
  <si>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</si>
  <si>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</si>
  <si>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</si>
  <si>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</si>
  <si>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</si>
  <si>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</si>
  <si>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</si>
  <si>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</si>
  <si>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</si>
  <si>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</si>
  <si>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</si>
  <si>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</si>
  <si>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</si>
  <si>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</si>
  <si>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</si>
  <si>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</si>
  <si>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</si>
  <si>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</si>
  <si>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</si>
  <si>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</si>
  <si>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</si>
  <si>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</si>
  <si>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</si>
  <si>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</si>
  <si>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</si>
  <si>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</si>
  <si>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</si>
  <si>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</si>
  <si>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</si>
  <si>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</si>
  <si>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</si>
  <si>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</si>
  <si>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</si>
  <si>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</si>
  <si>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</si>
  <si>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</si>
  <si>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</si>
  <si>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</si>
  <si>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</si>
  <si>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</si>
  <si>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</si>
  <si>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</si>
  <si>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</si>
  <si>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</si>
  <si>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</si>
  <si>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</si>
  <si>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</si>
  <si>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</si>
  <si>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</si>
  <si>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</si>
  <si>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</si>
  <si>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</si>
  <si>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</si>
  <si>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</si>
  <si>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</si>
  <si>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</si>
  <si>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</si>
  <si>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</si>
  <si>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</si>
  <si>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</si>
  <si>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</si>
  <si>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</si>
  <si>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</si>
  <si>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</si>
  <si>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</si>
  <si>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</si>
  <si>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</si>
  <si>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</si>
  <si>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</si>
  <si>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</si>
  <si>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</si>
  <si>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</si>
  <si>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</si>
  <si>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</si>
  <si>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</si>
  <si>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</si>
  <si>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</si>
  <si>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</si>
  <si>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</si>
  <si>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</si>
  <si>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</si>
  <si>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</si>
  <si>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</si>
  <si>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</si>
  <si>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</si>
  <si>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</si>
  <si>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</si>
  <si>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</si>
  <si>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</si>
  <si>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</si>
  <si>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</si>
  <si>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</si>
  <si>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</si>
  <si>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</si>
  <si>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</si>
  <si>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</si>
  <si>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</si>
  <si>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</si>
  <si>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</si>
  <si>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</si>
  <si>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</si>
  <si>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</si>
  <si>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</si>
  <si>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</si>
  <si>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</si>
  <si>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</si>
  <si>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</si>
  <si>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</si>
  <si>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</si>
  <si>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</si>
  <si>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</si>
  <si>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</si>
  <si>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</si>
  <si>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</si>
  <si>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</si>
  <si>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</si>
  <si>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</si>
  <si>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</si>
  <si>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</si>
  <si>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</si>
  <si>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</si>
  <si>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</si>
  <si>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</si>
  <si>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</si>
  <si>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</si>
  <si>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</si>
  <si>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</si>
  <si>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</si>
  <si>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</si>
  <si>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</si>
  <si>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</si>
  <si>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</si>
  <si>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</si>
  <si>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</si>
  <si>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</si>
  <si>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</si>
  <si>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</si>
  <si>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</si>
  <si>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</si>
  <si>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</si>
  <si>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</si>
  <si>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</si>
  <si>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</si>
  <si>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</si>
  <si>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</si>
  <si>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</si>
  <si>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</si>
  <si>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</si>
  <si>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</si>
  <si>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</si>
  <si>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</si>
  <si>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</si>
  <si>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</si>
  <si>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</si>
  <si>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</si>
  <si>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</si>
  <si>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</si>
  <si>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</si>
  <si>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</si>
  <si>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</si>
  <si>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</si>
  <si>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</si>
  <si>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</si>
  <si>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</si>
  <si>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</si>
  <si>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</si>
  <si>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Badlapur</t>
  </si>
  <si>
    <t>Pawan Real Estate</t>
  </si>
  <si>
    <t>Pawan Atharva Phase I</t>
  </si>
  <si>
    <t>Approved Plans, CC, Cost Sheet</t>
  </si>
  <si>
    <t>P51700031072</t>
  </si>
  <si>
    <t>34, H.No. 1</t>
  </si>
  <si>
    <t>Survey No</t>
  </si>
  <si>
    <t>Kolivali</t>
  </si>
  <si>
    <t>Thane</t>
  </si>
  <si>
    <t>Kalyan</t>
  </si>
  <si>
    <t>Open Plot</t>
  </si>
  <si>
    <t>Kalyan-Sape Road</t>
  </si>
  <si>
    <t>Lodha Garden</t>
  </si>
  <si>
    <t>Khadakpada</t>
  </si>
  <si>
    <t>4.2KM from Kalyan Railway Station</t>
  </si>
  <si>
    <t>https://goo.gl/maps/fFscQUmsudpwpG3U9</t>
  </si>
  <si>
    <t>Kalyan-Dombivli Municipal Corporation</t>
  </si>
  <si>
    <t>KDMC/TPD/BP/KD/2021-22/05/242</t>
  </si>
  <si>
    <t>As per RERA - 31/08/2026</t>
  </si>
  <si>
    <t>Ground Floor For Commercial &amp; Parking</t>
  </si>
  <si>
    <t>Shop</t>
  </si>
  <si>
    <t>7th Floor</t>
  </si>
  <si>
    <t>1st, 3rd, 5th, 7th Floor For Residential</t>
  </si>
  <si>
    <t>2nd, 4th, 6th Floor For Residential</t>
  </si>
  <si>
    <t>9th Floor</t>
  </si>
  <si>
    <t>8th Floor (Part Refuge Area)</t>
  </si>
  <si>
    <t>Total</t>
  </si>
  <si>
    <t>Flats -72, Shops -23</t>
  </si>
  <si>
    <t>Mr. Jigar Thakar 7506897171</t>
  </si>
  <si>
    <t>Building No. 1 (Siddhi)
Building No. 2 (Riddhi)</t>
  </si>
  <si>
    <t>Kalyan west</t>
  </si>
  <si>
    <t>Plot No. 1</t>
  </si>
  <si>
    <t>Plot No. 2</t>
  </si>
  <si>
    <t>Building No. 1 (Siddhi) = G + 1st to 7th Floor
Building No. 2 (Riddhi) = G + 1st to 9th Floor</t>
  </si>
  <si>
    <t>Building No. 1 (Siddhi) = G + 1st to 7th Floor</t>
  </si>
  <si>
    <t>Building No. 2 (Riddhi) = G + 1st to 12th Floor</t>
  </si>
  <si>
    <t>Building No. 1 (Siddhi)</t>
  </si>
  <si>
    <t>Building No. 2 (Riddhi)</t>
  </si>
  <si>
    <t>We considered Gross carpet area = Net carpet + Enclose balcony + Balcony.</t>
  </si>
  <si>
    <t>1st, 3rd &amp; 5th Floor For Residential</t>
  </si>
  <si>
    <t>2nd, 4th &amp; 6th Floor</t>
  </si>
  <si>
    <t>Refuge Area &amp; Club House</t>
  </si>
  <si>
    <r>
      <t xml:space="preserve">Shop No.
</t>
    </r>
    <r>
      <rPr>
        <b/>
        <sz val="11"/>
        <rFont val="Times New Roman"/>
        <family val="1"/>
      </rPr>
      <t>(Approved Plan)</t>
    </r>
  </si>
  <si>
    <t>rate sheet</t>
  </si>
  <si>
    <t>flat</t>
  </si>
  <si>
    <t>visitor</t>
  </si>
  <si>
    <t>CS</t>
  </si>
  <si>
    <t>Cost sheet</t>
  </si>
  <si>
    <t>market</t>
  </si>
  <si>
    <t>2 Buildings</t>
  </si>
  <si>
    <t>5700 to 7100</t>
  </si>
  <si>
    <t>Abhishek</t>
  </si>
  <si>
    <t>On Site, we meet Mr. Santosh Patil - 9323112230.</t>
  </si>
  <si>
    <t xml:space="preserve">1.Vitrified tiles flooring 2. Granite Kitchen Platform  3. Decorative Enternace  etc. 
</t>
  </si>
  <si>
    <t>Office No. 1031, Wing J, Akshar Business Park, Plot No. 03 Sector 25, Near APMC Market, 
Vashi, Navi Mumbai, Maharashtra 400703 TEL: 022-46090378/79/8
E mail : vsjcapf@gmail.com. Web site : www.vsjadon.com</t>
  </si>
  <si>
    <t>Site Meet Person Contact Details ( Name &amp; Contact No.)</t>
  </si>
  <si>
    <t>Mr. Dharmraj Mahore : 8169498848</t>
  </si>
  <si>
    <t>Since building no.2 (Riddhi) have received CC on 30/07/2021, but as of construction work is not started.</t>
  </si>
  <si>
    <t>Construction work is in process at the time of Visit</t>
  </si>
  <si>
    <t>Building No. 1 (Siddhi) = Finishing work &amp; lift work is in process.
Building No. 2 (Riddhi) = Construction work is not yet started.</t>
  </si>
  <si>
    <t>Shakuntala : 7059819819</t>
  </si>
  <si>
    <t>Pooja</t>
  </si>
  <si>
    <t>Mangesh Laxman Bapardekar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</si>
</sst>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[&gt;0]0&quot;BHK&quot;;&quot;1RK&quot;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8" fillId="0" borderId="1" xfId="1" applyFont="1" applyBorder="1" applyAlignment="1" applyProtection="1">
      <alignment vertical="top"/>
      <protection locked="0"/>
    </xf>
    <xf numFmtId="167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65" fontId="6" fillId="0" borderId="7" xfId="1" applyNumberFormat="1" applyFont="1" applyBorder="1" applyAlignment="1" applyProtection="1">
      <alignment horizontal="center" vertical="top"/>
      <protection locked="0"/>
    </xf>
    <xf numFmtId="165" fontId="6" fillId="0" borderId="8" xfId="1" applyNumberFormat="1" applyFont="1" applyBorder="1" applyAlignment="1" applyProtection="1">
      <alignment horizontal="center" vertical="top"/>
      <protection locked="0"/>
    </xf>
    <xf numFmtId="2" fontId="6" fillId="0" borderId="7" xfId="1" applyNumberFormat="1" applyFont="1" applyBorder="1" applyAlignment="1" applyProtection="1">
      <alignment horizontal="center" vertical="top"/>
      <protection locked="0"/>
    </xf>
    <xf numFmtId="2" fontId="6" fillId="0" borderId="8" xfId="1" applyNumberFormat="1" applyFont="1" applyBorder="1" applyAlignment="1" applyProtection="1">
      <alignment horizontal="center" vertical="top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0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4" fontId="8" fillId="0" borderId="7" xfId="1" applyNumberFormat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3" fillId="0" borderId="1" xfId="9" applyNumberFormat="1" applyFont="1" applyFill="1" applyBorder="1" applyAlignment="1" applyProtection="1">
      <alignment horizontal="right" vertical="top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12" fillId="0" borderId="1" xfId="9" applyNumberFormat="1" applyFont="1" applyFill="1" applyBorder="1" applyAlignment="1" applyProtection="1">
      <alignment horizontal="right" vertical="top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0" applyFont="1" applyBorder="1" applyAlignment="1" applyProtection="1">
      <alignment horizontal="center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31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  <xf numFmtId="2" fontId="6" fillId="0" borderId="1" xfId="1" applyNumberFormat="1" applyFont="1" applyBorder="1" applyAlignment="1" applyProtection="1">
      <alignment horizontal="center" vertical="top" wrapText="1"/>
      <protection locked="0"/>
    </xf>
    <xf numFmtId="165" fontId="6" fillId="0" borderId="1" xfId="1" applyNumberFormat="1" applyFont="1" applyBorder="1" applyAlignment="1" applyProtection="1">
      <alignment horizontal="center" vertical="top"/>
      <protection locked="0"/>
    </xf>
    <xf numFmtId="1" fontId="13" fillId="0" borderId="1" xfId="1" applyNumberFormat="1" applyFont="1" applyBorder="1" applyAlignment="1" applyProtection="1">
      <alignment horizontal="center" vertical="top" wrapText="1"/>
      <protection locked="0"/>
    </xf>
    <xf numFmtId="1" fontId="27" fillId="0" borderId="1" xfId="1" applyNumberFormat="1" applyFont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center" vertical="top" wrapText="1"/>
      <protection locked="0"/>
    </xf>
    <xf numFmtId="9" fontId="13" fillId="0" borderId="1" xfId="8" applyFont="1" applyFill="1" applyBorder="1" applyAlignment="1" applyProtection="1">
      <alignment horizontal="center"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134216</xdr:colOff>
      <xdr:row>262</xdr:row>
      <xdr:rowOff>17319</xdr:rowOff>
    </xdr:from>
    <xdr:to>
      <xdr:col>6</xdr:col>
      <xdr:colOff>716516</xdr:colOff>
      <xdr:row>278</xdr:row>
      <xdr:rowOff>194792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216" y="52439455"/>
          <a:ext cx="4730005" cy="3364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125557</xdr:colOff>
      <xdr:row>279</xdr:row>
      <xdr:rowOff>117763</xdr:rowOff>
    </xdr:from>
    <xdr:to>
      <xdr:col>6</xdr:col>
      <xdr:colOff>707857</xdr:colOff>
      <xdr:row>296</xdr:row>
      <xdr:rowOff>95210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7557" y="55925604"/>
          <a:ext cx="4730005" cy="33631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0</xdr:colOff>
      <xdr:row>220</xdr:row>
      <xdr:rowOff>0</xdr:rowOff>
    </xdr:from>
    <xdr:to>
      <xdr:col>11</xdr:col>
      <xdr:colOff>559514</xdr:colOff>
      <xdr:row>221</xdr:row>
      <xdr:rowOff>98570</xdr:rowOff>
    </xdr:to>
    <xdr:sp macro="" textlink="">
      <xdr:nvSpPr>
        <xdr:cNvPr id="18" name="TextBox 17"/>
        <xdr:cNvSpPr txBox="1"/>
      </xdr:nvSpPr>
      <xdr:spPr>
        <a:xfrm>
          <a:off x="8089900" y="44938950"/>
          <a:ext cx="2096214" cy="295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/>
            <a:t>Building No. 1 (Siddhi)</a:t>
          </a:r>
        </a:p>
      </xdr:txBody>
    </xdr:sp>
    <xdr:clientData/>
  </xdr:twoCellAnchor>
  <xdr:twoCellAnchor>
    <xdr:from>
      <xdr:col>0</xdr:col>
      <xdr:colOff>114300</xdr:colOff>
      <xdr:row>220</xdr:row>
      <xdr:rowOff>82550</xdr:rowOff>
    </xdr:from>
    <xdr:to>
      <xdr:col>7</xdr:col>
      <xdr:colOff>691232</xdr:colOff>
      <xdr:row>256</xdr:row>
      <xdr:rowOff>44654</xdr:rowOff>
    </xdr:to>
    <xdr:grpSp>
      <xdr:nvGrpSpPr>
        <xdr:cNvPr id="4" name="Group 3"/>
        <xdr:cNvGrpSpPr/>
      </xdr:nvGrpSpPr>
      <xdr:grpSpPr>
        <a:xfrm>
          <a:off x="114300" y="45021500"/>
          <a:ext cx="6577682" cy="7042354"/>
          <a:chOff x="114300" y="45021500"/>
          <a:chExt cx="6577682" cy="7042354"/>
        </a:xfrm>
      </xdr:grpSpPr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16153" y="5001185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3275" y="45021500"/>
            <a:ext cx="3597143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54585" y="47840677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4490" y="47840677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13611" y="45021500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94395" y="47840677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00" y="47840677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32439" y="5001185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2294" y="50011854"/>
            <a:ext cx="2733828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2</xdr:col>
      <xdr:colOff>349250</xdr:colOff>
      <xdr:row>220</xdr:row>
      <xdr:rowOff>95250</xdr:rowOff>
    </xdr:from>
    <xdr:to>
      <xdr:col>4</xdr:col>
      <xdr:colOff>559514</xdr:colOff>
      <xdr:row>221</xdr:row>
      <xdr:rowOff>193820</xdr:rowOff>
    </xdr:to>
    <xdr:sp macro="" textlink="">
      <xdr:nvSpPr>
        <xdr:cNvPr id="31" name="TextBox 30"/>
        <xdr:cNvSpPr txBox="1"/>
      </xdr:nvSpPr>
      <xdr:spPr>
        <a:xfrm>
          <a:off x="1987550" y="45034200"/>
          <a:ext cx="2096214" cy="295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/>
            <a:t>Building No. 1 (Siddhi)</a:t>
          </a:r>
        </a:p>
      </xdr:txBody>
    </xdr:sp>
    <xdr:clientData/>
  </xdr:twoCellAnchor>
  <xdr:twoCellAnchor>
    <xdr:from>
      <xdr:col>6</xdr:col>
      <xdr:colOff>38100</xdr:colOff>
      <xdr:row>220</xdr:row>
      <xdr:rowOff>76200</xdr:rowOff>
    </xdr:from>
    <xdr:to>
      <xdr:col>7</xdr:col>
      <xdr:colOff>565150</xdr:colOff>
      <xdr:row>223</xdr:row>
      <xdr:rowOff>101600</xdr:rowOff>
    </xdr:to>
    <xdr:sp macro="" textlink="">
      <xdr:nvSpPr>
        <xdr:cNvPr id="32" name="TextBox 31"/>
        <xdr:cNvSpPr txBox="1"/>
      </xdr:nvSpPr>
      <xdr:spPr>
        <a:xfrm>
          <a:off x="5213350" y="45015150"/>
          <a:ext cx="135255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/>
            <a:t>Building No. 1 (Siddhi)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3</xdr:col>
      <xdr:colOff>217561</xdr:colOff>
      <xdr:row>27</xdr:row>
      <xdr:rowOff>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8687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969121</xdr:colOff>
      <xdr:row>15</xdr:row>
      <xdr:rowOff>0</xdr:rowOff>
    </xdr:from>
    <xdr:to>
      <xdr:col>14</xdr:col>
      <xdr:colOff>536741</xdr:colOff>
      <xdr:row>27</xdr:row>
      <xdr:rowOff>54000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3886" y="28687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406120</xdr:colOff>
      <xdr:row>15</xdr:row>
      <xdr:rowOff>0</xdr:rowOff>
    </xdr:from>
    <xdr:to>
      <xdr:col>7</xdr:col>
      <xdr:colOff>780562</xdr:colOff>
      <xdr:row>27</xdr:row>
      <xdr:rowOff>54000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3296" y="28687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fFscQUmsudpwpG3U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6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81640625" style="38" customWidth="1"/>
    <col min="4" max="4" width="14.1796875" style="38" customWidth="1"/>
    <col min="5" max="7" width="11.81640625" style="38" customWidth="1"/>
    <col min="8" max="8" width="12.453125" style="38" customWidth="1"/>
    <col min="9" max="9" width="17.453125" style="19" customWidth="1"/>
    <col min="10" max="10" width="11.453125" style="19" customWidth="1"/>
    <col min="11" max="11" width="10.54296875" style="19" bestFit="1" customWidth="1"/>
    <col min="12" max="12" width="11.1796875" style="19" bestFit="1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81640625" style="19" customWidth="1"/>
    <col min="17" max="247" width="9.1796875" style="19"/>
    <col min="248" max="248" width="8.81640625" style="19" customWidth="1"/>
    <col min="249" max="249" width="9.81640625" style="19" customWidth="1"/>
    <col min="250" max="250" width="14.453125" style="19" customWidth="1"/>
    <col min="251" max="251" width="7.179687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81640625" style="19" customWidth="1"/>
    <col min="505" max="505" width="9.81640625" style="19" customWidth="1"/>
    <col min="506" max="506" width="14.453125" style="19" customWidth="1"/>
    <col min="507" max="507" width="7.179687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81640625" style="19" customWidth="1"/>
    <col min="761" max="761" width="9.81640625" style="19" customWidth="1"/>
    <col min="762" max="762" width="14.453125" style="19" customWidth="1"/>
    <col min="763" max="763" width="7.179687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81640625" style="19" customWidth="1"/>
    <col min="1017" max="1017" width="9.81640625" style="19" customWidth="1"/>
    <col min="1018" max="1018" width="14.453125" style="19" customWidth="1"/>
    <col min="1019" max="1019" width="7.179687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81640625" style="19" customWidth="1"/>
    <col min="1273" max="1273" width="9.81640625" style="19" customWidth="1"/>
    <col min="1274" max="1274" width="14.453125" style="19" customWidth="1"/>
    <col min="1275" max="1275" width="7.179687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81640625" style="19" customWidth="1"/>
    <col min="1529" max="1529" width="9.81640625" style="19" customWidth="1"/>
    <col min="1530" max="1530" width="14.453125" style="19" customWidth="1"/>
    <col min="1531" max="1531" width="7.179687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81640625" style="19" customWidth="1"/>
    <col min="1785" max="1785" width="9.81640625" style="19" customWidth="1"/>
    <col min="1786" max="1786" width="14.453125" style="19" customWidth="1"/>
    <col min="1787" max="1787" width="7.179687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81640625" style="19" customWidth="1"/>
    <col min="2041" max="2041" width="9.81640625" style="19" customWidth="1"/>
    <col min="2042" max="2042" width="14.453125" style="19" customWidth="1"/>
    <col min="2043" max="2043" width="7.179687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81640625" style="19" customWidth="1"/>
    <col min="2297" max="2297" width="9.81640625" style="19" customWidth="1"/>
    <col min="2298" max="2298" width="14.453125" style="19" customWidth="1"/>
    <col min="2299" max="2299" width="7.179687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81640625" style="19" customWidth="1"/>
    <col min="2553" max="2553" width="9.81640625" style="19" customWidth="1"/>
    <col min="2554" max="2554" width="14.453125" style="19" customWidth="1"/>
    <col min="2555" max="2555" width="7.179687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81640625" style="19" customWidth="1"/>
    <col min="2809" max="2809" width="9.81640625" style="19" customWidth="1"/>
    <col min="2810" max="2810" width="14.453125" style="19" customWidth="1"/>
    <col min="2811" max="2811" width="7.179687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81640625" style="19" customWidth="1"/>
    <col min="3065" max="3065" width="9.81640625" style="19" customWidth="1"/>
    <col min="3066" max="3066" width="14.453125" style="19" customWidth="1"/>
    <col min="3067" max="3067" width="7.179687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81640625" style="19" customWidth="1"/>
    <col min="3321" max="3321" width="9.81640625" style="19" customWidth="1"/>
    <col min="3322" max="3322" width="14.453125" style="19" customWidth="1"/>
    <col min="3323" max="3323" width="7.179687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81640625" style="19" customWidth="1"/>
    <col min="3577" max="3577" width="9.81640625" style="19" customWidth="1"/>
    <col min="3578" max="3578" width="14.453125" style="19" customWidth="1"/>
    <col min="3579" max="3579" width="7.179687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81640625" style="19" customWidth="1"/>
    <col min="3833" max="3833" width="9.81640625" style="19" customWidth="1"/>
    <col min="3834" max="3834" width="14.453125" style="19" customWidth="1"/>
    <col min="3835" max="3835" width="7.179687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81640625" style="19" customWidth="1"/>
    <col min="4089" max="4089" width="9.81640625" style="19" customWidth="1"/>
    <col min="4090" max="4090" width="14.453125" style="19" customWidth="1"/>
    <col min="4091" max="4091" width="7.179687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81640625" style="19" customWidth="1"/>
    <col min="4345" max="4345" width="9.81640625" style="19" customWidth="1"/>
    <col min="4346" max="4346" width="14.453125" style="19" customWidth="1"/>
    <col min="4347" max="4347" width="7.179687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81640625" style="19" customWidth="1"/>
    <col min="4601" max="4601" width="9.81640625" style="19" customWidth="1"/>
    <col min="4602" max="4602" width="14.453125" style="19" customWidth="1"/>
    <col min="4603" max="4603" width="7.179687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81640625" style="19" customWidth="1"/>
    <col min="4857" max="4857" width="9.81640625" style="19" customWidth="1"/>
    <col min="4858" max="4858" width="14.453125" style="19" customWidth="1"/>
    <col min="4859" max="4859" width="7.179687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81640625" style="19" customWidth="1"/>
    <col min="5113" max="5113" width="9.81640625" style="19" customWidth="1"/>
    <col min="5114" max="5114" width="14.453125" style="19" customWidth="1"/>
    <col min="5115" max="5115" width="7.179687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81640625" style="19" customWidth="1"/>
    <col min="5369" max="5369" width="9.81640625" style="19" customWidth="1"/>
    <col min="5370" max="5370" width="14.453125" style="19" customWidth="1"/>
    <col min="5371" max="5371" width="7.179687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81640625" style="19" customWidth="1"/>
    <col min="5625" max="5625" width="9.81640625" style="19" customWidth="1"/>
    <col min="5626" max="5626" width="14.453125" style="19" customWidth="1"/>
    <col min="5627" max="5627" width="7.179687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81640625" style="19" customWidth="1"/>
    <col min="5881" max="5881" width="9.81640625" style="19" customWidth="1"/>
    <col min="5882" max="5882" width="14.453125" style="19" customWidth="1"/>
    <col min="5883" max="5883" width="7.179687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81640625" style="19" customWidth="1"/>
    <col min="6137" max="6137" width="9.81640625" style="19" customWidth="1"/>
    <col min="6138" max="6138" width="14.453125" style="19" customWidth="1"/>
    <col min="6139" max="6139" width="7.179687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81640625" style="19" customWidth="1"/>
    <col min="6393" max="6393" width="9.81640625" style="19" customWidth="1"/>
    <col min="6394" max="6394" width="14.453125" style="19" customWidth="1"/>
    <col min="6395" max="6395" width="7.179687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81640625" style="19" customWidth="1"/>
    <col min="6649" max="6649" width="9.81640625" style="19" customWidth="1"/>
    <col min="6650" max="6650" width="14.453125" style="19" customWidth="1"/>
    <col min="6651" max="6651" width="7.179687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81640625" style="19" customWidth="1"/>
    <col min="6905" max="6905" width="9.81640625" style="19" customWidth="1"/>
    <col min="6906" max="6906" width="14.453125" style="19" customWidth="1"/>
    <col min="6907" max="6907" width="7.179687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81640625" style="19" customWidth="1"/>
    <col min="7161" max="7161" width="9.81640625" style="19" customWidth="1"/>
    <col min="7162" max="7162" width="14.453125" style="19" customWidth="1"/>
    <col min="7163" max="7163" width="7.179687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81640625" style="19" customWidth="1"/>
    <col min="7417" max="7417" width="9.81640625" style="19" customWidth="1"/>
    <col min="7418" max="7418" width="14.453125" style="19" customWidth="1"/>
    <col min="7419" max="7419" width="7.179687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81640625" style="19" customWidth="1"/>
    <col min="7673" max="7673" width="9.81640625" style="19" customWidth="1"/>
    <col min="7674" max="7674" width="14.453125" style="19" customWidth="1"/>
    <col min="7675" max="7675" width="7.179687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81640625" style="19" customWidth="1"/>
    <col min="7929" max="7929" width="9.81640625" style="19" customWidth="1"/>
    <col min="7930" max="7930" width="14.453125" style="19" customWidth="1"/>
    <col min="7931" max="7931" width="7.179687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81640625" style="19" customWidth="1"/>
    <col min="8185" max="8185" width="9.81640625" style="19" customWidth="1"/>
    <col min="8186" max="8186" width="14.453125" style="19" customWidth="1"/>
    <col min="8187" max="8187" width="7.179687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81640625" style="19" customWidth="1"/>
    <col min="8441" max="8441" width="9.81640625" style="19" customWidth="1"/>
    <col min="8442" max="8442" width="14.453125" style="19" customWidth="1"/>
    <col min="8443" max="8443" width="7.179687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81640625" style="19" customWidth="1"/>
    <col min="8697" max="8697" width="9.81640625" style="19" customWidth="1"/>
    <col min="8698" max="8698" width="14.453125" style="19" customWidth="1"/>
    <col min="8699" max="8699" width="7.179687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81640625" style="19" customWidth="1"/>
    <col min="8953" max="8953" width="9.81640625" style="19" customWidth="1"/>
    <col min="8954" max="8954" width="14.453125" style="19" customWidth="1"/>
    <col min="8955" max="8955" width="7.179687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81640625" style="19" customWidth="1"/>
    <col min="9209" max="9209" width="9.81640625" style="19" customWidth="1"/>
    <col min="9210" max="9210" width="14.453125" style="19" customWidth="1"/>
    <col min="9211" max="9211" width="7.179687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81640625" style="19" customWidth="1"/>
    <col min="9465" max="9465" width="9.81640625" style="19" customWidth="1"/>
    <col min="9466" max="9466" width="14.453125" style="19" customWidth="1"/>
    <col min="9467" max="9467" width="7.179687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81640625" style="19" customWidth="1"/>
    <col min="9721" max="9721" width="9.81640625" style="19" customWidth="1"/>
    <col min="9722" max="9722" width="14.453125" style="19" customWidth="1"/>
    <col min="9723" max="9723" width="7.179687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81640625" style="19" customWidth="1"/>
    <col min="9977" max="9977" width="9.81640625" style="19" customWidth="1"/>
    <col min="9978" max="9978" width="14.453125" style="19" customWidth="1"/>
    <col min="9979" max="9979" width="7.179687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81640625" style="19" customWidth="1"/>
    <col min="10233" max="10233" width="9.81640625" style="19" customWidth="1"/>
    <col min="10234" max="10234" width="14.453125" style="19" customWidth="1"/>
    <col min="10235" max="10235" width="7.179687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81640625" style="19" customWidth="1"/>
    <col min="10489" max="10489" width="9.81640625" style="19" customWidth="1"/>
    <col min="10490" max="10490" width="14.453125" style="19" customWidth="1"/>
    <col min="10491" max="10491" width="7.179687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81640625" style="19" customWidth="1"/>
    <col min="10745" max="10745" width="9.81640625" style="19" customWidth="1"/>
    <col min="10746" max="10746" width="14.453125" style="19" customWidth="1"/>
    <col min="10747" max="10747" width="7.179687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81640625" style="19" customWidth="1"/>
    <col min="11001" max="11001" width="9.81640625" style="19" customWidth="1"/>
    <col min="11002" max="11002" width="14.453125" style="19" customWidth="1"/>
    <col min="11003" max="11003" width="7.179687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81640625" style="19" customWidth="1"/>
    <col min="11257" max="11257" width="9.81640625" style="19" customWidth="1"/>
    <col min="11258" max="11258" width="14.453125" style="19" customWidth="1"/>
    <col min="11259" max="11259" width="7.179687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81640625" style="19" customWidth="1"/>
    <col min="11513" max="11513" width="9.81640625" style="19" customWidth="1"/>
    <col min="11514" max="11514" width="14.453125" style="19" customWidth="1"/>
    <col min="11515" max="11515" width="7.179687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81640625" style="19" customWidth="1"/>
    <col min="11769" max="11769" width="9.81640625" style="19" customWidth="1"/>
    <col min="11770" max="11770" width="14.453125" style="19" customWidth="1"/>
    <col min="11771" max="11771" width="7.179687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81640625" style="19" customWidth="1"/>
    <col min="12025" max="12025" width="9.81640625" style="19" customWidth="1"/>
    <col min="12026" max="12026" width="14.453125" style="19" customWidth="1"/>
    <col min="12027" max="12027" width="7.179687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81640625" style="19" customWidth="1"/>
    <col min="12281" max="12281" width="9.81640625" style="19" customWidth="1"/>
    <col min="12282" max="12282" width="14.453125" style="19" customWidth="1"/>
    <col min="12283" max="12283" width="7.179687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81640625" style="19" customWidth="1"/>
    <col min="12537" max="12537" width="9.81640625" style="19" customWidth="1"/>
    <col min="12538" max="12538" width="14.453125" style="19" customWidth="1"/>
    <col min="12539" max="12539" width="7.179687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81640625" style="19" customWidth="1"/>
    <col min="12793" max="12793" width="9.81640625" style="19" customWidth="1"/>
    <col min="12794" max="12794" width="14.453125" style="19" customWidth="1"/>
    <col min="12795" max="12795" width="7.179687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81640625" style="19" customWidth="1"/>
    <col min="13049" max="13049" width="9.81640625" style="19" customWidth="1"/>
    <col min="13050" max="13050" width="14.453125" style="19" customWidth="1"/>
    <col min="13051" max="13051" width="7.179687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81640625" style="19" customWidth="1"/>
    <col min="13305" max="13305" width="9.81640625" style="19" customWidth="1"/>
    <col min="13306" max="13306" width="14.453125" style="19" customWidth="1"/>
    <col min="13307" max="13307" width="7.179687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81640625" style="19" customWidth="1"/>
    <col min="13561" max="13561" width="9.81640625" style="19" customWidth="1"/>
    <col min="13562" max="13562" width="14.453125" style="19" customWidth="1"/>
    <col min="13563" max="13563" width="7.179687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81640625" style="19" customWidth="1"/>
    <col min="13817" max="13817" width="9.81640625" style="19" customWidth="1"/>
    <col min="13818" max="13818" width="14.453125" style="19" customWidth="1"/>
    <col min="13819" max="13819" width="7.179687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81640625" style="19" customWidth="1"/>
    <col min="14073" max="14073" width="9.81640625" style="19" customWidth="1"/>
    <col min="14074" max="14074" width="14.453125" style="19" customWidth="1"/>
    <col min="14075" max="14075" width="7.179687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81640625" style="19" customWidth="1"/>
    <col min="14329" max="14329" width="9.81640625" style="19" customWidth="1"/>
    <col min="14330" max="14330" width="14.453125" style="19" customWidth="1"/>
    <col min="14331" max="14331" width="7.179687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81640625" style="19" customWidth="1"/>
    <col min="14585" max="14585" width="9.81640625" style="19" customWidth="1"/>
    <col min="14586" max="14586" width="14.453125" style="19" customWidth="1"/>
    <col min="14587" max="14587" width="7.179687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81640625" style="19" customWidth="1"/>
    <col min="14841" max="14841" width="9.81640625" style="19" customWidth="1"/>
    <col min="14842" max="14842" width="14.453125" style="19" customWidth="1"/>
    <col min="14843" max="14843" width="7.179687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81640625" style="19" customWidth="1"/>
    <col min="15097" max="15097" width="9.81640625" style="19" customWidth="1"/>
    <col min="15098" max="15098" width="14.453125" style="19" customWidth="1"/>
    <col min="15099" max="15099" width="7.179687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81640625" style="19" customWidth="1"/>
    <col min="15353" max="15353" width="9.81640625" style="19" customWidth="1"/>
    <col min="15354" max="15354" width="14.453125" style="19" customWidth="1"/>
    <col min="15355" max="15355" width="7.179687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81640625" style="19" customWidth="1"/>
    <col min="15609" max="15609" width="9.81640625" style="19" customWidth="1"/>
    <col min="15610" max="15610" width="14.453125" style="19" customWidth="1"/>
    <col min="15611" max="15611" width="7.179687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81640625" style="19" customWidth="1"/>
    <col min="15865" max="15865" width="9.81640625" style="19" customWidth="1"/>
    <col min="15866" max="15866" width="14.453125" style="19" customWidth="1"/>
    <col min="15867" max="15867" width="7.179687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81640625" style="19" customWidth="1"/>
    <col min="16121" max="16121" width="9.81640625" style="19" customWidth="1"/>
    <col min="16122" max="16122" width="14.453125" style="19" customWidth="1"/>
    <col min="16123" max="16123" width="7.179687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12" ht="46.5" customHeight="1" x14ac:dyDescent="0.35">
      <c r="A1" s="131" t="s">
        <v>225</v>
      </c>
      <c r="B1" s="131"/>
      <c r="C1" s="131"/>
      <c r="D1" s="131"/>
      <c r="E1" s="131"/>
      <c r="F1" s="131"/>
      <c r="G1" s="131"/>
      <c r="H1" s="131"/>
    </row>
    <row r="2" spans="1:12" ht="16.5" customHeight="1" x14ac:dyDescent="0.35">
      <c r="A2" s="132" t="s">
        <v>0</v>
      </c>
      <c r="B2" s="132"/>
      <c r="C2" s="132"/>
      <c r="D2" s="132"/>
      <c r="E2" s="132"/>
      <c r="F2" s="132"/>
      <c r="G2" s="132"/>
      <c r="H2" s="132"/>
    </row>
    <row r="3" spans="1:12" x14ac:dyDescent="0.35">
      <c r="A3" s="95" t="s">
        <v>1</v>
      </c>
      <c r="B3" s="95"/>
      <c r="C3" s="95"/>
      <c r="D3" s="95"/>
      <c r="E3" s="95" t="str">
        <f ca="1">TEXT(TODAY(),"DD/MM/YYYY")</f>
        <v>09/07/2025</v>
      </c>
      <c r="F3" s="95"/>
      <c r="G3" s="95"/>
      <c r="H3" s="95"/>
    </row>
    <row r="4" spans="1:12" ht="15" customHeight="1" x14ac:dyDescent="0.35">
      <c r="A4" s="95" t="s">
        <v>2</v>
      </c>
      <c r="B4" s="95"/>
      <c r="C4" s="95"/>
      <c r="D4" s="95"/>
      <c r="E4" s="95" t="s">
        <v>171</v>
      </c>
      <c r="F4" s="95"/>
      <c r="G4" s="95"/>
      <c r="H4" s="95"/>
    </row>
    <row r="5" spans="1:12" x14ac:dyDescent="0.35">
      <c r="A5" s="95" t="s">
        <v>3</v>
      </c>
      <c r="B5" s="95"/>
      <c r="C5" s="95"/>
      <c r="D5" s="95"/>
      <c r="E5" s="134">
        <v>45846</v>
      </c>
      <c r="F5" s="95"/>
      <c r="G5" s="95"/>
      <c r="H5" s="95"/>
    </row>
    <row r="6" spans="1:12" ht="16.5" customHeight="1" x14ac:dyDescent="0.35">
      <c r="A6" s="95" t="s">
        <v>4</v>
      </c>
      <c r="B6" s="95"/>
      <c r="C6" s="95"/>
      <c r="D6" s="95"/>
      <c r="E6" s="95" t="s">
        <v>172</v>
      </c>
      <c r="F6" s="95"/>
      <c r="G6" s="95"/>
      <c r="H6" s="95"/>
    </row>
    <row r="7" spans="1:12" ht="15" customHeight="1" x14ac:dyDescent="0.35">
      <c r="A7" s="95" t="s">
        <v>5</v>
      </c>
      <c r="B7" s="95"/>
      <c r="C7" s="95"/>
      <c r="D7" s="95"/>
      <c r="E7" s="95" t="str">
        <f>E6</f>
        <v>Pawan Real Estate</v>
      </c>
      <c r="F7" s="95"/>
      <c r="G7" s="95"/>
      <c r="H7" s="95"/>
    </row>
    <row r="8" spans="1:12" x14ac:dyDescent="0.35">
      <c r="A8" s="95" t="s">
        <v>6</v>
      </c>
      <c r="B8" s="95"/>
      <c r="C8" s="95"/>
      <c r="D8" s="95"/>
      <c r="E8" s="133" t="s">
        <v>173</v>
      </c>
      <c r="F8" s="133"/>
      <c r="G8" s="133"/>
      <c r="H8" s="133"/>
    </row>
    <row r="9" spans="1:12" x14ac:dyDescent="0.35">
      <c r="A9" s="95" t="s">
        <v>125</v>
      </c>
      <c r="B9" s="95"/>
      <c r="C9" s="95"/>
      <c r="D9" s="95"/>
      <c r="E9" s="95" t="s">
        <v>199</v>
      </c>
      <c r="F9" s="95"/>
      <c r="G9" s="95"/>
      <c r="H9" s="95"/>
    </row>
    <row r="10" spans="1:12" x14ac:dyDescent="0.35">
      <c r="A10" s="95" t="s">
        <v>226</v>
      </c>
      <c r="B10" s="95"/>
      <c r="C10" s="95"/>
      <c r="D10" s="95"/>
      <c r="E10" s="95" t="s">
        <v>231</v>
      </c>
      <c r="F10" s="95"/>
      <c r="G10" s="95"/>
      <c r="H10" s="95"/>
      <c r="I10" s="95" t="s">
        <v>227</v>
      </c>
      <c r="J10" s="95"/>
      <c r="K10" s="95"/>
      <c r="L10" s="95"/>
    </row>
    <row r="11" spans="1:12" ht="31.5" customHeight="1" x14ac:dyDescent="0.35">
      <c r="A11" s="95" t="s">
        <v>7</v>
      </c>
      <c r="B11" s="95"/>
      <c r="C11" s="95"/>
      <c r="D11" s="95"/>
      <c r="E11" s="94" t="s">
        <v>200</v>
      </c>
      <c r="F11" s="95"/>
      <c r="G11" s="95"/>
      <c r="H11" s="95"/>
    </row>
    <row r="12" spans="1:12" ht="17.25" customHeight="1" x14ac:dyDescent="0.35">
      <c r="A12" s="86" t="s">
        <v>8</v>
      </c>
      <c r="B12" s="86"/>
      <c r="C12" s="86"/>
      <c r="D12" s="86"/>
      <c r="E12" s="94" t="s">
        <v>174</v>
      </c>
      <c r="F12" s="94"/>
      <c r="G12" s="94"/>
      <c r="H12" s="94"/>
    </row>
    <row r="13" spans="1:12" x14ac:dyDescent="0.35">
      <c r="A13" s="86" t="s">
        <v>9</v>
      </c>
      <c r="B13" s="86"/>
      <c r="C13" s="86"/>
      <c r="D13" s="86"/>
      <c r="E13" s="94" t="s">
        <v>175</v>
      </c>
      <c r="F13" s="95"/>
      <c r="G13" s="95"/>
      <c r="H13" s="95"/>
    </row>
    <row r="14" spans="1:12" ht="33.75" customHeight="1" x14ac:dyDescent="0.35">
      <c r="A14" s="93" t="s">
        <v>10</v>
      </c>
      <c r="B14" s="93"/>
      <c r="C14" s="9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Pawan Atharva Phase I, Survey No.34, H.No. 1, near Lodha Garden, Kalyan-Sape Road, Khadakpada, Kolivali, Kalyan west, Kalyan, Thane - 421301.</v>
      </c>
      <c r="D14" s="93"/>
      <c r="E14" s="93"/>
      <c r="F14" s="93"/>
      <c r="G14" s="93"/>
      <c r="H14" s="93"/>
    </row>
    <row r="15" spans="1:12" x14ac:dyDescent="0.35">
      <c r="A15" s="94" t="s">
        <v>177</v>
      </c>
      <c r="B15" s="94"/>
      <c r="C15" s="94" t="s">
        <v>176</v>
      </c>
      <c r="D15" s="94"/>
      <c r="E15" s="94"/>
      <c r="F15" s="94"/>
      <c r="G15" s="94"/>
      <c r="H15" s="94"/>
    </row>
    <row r="16" spans="1:12" ht="15.75" customHeight="1" x14ac:dyDescent="0.35">
      <c r="A16" s="96" t="s">
        <v>168</v>
      </c>
      <c r="B16" s="135"/>
      <c r="C16" s="96" t="s">
        <v>184</v>
      </c>
      <c r="D16" s="136"/>
      <c r="E16" s="136"/>
      <c r="F16" s="136"/>
      <c r="G16" s="136"/>
      <c r="H16" s="135"/>
    </row>
    <row r="17" spans="1:8" ht="15.75" customHeight="1" x14ac:dyDescent="0.35">
      <c r="A17" s="93" t="s">
        <v>11</v>
      </c>
      <c r="B17" s="93"/>
      <c r="C17" s="95" t="s">
        <v>182</v>
      </c>
      <c r="D17" s="95"/>
      <c r="E17" s="93" t="s">
        <v>169</v>
      </c>
      <c r="F17" s="93"/>
      <c r="G17" s="94" t="s">
        <v>178</v>
      </c>
      <c r="H17" s="94"/>
    </row>
    <row r="18" spans="1:8" x14ac:dyDescent="0.35">
      <c r="A18" s="86" t="s">
        <v>13</v>
      </c>
      <c r="B18" s="86"/>
      <c r="C18" s="94" t="s">
        <v>201</v>
      </c>
      <c r="D18" s="94"/>
      <c r="E18" s="93" t="s">
        <v>12</v>
      </c>
      <c r="F18" s="93"/>
      <c r="G18" s="137" t="s">
        <v>179</v>
      </c>
      <c r="H18" s="137"/>
    </row>
    <row r="19" spans="1:8" x14ac:dyDescent="0.35">
      <c r="A19" s="86" t="s">
        <v>76</v>
      </c>
      <c r="B19" s="86"/>
      <c r="C19" s="94" t="s">
        <v>180</v>
      </c>
      <c r="D19" s="94"/>
      <c r="E19" s="93" t="s">
        <v>14</v>
      </c>
      <c r="F19" s="93"/>
      <c r="G19" s="94">
        <v>421301</v>
      </c>
      <c r="H19" s="94"/>
    </row>
    <row r="20" spans="1:8" ht="32.25" customHeight="1" x14ac:dyDescent="0.35">
      <c r="A20" s="86" t="s">
        <v>126</v>
      </c>
      <c r="B20" s="86"/>
      <c r="C20" s="94" t="s">
        <v>183</v>
      </c>
      <c r="D20" s="94"/>
      <c r="E20" s="93" t="s">
        <v>15</v>
      </c>
      <c r="F20" s="93"/>
      <c r="G20" s="94" t="s">
        <v>185</v>
      </c>
      <c r="H20" s="94"/>
    </row>
    <row r="21" spans="1:8" ht="15" customHeight="1" x14ac:dyDescent="0.35">
      <c r="A21" s="93" t="s">
        <v>79</v>
      </c>
      <c r="B21" s="93"/>
      <c r="C21" s="93"/>
      <c r="D21" s="93"/>
      <c r="E21" s="95" t="s">
        <v>16</v>
      </c>
      <c r="F21" s="95"/>
      <c r="G21" s="95"/>
      <c r="H21" s="95"/>
    </row>
    <row r="22" spans="1:8" ht="18.75" customHeight="1" x14ac:dyDescent="0.35">
      <c r="A22" s="93"/>
      <c r="B22" s="93"/>
      <c r="C22" s="93"/>
      <c r="D22" s="93"/>
      <c r="E22" s="95"/>
      <c r="F22" s="95"/>
      <c r="G22" s="95"/>
      <c r="H22" s="95"/>
    </row>
    <row r="23" spans="1:8" ht="15" customHeight="1" x14ac:dyDescent="0.35">
      <c r="A23" s="93" t="s">
        <v>17</v>
      </c>
      <c r="B23" s="93"/>
      <c r="C23" s="93"/>
      <c r="D23" s="93"/>
      <c r="E23" s="94" t="s">
        <v>18</v>
      </c>
      <c r="F23" s="94"/>
      <c r="G23" s="94"/>
      <c r="H23" s="94"/>
    </row>
    <row r="24" spans="1:8" ht="15" customHeight="1" x14ac:dyDescent="0.35">
      <c r="A24" s="86" t="s">
        <v>19</v>
      </c>
      <c r="B24" s="86"/>
      <c r="C24" s="86"/>
      <c r="D24" s="86"/>
      <c r="E24" s="94" t="str">
        <f>IF(AND(G18="Mumbai"),"Upper Class","Middle Class")</f>
        <v>Middle Class</v>
      </c>
      <c r="F24" s="94"/>
      <c r="G24" s="94"/>
      <c r="H24" s="94"/>
    </row>
    <row r="25" spans="1:8" x14ac:dyDescent="0.35">
      <c r="A25" s="86" t="s">
        <v>20</v>
      </c>
      <c r="B25" s="86"/>
      <c r="C25" s="86"/>
      <c r="D25" s="86"/>
      <c r="E25" s="94" t="s">
        <v>21</v>
      </c>
      <c r="F25" s="94"/>
      <c r="G25" s="94"/>
      <c r="H25" s="94"/>
    </row>
    <row r="26" spans="1:8" ht="15.75" customHeight="1" x14ac:dyDescent="0.35">
      <c r="A26" s="86" t="s">
        <v>22</v>
      </c>
      <c r="B26" s="86"/>
      <c r="C26" s="86"/>
      <c r="D26" s="86"/>
      <c r="E26" s="94" t="str">
        <f>IF(AND(G18="Mumbai"),"Developed","Developing")</f>
        <v>Developing</v>
      </c>
      <c r="F26" s="94"/>
      <c r="G26" s="94"/>
      <c r="H26" s="94"/>
    </row>
    <row r="27" spans="1:8" x14ac:dyDescent="0.35">
      <c r="A27" s="86" t="s">
        <v>23</v>
      </c>
      <c r="B27" s="86"/>
      <c r="C27" s="86"/>
      <c r="D27" s="86"/>
      <c r="E27" s="94" t="s">
        <v>24</v>
      </c>
      <c r="F27" s="94"/>
      <c r="G27" s="94"/>
      <c r="H27" s="94"/>
    </row>
    <row r="28" spans="1:8" ht="15.75" customHeight="1" x14ac:dyDescent="0.35">
      <c r="A28" s="86" t="s">
        <v>84</v>
      </c>
      <c r="B28" s="86"/>
      <c r="C28" s="86"/>
      <c r="D28" s="86"/>
      <c r="E28" s="94" t="s">
        <v>85</v>
      </c>
      <c r="F28" s="94"/>
      <c r="G28" s="94"/>
      <c r="H28" s="94"/>
    </row>
    <row r="29" spans="1:8" ht="15" customHeight="1" x14ac:dyDescent="0.35">
      <c r="A29" s="86" t="s">
        <v>35</v>
      </c>
      <c r="B29" s="86"/>
      <c r="C29" s="86"/>
      <c r="D29" s="86"/>
      <c r="E29" s="94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94"/>
      <c r="G29" s="94"/>
      <c r="H29" s="94"/>
    </row>
    <row r="30" spans="1:8" ht="15.75" customHeight="1" x14ac:dyDescent="0.35">
      <c r="A30" s="86" t="s">
        <v>96</v>
      </c>
      <c r="B30" s="86"/>
      <c r="C30" s="86"/>
      <c r="D30" s="86"/>
      <c r="E30" s="94" t="s">
        <v>36</v>
      </c>
      <c r="F30" s="94"/>
      <c r="G30" s="94"/>
      <c r="H30" s="94"/>
    </row>
    <row r="31" spans="1:8" s="20" customFormat="1" x14ac:dyDescent="0.35">
      <c r="A31" s="141" t="s">
        <v>97</v>
      </c>
      <c r="B31" s="141"/>
      <c r="C31" s="140" t="s">
        <v>29</v>
      </c>
      <c r="D31" s="140"/>
      <c r="E31" s="140"/>
      <c r="F31" s="140" t="s">
        <v>31</v>
      </c>
      <c r="G31" s="140"/>
      <c r="H31" s="140"/>
    </row>
    <row r="32" spans="1:8" s="20" customFormat="1" x14ac:dyDescent="0.35">
      <c r="A32" s="138" t="s">
        <v>25</v>
      </c>
      <c r="B32" s="138" t="s">
        <v>30</v>
      </c>
      <c r="C32" s="139" t="s">
        <v>30</v>
      </c>
      <c r="D32" s="139"/>
      <c r="E32" s="139"/>
      <c r="F32" s="139" t="s">
        <v>181</v>
      </c>
      <c r="G32" s="139"/>
      <c r="H32" s="139"/>
    </row>
    <row r="33" spans="1:8" x14ac:dyDescent="0.35">
      <c r="A33" s="138" t="s">
        <v>26</v>
      </c>
      <c r="B33" s="138" t="s">
        <v>30</v>
      </c>
      <c r="C33" s="139" t="s">
        <v>30</v>
      </c>
      <c r="D33" s="139"/>
      <c r="E33" s="139"/>
      <c r="F33" s="139" t="s">
        <v>181</v>
      </c>
      <c r="G33" s="139"/>
      <c r="H33" s="139"/>
    </row>
    <row r="34" spans="1:8" s="20" customFormat="1" x14ac:dyDescent="0.35">
      <c r="A34" s="138" t="s">
        <v>28</v>
      </c>
      <c r="B34" s="138" t="s">
        <v>30</v>
      </c>
      <c r="C34" s="139" t="s">
        <v>30</v>
      </c>
      <c r="D34" s="139"/>
      <c r="E34" s="139"/>
      <c r="F34" s="139" t="s">
        <v>181</v>
      </c>
      <c r="G34" s="139"/>
      <c r="H34" s="139"/>
    </row>
    <row r="35" spans="1:8" ht="15.75" customHeight="1" x14ac:dyDescent="0.35">
      <c r="A35" s="142" t="s">
        <v>27</v>
      </c>
      <c r="B35" s="142" t="s">
        <v>30</v>
      </c>
      <c r="C35" s="142" t="s">
        <v>30</v>
      </c>
      <c r="D35" s="142"/>
      <c r="E35" s="142"/>
      <c r="F35" s="144" t="s">
        <v>183</v>
      </c>
      <c r="G35" s="142"/>
      <c r="H35" s="142"/>
    </row>
    <row r="36" spans="1:8" x14ac:dyDescent="0.35">
      <c r="A36" s="86" t="s">
        <v>32</v>
      </c>
      <c r="B36" s="86"/>
      <c r="C36" s="86"/>
      <c r="D36" s="86"/>
      <c r="E36" s="86"/>
      <c r="F36" s="86"/>
      <c r="G36" s="86"/>
      <c r="H36" s="86"/>
    </row>
    <row r="37" spans="1:8" ht="15.75" customHeight="1" x14ac:dyDescent="0.35">
      <c r="A37" s="132" t="s">
        <v>33</v>
      </c>
      <c r="B37" s="132"/>
      <c r="C37" s="145">
        <v>19.263005</v>
      </c>
      <c r="D37" s="145"/>
      <c r="E37" s="132" t="s">
        <v>34</v>
      </c>
      <c r="F37" s="132"/>
      <c r="G37" s="146">
        <v>73.133741999999998</v>
      </c>
      <c r="H37" s="146"/>
    </row>
    <row r="38" spans="1:8" x14ac:dyDescent="0.35">
      <c r="A38" s="132" t="s">
        <v>167</v>
      </c>
      <c r="B38" s="132"/>
      <c r="C38" s="143" t="s">
        <v>186</v>
      </c>
      <c r="D38" s="94"/>
      <c r="E38" s="94"/>
      <c r="F38" s="94"/>
      <c r="G38" s="94"/>
      <c r="H38" s="94"/>
    </row>
    <row r="39" spans="1:8" x14ac:dyDescent="0.35">
      <c r="A39" s="126" t="s">
        <v>37</v>
      </c>
      <c r="B39" s="126"/>
      <c r="C39" s="126"/>
      <c r="D39" s="126"/>
      <c r="E39" s="132" t="s">
        <v>202</v>
      </c>
      <c r="F39" s="132"/>
      <c r="G39" s="132" t="s">
        <v>203</v>
      </c>
      <c r="H39" s="132"/>
    </row>
    <row r="40" spans="1:8" x14ac:dyDescent="0.35">
      <c r="A40" s="86" t="s">
        <v>38</v>
      </c>
      <c r="B40" s="86"/>
      <c r="C40" s="86"/>
      <c r="D40" s="86"/>
      <c r="E40" s="190">
        <v>677</v>
      </c>
      <c r="F40" s="190"/>
      <c r="G40" s="190">
        <v>1297</v>
      </c>
      <c r="H40" s="190"/>
    </row>
    <row r="41" spans="1:8" x14ac:dyDescent="0.35">
      <c r="A41" s="86" t="s">
        <v>39</v>
      </c>
      <c r="B41" s="86"/>
      <c r="C41" s="86"/>
      <c r="D41" s="86"/>
      <c r="E41" s="191">
        <v>1.1000000000000001</v>
      </c>
      <c r="F41" s="191"/>
      <c r="G41" s="191">
        <v>1.1000000000000001</v>
      </c>
      <c r="H41" s="191"/>
    </row>
    <row r="42" spans="1:8" x14ac:dyDescent="0.35">
      <c r="A42" s="86" t="s">
        <v>40</v>
      </c>
      <c r="B42" s="86"/>
      <c r="C42" s="86"/>
      <c r="D42" s="86"/>
      <c r="E42" s="191">
        <f>E44/E40-E41</f>
        <v>0.95125553914327909</v>
      </c>
      <c r="F42" s="191"/>
      <c r="G42" s="191">
        <f>G44/G40-G41</f>
        <v>0.91560524286815692</v>
      </c>
      <c r="H42" s="191"/>
    </row>
    <row r="43" spans="1:8" x14ac:dyDescent="0.35">
      <c r="A43" s="86" t="s">
        <v>41</v>
      </c>
      <c r="B43" s="86"/>
      <c r="C43" s="86"/>
      <c r="D43" s="86"/>
      <c r="E43" s="60">
        <f>E41+E42</f>
        <v>2.0512555391432792</v>
      </c>
      <c r="F43" s="61"/>
      <c r="G43" s="60">
        <f>G41+G42</f>
        <v>2.015605242868157</v>
      </c>
      <c r="H43" s="61"/>
    </row>
    <row r="44" spans="1:8" x14ac:dyDescent="0.35">
      <c r="A44" s="86" t="s">
        <v>95</v>
      </c>
      <c r="B44" s="86"/>
      <c r="C44" s="86"/>
      <c r="D44" s="86"/>
      <c r="E44" s="62">
        <v>1388.7</v>
      </c>
      <c r="F44" s="63"/>
      <c r="G44" s="62">
        <v>2614.2399999999998</v>
      </c>
      <c r="H44" s="63"/>
    </row>
    <row r="45" spans="1:8" x14ac:dyDescent="0.35">
      <c r="A45" s="95" t="s">
        <v>42</v>
      </c>
      <c r="B45" s="95"/>
      <c r="C45" s="95"/>
      <c r="D45" s="95"/>
      <c r="E45" s="95" t="s">
        <v>220</v>
      </c>
      <c r="F45" s="95"/>
      <c r="G45" s="95"/>
      <c r="H45" s="95"/>
    </row>
    <row r="46" spans="1:8" x14ac:dyDescent="0.35">
      <c r="A46" s="126" t="s">
        <v>43</v>
      </c>
      <c r="B46" s="126"/>
      <c r="C46" s="126"/>
      <c r="D46" s="126"/>
      <c r="E46" s="126"/>
      <c r="F46" s="126"/>
      <c r="G46" s="126"/>
      <c r="H46" s="126"/>
    </row>
    <row r="47" spans="1:8" ht="33.75" customHeight="1" x14ac:dyDescent="0.35">
      <c r="A47" s="87" t="s">
        <v>154</v>
      </c>
      <c r="B47" s="88"/>
      <c r="C47" s="170" t="s">
        <v>187</v>
      </c>
      <c r="D47" s="171"/>
      <c r="E47" s="171"/>
      <c r="F47" s="171"/>
      <c r="G47" s="171"/>
      <c r="H47" s="172"/>
    </row>
    <row r="48" spans="1:8" ht="15.75" customHeight="1" x14ac:dyDescent="0.35">
      <c r="A48" s="87" t="s">
        <v>44</v>
      </c>
      <c r="B48" s="88"/>
      <c r="C48" s="87" t="s">
        <v>188</v>
      </c>
      <c r="D48" s="89"/>
      <c r="E48" s="88"/>
      <c r="F48" s="18" t="s">
        <v>45</v>
      </c>
      <c r="G48" s="90">
        <v>44407</v>
      </c>
      <c r="H48" s="88"/>
    </row>
    <row r="49" spans="1:14" x14ac:dyDescent="0.35">
      <c r="A49" s="87" t="s">
        <v>46</v>
      </c>
      <c r="B49" s="88"/>
      <c r="C49" s="87" t="str">
        <f>C48</f>
        <v>KDMC/TPD/BP/KD/2021-22/05/242</v>
      </c>
      <c r="D49" s="89"/>
      <c r="E49" s="88"/>
      <c r="F49" s="18" t="s">
        <v>45</v>
      </c>
      <c r="G49" s="90">
        <f>G48</f>
        <v>44407</v>
      </c>
      <c r="H49" s="152"/>
    </row>
    <row r="50" spans="1:14" s="21" customFormat="1" ht="15.75" customHeight="1" x14ac:dyDescent="0.35">
      <c r="A50" s="165" t="s">
        <v>158</v>
      </c>
      <c r="B50" s="166"/>
      <c r="C50" s="87" t="str">
        <f>C49</f>
        <v>KDMC/TPD/BP/KD/2021-22/05/242</v>
      </c>
      <c r="D50" s="89"/>
      <c r="E50" s="88"/>
      <c r="F50" s="18" t="s">
        <v>45</v>
      </c>
      <c r="G50" s="90">
        <f>G49</f>
        <v>44407</v>
      </c>
      <c r="H50" s="152"/>
    </row>
    <row r="51" spans="1:14" s="21" customFormat="1" ht="33" customHeight="1" x14ac:dyDescent="0.35">
      <c r="A51" s="167"/>
      <c r="B51" s="168"/>
      <c r="C51" s="87" t="s">
        <v>204</v>
      </c>
      <c r="D51" s="89"/>
      <c r="E51" s="89"/>
      <c r="F51" s="89"/>
      <c r="G51" s="89"/>
      <c r="H51" s="88"/>
    </row>
    <row r="52" spans="1:14" x14ac:dyDescent="0.35">
      <c r="A52" s="79" t="s">
        <v>170</v>
      </c>
      <c r="B52" s="80"/>
      <c r="C52" s="83" t="s">
        <v>30</v>
      </c>
      <c r="D52" s="84"/>
      <c r="E52" s="85"/>
      <c r="F52" s="47" t="s">
        <v>45</v>
      </c>
      <c r="G52" s="77" t="s">
        <v>30</v>
      </c>
      <c r="H52" s="78"/>
    </row>
    <row r="53" spans="1:14" hidden="1" x14ac:dyDescent="0.35">
      <c r="A53" s="81"/>
      <c r="B53" s="82"/>
      <c r="C53" s="83" t="s">
        <v>30</v>
      </c>
      <c r="D53" s="84"/>
      <c r="E53" s="84"/>
      <c r="F53" s="84"/>
      <c r="G53" s="84"/>
      <c r="H53" s="85"/>
    </row>
    <row r="54" spans="1:14" x14ac:dyDescent="0.35">
      <c r="A54" s="92" t="s">
        <v>48</v>
      </c>
      <c r="B54" s="92"/>
      <c r="C54" s="92"/>
      <c r="D54" s="92"/>
      <c r="E54" s="92"/>
      <c r="F54" s="92"/>
      <c r="G54" s="92"/>
      <c r="H54" s="92"/>
    </row>
    <row r="55" spans="1:14" x14ac:dyDescent="0.35">
      <c r="A55" s="93" t="s">
        <v>94</v>
      </c>
      <c r="B55" s="93"/>
      <c r="C55" s="93"/>
      <c r="D55" s="95">
        <f>E44</f>
        <v>1388.7</v>
      </c>
      <c r="E55" s="95"/>
      <c r="F55" s="95"/>
      <c r="G55" s="95"/>
      <c r="H55" s="95"/>
    </row>
    <row r="56" spans="1:14" x14ac:dyDescent="0.35">
      <c r="A56" s="94" t="s">
        <v>49</v>
      </c>
      <c r="B56" s="95"/>
      <c r="C56" s="95"/>
      <c r="D56" s="95" t="s">
        <v>198</v>
      </c>
      <c r="E56" s="95"/>
      <c r="F56" s="95"/>
      <c r="G56" s="95"/>
      <c r="H56" s="95"/>
      <c r="I56" s="22"/>
    </row>
    <row r="57" spans="1:14" ht="31.5" customHeight="1" x14ac:dyDescent="0.35">
      <c r="A57" s="149" t="s">
        <v>50</v>
      </c>
      <c r="B57" s="150"/>
      <c r="C57" s="151"/>
      <c r="D57" s="147" t="s">
        <v>204</v>
      </c>
      <c r="E57" s="148"/>
      <c r="F57" s="148"/>
      <c r="G57" s="148"/>
      <c r="H57" s="148"/>
    </row>
    <row r="58" spans="1:14" ht="16.5" customHeight="1" x14ac:dyDescent="0.35">
      <c r="A58" s="149" t="s">
        <v>92</v>
      </c>
      <c r="B58" s="150"/>
      <c r="C58" s="151"/>
      <c r="D58" s="96" t="s">
        <v>205</v>
      </c>
      <c r="E58" s="97"/>
      <c r="F58" s="97"/>
      <c r="G58" s="97"/>
      <c r="H58" s="98"/>
    </row>
    <row r="59" spans="1:14" ht="15.75" customHeight="1" x14ac:dyDescent="0.35">
      <c r="A59" s="162"/>
      <c r="B59" s="163"/>
      <c r="C59" s="164"/>
      <c r="D59" s="96" t="s">
        <v>206</v>
      </c>
      <c r="E59" s="97"/>
      <c r="F59" s="97"/>
      <c r="G59" s="97"/>
      <c r="H59" s="98"/>
    </row>
    <row r="60" spans="1:14" ht="15.75" customHeight="1" x14ac:dyDescent="0.35">
      <c r="A60" s="86" t="s">
        <v>47</v>
      </c>
      <c r="B60" s="86"/>
      <c r="C60" s="86"/>
      <c r="D60" s="174" t="s">
        <v>189</v>
      </c>
      <c r="E60" s="174"/>
      <c r="F60" s="174"/>
      <c r="G60" s="174"/>
      <c r="H60" s="174"/>
      <c r="J60" s="23"/>
      <c r="K60" s="22"/>
      <c r="N60" s="22"/>
    </row>
    <row r="61" spans="1:14" ht="15.75" customHeight="1" x14ac:dyDescent="0.35">
      <c r="A61" s="86" t="s">
        <v>90</v>
      </c>
      <c r="B61" s="86"/>
      <c r="C61" s="86"/>
      <c r="D61" s="186" t="str">
        <f>(IF(G52="NA","60 Years After Completion",IF(G52&lt;&gt;"NA",""&amp;60-ROUNDDOWN((E3-G52)/360,0)&amp;" Years"," ")))</f>
        <v>60 Years After Completion</v>
      </c>
      <c r="E61" s="186"/>
      <c r="F61" s="186"/>
      <c r="G61" s="186"/>
      <c r="H61" s="186"/>
      <c r="N61" s="22"/>
    </row>
    <row r="62" spans="1:14" ht="15.75" customHeight="1" x14ac:dyDescent="0.35">
      <c r="A62" s="86" t="s">
        <v>91</v>
      </c>
      <c r="B62" s="86"/>
      <c r="C62" s="86"/>
      <c r="D62" s="93" t="s">
        <v>24</v>
      </c>
      <c r="E62" s="93"/>
      <c r="F62" s="93"/>
      <c r="G62" s="93"/>
      <c r="H62" s="93"/>
      <c r="J62" s="24"/>
      <c r="K62" s="24"/>
    </row>
    <row r="63" spans="1:14" ht="31.5" customHeight="1" x14ac:dyDescent="0.35">
      <c r="A63" s="86" t="s">
        <v>77</v>
      </c>
      <c r="B63" s="86"/>
      <c r="C63" s="86"/>
      <c r="D63" s="94" t="s">
        <v>224</v>
      </c>
      <c r="E63" s="93"/>
      <c r="F63" s="93"/>
      <c r="G63" s="93"/>
      <c r="H63" s="93"/>
    </row>
    <row r="64" spans="1:14" x14ac:dyDescent="0.35">
      <c r="A64" s="93" t="s">
        <v>152</v>
      </c>
      <c r="B64" s="93"/>
      <c r="C64" s="93"/>
      <c r="D64" s="93" t="s">
        <v>30</v>
      </c>
      <c r="E64" s="93"/>
      <c r="F64" s="93"/>
      <c r="G64" s="93"/>
      <c r="H64" s="93"/>
      <c r="I64" s="25"/>
      <c r="J64" s="25"/>
      <c r="K64" s="25"/>
      <c r="L64" s="25"/>
      <c r="M64" s="25"/>
      <c r="N64" s="25"/>
    </row>
    <row r="65" spans="1:10" ht="15.75" customHeight="1" x14ac:dyDescent="0.35">
      <c r="A65" s="187" t="s">
        <v>89</v>
      </c>
      <c r="B65" s="187"/>
      <c r="C65" s="187"/>
      <c r="D65" s="147" t="str">
        <f ca="1">(IF(G71&gt;95%,"Nothing",IF(G71&gt;0%,"Cement, Aggregate, Steel, etc",IF(G71=0%,"Work not yet Started"))))</f>
        <v>Cement, Aggregate, Steel, etc</v>
      </c>
      <c r="E65" s="147"/>
      <c r="F65" s="147"/>
      <c r="G65" s="147"/>
      <c r="H65" s="147"/>
      <c r="J65" s="24"/>
    </row>
    <row r="66" spans="1:10" ht="33.75" customHeight="1" thickBot="1" x14ac:dyDescent="0.4">
      <c r="A66" s="161" t="s">
        <v>121</v>
      </c>
      <c r="B66" s="161"/>
      <c r="C66" s="161"/>
      <c r="D66" s="147" t="str">
        <f ca="1">(IF(D65="Nothing","Yes",IF(D65="Cement, Aggregate, Steel, etc","Under Construction",IF(D65="Work not yet Started","Work not yet Started"))))</f>
        <v>Under Construction</v>
      </c>
      <c r="E66" s="147"/>
      <c r="F66" s="147" t="str">
        <f ca="1">(IF(D65="Nothing","Yes",IF(D65="Cement, Aggregate, Steel, etc","Under Construction",IF(D65="Work not yet Started","Work not yet Started"))))</f>
        <v>Under Construction</v>
      </c>
      <c r="G66" s="147"/>
      <c r="H66" s="147"/>
    </row>
    <row r="67" spans="1:10" ht="15.75" customHeight="1" x14ac:dyDescent="0.35">
      <c r="A67" s="154" t="s">
        <v>144</v>
      </c>
      <c r="B67" s="155"/>
      <c r="C67" s="156" t="str">
        <f>D58</f>
        <v>Building No. 1 (Siddhi) = G + 1st to 7th Floor</v>
      </c>
      <c r="D67" s="157"/>
      <c r="E67" s="157"/>
      <c r="F67" s="157"/>
      <c r="G67" s="157"/>
      <c r="H67" s="158"/>
      <c r="I67" s="43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Plaster, Flooring, Painting Completed, Finishing upto 3 Floor Completed</v>
      </c>
      <c r="J67" s="44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Finishing upto 3 Floor</v>
      </c>
    </row>
    <row r="68" spans="1:10" x14ac:dyDescent="0.35">
      <c r="A68" s="16" t="s">
        <v>146</v>
      </c>
      <c r="B68" s="49">
        <v>0</v>
      </c>
      <c r="C68" s="49" t="s">
        <v>75</v>
      </c>
      <c r="D68" s="49">
        <v>1</v>
      </c>
      <c r="E68" s="49" t="s">
        <v>74</v>
      </c>
      <c r="F68" s="49">
        <v>0</v>
      </c>
      <c r="G68" s="49" t="s">
        <v>83</v>
      </c>
      <c r="H68" s="17">
        <f ca="1">--TRIM(RIGHT(SUBSTITUTE(LEFT(C67,_xlfn.AGGREGATE(16,6,FIND({0,1,2,3,4,5,6,7,8,9},C67,ROW(INDIRECT("1:"&amp;LEN(C67)))),1))," ",REPT(" ",LEN(C67))),LEN(C67)))</f>
        <v>7</v>
      </c>
      <c r="I68" s="45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Flooring, Painting</v>
      </c>
      <c r="J68" s="46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1" customHeight="1" x14ac:dyDescent="0.35">
      <c r="A69" s="153" t="s">
        <v>93</v>
      </c>
      <c r="B69" s="133"/>
      <c r="C69" s="159" t="str">
        <f ca="1">(IF($C$53=C67,"All work Completed. OC Received.",I67))</f>
        <v>Excavation, Plinth, RCC Slab, Brickwork, Internal Plaster, External Plaster, Flooring, Painting Completed, Finishing upto 3 Floor Completed</v>
      </c>
      <c r="D69" s="159"/>
      <c r="E69" s="159"/>
      <c r="F69" s="159"/>
      <c r="G69" s="159"/>
      <c r="H69" s="160"/>
      <c r="I69" s="45" t="str">
        <f ca="1">IF(I68&lt;&gt;""," Completed","")</f>
        <v xml:space="preserve"> Completed</v>
      </c>
      <c r="J69" s="46" t="str">
        <f ca="1">IF(J67&lt;&gt;"","Completed","")</f>
        <v>Completed</v>
      </c>
    </row>
    <row r="70" spans="1:10" ht="15.75" customHeight="1" x14ac:dyDescent="0.35">
      <c r="A70" s="112" t="s">
        <v>51</v>
      </c>
      <c r="B70" s="113"/>
      <c r="C70" s="50" t="s">
        <v>143</v>
      </c>
      <c r="D70" s="50" t="s">
        <v>86</v>
      </c>
      <c r="E70" s="113" t="s">
        <v>88</v>
      </c>
      <c r="F70" s="113"/>
      <c r="G70" s="113" t="s">
        <v>87</v>
      </c>
      <c r="H70" s="188"/>
      <c r="I70" s="14" t="s">
        <v>145</v>
      </c>
      <c r="J70" s="26">
        <f ca="1">H68*25%</f>
        <v>1.75</v>
      </c>
    </row>
    <row r="71" spans="1:10" x14ac:dyDescent="0.35">
      <c r="A71" s="112" t="s">
        <v>132</v>
      </c>
      <c r="B71" s="113"/>
      <c r="C71" s="50">
        <f ca="1">J72</f>
        <v>7</v>
      </c>
      <c r="D71" s="51">
        <f ca="1">((100/H68)*C71)/100</f>
        <v>1</v>
      </c>
      <c r="E71" s="175">
        <f ca="1">(((C72/H68*10)+(40/(D68+F68+H68)*C73)+(7.5/(H68)*C74)+(7.5/(H68)*C75)+(10/H68*C76)+(10/H68*C77)+(5/H68*C78)+(5/H68*C79)+(5/H68*C80))/100)</f>
        <v>0.92142857142857137</v>
      </c>
      <c r="F71" s="176"/>
      <c r="G71" s="175">
        <f ca="1">((((C71/H68)*20)+((C72/H68)*25)+(30/(H68+F68+D68)*C73)+(5/H68*C74)+(5/H68*C75)+(5/H68*C76)+(5/H68*C77)+(0/H68*C78)+(0/H68*C79)+(5/H68*C80))/100)</f>
        <v>0.95</v>
      </c>
      <c r="H71" s="181"/>
      <c r="I71" s="14" t="s">
        <v>104</v>
      </c>
      <c r="J71" s="27">
        <f ca="1">H68*50%</f>
        <v>3.5</v>
      </c>
    </row>
    <row r="72" spans="1:10" x14ac:dyDescent="0.35">
      <c r="A72" s="112" t="s">
        <v>52</v>
      </c>
      <c r="B72" s="113"/>
      <c r="C72" s="50">
        <f ca="1">J80</f>
        <v>7</v>
      </c>
      <c r="D72" s="51">
        <f ca="1">((100/H68)*C72)/100</f>
        <v>1</v>
      </c>
      <c r="E72" s="177"/>
      <c r="F72" s="178"/>
      <c r="G72" s="177"/>
      <c r="H72" s="182"/>
      <c r="I72" s="14" t="s">
        <v>105</v>
      </c>
      <c r="J72" s="27">
        <f ca="1">H68</f>
        <v>7</v>
      </c>
    </row>
    <row r="73" spans="1:10" ht="15.75" customHeight="1" x14ac:dyDescent="0.35">
      <c r="A73" s="112" t="s">
        <v>133</v>
      </c>
      <c r="B73" s="113"/>
      <c r="C73" s="50">
        <v>8</v>
      </c>
      <c r="D73" s="51">
        <f ca="1">((100/(D68+F68+H68))*C73)/100</f>
        <v>1</v>
      </c>
      <c r="E73" s="177"/>
      <c r="F73" s="178"/>
      <c r="G73" s="177"/>
      <c r="H73" s="182"/>
      <c r="I73" s="14" t="s">
        <v>106</v>
      </c>
      <c r="J73" s="28">
        <f ca="1">(IF(B68&gt;1,(H68/(B68+2)),H68/4))</f>
        <v>1.75</v>
      </c>
    </row>
    <row r="74" spans="1:10" ht="15.75" customHeight="1" x14ac:dyDescent="0.35">
      <c r="A74" s="112" t="s">
        <v>140</v>
      </c>
      <c r="B74" s="113" t="s">
        <v>134</v>
      </c>
      <c r="C74" s="50">
        <v>7</v>
      </c>
      <c r="D74" s="51">
        <f ca="1">((100/H68)*C74)/100</f>
        <v>1</v>
      </c>
      <c r="E74" s="177"/>
      <c r="F74" s="178"/>
      <c r="G74" s="177"/>
      <c r="H74" s="182"/>
      <c r="I74" s="14" t="s">
        <v>107</v>
      </c>
      <c r="J74" s="28">
        <f ca="1">(IF(B68&gt;1,(H68/(B68+2)+J73),H68/4+J73))</f>
        <v>3.5</v>
      </c>
    </row>
    <row r="75" spans="1:10" ht="15.75" customHeight="1" x14ac:dyDescent="0.35">
      <c r="A75" s="112" t="s">
        <v>141</v>
      </c>
      <c r="B75" s="113" t="s">
        <v>134</v>
      </c>
      <c r="C75" s="50">
        <v>7</v>
      </c>
      <c r="D75" s="51">
        <f ca="1">((100/H68)*C75)/100</f>
        <v>1</v>
      </c>
      <c r="E75" s="177"/>
      <c r="F75" s="178"/>
      <c r="G75" s="177"/>
      <c r="H75" s="182"/>
      <c r="I75" s="14" t="s">
        <v>150</v>
      </c>
      <c r="J75" s="28">
        <f>(IF(B68&gt;1,(H68/(B68+2)+J74),0))</f>
        <v>0</v>
      </c>
    </row>
    <row r="76" spans="1:10" ht="15" customHeight="1" x14ac:dyDescent="0.35">
      <c r="A76" s="112" t="s">
        <v>139</v>
      </c>
      <c r="B76" s="113" t="s">
        <v>136</v>
      </c>
      <c r="C76" s="50">
        <v>7</v>
      </c>
      <c r="D76" s="51">
        <f ca="1">((100/(H68))*C76)/100</f>
        <v>1</v>
      </c>
      <c r="E76" s="177"/>
      <c r="F76" s="178"/>
      <c r="G76" s="177"/>
      <c r="H76" s="182"/>
      <c r="I76" s="14" t="s">
        <v>147</v>
      </c>
      <c r="J76" s="28">
        <f>(IF(B68&gt;2,(H68/(B68+2)+J75),0))</f>
        <v>0</v>
      </c>
    </row>
    <row r="77" spans="1:10" ht="15.75" customHeight="1" x14ac:dyDescent="0.35">
      <c r="A77" s="112" t="s">
        <v>135</v>
      </c>
      <c r="B77" s="113" t="s">
        <v>135</v>
      </c>
      <c r="C77" s="50">
        <v>7</v>
      </c>
      <c r="D77" s="51">
        <f ca="1">((100/H68)*C77)/100</f>
        <v>1</v>
      </c>
      <c r="E77" s="177"/>
      <c r="F77" s="178"/>
      <c r="G77" s="177"/>
      <c r="H77" s="182"/>
      <c r="I77" s="14" t="s">
        <v>148</v>
      </c>
      <c r="J77" s="29">
        <f>(IF(B68&gt;3,(H68/(B68+2)+J76),0))</f>
        <v>0</v>
      </c>
    </row>
    <row r="78" spans="1:10" ht="15.75" customHeight="1" x14ac:dyDescent="0.35">
      <c r="A78" s="112" t="s">
        <v>142</v>
      </c>
      <c r="B78" s="113"/>
      <c r="C78" s="50">
        <v>7</v>
      </c>
      <c r="D78" s="51">
        <f ca="1">((100/H68)*C78)/100</f>
        <v>1</v>
      </c>
      <c r="E78" s="177"/>
      <c r="F78" s="178"/>
      <c r="G78" s="177"/>
      <c r="H78" s="182"/>
      <c r="I78" s="14" t="s">
        <v>149</v>
      </c>
      <c r="J78" s="28">
        <f>(IF(B68&gt;4,(H68/(B68+2)+J77),0))</f>
        <v>0</v>
      </c>
    </row>
    <row r="79" spans="1:10" ht="15.75" customHeight="1" x14ac:dyDescent="0.35">
      <c r="A79" s="112" t="s">
        <v>137</v>
      </c>
      <c r="B79" s="113" t="s">
        <v>137</v>
      </c>
      <c r="C79" s="50">
        <v>3</v>
      </c>
      <c r="D79" s="51">
        <f ca="1">((100/(H68))*C79)/100</f>
        <v>0.4285714285714286</v>
      </c>
      <c r="E79" s="177"/>
      <c r="F79" s="178"/>
      <c r="G79" s="177"/>
      <c r="H79" s="182"/>
      <c r="I79" s="14" t="s">
        <v>151</v>
      </c>
      <c r="J79" s="28">
        <f ca="1">(IF(B68=1,(H68/(B68+3)+J74),IF(B68=0,(H68/4+J74),IF(B68&gt;1,0))))</f>
        <v>5.25</v>
      </c>
    </row>
    <row r="80" spans="1:10" ht="16" thickBot="1" x14ac:dyDescent="0.4">
      <c r="A80" s="184" t="s">
        <v>138</v>
      </c>
      <c r="B80" s="185"/>
      <c r="C80" s="52">
        <v>0</v>
      </c>
      <c r="D80" s="53">
        <f ca="1">((100/(H68))*C80)/100</f>
        <v>0</v>
      </c>
      <c r="E80" s="179"/>
      <c r="F80" s="180"/>
      <c r="G80" s="179"/>
      <c r="H80" s="183"/>
      <c r="I80" s="15" t="s">
        <v>108</v>
      </c>
      <c r="J80" s="30">
        <f ca="1">(IF(B68&gt;1.5,(H68/(B68+2)+J74+MAX(0,J75-J74)+MAX(0,J76-J75)+MAX(0,J77-J76)+MAX(0,J78-J77)+MAX(0,J79-J78)),IF(B68=1,(H68/(B68+3)+J79),IF(B68=0,H68/4+J79))))</f>
        <v>7</v>
      </c>
    </row>
    <row r="81" spans="1:12" ht="15.75" customHeight="1" x14ac:dyDescent="0.35">
      <c r="A81" s="154" t="s">
        <v>144</v>
      </c>
      <c r="B81" s="155"/>
      <c r="C81" s="156" t="str">
        <f>D59</f>
        <v>Building No. 2 (Riddhi) = G + 1st to 12th Floor</v>
      </c>
      <c r="D81" s="157"/>
      <c r="E81" s="157"/>
      <c r="F81" s="157"/>
      <c r="G81" s="157"/>
      <c r="H81" s="158"/>
      <c r="I81" s="43" t="str">
        <f ca="1">IF(D94=100%,"All work Completed. Possession granted to the Building.",IF(D93=100%,"All work Completed, Waiting for OC",I82&amp;""&amp;I83&amp;""&amp;J82&amp;""&amp;J81&amp;" "&amp;J83))</f>
        <v xml:space="preserve">Work not yet Started. </v>
      </c>
      <c r="J81" s="44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2" x14ac:dyDescent="0.35">
      <c r="A82" s="16" t="s">
        <v>146</v>
      </c>
      <c r="B82" s="49">
        <v>0</v>
      </c>
      <c r="C82" s="49" t="s">
        <v>75</v>
      </c>
      <c r="D82" s="49">
        <v>1</v>
      </c>
      <c r="E82" s="49" t="s">
        <v>74</v>
      </c>
      <c r="F82" s="49">
        <v>0</v>
      </c>
      <c r="G82" s="49" t="s">
        <v>83</v>
      </c>
      <c r="H82" s="17">
        <f ca="1">--TRIM(RIGHT(SUBSTITUTE(LEFT(C81,_xlfn.AGGREGATE(16,6,FIND({0,1,2,3,4,5,6,7,8,9},C81,ROW(INDIRECT("1:"&amp;LEN(C81)))),1))," ",REPT(" ",LEN(C81))),LEN(C81)))</f>
        <v>12</v>
      </c>
      <c r="I82" s="45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/>
      </c>
      <c r="J82" s="46" t="str">
        <f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>Work not yet Started.</v>
      </c>
    </row>
    <row r="83" spans="1:12" x14ac:dyDescent="0.35">
      <c r="A83" s="153" t="s">
        <v>93</v>
      </c>
      <c r="B83" s="133"/>
      <c r="C83" s="159" t="str">
        <f ca="1">(IF($C$53=C81,"All work Completed. OC Received.",I81))</f>
        <v xml:space="preserve">Work not yet Started. </v>
      </c>
      <c r="D83" s="159"/>
      <c r="E83" s="159"/>
      <c r="F83" s="159"/>
      <c r="G83" s="159"/>
      <c r="H83" s="160"/>
      <c r="I83" s="45" t="str">
        <f ca="1">IF(I82&lt;&gt;""," Completed","")</f>
        <v/>
      </c>
      <c r="J83" s="46" t="str">
        <f ca="1">IF(J81&lt;&gt;"","Completed","")</f>
        <v/>
      </c>
    </row>
    <row r="84" spans="1:12" ht="15.75" customHeight="1" x14ac:dyDescent="0.35">
      <c r="A84" s="112" t="s">
        <v>51</v>
      </c>
      <c r="B84" s="113"/>
      <c r="C84" s="50" t="s">
        <v>143</v>
      </c>
      <c r="D84" s="50" t="s">
        <v>86</v>
      </c>
      <c r="E84" s="113" t="s">
        <v>88</v>
      </c>
      <c r="F84" s="113"/>
      <c r="G84" s="113" t="s">
        <v>87</v>
      </c>
      <c r="H84" s="188"/>
      <c r="I84" s="14" t="s">
        <v>145</v>
      </c>
      <c r="J84" s="26">
        <f ca="1">H82*25%</f>
        <v>3</v>
      </c>
    </row>
    <row r="85" spans="1:12" x14ac:dyDescent="0.35">
      <c r="A85" s="112" t="s">
        <v>132</v>
      </c>
      <c r="B85" s="113"/>
      <c r="C85" s="50">
        <v>0</v>
      </c>
      <c r="D85" s="51">
        <f ca="1">((100/H82)*C85)/100</f>
        <v>0</v>
      </c>
      <c r="E85" s="175">
        <f ca="1">(((C86/H82*10)+(40/(D82+F82+H82)*C87)+(7.5/(H82)*C88)+(7.5/(H82)*C89)+(10/H82*C90)+(10/H82*C91)+(5/H82*C92)+(5/H82*C93)+(5/H82*C94))/100)</f>
        <v>0</v>
      </c>
      <c r="F85" s="176"/>
      <c r="G85" s="175">
        <f ca="1">((((C85/H82)*20)+((C86/H82)*25)+(30/(H82+F82+D82)*C87)+(5/H82*C88)+(5/H82*C89)+(5/H82*C90)+(5/H82*C91)+(0/H82*C92)+(0/H82*C93)+(5/H82*C94))/100)</f>
        <v>0</v>
      </c>
      <c r="H85" s="181"/>
      <c r="I85" s="14" t="s">
        <v>104</v>
      </c>
      <c r="J85" s="27">
        <f ca="1">H82*50%</f>
        <v>6</v>
      </c>
    </row>
    <row r="86" spans="1:12" x14ac:dyDescent="0.35">
      <c r="A86" s="112" t="s">
        <v>52</v>
      </c>
      <c r="B86" s="113"/>
      <c r="C86" s="50">
        <v>0</v>
      </c>
      <c r="D86" s="51">
        <f ca="1">((100/H82)*C86)/100</f>
        <v>0</v>
      </c>
      <c r="E86" s="177"/>
      <c r="F86" s="178"/>
      <c r="G86" s="177"/>
      <c r="H86" s="182"/>
      <c r="I86" s="14" t="s">
        <v>105</v>
      </c>
      <c r="J86" s="27">
        <f ca="1">H82</f>
        <v>12</v>
      </c>
    </row>
    <row r="87" spans="1:12" ht="15.75" customHeight="1" x14ac:dyDescent="0.35">
      <c r="A87" s="112" t="s">
        <v>133</v>
      </c>
      <c r="B87" s="113"/>
      <c r="C87" s="50">
        <v>0</v>
      </c>
      <c r="D87" s="51">
        <f ca="1">((100/(D82+F82+H82))*C87)/100</f>
        <v>0</v>
      </c>
      <c r="E87" s="177"/>
      <c r="F87" s="178"/>
      <c r="G87" s="177"/>
      <c r="H87" s="182"/>
      <c r="I87" s="14" t="s">
        <v>106</v>
      </c>
      <c r="J87" s="28">
        <f ca="1">(IF(B82&gt;1,(H82/(B82+2)),H82/4))</f>
        <v>3</v>
      </c>
    </row>
    <row r="88" spans="1:12" ht="15.75" customHeight="1" x14ac:dyDescent="0.35">
      <c r="A88" s="112" t="s">
        <v>140</v>
      </c>
      <c r="B88" s="113" t="s">
        <v>134</v>
      </c>
      <c r="C88" s="50">
        <v>0</v>
      </c>
      <c r="D88" s="51">
        <f ca="1">((100/H82)*C88)/100</f>
        <v>0</v>
      </c>
      <c r="E88" s="177"/>
      <c r="F88" s="178"/>
      <c r="G88" s="177"/>
      <c r="H88" s="182"/>
      <c r="I88" s="14" t="s">
        <v>107</v>
      </c>
      <c r="J88" s="28">
        <f ca="1">(IF(B82&gt;1,(H82/(B82+2)+J87),H82/4+J87))</f>
        <v>6</v>
      </c>
    </row>
    <row r="89" spans="1:12" ht="15.75" customHeight="1" x14ac:dyDescent="0.35">
      <c r="A89" s="112" t="s">
        <v>141</v>
      </c>
      <c r="B89" s="113" t="s">
        <v>134</v>
      </c>
      <c r="C89" s="50">
        <v>0</v>
      </c>
      <c r="D89" s="51">
        <f ca="1">((100/H82)*C89)/100</f>
        <v>0</v>
      </c>
      <c r="E89" s="177"/>
      <c r="F89" s="178"/>
      <c r="G89" s="177"/>
      <c r="H89" s="182"/>
      <c r="I89" s="14" t="s">
        <v>150</v>
      </c>
      <c r="J89" s="28">
        <f>(IF(B82&gt;1,(H82/(B82+2)+J88),0))</f>
        <v>0</v>
      </c>
    </row>
    <row r="90" spans="1:12" ht="15" customHeight="1" x14ac:dyDescent="0.35">
      <c r="A90" s="112" t="s">
        <v>139</v>
      </c>
      <c r="B90" s="113" t="s">
        <v>136</v>
      </c>
      <c r="C90" s="50">
        <v>0</v>
      </c>
      <c r="D90" s="51">
        <f ca="1">((100/(H82))*C90)/100</f>
        <v>0</v>
      </c>
      <c r="E90" s="177"/>
      <c r="F90" s="178"/>
      <c r="G90" s="177"/>
      <c r="H90" s="182"/>
      <c r="I90" s="14" t="s">
        <v>147</v>
      </c>
      <c r="J90" s="28">
        <f>(IF(B82&gt;2,(H82/(B82+2)+J89),0))</f>
        <v>0</v>
      </c>
    </row>
    <row r="91" spans="1:12" ht="15.75" customHeight="1" x14ac:dyDescent="0.35">
      <c r="A91" s="112" t="s">
        <v>135</v>
      </c>
      <c r="B91" s="113" t="s">
        <v>135</v>
      </c>
      <c r="C91" s="50">
        <v>0</v>
      </c>
      <c r="D91" s="51">
        <f ca="1">((100/H82)*C91)/100</f>
        <v>0</v>
      </c>
      <c r="E91" s="177"/>
      <c r="F91" s="178"/>
      <c r="G91" s="177"/>
      <c r="H91" s="182"/>
      <c r="I91" s="14" t="s">
        <v>148</v>
      </c>
      <c r="J91" s="29">
        <f>(IF(B82&gt;3,(H82/(B82+2)+J90),0))</f>
        <v>0</v>
      </c>
    </row>
    <row r="92" spans="1:12" ht="15.75" customHeight="1" x14ac:dyDescent="0.35">
      <c r="A92" s="112" t="s">
        <v>142</v>
      </c>
      <c r="B92" s="113"/>
      <c r="C92" s="50">
        <v>0</v>
      </c>
      <c r="D92" s="51">
        <f ca="1">((100/H82)*C92)/100</f>
        <v>0</v>
      </c>
      <c r="E92" s="177"/>
      <c r="F92" s="178"/>
      <c r="G92" s="177"/>
      <c r="H92" s="182"/>
      <c r="I92" s="14" t="s">
        <v>149</v>
      </c>
      <c r="J92" s="28">
        <f>(IF(B82&gt;4,(H82/(B82+2)+J91),0))</f>
        <v>0</v>
      </c>
    </row>
    <row r="93" spans="1:12" ht="15.75" customHeight="1" x14ac:dyDescent="0.35">
      <c r="A93" s="112" t="s">
        <v>137</v>
      </c>
      <c r="B93" s="113" t="s">
        <v>137</v>
      </c>
      <c r="C93" s="50">
        <v>0</v>
      </c>
      <c r="D93" s="51">
        <f ca="1">((100/(H82))*C93)/100</f>
        <v>0</v>
      </c>
      <c r="E93" s="177"/>
      <c r="F93" s="178"/>
      <c r="G93" s="177"/>
      <c r="H93" s="182"/>
      <c r="I93" s="14" t="s">
        <v>151</v>
      </c>
      <c r="J93" s="28">
        <f ca="1">(IF(B82=1,(H82/(B82+3)+J88),IF(B82=0,(H82/4+J88),IF(B82&gt;1,0))))</f>
        <v>9</v>
      </c>
    </row>
    <row r="94" spans="1:12" ht="16" thickBot="1" x14ac:dyDescent="0.4">
      <c r="A94" s="184" t="s">
        <v>138</v>
      </c>
      <c r="B94" s="185"/>
      <c r="C94" s="52">
        <v>0</v>
      </c>
      <c r="D94" s="53">
        <f ca="1">((100/(H82))*C94)/100</f>
        <v>0</v>
      </c>
      <c r="E94" s="179"/>
      <c r="F94" s="180"/>
      <c r="G94" s="179"/>
      <c r="H94" s="183"/>
      <c r="I94" s="15" t="s">
        <v>108</v>
      </c>
      <c r="J94" s="30">
        <f ca="1">(IF(B82&gt;1.5,(H82/(B82+2)+J88+MAX(0,J89-J88)+MAX(0,J90-J89)+MAX(0,J91-J90)+MAX(0,J92-J91)+MAX(0,J93-J92)),IF(B82=1,(H82/(B82+3)+J93),IF(B82=0,H82/4+J93))))</f>
        <v>12</v>
      </c>
    </row>
    <row r="95" spans="1:12" x14ac:dyDescent="0.35">
      <c r="A95" s="173" t="s">
        <v>160</v>
      </c>
      <c r="B95" s="173"/>
      <c r="C95" s="173"/>
      <c r="D95" s="173"/>
      <c r="E95" s="173"/>
      <c r="F95" s="122" t="s">
        <v>165</v>
      </c>
      <c r="G95" s="122"/>
      <c r="H95" s="122"/>
    </row>
    <row r="96" spans="1:12" x14ac:dyDescent="0.35">
      <c r="A96" s="86" t="s">
        <v>163</v>
      </c>
      <c r="B96" s="86"/>
      <c r="C96" s="86"/>
      <c r="D96" s="86"/>
      <c r="E96" s="86"/>
      <c r="F96" s="114">
        <v>7100</v>
      </c>
      <c r="G96" s="114"/>
      <c r="H96" s="114"/>
      <c r="I96" s="54" t="s">
        <v>221</v>
      </c>
      <c r="J96" s="54" t="s">
        <v>222</v>
      </c>
      <c r="K96" s="54" t="s">
        <v>218</v>
      </c>
      <c r="L96" s="55">
        <v>44818</v>
      </c>
    </row>
    <row r="97" spans="1:13" x14ac:dyDescent="0.35">
      <c r="A97" s="86" t="s">
        <v>162</v>
      </c>
      <c r="B97" s="86"/>
      <c r="C97" s="86"/>
      <c r="D97" s="86"/>
      <c r="E97" s="86"/>
      <c r="F97" s="121">
        <v>12000</v>
      </c>
      <c r="G97" s="121"/>
      <c r="H97" s="121"/>
    </row>
    <row r="98" spans="1:13" hidden="1" x14ac:dyDescent="0.35">
      <c r="A98" s="86" t="s">
        <v>164</v>
      </c>
      <c r="B98" s="86"/>
      <c r="C98" s="86"/>
      <c r="D98" s="86"/>
      <c r="E98" s="86"/>
      <c r="F98" s="121"/>
      <c r="G98" s="121"/>
      <c r="H98" s="121"/>
    </row>
    <row r="99" spans="1:13" s="31" customFormat="1" hidden="1" x14ac:dyDescent="0.3">
      <c r="A99" s="86" t="s">
        <v>161</v>
      </c>
      <c r="B99" s="86"/>
      <c r="C99" s="86"/>
      <c r="D99" s="86"/>
      <c r="E99" s="86"/>
      <c r="F99" s="121"/>
      <c r="G99" s="121"/>
      <c r="H99" s="121"/>
    </row>
    <row r="100" spans="1:13" s="31" customFormat="1" hidden="1" x14ac:dyDescent="0.3">
      <c r="A100" s="86" t="s">
        <v>98</v>
      </c>
      <c r="B100" s="86"/>
      <c r="C100" s="86"/>
      <c r="D100" s="86"/>
      <c r="E100" s="86"/>
      <c r="F100" s="121"/>
      <c r="G100" s="121"/>
      <c r="H100" s="121"/>
    </row>
    <row r="101" spans="1:13" s="31" customFormat="1" hidden="1" x14ac:dyDescent="0.3">
      <c r="A101" s="86" t="s">
        <v>99</v>
      </c>
      <c r="B101" s="86"/>
      <c r="C101" s="86"/>
      <c r="D101" s="86"/>
      <c r="E101" s="86"/>
      <c r="F101" s="121"/>
      <c r="G101" s="121"/>
      <c r="H101" s="121"/>
    </row>
    <row r="102" spans="1:13" s="31" customFormat="1" hidden="1" x14ac:dyDescent="0.3">
      <c r="A102" s="86" t="s">
        <v>166</v>
      </c>
      <c r="B102" s="86"/>
      <c r="C102" s="86"/>
      <c r="D102" s="86"/>
      <c r="E102" s="86"/>
      <c r="F102" s="121"/>
      <c r="G102" s="121"/>
      <c r="H102" s="121"/>
    </row>
    <row r="103" spans="1:13" s="31" customFormat="1" hidden="1" x14ac:dyDescent="0.3">
      <c r="A103" s="86" t="s">
        <v>100</v>
      </c>
      <c r="B103" s="86"/>
      <c r="C103" s="86"/>
      <c r="D103" s="86"/>
      <c r="E103" s="86"/>
      <c r="F103" s="121"/>
      <c r="G103" s="121"/>
      <c r="H103" s="121"/>
    </row>
    <row r="104" spans="1:13" s="31" customFormat="1" hidden="1" x14ac:dyDescent="0.3">
      <c r="A104" s="86" t="s">
        <v>101</v>
      </c>
      <c r="B104" s="86"/>
      <c r="C104" s="86"/>
      <c r="D104" s="86"/>
      <c r="E104" s="86"/>
      <c r="F104" s="121"/>
      <c r="G104" s="121"/>
      <c r="H104" s="121"/>
    </row>
    <row r="105" spans="1:13" s="31" customFormat="1" hidden="1" x14ac:dyDescent="0.3">
      <c r="A105" s="86" t="s">
        <v>102</v>
      </c>
      <c r="B105" s="86"/>
      <c r="C105" s="86"/>
      <c r="D105" s="86"/>
      <c r="E105" s="86"/>
      <c r="F105" s="121"/>
      <c r="G105" s="121"/>
      <c r="H105" s="121"/>
    </row>
    <row r="106" spans="1:13" s="31" customFormat="1" hidden="1" x14ac:dyDescent="0.3">
      <c r="A106" s="86" t="s">
        <v>103</v>
      </c>
      <c r="B106" s="86"/>
      <c r="C106" s="86"/>
      <c r="D106" s="86"/>
      <c r="E106" s="86"/>
      <c r="F106" s="121"/>
      <c r="G106" s="121"/>
      <c r="H106" s="121"/>
    </row>
    <row r="107" spans="1:13" x14ac:dyDescent="0.35">
      <c r="A107" s="86" t="s">
        <v>53</v>
      </c>
      <c r="B107" s="86"/>
      <c r="C107" s="86"/>
      <c r="D107" s="86"/>
      <c r="E107" s="86"/>
      <c r="F107" s="121">
        <v>250000</v>
      </c>
      <c r="G107" s="121"/>
      <c r="H107" s="121"/>
    </row>
    <row r="108" spans="1:13" s="32" customFormat="1" x14ac:dyDescent="0.35">
      <c r="A108" s="126" t="s">
        <v>54</v>
      </c>
      <c r="B108" s="126"/>
      <c r="C108" s="126"/>
      <c r="D108" s="126"/>
      <c r="E108" s="126"/>
      <c r="F108" s="121">
        <f>F96*0.8</f>
        <v>5680</v>
      </c>
      <c r="G108" s="121"/>
      <c r="H108" s="121"/>
    </row>
    <row r="109" spans="1:13" s="33" customFormat="1" ht="15.75" customHeight="1" x14ac:dyDescent="0.35">
      <c r="A109" s="125" t="s">
        <v>78</v>
      </c>
      <c r="B109" s="125"/>
      <c r="C109" s="125"/>
      <c r="D109" s="125"/>
      <c r="E109" s="125"/>
      <c r="F109" s="125"/>
      <c r="G109" s="125"/>
      <c r="H109" s="125"/>
    </row>
    <row r="110" spans="1:13" s="33" customFormat="1" ht="15.75" customHeight="1" x14ac:dyDescent="0.35">
      <c r="A110" s="91" t="s">
        <v>55</v>
      </c>
      <c r="B110" s="91"/>
      <c r="C110" s="74" t="s">
        <v>81</v>
      </c>
      <c r="D110" s="74"/>
      <c r="E110" s="127" t="s">
        <v>56</v>
      </c>
      <c r="F110" s="127"/>
      <c r="G110" s="91" t="s">
        <v>57</v>
      </c>
      <c r="H110" s="91"/>
      <c r="K110" s="33" t="s">
        <v>214</v>
      </c>
    </row>
    <row r="111" spans="1:13" s="33" customFormat="1" x14ac:dyDescent="0.35">
      <c r="A111" s="67" t="s">
        <v>207</v>
      </c>
      <c r="B111" s="67"/>
      <c r="C111" s="68">
        <f>COUNT(D125:D136)</f>
        <v>12</v>
      </c>
      <c r="D111" s="69"/>
      <c r="E111" s="70">
        <f>SUM(D125:D136)</f>
        <v>1613.4159599999998</v>
      </c>
      <c r="F111" s="71"/>
      <c r="G111" s="70">
        <f>SUM(F125:F136)</f>
        <v>2420.1239399999999</v>
      </c>
      <c r="H111" s="71"/>
      <c r="K111" s="33" t="s">
        <v>216</v>
      </c>
      <c r="L111" s="33" t="s">
        <v>218</v>
      </c>
      <c r="M111" s="33" t="s">
        <v>219</v>
      </c>
    </row>
    <row r="112" spans="1:13" s="33" customFormat="1" x14ac:dyDescent="0.35">
      <c r="A112" s="67" t="s">
        <v>208</v>
      </c>
      <c r="B112" s="67"/>
      <c r="C112" s="68">
        <f>COUNT(D139:D149)</f>
        <v>11</v>
      </c>
      <c r="D112" s="69"/>
      <c r="E112" s="70">
        <f>SUM(D139:D149)</f>
        <v>1557.0664199999999</v>
      </c>
      <c r="F112" s="71"/>
      <c r="G112" s="70">
        <f>SUM(F139:F149)</f>
        <v>2335.5996300000002</v>
      </c>
      <c r="H112" s="71"/>
      <c r="J112" s="33" t="s">
        <v>215</v>
      </c>
      <c r="K112" s="33">
        <v>5500</v>
      </c>
      <c r="L112" s="33">
        <v>6100</v>
      </c>
      <c r="M112" s="33">
        <v>3300</v>
      </c>
    </row>
    <row r="113" spans="1:14" s="33" customFormat="1" x14ac:dyDescent="0.35">
      <c r="A113" s="72" t="s">
        <v>197</v>
      </c>
      <c r="B113" s="72"/>
      <c r="C113" s="73">
        <f>SUM(C111:D112)</f>
        <v>23</v>
      </c>
      <c r="D113" s="74"/>
      <c r="E113" s="73">
        <f>SUM(E111:F112)</f>
        <v>3170.4823799999995</v>
      </c>
      <c r="F113" s="74"/>
      <c r="G113" s="73">
        <f>SUM(G111:H112)</f>
        <v>4755.7235700000001</v>
      </c>
      <c r="H113" s="74"/>
    </row>
    <row r="114" spans="1:14" s="33" customFormat="1" x14ac:dyDescent="0.35">
      <c r="A114" s="72" t="s">
        <v>73</v>
      </c>
      <c r="B114" s="72"/>
      <c r="C114" s="72"/>
      <c r="D114" s="72"/>
      <c r="E114" s="72"/>
      <c r="F114" s="72"/>
      <c r="G114" s="72"/>
      <c r="H114" s="72"/>
    </row>
    <row r="115" spans="1:14" s="33" customFormat="1" ht="15.75" customHeight="1" x14ac:dyDescent="0.35">
      <c r="A115" s="91" t="s">
        <v>55</v>
      </c>
      <c r="B115" s="91"/>
      <c r="C115" s="74" t="s">
        <v>81</v>
      </c>
      <c r="D115" s="74"/>
      <c r="E115" s="127" t="s">
        <v>56</v>
      </c>
      <c r="F115" s="127"/>
      <c r="G115" s="91" t="s">
        <v>57</v>
      </c>
      <c r="H115" s="91"/>
    </row>
    <row r="116" spans="1:14" s="33" customFormat="1" x14ac:dyDescent="0.35">
      <c r="A116" s="67" t="s">
        <v>207</v>
      </c>
      <c r="B116" s="67"/>
      <c r="C116" s="69">
        <f>COUNT(D156:D159)*3+COUNT(D161:D164)*3+COUNT(D166:D169)</f>
        <v>28</v>
      </c>
      <c r="D116" s="69"/>
      <c r="E116" s="70">
        <f>SUM(D156:D159)*3+SUM(D161:D164)*3+SUM(D166:D169)</f>
        <v>13066.348557599997</v>
      </c>
      <c r="F116" s="70"/>
      <c r="G116" s="70">
        <f>SUM(F156:F159)*3+SUM(F161:F164)*3+SUM(F166:F169)</f>
        <v>20277.281648519995</v>
      </c>
      <c r="H116" s="70"/>
    </row>
    <row r="117" spans="1:14" s="33" customFormat="1" ht="15.75" customHeight="1" x14ac:dyDescent="0.35">
      <c r="A117" s="67" t="s">
        <v>208</v>
      </c>
      <c r="B117" s="67"/>
      <c r="C117" s="68">
        <f>COUNT(D173:D177)*4+COUNT(D179:D183)*3+COUNT(D185,D187:D189)+COUNT(D191:D195)</f>
        <v>44</v>
      </c>
      <c r="D117" s="69"/>
      <c r="E117" s="70">
        <f>SUM(D173:D177)*4+SUM(D179:D183)*3+SUM(D185,D187:D189)+SUM(D191:D195)</f>
        <v>25385.6765916</v>
      </c>
      <c r="F117" s="71"/>
      <c r="G117" s="70">
        <f>SUM(F173:F177)*4+SUM(F179:F183)*3+SUM(F185,F187:F189)+SUM(F191:F195)</f>
        <v>38976.347177820004</v>
      </c>
      <c r="H117" s="71"/>
    </row>
    <row r="118" spans="1:14" s="33" customFormat="1" x14ac:dyDescent="0.35">
      <c r="A118" s="72" t="s">
        <v>197</v>
      </c>
      <c r="B118" s="72"/>
      <c r="C118" s="73">
        <f>SUM(C116:D117)</f>
        <v>72</v>
      </c>
      <c r="D118" s="74"/>
      <c r="E118" s="91">
        <f>SUM(E116:F117)</f>
        <v>38452.025149199995</v>
      </c>
      <c r="F118" s="91"/>
      <c r="G118" s="91">
        <f>SUM(G116:H117)</f>
        <v>59253.628826339998</v>
      </c>
      <c r="H118" s="91"/>
    </row>
    <row r="119" spans="1:14" s="32" customFormat="1" x14ac:dyDescent="0.35">
      <c r="A119" s="140" t="s">
        <v>58</v>
      </c>
      <c r="B119" s="140"/>
      <c r="C119" s="140"/>
      <c r="D119" s="140"/>
      <c r="E119" s="140"/>
      <c r="F119" s="140"/>
      <c r="G119" s="140"/>
      <c r="H119" s="140"/>
    </row>
    <row r="120" spans="1:14" x14ac:dyDescent="0.35">
      <c r="A120" s="140" t="s">
        <v>59</v>
      </c>
      <c r="B120" s="140"/>
      <c r="C120" s="140"/>
      <c r="D120" s="140"/>
      <c r="E120" s="140"/>
      <c r="F120" s="140"/>
      <c r="G120" s="140"/>
      <c r="H120" s="140"/>
    </row>
    <row r="121" spans="1:14" ht="47.25" customHeight="1" x14ac:dyDescent="0.35">
      <c r="A121" s="192" t="s">
        <v>213</v>
      </c>
      <c r="B121" s="192" t="s">
        <v>122</v>
      </c>
      <c r="C121" s="192" t="s">
        <v>60</v>
      </c>
      <c r="D121" s="192" t="s">
        <v>61</v>
      </c>
      <c r="E121" s="193" t="s">
        <v>159</v>
      </c>
      <c r="F121" s="194" t="s">
        <v>153</v>
      </c>
      <c r="G121" s="192" t="s">
        <v>63</v>
      </c>
      <c r="H121" s="192"/>
    </row>
    <row r="122" spans="1:14" s="35" customFormat="1" x14ac:dyDescent="0.35">
      <c r="A122" s="192"/>
      <c r="B122" s="192"/>
      <c r="C122" s="192"/>
      <c r="D122" s="192"/>
      <c r="E122" s="193"/>
      <c r="F122" s="195">
        <v>0.5</v>
      </c>
      <c r="G122" s="192"/>
      <c r="H122" s="192"/>
    </row>
    <row r="123" spans="1:14" s="35" customFormat="1" x14ac:dyDescent="0.35">
      <c r="A123" s="64" t="s">
        <v>207</v>
      </c>
      <c r="B123" s="65"/>
      <c r="C123" s="65"/>
      <c r="D123" s="65"/>
      <c r="E123" s="65"/>
      <c r="F123" s="65"/>
      <c r="G123" s="65"/>
      <c r="H123" s="66"/>
      <c r="J123" s="34"/>
    </row>
    <row r="124" spans="1:14" s="35" customFormat="1" x14ac:dyDescent="0.35">
      <c r="A124" s="64" t="s">
        <v>190</v>
      </c>
      <c r="B124" s="65"/>
      <c r="C124" s="65"/>
      <c r="D124" s="65"/>
      <c r="E124" s="65"/>
      <c r="F124" s="65"/>
      <c r="G124" s="65"/>
      <c r="H124" s="66"/>
      <c r="J124" s="34"/>
    </row>
    <row r="125" spans="1:14" s="35" customFormat="1" ht="15.75" customHeight="1" x14ac:dyDescent="0.35">
      <c r="A125" s="75">
        <v>1</v>
      </c>
      <c r="B125" s="76"/>
      <c r="C125" s="40" t="s">
        <v>191</v>
      </c>
      <c r="D125" s="40">
        <f>9.625*10.764</f>
        <v>103.6035</v>
      </c>
      <c r="E125" s="40">
        <v>0</v>
      </c>
      <c r="F125" s="40">
        <f>(D125+E125)*(($F$122)+1)</f>
        <v>155.40525</v>
      </c>
      <c r="G125" s="115" t="str">
        <f>A124</f>
        <v>Ground Floor For Commercial &amp; Parking</v>
      </c>
      <c r="H125" s="116"/>
      <c r="I125" s="34"/>
      <c r="L125" s="99"/>
      <c r="M125" s="99"/>
      <c r="N125" s="34"/>
    </row>
    <row r="126" spans="1:14" s="35" customFormat="1" ht="15.75" customHeight="1" x14ac:dyDescent="0.35">
      <c r="A126" s="75">
        <f t="shared" ref="A126:A136" si="0">A125+1</f>
        <v>2</v>
      </c>
      <c r="B126" s="76"/>
      <c r="C126" s="40" t="s">
        <v>191</v>
      </c>
      <c r="D126" s="40">
        <f>12.87*10.764</f>
        <v>138.53267999999997</v>
      </c>
      <c r="E126" s="40">
        <v>0</v>
      </c>
      <c r="F126" s="40">
        <f t="shared" ref="F126:F128" si="1">(D126+E126)*(($F$122)+1)</f>
        <v>207.79901999999996</v>
      </c>
      <c r="G126" s="117"/>
      <c r="H126" s="118"/>
      <c r="I126" s="34"/>
      <c r="L126" s="99"/>
      <c r="M126" s="99"/>
      <c r="N126" s="34"/>
    </row>
    <row r="127" spans="1:14" s="35" customFormat="1" ht="15.75" customHeight="1" x14ac:dyDescent="0.35">
      <c r="A127" s="75">
        <f t="shared" si="0"/>
        <v>3</v>
      </c>
      <c r="B127" s="76"/>
      <c r="C127" s="40" t="s">
        <v>191</v>
      </c>
      <c r="D127" s="40">
        <f>14.36*10.764</f>
        <v>154.57103999999998</v>
      </c>
      <c r="E127" s="40">
        <v>0</v>
      </c>
      <c r="F127" s="40">
        <f t="shared" si="1"/>
        <v>231.85655999999997</v>
      </c>
      <c r="G127" s="117"/>
      <c r="H127" s="118"/>
      <c r="I127" s="34"/>
      <c r="L127" s="99"/>
      <c r="M127" s="99"/>
      <c r="N127" s="34"/>
    </row>
    <row r="128" spans="1:14" s="35" customFormat="1" ht="15.75" customHeight="1" x14ac:dyDescent="0.35">
      <c r="A128" s="75">
        <f t="shared" si="0"/>
        <v>4</v>
      </c>
      <c r="B128" s="76"/>
      <c r="C128" s="40" t="s">
        <v>191</v>
      </c>
      <c r="D128" s="40">
        <f>14.36*10.764</f>
        <v>154.57103999999998</v>
      </c>
      <c r="E128" s="40">
        <v>0</v>
      </c>
      <c r="F128" s="40">
        <f t="shared" si="1"/>
        <v>231.85655999999997</v>
      </c>
      <c r="G128" s="117"/>
      <c r="H128" s="118"/>
      <c r="I128" s="34"/>
      <c r="L128" s="99"/>
      <c r="M128" s="99"/>
      <c r="N128" s="34"/>
    </row>
    <row r="129" spans="1:14" s="35" customFormat="1" ht="15.75" customHeight="1" x14ac:dyDescent="0.35">
      <c r="A129" s="75">
        <f t="shared" si="0"/>
        <v>5</v>
      </c>
      <c r="B129" s="76"/>
      <c r="C129" s="40" t="s">
        <v>191</v>
      </c>
      <c r="D129" s="40">
        <f>12.39*10.764</f>
        <v>133.36596</v>
      </c>
      <c r="E129" s="40">
        <v>0</v>
      </c>
      <c r="F129" s="40">
        <f t="shared" ref="F129:F133" si="2">(D129+E129)*(($F$122)+1)</f>
        <v>200.04894000000002</v>
      </c>
      <c r="G129" s="117"/>
      <c r="H129" s="118"/>
      <c r="I129" s="34"/>
      <c r="L129" s="99"/>
      <c r="M129" s="99"/>
      <c r="N129" s="34"/>
    </row>
    <row r="130" spans="1:14" s="35" customFormat="1" ht="15.75" customHeight="1" x14ac:dyDescent="0.35">
      <c r="A130" s="75">
        <f t="shared" si="0"/>
        <v>6</v>
      </c>
      <c r="B130" s="76"/>
      <c r="C130" s="40" t="s">
        <v>191</v>
      </c>
      <c r="D130" s="40">
        <f>8.4*10.764</f>
        <v>90.417599999999993</v>
      </c>
      <c r="E130" s="40">
        <v>0</v>
      </c>
      <c r="F130" s="40">
        <f t="shared" si="2"/>
        <v>135.62639999999999</v>
      </c>
      <c r="G130" s="117"/>
      <c r="H130" s="118"/>
      <c r="I130" s="34"/>
      <c r="L130" s="99"/>
      <c r="M130" s="99"/>
      <c r="N130" s="34"/>
    </row>
    <row r="131" spans="1:14" s="35" customFormat="1" ht="15.75" customHeight="1" x14ac:dyDescent="0.35">
      <c r="A131" s="75">
        <f t="shared" si="0"/>
        <v>7</v>
      </c>
      <c r="B131" s="76"/>
      <c r="C131" s="40" t="s">
        <v>191</v>
      </c>
      <c r="D131" s="40">
        <f>8.4*10.764</f>
        <v>90.417599999999993</v>
      </c>
      <c r="E131" s="40">
        <v>0</v>
      </c>
      <c r="F131" s="40">
        <f t="shared" si="2"/>
        <v>135.62639999999999</v>
      </c>
      <c r="G131" s="117"/>
      <c r="H131" s="118"/>
      <c r="I131" s="34"/>
      <c r="L131" s="99"/>
      <c r="M131" s="99"/>
      <c r="N131" s="34"/>
    </row>
    <row r="132" spans="1:14" s="35" customFormat="1" ht="15.75" customHeight="1" x14ac:dyDescent="0.35">
      <c r="A132" s="75">
        <f t="shared" si="0"/>
        <v>8</v>
      </c>
      <c r="B132" s="76"/>
      <c r="C132" s="40" t="s">
        <v>191</v>
      </c>
      <c r="D132" s="40">
        <f>12.39*10.764</f>
        <v>133.36596</v>
      </c>
      <c r="E132" s="40">
        <v>0</v>
      </c>
      <c r="F132" s="40">
        <f t="shared" si="2"/>
        <v>200.04894000000002</v>
      </c>
      <c r="G132" s="117"/>
      <c r="H132" s="118"/>
      <c r="I132" s="34"/>
      <c r="L132" s="99"/>
      <c r="M132" s="99"/>
      <c r="N132" s="34"/>
    </row>
    <row r="133" spans="1:14" s="35" customFormat="1" ht="15.75" customHeight="1" x14ac:dyDescent="0.35">
      <c r="A133" s="75">
        <f t="shared" si="0"/>
        <v>9</v>
      </c>
      <c r="B133" s="76"/>
      <c r="C133" s="40" t="s">
        <v>191</v>
      </c>
      <c r="D133" s="40">
        <f>14.36*10.764</f>
        <v>154.57103999999998</v>
      </c>
      <c r="E133" s="40">
        <v>0</v>
      </c>
      <c r="F133" s="40">
        <f t="shared" si="2"/>
        <v>231.85655999999997</v>
      </c>
      <c r="G133" s="117"/>
      <c r="H133" s="118"/>
      <c r="I133" s="34"/>
      <c r="L133" s="99"/>
      <c r="M133" s="99"/>
      <c r="N133" s="34"/>
    </row>
    <row r="134" spans="1:14" s="35" customFormat="1" ht="15.75" customHeight="1" x14ac:dyDescent="0.35">
      <c r="A134" s="75">
        <f t="shared" si="0"/>
        <v>10</v>
      </c>
      <c r="B134" s="76"/>
      <c r="C134" s="40" t="s">
        <v>191</v>
      </c>
      <c r="D134" s="40">
        <f>20.24*10.764</f>
        <v>217.86335999999997</v>
      </c>
      <c r="E134" s="40">
        <v>0</v>
      </c>
      <c r="F134" s="40">
        <f t="shared" ref="F134:F136" si="3">(D134+E134)*(($F$122)+1)</f>
        <v>326.79503999999997</v>
      </c>
      <c r="G134" s="117"/>
      <c r="H134" s="118"/>
      <c r="I134" s="34"/>
      <c r="L134" s="99"/>
      <c r="M134" s="99"/>
      <c r="N134" s="34"/>
    </row>
    <row r="135" spans="1:14" s="35" customFormat="1" ht="15.75" customHeight="1" x14ac:dyDescent="0.35">
      <c r="A135" s="75">
        <f t="shared" si="0"/>
        <v>11</v>
      </c>
      <c r="B135" s="76"/>
      <c r="C135" s="40" t="s">
        <v>191</v>
      </c>
      <c r="D135" s="40">
        <f>12.87*10.764</f>
        <v>138.53267999999997</v>
      </c>
      <c r="E135" s="40">
        <v>0</v>
      </c>
      <c r="F135" s="40">
        <f t="shared" si="3"/>
        <v>207.79901999999996</v>
      </c>
      <c r="G135" s="117"/>
      <c r="H135" s="118"/>
      <c r="I135" s="34"/>
      <c r="L135" s="99"/>
      <c r="M135" s="99"/>
      <c r="N135" s="34"/>
    </row>
    <row r="136" spans="1:14" s="35" customFormat="1" ht="15.75" customHeight="1" x14ac:dyDescent="0.35">
      <c r="A136" s="75">
        <f t="shared" si="0"/>
        <v>12</v>
      </c>
      <c r="B136" s="76"/>
      <c r="C136" s="40" t="s">
        <v>191</v>
      </c>
      <c r="D136" s="40">
        <f>9.625*10.764</f>
        <v>103.6035</v>
      </c>
      <c r="E136" s="40">
        <v>0</v>
      </c>
      <c r="F136" s="40">
        <f t="shared" si="3"/>
        <v>155.40525</v>
      </c>
      <c r="G136" s="119"/>
      <c r="H136" s="120"/>
      <c r="I136" s="34">
        <f>(2.75*3.35)*10.764</f>
        <v>99.163349999999994</v>
      </c>
      <c r="L136" s="99"/>
      <c r="M136" s="99"/>
      <c r="N136" s="34"/>
    </row>
    <row r="137" spans="1:14" s="35" customFormat="1" x14ac:dyDescent="0.35">
      <c r="A137" s="64" t="s">
        <v>208</v>
      </c>
      <c r="B137" s="65"/>
      <c r="C137" s="65"/>
      <c r="D137" s="65"/>
      <c r="E137" s="65"/>
      <c r="F137" s="65"/>
      <c r="G137" s="65"/>
      <c r="H137" s="66"/>
      <c r="J137" s="34"/>
    </row>
    <row r="138" spans="1:14" s="35" customFormat="1" x14ac:dyDescent="0.35">
      <c r="A138" s="64" t="s">
        <v>190</v>
      </c>
      <c r="B138" s="65"/>
      <c r="C138" s="65"/>
      <c r="D138" s="65"/>
      <c r="E138" s="65"/>
      <c r="F138" s="65"/>
      <c r="G138" s="65"/>
      <c r="H138" s="66"/>
      <c r="J138" s="34"/>
    </row>
    <row r="139" spans="1:14" s="35" customFormat="1" ht="15.75" customHeight="1" x14ac:dyDescent="0.35">
      <c r="A139" s="75">
        <v>1</v>
      </c>
      <c r="B139" s="76"/>
      <c r="C139" s="40" t="s">
        <v>191</v>
      </c>
      <c r="D139" s="40">
        <f>10.875*10.764</f>
        <v>117.0585</v>
      </c>
      <c r="E139" s="40">
        <v>0</v>
      </c>
      <c r="F139" s="40">
        <f>(D139+E139)*(($F$122)+1)</f>
        <v>175.58775</v>
      </c>
      <c r="G139" s="115" t="str">
        <f>A138</f>
        <v>Ground Floor For Commercial &amp; Parking</v>
      </c>
      <c r="H139" s="116"/>
      <c r="I139" s="34"/>
      <c r="L139" s="99"/>
      <c r="M139" s="99"/>
      <c r="N139" s="34"/>
    </row>
    <row r="140" spans="1:14" s="35" customFormat="1" ht="15.75" customHeight="1" x14ac:dyDescent="0.35">
      <c r="A140" s="75">
        <f t="shared" ref="A140:A149" si="4">A139+1</f>
        <v>2</v>
      </c>
      <c r="B140" s="76"/>
      <c r="C140" s="40" t="s">
        <v>191</v>
      </c>
      <c r="D140" s="40">
        <f>12.72*10.764</f>
        <v>136.91808</v>
      </c>
      <c r="E140" s="40">
        <v>0</v>
      </c>
      <c r="F140" s="40">
        <f t="shared" ref="F140:F149" si="5">(D140+E140)*(($F$122)+1)</f>
        <v>205.37711999999999</v>
      </c>
      <c r="G140" s="117"/>
      <c r="H140" s="118"/>
      <c r="I140" s="34"/>
      <c r="L140" s="99"/>
      <c r="M140" s="99"/>
      <c r="N140" s="34"/>
    </row>
    <row r="141" spans="1:14" s="35" customFormat="1" ht="15.75" customHeight="1" x14ac:dyDescent="0.35">
      <c r="A141" s="75">
        <f t="shared" si="4"/>
        <v>3</v>
      </c>
      <c r="B141" s="76"/>
      <c r="C141" s="40" t="s">
        <v>191</v>
      </c>
      <c r="D141" s="40">
        <f>10.7*10.764</f>
        <v>115.17479999999999</v>
      </c>
      <c r="E141" s="40">
        <v>0</v>
      </c>
      <c r="F141" s="40">
        <f t="shared" si="5"/>
        <v>172.76219999999998</v>
      </c>
      <c r="G141" s="117"/>
      <c r="H141" s="118"/>
      <c r="I141" s="34"/>
      <c r="L141" s="99"/>
      <c r="M141" s="99"/>
      <c r="N141" s="34"/>
    </row>
    <row r="142" spans="1:14" s="35" customFormat="1" ht="15.75" customHeight="1" x14ac:dyDescent="0.35">
      <c r="A142" s="75">
        <f t="shared" si="4"/>
        <v>4</v>
      </c>
      <c r="B142" s="76"/>
      <c r="C142" s="40" t="s">
        <v>191</v>
      </c>
      <c r="D142" s="40">
        <f>16.08*10.764</f>
        <v>173.08511999999996</v>
      </c>
      <c r="E142" s="40">
        <v>0</v>
      </c>
      <c r="F142" s="40">
        <f t="shared" si="5"/>
        <v>259.62767999999994</v>
      </c>
      <c r="G142" s="117"/>
      <c r="H142" s="118"/>
      <c r="I142" s="34"/>
      <c r="L142" s="99"/>
      <c r="M142" s="99"/>
      <c r="N142" s="34"/>
    </row>
    <row r="143" spans="1:14" s="35" customFormat="1" ht="15.75" customHeight="1" x14ac:dyDescent="0.35">
      <c r="A143" s="75">
        <f t="shared" si="4"/>
        <v>5</v>
      </c>
      <c r="B143" s="76"/>
      <c r="C143" s="40" t="s">
        <v>191</v>
      </c>
      <c r="D143" s="40">
        <f>16.08*10.764</f>
        <v>173.08511999999996</v>
      </c>
      <c r="E143" s="40">
        <v>0</v>
      </c>
      <c r="F143" s="40">
        <f t="shared" si="5"/>
        <v>259.62767999999994</v>
      </c>
      <c r="G143" s="117"/>
      <c r="H143" s="118"/>
      <c r="I143" s="34"/>
      <c r="L143" s="99"/>
      <c r="M143" s="99"/>
      <c r="N143" s="34"/>
    </row>
    <row r="144" spans="1:14" s="35" customFormat="1" ht="15.75" customHeight="1" x14ac:dyDescent="0.35">
      <c r="A144" s="75">
        <f t="shared" si="4"/>
        <v>6</v>
      </c>
      <c r="B144" s="76"/>
      <c r="C144" s="40" t="s">
        <v>191</v>
      </c>
      <c r="D144" s="40">
        <f>10.75*10.764</f>
        <v>115.71299999999999</v>
      </c>
      <c r="E144" s="40">
        <v>0</v>
      </c>
      <c r="F144" s="40">
        <f t="shared" si="5"/>
        <v>173.56950000000001</v>
      </c>
      <c r="G144" s="117"/>
      <c r="H144" s="118"/>
      <c r="I144" s="34"/>
      <c r="L144" s="99"/>
      <c r="M144" s="99"/>
      <c r="N144" s="34"/>
    </row>
    <row r="145" spans="1:14" s="35" customFormat="1" ht="15.75" customHeight="1" x14ac:dyDescent="0.35">
      <c r="A145" s="75">
        <f t="shared" si="4"/>
        <v>7</v>
      </c>
      <c r="B145" s="76"/>
      <c r="C145" s="40" t="s">
        <v>191</v>
      </c>
      <c r="D145" s="40">
        <f>13.6*10.764</f>
        <v>146.3904</v>
      </c>
      <c r="E145" s="40">
        <v>0</v>
      </c>
      <c r="F145" s="40">
        <f t="shared" si="5"/>
        <v>219.5856</v>
      </c>
      <c r="G145" s="117"/>
      <c r="H145" s="118"/>
      <c r="I145" s="34"/>
      <c r="L145" s="99"/>
      <c r="M145" s="99"/>
      <c r="N145" s="34"/>
    </row>
    <row r="146" spans="1:14" s="35" customFormat="1" ht="15.75" customHeight="1" x14ac:dyDescent="0.35">
      <c r="A146" s="75">
        <f t="shared" si="4"/>
        <v>8</v>
      </c>
      <c r="B146" s="76"/>
      <c r="C146" s="40" t="s">
        <v>191</v>
      </c>
      <c r="D146" s="40">
        <f>16.08*10.764</f>
        <v>173.08511999999996</v>
      </c>
      <c r="E146" s="40">
        <v>0</v>
      </c>
      <c r="F146" s="40">
        <f t="shared" si="5"/>
        <v>259.62767999999994</v>
      </c>
      <c r="G146" s="117"/>
      <c r="H146" s="118"/>
      <c r="I146" s="34"/>
      <c r="L146" s="99"/>
      <c r="M146" s="99"/>
      <c r="N146" s="34"/>
    </row>
    <row r="147" spans="1:14" s="35" customFormat="1" ht="15.75" customHeight="1" x14ac:dyDescent="0.35">
      <c r="A147" s="75">
        <f t="shared" si="4"/>
        <v>9</v>
      </c>
      <c r="B147" s="76"/>
      <c r="C147" s="40" t="s">
        <v>191</v>
      </c>
      <c r="D147" s="40">
        <f>12.53*10.764</f>
        <v>134.87291999999999</v>
      </c>
      <c r="E147" s="40">
        <v>0</v>
      </c>
      <c r="F147" s="40">
        <f t="shared" si="5"/>
        <v>202.30937999999998</v>
      </c>
      <c r="G147" s="117"/>
      <c r="H147" s="118"/>
      <c r="I147" s="34">
        <f>(2.3*5.45)*10.764</f>
        <v>134.92674</v>
      </c>
      <c r="L147" s="99"/>
      <c r="M147" s="99"/>
      <c r="N147" s="34"/>
    </row>
    <row r="148" spans="1:14" s="35" customFormat="1" ht="15.75" customHeight="1" x14ac:dyDescent="0.35">
      <c r="A148" s="75">
        <f t="shared" si="4"/>
        <v>10</v>
      </c>
      <c r="B148" s="76"/>
      <c r="C148" s="40" t="s">
        <v>191</v>
      </c>
      <c r="D148" s="40">
        <f>13.46*10.764</f>
        <v>144.88344000000001</v>
      </c>
      <c r="E148" s="40">
        <v>0</v>
      </c>
      <c r="F148" s="40">
        <f t="shared" si="5"/>
        <v>217.32516000000001</v>
      </c>
      <c r="G148" s="117"/>
      <c r="H148" s="118"/>
      <c r="I148" s="34"/>
      <c r="L148" s="99"/>
      <c r="M148" s="99"/>
      <c r="N148" s="34"/>
    </row>
    <row r="149" spans="1:14" s="35" customFormat="1" ht="15.75" customHeight="1" x14ac:dyDescent="0.35">
      <c r="A149" s="75">
        <f t="shared" si="4"/>
        <v>11</v>
      </c>
      <c r="B149" s="76"/>
      <c r="C149" s="40" t="s">
        <v>191</v>
      </c>
      <c r="D149" s="40">
        <f>11.78*10.764</f>
        <v>126.79991999999999</v>
      </c>
      <c r="E149" s="40">
        <v>0</v>
      </c>
      <c r="F149" s="40">
        <f t="shared" si="5"/>
        <v>190.19987999999998</v>
      </c>
      <c r="G149" s="119"/>
      <c r="H149" s="120"/>
      <c r="I149" s="34">
        <f>(3.1*3.8)*10.764</f>
        <v>126.79991999999999</v>
      </c>
      <c r="L149" s="99"/>
      <c r="M149" s="99"/>
      <c r="N149" s="34"/>
    </row>
    <row r="150" spans="1:14" s="35" customFormat="1" x14ac:dyDescent="0.35">
      <c r="A150" s="75"/>
      <c r="B150" s="102"/>
      <c r="C150" s="102"/>
      <c r="D150" s="102"/>
      <c r="E150" s="102"/>
      <c r="F150" s="102"/>
      <c r="G150" s="102"/>
      <c r="H150" s="76"/>
      <c r="I150" s="34"/>
      <c r="N150" s="34"/>
    </row>
    <row r="151" spans="1:14" ht="47.25" customHeight="1" x14ac:dyDescent="0.35">
      <c r="A151" s="108" t="s">
        <v>123</v>
      </c>
      <c r="B151" s="108" t="s">
        <v>124</v>
      </c>
      <c r="C151" s="104" t="s">
        <v>60</v>
      </c>
      <c r="D151" s="104" t="s">
        <v>61</v>
      </c>
      <c r="E151" s="106" t="s">
        <v>62</v>
      </c>
      <c r="F151" s="41" t="s">
        <v>153</v>
      </c>
      <c r="G151" s="108" t="s">
        <v>63</v>
      </c>
      <c r="H151" s="109"/>
      <c r="I151" s="34"/>
    </row>
    <row r="152" spans="1:14" s="35" customFormat="1" x14ac:dyDescent="0.35">
      <c r="A152" s="110"/>
      <c r="B152" s="110"/>
      <c r="C152" s="105"/>
      <c r="D152" s="105"/>
      <c r="E152" s="107"/>
      <c r="F152" s="13">
        <v>0.45</v>
      </c>
      <c r="G152" s="110"/>
      <c r="H152" s="111"/>
      <c r="I152" s="34"/>
    </row>
    <row r="153" spans="1:14" s="35" customFormat="1" ht="15.75" customHeight="1" x14ac:dyDescent="0.35">
      <c r="A153" s="101" t="s">
        <v>207</v>
      </c>
      <c r="B153" s="101"/>
      <c r="C153" s="101"/>
      <c r="D153" s="101"/>
      <c r="E153" s="101"/>
      <c r="F153" s="101"/>
      <c r="G153" s="101"/>
      <c r="H153" s="101"/>
      <c r="I153" s="34"/>
    </row>
    <row r="154" spans="1:14" s="35" customFormat="1" x14ac:dyDescent="0.35">
      <c r="A154" s="101" t="s">
        <v>190</v>
      </c>
      <c r="B154" s="101"/>
      <c r="C154" s="101"/>
      <c r="D154" s="101"/>
      <c r="E154" s="101"/>
      <c r="F154" s="101"/>
      <c r="G154" s="101"/>
      <c r="H154" s="101"/>
      <c r="J154" s="34"/>
    </row>
    <row r="155" spans="1:14" s="35" customFormat="1" ht="15.75" customHeight="1" x14ac:dyDescent="0.35">
      <c r="A155" s="101" t="s">
        <v>210</v>
      </c>
      <c r="B155" s="101"/>
      <c r="C155" s="101"/>
      <c r="D155" s="101"/>
      <c r="E155" s="101"/>
      <c r="F155" s="101"/>
      <c r="G155" s="101"/>
      <c r="H155" s="101"/>
      <c r="I155" s="34"/>
    </row>
    <row r="156" spans="1:14" s="35" customFormat="1" ht="15.75" customHeight="1" x14ac:dyDescent="0.35">
      <c r="A156" s="100">
        <v>1</v>
      </c>
      <c r="B156" s="100"/>
      <c r="C156" s="48">
        <v>2</v>
      </c>
      <c r="D156" s="56">
        <f>(2.9*4.57+2.3*2.45+2.6*2.5+2.75*2.75+2.75*0.6+1.22*2.15+1.22*1.8+1.2*0.25+1.1*1.7+2.6*1.35+2.6*0.75+2.75*0.75)*10.764</f>
        <v>528.64156799999978</v>
      </c>
      <c r="E156" s="56">
        <f>(2.9*1.8)*10.764</f>
        <v>56.188079999999992</v>
      </c>
      <c r="F156" s="56">
        <f>D156*(($F$152)+1)+(IF(E156&lt;101,E156,IF(E156&lt;201,E156/2,IF(E156&lt;=301,E156/3,E156/4))))</f>
        <v>822.71835359999966</v>
      </c>
      <c r="G156" s="100" t="str">
        <f>A155</f>
        <v>1st, 3rd &amp; 5th Floor For Residential</v>
      </c>
      <c r="H156" s="100"/>
      <c r="I156" s="34"/>
      <c r="J156" s="35">
        <f>2.9*4.57+2.3*2.45+2.6*2.5+2.75*2.75+2.75*0.6+1.22*2.15+1.22*1.8+1.2*0.25</f>
        <v>39.719499999999989</v>
      </c>
      <c r="K156" s="35">
        <f>1.1*1.7+2.6*1.35+2.6*0.75+2.75*0.75+2.9*1.8</f>
        <v>14.612500000000001</v>
      </c>
    </row>
    <row r="157" spans="1:14" s="35" customFormat="1" ht="15.75" customHeight="1" x14ac:dyDescent="0.35">
      <c r="A157" s="100">
        <v>2</v>
      </c>
      <c r="B157" s="100"/>
      <c r="C157" s="48">
        <v>1</v>
      </c>
      <c r="D157" s="56">
        <f>(2.9*4.57+2.3*2.5+2.9*2.75+2.9*0.6+1.43*1.22+1.22*1.8+1.2*0.25+2.3*1.2+2.3*0.75+2.9*0.75)*10.764</f>
        <v>426.45461039999992</v>
      </c>
      <c r="E157" s="56">
        <f>(2.9*1.8)*10.764</f>
        <v>56.188079999999992</v>
      </c>
      <c r="F157" s="56">
        <f>D157*(($F$152)+1)+(IF(E157&lt;101,E157,IF(E157&lt;201,E157/2,IF(E157&lt;=301,E157/3,E157/4))))</f>
        <v>674.54726507999987</v>
      </c>
      <c r="G157" s="100"/>
      <c r="H157" s="100"/>
      <c r="I157" s="34"/>
    </row>
    <row r="158" spans="1:14" s="35" customFormat="1" ht="15.75" customHeight="1" x14ac:dyDescent="0.35">
      <c r="A158" s="100">
        <v>3</v>
      </c>
      <c r="B158" s="100"/>
      <c r="C158" s="48">
        <v>1</v>
      </c>
      <c r="D158" s="56">
        <f>(2.9*4.57+2.3*2.5+2.9*2.75+2.9*0.6+1.43*1.22+1.22*1.8+1.2*0.25+2.3*1.35+2.3*0.75+2.9*0.75)*10.764</f>
        <v>430.1681903999999</v>
      </c>
      <c r="E158" s="56">
        <f t="shared" ref="E158:E159" si="6">(2.9*1.8)*10.764</f>
        <v>56.188079999999992</v>
      </c>
      <c r="F158" s="56">
        <f>D158*(($F$152)+1)+(IF(E158&lt;101,E158,IF(E158&lt;201,E158/2,IF(E158&lt;=301,E158/3,E158/4))))</f>
        <v>679.93195607999985</v>
      </c>
      <c r="G158" s="100"/>
      <c r="H158" s="100"/>
      <c r="I158" s="34"/>
    </row>
    <row r="159" spans="1:14" s="35" customFormat="1" ht="15.75" customHeight="1" x14ac:dyDescent="0.35">
      <c r="A159" s="100">
        <v>4</v>
      </c>
      <c r="B159" s="100"/>
      <c r="C159" s="48">
        <v>1</v>
      </c>
      <c r="D159" s="56">
        <f>(2.9*4.57+2.6*2.5+2.75*2.75+2.75*0.6+1.22*2.15+1.22*1.8+1.2*0.25+2.6*1.35+2.6*0.75+2.75*0.75)*10.764</f>
        <v>447.85774799999996</v>
      </c>
      <c r="E159" s="56">
        <f t="shared" si="6"/>
        <v>56.188079999999992</v>
      </c>
      <c r="F159" s="56">
        <f>D159*(($F$152)+1)+(IF(E159&lt;101,E159,IF(E159&lt;201,E159/2,IF(E159&lt;=301,E159/3,E159/4))))</f>
        <v>705.58181459999992</v>
      </c>
      <c r="G159" s="100"/>
      <c r="H159" s="100"/>
      <c r="I159" s="34"/>
    </row>
    <row r="160" spans="1:14" s="35" customFormat="1" ht="15.75" customHeight="1" x14ac:dyDescent="0.35">
      <c r="A160" s="101" t="s">
        <v>211</v>
      </c>
      <c r="B160" s="101"/>
      <c r="C160" s="101"/>
      <c r="D160" s="101"/>
      <c r="E160" s="101"/>
      <c r="F160" s="101"/>
      <c r="G160" s="101"/>
      <c r="H160" s="101"/>
      <c r="I160" s="34"/>
    </row>
    <row r="161" spans="1:14" s="35" customFormat="1" ht="15.75" customHeight="1" x14ac:dyDescent="0.35">
      <c r="A161" s="100">
        <v>1</v>
      </c>
      <c r="B161" s="100"/>
      <c r="C161" s="48">
        <v>2</v>
      </c>
      <c r="D161" s="56">
        <f>(2.9*4.57+2.3*2.45+2.6*2.5+2.75*2.75+2.75*0.6+1.22*2.15+1.22*1.8+1.2*0.25+1.1*1.7+2.6*1.35+2.6*0.75+2.9*0.75)*10.764</f>
        <v>529.8525179999998</v>
      </c>
      <c r="E161" s="56">
        <f>(2.75*1.8)*10.764</f>
        <v>53.281799999999997</v>
      </c>
      <c r="F161" s="56">
        <f>D161*(($F$152)+1)+(IF(E161&lt;101,E161,IF(E161&lt;201,E161/2,IF(E161&lt;=301,E161/3,E161/4))))</f>
        <v>821.56795109999962</v>
      </c>
      <c r="G161" s="100" t="str">
        <f>A160</f>
        <v>2nd, 4th &amp; 6th Floor</v>
      </c>
      <c r="H161" s="100"/>
      <c r="I161" s="34"/>
    </row>
    <row r="162" spans="1:14" s="35" customFormat="1" ht="15.75" customHeight="1" x14ac:dyDescent="0.35">
      <c r="A162" s="100">
        <v>2</v>
      </c>
      <c r="B162" s="100"/>
      <c r="C162" s="48">
        <v>1</v>
      </c>
      <c r="D162" s="56">
        <f>(2.9*4.57+2.3*2.5+2.9*2.75+2.9*0.6+1.43*1.22+1.22*1.8+1.2*0.25+2.3*1.2+2.3*0.75+2.9*0.75)*10.764</f>
        <v>426.45461039999992</v>
      </c>
      <c r="E162" s="56">
        <f t="shared" ref="E162:E163" si="7">(2.9*1.8)*10.764</f>
        <v>56.188079999999992</v>
      </c>
      <c r="F162" s="56">
        <f>D162*(($F$152)+1)+(IF(E162&lt;101,E162,IF(E162&lt;201,E162/2,IF(E162&lt;=301,E162/3,E162/4))))</f>
        <v>674.54726507999987</v>
      </c>
      <c r="G162" s="100"/>
      <c r="H162" s="100"/>
      <c r="I162" s="34"/>
    </row>
    <row r="163" spans="1:14" s="35" customFormat="1" ht="15.75" customHeight="1" x14ac:dyDescent="0.35">
      <c r="A163" s="100">
        <v>3</v>
      </c>
      <c r="B163" s="100"/>
      <c r="C163" s="48">
        <v>1</v>
      </c>
      <c r="D163" s="56">
        <f>(2.9*4.57+2.3*2.5+2.9*2.75+2.9*0.6+1.43*1.22+1.22*1.8+1.2*0.25+2.3*1.35+2.3*0.75+2.9*0.75)*10.764</f>
        <v>430.1681903999999</v>
      </c>
      <c r="E163" s="56">
        <f t="shared" si="7"/>
        <v>56.188079999999992</v>
      </c>
      <c r="F163" s="56">
        <f>D163*(($F$152)+1)+(IF(E163&lt;101,E163,IF(E163&lt;201,E163/2,IF(E163&lt;=301,E163/3,E163/4))))</f>
        <v>679.93195607999985</v>
      </c>
      <c r="G163" s="100"/>
      <c r="H163" s="100"/>
      <c r="I163" s="34">
        <f>4450000/F163</f>
        <v>6544.7725470288369</v>
      </c>
    </row>
    <row r="164" spans="1:14" s="35" customFormat="1" ht="15.75" customHeight="1" x14ac:dyDescent="0.35">
      <c r="A164" s="100">
        <v>4</v>
      </c>
      <c r="B164" s="100"/>
      <c r="C164" s="48">
        <v>1</v>
      </c>
      <c r="D164" s="56">
        <f>(2.9*4.57+2.6*2.5+2.75*2.75+2.75*0.6+1.22*2.15+1.22*1.8+1.2*0.25+2.6*1.35+2.6*0.75+2.9*0.75)*10.764</f>
        <v>449.06869799999993</v>
      </c>
      <c r="E164" s="56">
        <f>(2.75*1.8)*10.764</f>
        <v>53.281799999999997</v>
      </c>
      <c r="F164" s="56">
        <f>D164*(($F$152)+1)+(IF(E164&lt;101,E164,IF(E164&lt;201,E164/2,IF(E164&lt;=301,E164/3,E164/4))))</f>
        <v>704.43141209999987</v>
      </c>
      <c r="G164" s="100"/>
      <c r="H164" s="100"/>
      <c r="I164" s="34">
        <f>4600000/F164</f>
        <v>6530.089262043005</v>
      </c>
    </row>
    <row r="165" spans="1:14" s="35" customFormat="1" x14ac:dyDescent="0.35">
      <c r="A165" s="101" t="s">
        <v>192</v>
      </c>
      <c r="B165" s="101"/>
      <c r="C165" s="101"/>
      <c r="D165" s="101"/>
      <c r="E165" s="101"/>
      <c r="F165" s="101"/>
      <c r="G165" s="101"/>
      <c r="H165" s="101"/>
      <c r="I165" s="34"/>
      <c r="L165" s="99"/>
      <c r="M165" s="99"/>
    </row>
    <row r="166" spans="1:14" s="35" customFormat="1" x14ac:dyDescent="0.35">
      <c r="A166" s="100">
        <f>LEFT(A165,SUM(LEN(A165)-LEN(SUBSTITUTE(A165,{"0","1","2","3","4","5","6","7","8","9"},""))))*100+1</f>
        <v>701</v>
      </c>
      <c r="B166" s="100"/>
      <c r="C166" s="48">
        <v>2</v>
      </c>
      <c r="D166" s="40">
        <f>(2.9*4.57+2.3*2.45+2.6*2.8+2.75*3.45+1.22*2.15+1.22*1.8+1.2*0.25+1.1*1.7+2.9*0.9+2.6*0.75+2.75*0.75+2.9*1.8)*10.764</f>
        <v>586.49806799999988</v>
      </c>
      <c r="E166" s="40">
        <v>0</v>
      </c>
      <c r="F166" s="40">
        <f t="shared" ref="F166:F167" si="8">D166*(($F$152)+1)+(IF(E166&lt;101,E166,IF(E166&lt;201,E166/2,IF(E166&lt;=301,E166/3,E166/4))))</f>
        <v>850.42219859999977</v>
      </c>
      <c r="G166" s="115" t="str">
        <f>A165</f>
        <v>7th Floor</v>
      </c>
      <c r="H166" s="116"/>
      <c r="I166" s="34"/>
      <c r="N166" s="34"/>
    </row>
    <row r="167" spans="1:14" s="35" customFormat="1" x14ac:dyDescent="0.35">
      <c r="A167" s="100">
        <f>A166+1</f>
        <v>702</v>
      </c>
      <c r="B167" s="100"/>
      <c r="C167" s="48">
        <v>1</v>
      </c>
      <c r="D167" s="40">
        <f>(2.9*4.57+2.3*2.8+2.9*2.75+2.9*0.6+1.43*1.22+1.22*1.8+1.2*0.25+2.6*0.9+2.3*0.75+2.9*0.75+2.9*1.8)*10.764</f>
        <v>485.54897039999992</v>
      </c>
      <c r="E167" s="40">
        <v>0</v>
      </c>
      <c r="F167" s="40">
        <f t="shared" si="8"/>
        <v>704.04600707999987</v>
      </c>
      <c r="G167" s="117"/>
      <c r="H167" s="118"/>
      <c r="I167" s="34">
        <f>2320000/F167</f>
        <v>3295.2391983900297</v>
      </c>
      <c r="N167" s="34"/>
    </row>
    <row r="168" spans="1:14" s="35" customFormat="1" x14ac:dyDescent="0.35">
      <c r="A168" s="100">
        <f>A167+1</f>
        <v>703</v>
      </c>
      <c r="B168" s="100"/>
      <c r="C168" s="48">
        <v>1</v>
      </c>
      <c r="D168" s="40">
        <f>(2.9*4.57+2.3*2.8+2.9*2.75+2.9*0.6+1.43*1.22+1.22*1.8+1.2*0.25+2.6*0.9+2.3*0.75+2.9*0.75+2.9*1.8)*10.764</f>
        <v>485.54897039999992</v>
      </c>
      <c r="E168" s="40">
        <v>0</v>
      </c>
      <c r="F168" s="40">
        <f>D168*(($F$152)+1)+(IF(E168&lt;101,E168,IF(E168&lt;201,E168/2,IF(E168&lt;=301,E168/3,E168/4))))</f>
        <v>704.04600707999987</v>
      </c>
      <c r="G168" s="117"/>
      <c r="H168" s="118"/>
      <c r="I168" s="34"/>
      <c r="N168" s="34"/>
    </row>
    <row r="169" spans="1:14" s="35" customFormat="1" x14ac:dyDescent="0.35">
      <c r="A169" s="100">
        <f>A168+1</f>
        <v>704</v>
      </c>
      <c r="B169" s="100"/>
      <c r="C169" s="48">
        <v>1</v>
      </c>
      <c r="D169" s="40">
        <f>(2.9*4.57+2.6*2.8+2.75*3.35+1.22*2.15+1.22*1.8+1.2*0.25+2.9*0.9+2.6*0.75+2.75*0.75+2.9*1.8)*10.764</f>
        <v>502.75414799999987</v>
      </c>
      <c r="E169" s="40">
        <v>0</v>
      </c>
      <c r="F169" s="40">
        <f>D169*(($F$152)+1)+(IF(E169&lt;101,E169,IF(E169&lt;201,E169/2,IF(E169&lt;=301,E169/3,E169/4))))</f>
        <v>728.9935145999998</v>
      </c>
      <c r="G169" s="119"/>
      <c r="H169" s="120"/>
      <c r="I169" s="34">
        <f>4680000/F169</f>
        <v>6419.8101989534507</v>
      </c>
      <c r="J169" s="35" t="s">
        <v>217</v>
      </c>
      <c r="N169" s="34"/>
    </row>
    <row r="170" spans="1:14" s="35" customFormat="1" ht="15.75" customHeight="1" x14ac:dyDescent="0.35">
      <c r="A170" s="64" t="s">
        <v>208</v>
      </c>
      <c r="B170" s="65"/>
      <c r="C170" s="65"/>
      <c r="D170" s="65"/>
      <c r="E170" s="65"/>
      <c r="F170" s="65"/>
      <c r="G170" s="65"/>
      <c r="H170" s="66"/>
      <c r="I170" s="34"/>
    </row>
    <row r="171" spans="1:14" s="35" customFormat="1" x14ac:dyDescent="0.35">
      <c r="A171" s="64" t="s">
        <v>190</v>
      </c>
      <c r="B171" s="65"/>
      <c r="C171" s="65"/>
      <c r="D171" s="65"/>
      <c r="E171" s="65"/>
      <c r="F171" s="65"/>
      <c r="G171" s="65"/>
      <c r="H171" s="66"/>
      <c r="J171" s="34"/>
    </row>
    <row r="172" spans="1:14" s="35" customFormat="1" ht="15.75" customHeight="1" x14ac:dyDescent="0.35">
      <c r="A172" s="64" t="s">
        <v>193</v>
      </c>
      <c r="B172" s="65"/>
      <c r="C172" s="65"/>
      <c r="D172" s="65"/>
      <c r="E172" s="65"/>
      <c r="F172" s="65"/>
      <c r="G172" s="65"/>
      <c r="H172" s="66"/>
      <c r="I172" s="34"/>
    </row>
    <row r="173" spans="1:14" s="35" customFormat="1" ht="15.75" customHeight="1" x14ac:dyDescent="0.35">
      <c r="A173" s="75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10^ROW(INDIRECT("1:"&amp;LEN((LEFT(A172,SUM(LEN(A172)-LEN(SUBSTITUTE(A172,{"0","1","2"},""))))))))/10))*100+1&amp;""&amp;" ,..,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",LEN(A172))),LEN(A172)))))))/10))*100+1</f>
        <v>101 ,.., 701</v>
      </c>
      <c r="B173" s="76"/>
      <c r="C173" s="48">
        <v>2</v>
      </c>
      <c r="D173" s="40">
        <f>(2.95*4.57+1.1*3.1+2.3*1.85+2.95*2+3.1*3.65*2.1*1.2+1.2*2.1+0.6*0.7+1.2*0.9+0.9*2.3+1.05*2.95+0.75*3.1)*10.764</f>
        <v>721.97161919999996</v>
      </c>
      <c r="E173" s="40">
        <f>(2.95*1.8)*10.764</f>
        <v>57.156840000000003</v>
      </c>
      <c r="F173" s="40">
        <f>D173*(($F$152)+1)+(IF(E173&lt;101,E173,IF(E173&lt;201,E173/2,IF(E173&lt;=301,E173/3,E173/4))))</f>
        <v>1104.0156878400001</v>
      </c>
      <c r="G173" s="115" t="str">
        <f>A172</f>
        <v>1st, 3rd, 5th, 7th Floor For Residential</v>
      </c>
      <c r="H173" s="116"/>
      <c r="I173" s="34"/>
      <c r="J173" s="35">
        <f>(2.95*4.57+1.1*3.1+2.3*1.85+2.95*2+3.1*3.65+2.1*1.2+1.2*2.1+1.2*0.9+0.7*0.6)</f>
        <v>44.901500000000006</v>
      </c>
    </row>
    <row r="174" spans="1:14" s="35" customFormat="1" ht="15.75" customHeight="1" x14ac:dyDescent="0.35">
      <c r="A174" s="75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,..,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102 ,.., 702</v>
      </c>
      <c r="B174" s="76"/>
      <c r="C174" s="48">
        <v>1</v>
      </c>
      <c r="D174" s="40">
        <f>(2.95*4.57+2.3*1.66+3.05*3.05+1.2*2+1.2*2.1+0.9*2.3+1.15*2.3+0.75*3.05)*10.764</f>
        <v>414.67771799999991</v>
      </c>
      <c r="E174" s="40">
        <f t="shared" ref="E174:E175" si="9">(2.95*1.8)*10.764</f>
        <v>57.156840000000003</v>
      </c>
      <c r="F174" s="40">
        <f>D174*(($F$152)+1)+(IF(E174&lt;101,E174,IF(E174&lt;201,E174/2,IF(E174&lt;=301,E174/3,E174/4))))</f>
        <v>658.43953109999984</v>
      </c>
      <c r="G174" s="117"/>
      <c r="H174" s="118"/>
      <c r="I174" s="34">
        <f>3900000/F174</f>
        <v>5923.0951602869227</v>
      </c>
    </row>
    <row r="175" spans="1:14" s="35" customFormat="1" ht="15.75" customHeight="1" x14ac:dyDescent="0.35">
      <c r="A175" s="75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,..,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103 ,.., 703</v>
      </c>
      <c r="B175" s="76"/>
      <c r="C175" s="48">
        <v>2</v>
      </c>
      <c r="D175" s="40">
        <f>(2.95*4.57+1.23*2.25+2.3*2+2.95*2+3.25*3.05+2.1*1.2+0.6*1.7+2.1*1.2+0.9*2.95+0.9*2.3+1.1*0.7+0.75*3.25+1.05*2.95+2.3*1.05)*10.764</f>
        <v>604.57620600000018</v>
      </c>
      <c r="E175" s="40">
        <f t="shared" si="9"/>
        <v>57.156840000000003</v>
      </c>
      <c r="F175" s="40">
        <f>D175*(($F$152)+1)+(IF(E175&lt;101,E175,IF(E175&lt;201,E175/2,IF(E175&lt;=301,E175/3,E175/4))))</f>
        <v>933.79233870000019</v>
      </c>
      <c r="G175" s="117"/>
      <c r="H175" s="118"/>
      <c r="I175" s="34"/>
    </row>
    <row r="176" spans="1:14" s="35" customFormat="1" ht="15.75" customHeight="1" x14ac:dyDescent="0.35">
      <c r="A176" s="75" t="str">
        <f ca="1">(SUMPRODUCT(MID(0&amp;(LEFT(A175,SUM(LEN(A175)-LEN(SUBSTITUTE(A175,{"0","1","2"},""))))), LARGE(INDEX(ISNUMBER(--MID((LEFT(A175,SUM(LEN(A175)-LEN(SUBSTITUTE(A175,{"0","1","2"},""))))), ROW(INDIRECT("1:"&amp;LEN((LEFT(A175,SUM(LEN(A175)-LEN(SUBSTITUTE(A175,{"0","1","2"},"")))))))), 1)) * ROW(INDIRECT("1:"&amp;LEN((LEFT(A175,SUM(LEN(A175)-LEN(SUBSTITUTE(A175,{"0","1","2"},"")))))))), 0), ROW(INDIRECT("1:"&amp;LEN((LEFT(A175,SUM(LEN(A175)-LEN(SUBSTITUTE(A175,{"0","1","2"},"")))))))))+1, 1) * 10^ROW(INDIRECT("1:"&amp;LEN((LEFT(A175,SUM(LEN(A175)-LEN(SUBSTITUTE(A175,{"0","1","2"},""))))))))/10))*1+1&amp;""&amp;" ,.., "&amp;""&amp;(SUMPRODUCT(MID(0&amp;(--TRIM(RIGHT(SUBSTITUTE(LEFT(A175,_xlfn.AGGREGATE(16,6,FIND({0,1,2,3,4,5,6,7,8,9},A175,ROW(INDIRECT("1:"&amp;LEN(A175)))),1))," ",REPT(" ",LEN(A175))),LEN(A175)))), LARGE(INDEX(ISNUMBER(--MID((--TRIM(RIGHT(SUBSTITUTE(LEFT(A175,_xlfn.AGGREGATE(16,6,FIND({0,1,2,3,4,5,6,7,8,9},A175,ROW(INDIRECT("1:"&amp;LEN(A175)))),1))," ",REPT(" ",LEN(A175))),LEN(A175)))), ROW(INDIRECT("1:"&amp;LEN((--TRIM(RIGHT(SUBSTITUTE(LEFT(A175,_xlfn.AGGREGATE(16,6,FIND({0,1,2,3,4,5,6,7,8,9},A175,ROW(INDIRECT("1:"&amp;LEN(A175)))),1))," ",REPT(" ",LEN(A175))),LEN(A175))))))), 1)) * ROW(INDIRECT("1:"&amp;LEN((--TRIM(RIGHT(SUBSTITUTE(LEFT(A175,_xlfn.AGGREGATE(16,6,FIND({0,1,2,3,4,5,6,7,8,9},A175,ROW(INDIRECT("1:"&amp;LEN(A175)))),1))," ",REPT(" ",LEN(A175))),LEN(A175))))))), 0), ROW(INDIRECT("1:"&amp;LEN((--TRIM(RIGHT(SUBSTITUTE(LEFT(A175,_xlfn.AGGREGATE(16,6,FIND({0,1,2,3,4,5,6,7,8,9},A175,ROW(INDIRECT("1:"&amp;LEN(A175)))),1))," ",REPT(" ",LEN(A175))),LEN(A175))))))))+1, 1) * 10^ROW(INDIRECT("1:"&amp;LEN((--TRIM(RIGHT(SUBSTITUTE(LEFT(A175,_xlfn.AGGREGATE(16,6,FIND({0,1,2,3,4,5,6,7,8,9},A175,ROW(INDIRECT("1:"&amp;LEN(A175)))),1))," ",REPT(" ",LEN(A175))),LEN(A175)))))))/10))*1+1</f>
        <v>104 ,.., 704</v>
      </c>
      <c r="B176" s="76"/>
      <c r="C176" s="48">
        <v>2</v>
      </c>
      <c r="D176" s="40">
        <f>(4.8*2.9+2.45*1.37+2.3*1.75+2.45*2.9+2.15*1.2+3.35*3.3+1.22*2.1+1.22*0.9+1.2*1.7+2.9*0.9+1.15*2.3+1.05*2.9+0.75*3.3)*10.764</f>
        <v>629.87160599999993</v>
      </c>
      <c r="E176" s="40">
        <f>(2.9*1.8)*10.764</f>
        <v>56.188079999999992</v>
      </c>
      <c r="F176" s="40">
        <f>D176*(($F$152)+1)+(IF(E176&lt;101,E176,IF(E176&lt;201,E176/2,IF(E176&lt;=301,E176/3,E176/4))))</f>
        <v>969.50190869999983</v>
      </c>
      <c r="G176" s="117"/>
      <c r="H176" s="118"/>
      <c r="I176" s="34">
        <f>5706000/F176</f>
        <v>5885.4964067591636</v>
      </c>
      <c r="J176" s="35" t="s">
        <v>217</v>
      </c>
      <c r="K176" s="34">
        <f>F176-E176</f>
        <v>913.31382869999982</v>
      </c>
      <c r="L176" s="35">
        <v>6200</v>
      </c>
    </row>
    <row r="177" spans="1:14" s="35" customFormat="1" ht="15.75" customHeight="1" x14ac:dyDescent="0.35">
      <c r="A177" s="75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10^ROW(INDIRECT("1:"&amp;LEN((LEFT(A176,SUM(LEN(A176)-LEN(SUBSTITUTE(A176,{"0","1","2"},""))))))))/10))*1+1&amp;""&amp;" ,..,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",LEN(A176))),LEN(A176)))))))/10))*1+1</f>
        <v>105 ,.., 705</v>
      </c>
      <c r="B177" s="76"/>
      <c r="C177" s="48">
        <v>1</v>
      </c>
      <c r="D177" s="40">
        <f>(2.95*4.57+2.3*1.85+3.05*3.05+0.9*2.3+2.15*1.22+1.2*2.1+0.7*1.8+1.05*2.3+0.75*3.05)*10.764</f>
        <v>432.868878</v>
      </c>
      <c r="E177" s="40">
        <f>(2.95*1.8)*10.764</f>
        <v>57.156840000000003</v>
      </c>
      <c r="F177" s="40">
        <f>D177*(($F$152)+1)+(IF(E177&lt;101,E177,IF(E177&lt;201,E177/2,IF(E177&lt;=301,E177/3,E177/4))))</f>
        <v>684.81671310000002</v>
      </c>
      <c r="G177" s="119"/>
      <c r="H177" s="120"/>
      <c r="I177" s="34"/>
    </row>
    <row r="178" spans="1:14" s="35" customFormat="1" ht="15.75" customHeight="1" x14ac:dyDescent="0.35">
      <c r="A178" s="64" t="s">
        <v>194</v>
      </c>
      <c r="B178" s="65"/>
      <c r="C178" s="65"/>
      <c r="D178" s="65"/>
      <c r="E178" s="65"/>
      <c r="F178" s="65"/>
      <c r="G178" s="65"/>
      <c r="H178" s="66"/>
      <c r="I178" s="34"/>
    </row>
    <row r="179" spans="1:14" s="35" customFormat="1" ht="15.75" customHeight="1" x14ac:dyDescent="0.35">
      <c r="A179" s="75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10^ROW(INDIRECT("1:"&amp;LEN((LEFT(A178,SUM(LEN(A178)-LEN(SUBSTITUTE(A178,{"0","1","2"},""))))))))/10))*100+1&amp;""&amp;" ,..,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",LEN(A178))),LEN(A178)))))))/10))*100+1</f>
        <v>201 ,.., 601</v>
      </c>
      <c r="B179" s="76"/>
      <c r="C179" s="48">
        <v>2</v>
      </c>
      <c r="D179" s="40">
        <f>(2.95*4.57+1.1*3.1+2.3*1.85+2.95*2+3.1*3.65*2.1*1.2+1.2*2.1+0.6*0.7+1.2*0.9+0.9*2.3+1.05*2.95+0.75*2.95)*10.764</f>
        <v>720.76066920000005</v>
      </c>
      <c r="E179" s="40">
        <f>(3.1*1.8)*10.764</f>
        <v>60.063119999999998</v>
      </c>
      <c r="F179" s="40">
        <f>D179*(($F$152)+1)+(IF(E179&lt;101,E179,IF(E179&lt;201,E179/2,IF(E179&lt;=301,E179/3,E179/4))))</f>
        <v>1105.16609034</v>
      </c>
      <c r="G179" s="115" t="str">
        <f>A178</f>
        <v>2nd, 4th, 6th Floor For Residential</v>
      </c>
      <c r="H179" s="116"/>
      <c r="I179" s="34"/>
    </row>
    <row r="180" spans="1:14" s="35" customFormat="1" ht="15.75" customHeight="1" x14ac:dyDescent="0.35">
      <c r="A180" s="75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,..,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202 ,.., 602</v>
      </c>
      <c r="B180" s="76"/>
      <c r="C180" s="48">
        <v>1</v>
      </c>
      <c r="D180" s="40">
        <f>(2.95*4.57+2.3*1.66+3.05*3.05+1.2*2+1.2*2.1+0.9*2.3+1.15*2.3+0.75*2.95)*10.764</f>
        <v>413.87041799999992</v>
      </c>
      <c r="E180" s="40">
        <f>(3.05*1.8)*10.764</f>
        <v>59.094360000000002</v>
      </c>
      <c r="F180" s="40">
        <f>D180*(($F$152)+1)+(IF(E180&lt;101,E180,IF(E180&lt;201,E180/2,IF(E180&lt;=301,E180/3,E180/4))))</f>
        <v>659.20646609999994</v>
      </c>
      <c r="G180" s="117"/>
      <c r="H180" s="118"/>
      <c r="I180" s="34"/>
    </row>
    <row r="181" spans="1:14" s="35" customFormat="1" ht="15.75" customHeight="1" x14ac:dyDescent="0.35">
      <c r="A181" s="75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,..,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203 ,.., 603</v>
      </c>
      <c r="B181" s="76"/>
      <c r="C181" s="48">
        <v>2</v>
      </c>
      <c r="D181" s="40">
        <f>(2.95*4.57+1.23*2.25+2.3*2+2.95*2+3.25*3.05+2.1*1.2+0.6*1.7+2.1*1.2+0.9*2.95+0.9*2.3+1.1*0.7+0.75*2.95+1.05*2.95+2.3*1.05)*10.764</f>
        <v>602.15430600000013</v>
      </c>
      <c r="E181" s="40">
        <f>(3.25*1.8)*10.764</f>
        <v>62.9694</v>
      </c>
      <c r="F181" s="40">
        <f>D181*(($F$152)+1)+(IF(E181&lt;101,E181,IF(E181&lt;201,E181/2,IF(E181&lt;=301,E181/3,E181/4))))</f>
        <v>936.09314370000016</v>
      </c>
      <c r="G181" s="117"/>
      <c r="H181" s="118"/>
      <c r="I181" s="34"/>
    </row>
    <row r="182" spans="1:14" s="35" customFormat="1" ht="15.75" customHeight="1" x14ac:dyDescent="0.35">
      <c r="A182" s="75" t="str">
        <f ca="1">(SUMPRODUCT(MID(0&amp;(LEFT(A181,SUM(LEN(A181)-LEN(SUBSTITUTE(A181,{"0","1","2"},""))))), LARGE(INDEX(ISNUMBER(--MID((LEFT(A181,SUM(LEN(A181)-LEN(SUBSTITUTE(A181,{"0","1","2"},""))))), ROW(INDIRECT("1:"&amp;LEN((LEFT(A181,SUM(LEN(A181)-LEN(SUBSTITUTE(A181,{"0","1","2"},"")))))))), 1)) * ROW(INDIRECT("1:"&amp;LEN((LEFT(A181,SUM(LEN(A181)-LEN(SUBSTITUTE(A181,{"0","1","2"},"")))))))), 0), ROW(INDIRECT("1:"&amp;LEN((LEFT(A181,SUM(LEN(A181)-LEN(SUBSTITUTE(A181,{"0","1","2"},"")))))))))+1, 1) * 10^ROW(INDIRECT("1:"&amp;LEN((LEFT(A181,SUM(LEN(A181)-LEN(SUBSTITUTE(A181,{"0","1","2"},""))))))))/10))*1+1&amp;""&amp;" ,.., "&amp;""&amp;(SUMPRODUCT(MID(0&amp;(--TRIM(RIGHT(SUBSTITUTE(LEFT(A181,_xlfn.AGGREGATE(16,6,FIND({0,1,2,3,4,5,6,7,8,9},A181,ROW(INDIRECT("1:"&amp;LEN(A181)))),1))," ",REPT(" ",LEN(A181))),LEN(A181)))), LARGE(INDEX(ISNUMBER(--MID((--TRIM(RIGHT(SUBSTITUTE(LEFT(A181,_xlfn.AGGREGATE(16,6,FIND({0,1,2,3,4,5,6,7,8,9},A181,ROW(INDIRECT("1:"&amp;LEN(A181)))),1))," ",REPT(" ",LEN(A181))),LEN(A181)))), ROW(INDIRECT("1:"&amp;LEN((--TRIM(RIGHT(SUBSTITUTE(LEFT(A181,_xlfn.AGGREGATE(16,6,FIND({0,1,2,3,4,5,6,7,8,9},A181,ROW(INDIRECT("1:"&amp;LEN(A181)))),1))," ",REPT(" ",LEN(A181))),LEN(A181))))))), 1)) * ROW(INDIRECT("1:"&amp;LEN((--TRIM(RIGHT(SUBSTITUTE(LEFT(A181,_xlfn.AGGREGATE(16,6,FIND({0,1,2,3,4,5,6,7,8,9},A181,ROW(INDIRECT("1:"&amp;LEN(A181)))),1))," ",REPT(" ",LEN(A181))),LEN(A181))))))), 0), ROW(INDIRECT("1:"&amp;LEN((--TRIM(RIGHT(SUBSTITUTE(LEFT(A181,_xlfn.AGGREGATE(16,6,FIND({0,1,2,3,4,5,6,7,8,9},A181,ROW(INDIRECT("1:"&amp;LEN(A181)))),1))," ",REPT(" ",LEN(A181))),LEN(A181))))))))+1, 1) * 10^ROW(INDIRECT("1:"&amp;LEN((--TRIM(RIGHT(SUBSTITUTE(LEFT(A181,_xlfn.AGGREGATE(16,6,FIND({0,1,2,3,4,5,6,7,8,9},A181,ROW(INDIRECT("1:"&amp;LEN(A181)))),1))," ",REPT(" ",LEN(A181))),LEN(A181)))))))/10))*1+1</f>
        <v>204 ,.., 604</v>
      </c>
      <c r="B182" s="76"/>
      <c r="C182" s="48">
        <v>2</v>
      </c>
      <c r="D182" s="40">
        <f>(1.1*1.2+4.8*2.9+2.45*1.37+2.3*1.75+2.45*2.9+2.15*1.2+3.35*3.3+1.22*2.1+1.22*0.9+1.2*1.7+2.9*0.9+1.15*2.3+1.05*2.9+0.75*2.9)*10.764</f>
        <v>640.85088599999983</v>
      </c>
      <c r="E182" s="40">
        <f>(3.1*1.8)*10.764</f>
        <v>60.063119999999998</v>
      </c>
      <c r="F182" s="40">
        <f>D182*(($F$152)+1)+(IF(E182&lt;101,E182,IF(E182&lt;201,E182/2,IF(E182&lt;=301,E182/3,E182/4))))</f>
        <v>989.2969046999998</v>
      </c>
      <c r="G182" s="117"/>
      <c r="H182" s="118"/>
      <c r="I182" s="34"/>
    </row>
    <row r="183" spans="1:14" s="35" customFormat="1" ht="15.75" customHeight="1" x14ac:dyDescent="0.35">
      <c r="A183" s="75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10^ROW(INDIRECT("1:"&amp;LEN((LEFT(A182,SUM(LEN(A182)-LEN(SUBSTITUTE(A182,{"0","1","2"},""))))))))/10))*1+1&amp;""&amp;" ,..,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",LEN(A182))),LEN(A182)))))))/10))*1+1</f>
        <v>205 ,.., 605</v>
      </c>
      <c r="B183" s="76"/>
      <c r="C183" s="48">
        <v>1</v>
      </c>
      <c r="D183" s="40">
        <f>(2.95*4.57+2.3*1.85+3.05*3.05+0.9*2.3+2.15*1.22+1.2*2.1+0.7*1.8+1.05*2.3+0.75*2.95)*10.764</f>
        <v>432.06157799999994</v>
      </c>
      <c r="E183" s="40">
        <f>(3.05*1.8)*10.764</f>
        <v>59.094360000000002</v>
      </c>
      <c r="F183" s="40">
        <f>D183*(($F$152)+1)+(IF(E183&lt;101,E183,IF(E183&lt;201,E183/2,IF(E183&lt;=301,E183/3,E183/4))))</f>
        <v>685.58364809999989</v>
      </c>
      <c r="G183" s="119"/>
      <c r="H183" s="120"/>
      <c r="I183" s="34">
        <f>4100000/F183</f>
        <v>5980.3059938237766</v>
      </c>
    </row>
    <row r="184" spans="1:14" s="35" customFormat="1" x14ac:dyDescent="0.35">
      <c r="A184" s="101" t="s">
        <v>196</v>
      </c>
      <c r="B184" s="101"/>
      <c r="C184" s="101"/>
      <c r="D184" s="101"/>
      <c r="E184" s="101"/>
      <c r="F184" s="101"/>
      <c r="G184" s="101"/>
      <c r="H184" s="101"/>
      <c r="I184" s="34"/>
      <c r="L184" s="99"/>
      <c r="M184" s="99"/>
    </row>
    <row r="185" spans="1:14" s="35" customFormat="1" ht="15.75" customHeight="1" x14ac:dyDescent="0.35">
      <c r="A185" s="100">
        <f>LEFT(A184,SUM(LEN(A184)-LEN(SUBSTITUTE(A184,{"0","1","2","3","4","5","6","7","8","9"},""))))*100+1</f>
        <v>801</v>
      </c>
      <c r="B185" s="100"/>
      <c r="C185" s="48">
        <v>2</v>
      </c>
      <c r="D185" s="40">
        <f>(2.95*4.57+1.1*3.1+2.3*1.85+2.95*2+3.1*3.65*2.1*1.2+1.2*2.1+0.6*0.7+1.2*0.9+0.9*2.3+1.05*2.95+0.75*2.95)*10.764</f>
        <v>720.76066920000005</v>
      </c>
      <c r="E185" s="40">
        <f>(3.1*1.8)*10.764</f>
        <v>60.063119999999998</v>
      </c>
      <c r="F185" s="40">
        <f t="shared" ref="F185" si="10">D185*(($F$152)+1)+(IF(E185&lt;101,E185,IF(E185&lt;201,E185/2,IF(E185&lt;=301,E185/3,E185/4))))</f>
        <v>1105.16609034</v>
      </c>
      <c r="G185" s="115" t="str">
        <f>A184</f>
        <v>8th Floor (Part Refuge Area)</v>
      </c>
      <c r="H185" s="116"/>
      <c r="I185" s="34"/>
      <c r="N185" s="34"/>
    </row>
    <row r="186" spans="1:14" s="35" customFormat="1" ht="15.75" customHeight="1" x14ac:dyDescent="0.35">
      <c r="A186" s="100">
        <f>A185+1</f>
        <v>802</v>
      </c>
      <c r="B186" s="100"/>
      <c r="C186" s="75" t="s">
        <v>212</v>
      </c>
      <c r="D186" s="102"/>
      <c r="E186" s="102"/>
      <c r="F186" s="76"/>
      <c r="G186" s="117"/>
      <c r="H186" s="118"/>
      <c r="I186" s="34"/>
      <c r="N186" s="34"/>
    </row>
    <row r="187" spans="1:14" s="35" customFormat="1" ht="15.75" customHeight="1" x14ac:dyDescent="0.35">
      <c r="A187" s="100">
        <f>A186+1</f>
        <v>803</v>
      </c>
      <c r="B187" s="100"/>
      <c r="C187" s="48">
        <v>2</v>
      </c>
      <c r="D187" s="40">
        <f>(2.95*4.57+2.3*3.05+2.95*3.05+3.25*3.05+2.1*1.2+0.5*1.8+1.05*(2.95+2.3)+1.1*2.2+2.1*1.2+0.75*(2.95+2.3+2.95)+1.8*3.25+1.8*3.25)*10.764</f>
        <v>765.63255600000002</v>
      </c>
      <c r="E187" s="40">
        <v>0</v>
      </c>
      <c r="F187" s="40">
        <f>D187*(($F$152)+1)+(IF(E187&lt;101,E187,IF(E187&lt;201,E187/2,IF(E187&lt;=301,E187/3,E187/4))))</f>
        <v>1110.1672062</v>
      </c>
      <c r="G187" s="117"/>
      <c r="H187" s="118"/>
      <c r="I187" s="34"/>
      <c r="N187" s="34"/>
    </row>
    <row r="188" spans="1:14" s="35" customFormat="1" ht="15.75" customHeight="1" x14ac:dyDescent="0.35">
      <c r="A188" s="100">
        <f>A187+1</f>
        <v>804</v>
      </c>
      <c r="B188" s="100"/>
      <c r="C188" s="48">
        <v>2</v>
      </c>
      <c r="D188" s="40">
        <f>(1.1*1.2+4.8*2.9+2.45*1.37+2.3*1.75+2.45*2.9+2.15*1.2+3.35*3.3+1.22*2.1+1.22*0.9+1.2*1.7+2.9*0.9+1.15*2.3+1.05*2.9+0.75*2.9+0.75*(2.9+2.3))*10.764</f>
        <v>682.83048599999984</v>
      </c>
      <c r="E188" s="40">
        <f>(3.3*1.8)*10.764</f>
        <v>63.938159999999989</v>
      </c>
      <c r="F188" s="40">
        <f>D188*(($F$152)+1)+(IF(E188&lt;101,E188,IF(E188&lt;201,E188/2,IF(E188&lt;=301,E188/3,E188/4))))</f>
        <v>1054.0423646999998</v>
      </c>
      <c r="G188" s="117"/>
      <c r="H188" s="118"/>
      <c r="I188" s="34"/>
      <c r="N188" s="34"/>
    </row>
    <row r="189" spans="1:14" s="35" customFormat="1" ht="15.75" customHeight="1" x14ac:dyDescent="0.35">
      <c r="A189" s="100">
        <f>A188+1</f>
        <v>805</v>
      </c>
      <c r="B189" s="100"/>
      <c r="C189" s="48">
        <v>1</v>
      </c>
      <c r="D189" s="40">
        <f>(2.95*4.57+2.3*1.85+3.05*3.05+0.9*2.3+2.15*1.22+1.2*2.1+0.7*1.8+1.05*2.3+0.75*2.95+1.8*3.05)*10.764</f>
        <v>491.15593799999999</v>
      </c>
      <c r="E189" s="40">
        <v>0</v>
      </c>
      <c r="F189" s="40">
        <f>D189*(($F$152)+1)+(IF(E189&lt;101,E189,IF(E189&lt;201,E189/2,IF(E189&lt;=301,E189/3,E189/4))))</f>
        <v>712.17611009999996</v>
      </c>
      <c r="G189" s="119"/>
      <c r="H189" s="120"/>
      <c r="I189" s="34"/>
      <c r="N189" s="34"/>
    </row>
    <row r="190" spans="1:14" s="35" customFormat="1" x14ac:dyDescent="0.35">
      <c r="A190" s="101" t="s">
        <v>195</v>
      </c>
      <c r="B190" s="101"/>
      <c r="C190" s="101"/>
      <c r="D190" s="101"/>
      <c r="E190" s="101"/>
      <c r="F190" s="101"/>
      <c r="G190" s="101"/>
      <c r="H190" s="101"/>
      <c r="I190" s="34"/>
      <c r="L190" s="99"/>
      <c r="M190" s="99"/>
    </row>
    <row r="191" spans="1:14" s="35" customFormat="1" x14ac:dyDescent="0.35">
      <c r="A191" s="100">
        <f>LEFT(A190,SUM(LEN(A190)-LEN(SUBSTITUTE(A190,{"0","1","2","3","4","5","6","7","8","9"},""))))*100+1</f>
        <v>901</v>
      </c>
      <c r="B191" s="100"/>
      <c r="C191" s="48">
        <v>2</v>
      </c>
      <c r="D191" s="40">
        <f>(2.95*4.57+2.3*2.75+2.95*3.05+3.1*3.65+1.1*2.1+0.9*5.75+1.2*2.1+2.1*1.2+0.7*0.6+0.75*(2.3+2.95+3.1)+1.8*2.95)*10.764</f>
        <v>695.74728600000014</v>
      </c>
      <c r="E191" s="40">
        <v>0</v>
      </c>
      <c r="F191" s="40">
        <f t="shared" ref="F191:F192" si="11">D191*(($F$152)+1)+(IF(E191&lt;101,E191,IF(E191&lt;201,E191/2,IF(E191&lt;=301,E191/3,E191/4))))</f>
        <v>1008.8335647000001</v>
      </c>
      <c r="G191" s="115" t="str">
        <f>A190</f>
        <v>9th Floor</v>
      </c>
      <c r="H191" s="116"/>
      <c r="I191" s="34"/>
      <c r="N191" s="34"/>
    </row>
    <row r="192" spans="1:14" s="35" customFormat="1" x14ac:dyDescent="0.35">
      <c r="A192" s="100">
        <f>A191+1</f>
        <v>902</v>
      </c>
      <c r="B192" s="100"/>
      <c r="C192" s="48">
        <v>1</v>
      </c>
      <c r="D192" s="40">
        <f>(2.95*4.57+2.3*2.8+3.05*3.05+1.2*2.1+1.2*2.1+2.3*0.9+0.75*2.3+0.75*3.05+1.8*2.95)*10.764</f>
        <v>491.44656600000008</v>
      </c>
      <c r="E192" s="40">
        <v>0</v>
      </c>
      <c r="F192" s="40">
        <f t="shared" si="11"/>
        <v>712.59752070000013</v>
      </c>
      <c r="G192" s="117"/>
      <c r="H192" s="118"/>
      <c r="I192" s="34"/>
      <c r="N192" s="34"/>
    </row>
    <row r="193" spans="1:14" s="35" customFormat="1" x14ac:dyDescent="0.35">
      <c r="A193" s="100">
        <f>A192+1</f>
        <v>903</v>
      </c>
      <c r="B193" s="100"/>
      <c r="C193" s="48">
        <v>2</v>
      </c>
      <c r="D193" s="40">
        <f>(2.95*4.57+2.3*3.05+2.95*3.05+3.25*3.05+2.1*1.2+2.1*1.2+0.5*1.8+0.7*1+0.9*5.4+1*2.3+1.8*2.95+0.75*(2.3+2.95+3.25))*10.764</f>
        <v>698.49210600000004</v>
      </c>
      <c r="E193" s="40">
        <v>0</v>
      </c>
      <c r="F193" s="40">
        <f>D193*(($F$152)+1)+(IF(E193&lt;101,E193,IF(E193&lt;201,E193/2,IF(E193&lt;=301,E193/3,E193/4))))</f>
        <v>1012.8135537000001</v>
      </c>
      <c r="G193" s="117"/>
      <c r="H193" s="118"/>
      <c r="I193" s="34"/>
      <c r="N193" s="34"/>
    </row>
    <row r="194" spans="1:14" s="35" customFormat="1" x14ac:dyDescent="0.35">
      <c r="A194" s="100">
        <f>A193+1</f>
        <v>904</v>
      </c>
      <c r="B194" s="100"/>
      <c r="C194" s="48">
        <v>2</v>
      </c>
      <c r="D194" s="40">
        <f>(4.8*2.9+2.45*1.37+2.3*1.75+2.45*2.9+2.15*1.2+3.35*3.3+1.22*2.1+1.22*0.9+1.2*1.7+2.9*0.9+1.15*2.3+1.05*2.9+0.75*3.3+2.9*1.8+0.75*2.3)*10.764</f>
        <v>704.62758599999995</v>
      </c>
      <c r="E194" s="40">
        <v>0</v>
      </c>
      <c r="F194" s="40">
        <f>D194*(($F$152)+1)+(IF(E194&lt;101,E194,IF(E194&lt;201,E194/2,IF(E194&lt;=301,E194/3,E194/4))))</f>
        <v>1021.7099996999999</v>
      </c>
      <c r="G194" s="117"/>
      <c r="H194" s="118"/>
      <c r="I194" s="34"/>
      <c r="N194" s="34"/>
    </row>
    <row r="195" spans="1:14" s="35" customFormat="1" x14ac:dyDescent="0.35">
      <c r="A195" s="100">
        <f>A194+1</f>
        <v>905</v>
      </c>
      <c r="B195" s="100"/>
      <c r="C195" s="48">
        <v>1</v>
      </c>
      <c r="D195" s="40">
        <f>(2.95*4.57+2.3*1.85+3.05*3.05+0.9*2.3+2.15*1.22+1.2*2.1+0.7*1.8+1.05*2.3+0.75*3.05+2.95*1.8)*10.764</f>
        <v>490.02571799999998</v>
      </c>
      <c r="E195" s="40">
        <v>0</v>
      </c>
      <c r="F195" s="40">
        <f>D195*(($F$152)+1)+(IF(E195&lt;101,E195,IF(E195&lt;201,E195/2,IF(E195&lt;=301,E195/3,E195/4))))</f>
        <v>710.53729109999995</v>
      </c>
      <c r="G195" s="119"/>
      <c r="H195" s="120"/>
      <c r="I195" s="34"/>
      <c r="N195" s="34"/>
    </row>
    <row r="196" spans="1:14" s="33" customFormat="1" x14ac:dyDescent="0.35">
      <c r="A196" s="169" t="s">
        <v>71</v>
      </c>
      <c r="B196" s="169"/>
      <c r="C196" s="169"/>
      <c r="D196" s="169"/>
      <c r="E196" s="169"/>
      <c r="F196" s="169"/>
      <c r="G196" s="169"/>
      <c r="H196" s="169"/>
    </row>
    <row r="197" spans="1:14" s="33" customFormat="1" ht="32.15" customHeight="1" x14ac:dyDescent="0.35">
      <c r="A197" s="42" t="s">
        <v>156</v>
      </c>
      <c r="B197" s="128" t="s">
        <v>230</v>
      </c>
      <c r="C197" s="129"/>
      <c r="D197" s="129"/>
      <c r="E197" s="129"/>
      <c r="F197" s="129"/>
      <c r="G197" s="129"/>
      <c r="H197" s="130"/>
      <c r="I197" s="33" t="s">
        <v>229</v>
      </c>
    </row>
    <row r="198" spans="1:14" s="33" customFormat="1" x14ac:dyDescent="0.35">
      <c r="A198" s="42" t="s">
        <v>156</v>
      </c>
      <c r="B198" s="128" t="str">
        <f>(IF(F151="Saleable area Loading :","We have considered Saleable area of Flats as per our Calculation.","We considered Saleable area of Flat as per Builder area Sheet."))</f>
        <v>We have considered Saleable area of Flats as per our Calculation.</v>
      </c>
      <c r="C198" s="129"/>
      <c r="D198" s="129"/>
      <c r="E198" s="129"/>
      <c r="F198" s="129"/>
      <c r="G198" s="129"/>
      <c r="H198" s="130"/>
    </row>
    <row r="199" spans="1:14" s="33" customFormat="1" x14ac:dyDescent="0.35">
      <c r="A199" s="42" t="s">
        <v>156</v>
      </c>
      <c r="B199" s="128" t="str">
        <f>(IF(F121="Saleable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9" s="129"/>
      <c r="D199" s="129"/>
      <c r="E199" s="129"/>
      <c r="F199" s="129"/>
      <c r="G199" s="129"/>
      <c r="H199" s="130"/>
    </row>
    <row r="200" spans="1:14" s="33" customFormat="1" x14ac:dyDescent="0.35">
      <c r="A200" s="42" t="s">
        <v>156</v>
      </c>
      <c r="B200" s="57" t="s">
        <v>127</v>
      </c>
      <c r="C200" s="58"/>
      <c r="D200" s="58"/>
      <c r="E200" s="58"/>
      <c r="F200" s="58"/>
      <c r="G200" s="58"/>
      <c r="H200" s="59"/>
    </row>
    <row r="201" spans="1:14" s="33" customFormat="1" x14ac:dyDescent="0.35">
      <c r="A201" s="42" t="s">
        <v>156</v>
      </c>
      <c r="B201" s="57" t="s">
        <v>209</v>
      </c>
      <c r="C201" s="58"/>
      <c r="D201" s="58"/>
      <c r="E201" s="58"/>
      <c r="F201" s="58"/>
      <c r="G201" s="58"/>
      <c r="H201" s="59"/>
    </row>
    <row r="202" spans="1:14" s="33" customFormat="1" x14ac:dyDescent="0.35">
      <c r="A202" s="42" t="s">
        <v>156</v>
      </c>
      <c r="B202" s="57" t="s">
        <v>155</v>
      </c>
      <c r="C202" s="58"/>
      <c r="D202" s="58"/>
      <c r="E202" s="58"/>
      <c r="F202" s="58"/>
      <c r="G202" s="58"/>
      <c r="H202" s="59"/>
    </row>
    <row r="203" spans="1:14" s="33" customFormat="1" x14ac:dyDescent="0.35">
      <c r="A203" s="42" t="s">
        <v>156</v>
      </c>
      <c r="B203" s="57" t="s">
        <v>128</v>
      </c>
      <c r="C203" s="58"/>
      <c r="D203" s="58"/>
      <c r="E203" s="58"/>
      <c r="F203" s="58"/>
      <c r="G203" s="58"/>
      <c r="H203" s="59"/>
    </row>
    <row r="204" spans="1:14" s="33" customFormat="1" ht="32.25" customHeight="1" x14ac:dyDescent="0.35">
      <c r="A204" s="42" t="s">
        <v>156</v>
      </c>
      <c r="B204" s="57" t="s">
        <v>157</v>
      </c>
      <c r="C204" s="58"/>
      <c r="D204" s="58"/>
      <c r="E204" s="58"/>
      <c r="F204" s="58"/>
      <c r="G204" s="58"/>
      <c r="H204" s="59"/>
    </row>
    <row r="205" spans="1:14" s="33" customFormat="1" x14ac:dyDescent="0.35">
      <c r="A205" s="42" t="s">
        <v>156</v>
      </c>
      <c r="B205" s="57" t="s">
        <v>129</v>
      </c>
      <c r="C205" s="58"/>
      <c r="D205" s="58"/>
      <c r="E205" s="58"/>
      <c r="F205" s="58"/>
      <c r="G205" s="58"/>
      <c r="H205" s="59"/>
    </row>
    <row r="206" spans="1:14" s="33" customFormat="1" hidden="1" x14ac:dyDescent="0.35">
      <c r="A206" s="42" t="s">
        <v>156</v>
      </c>
      <c r="B206" s="128" t="s">
        <v>223</v>
      </c>
      <c r="C206" s="129"/>
      <c r="D206" s="129"/>
      <c r="E206" s="129"/>
      <c r="F206" s="129"/>
      <c r="G206" s="129"/>
      <c r="H206" s="130"/>
    </row>
    <row r="207" spans="1:14" s="33" customFormat="1" ht="31.5" customHeight="1" x14ac:dyDescent="0.35">
      <c r="A207" s="42" t="s">
        <v>156</v>
      </c>
      <c r="B207" s="57" t="s">
        <v>228</v>
      </c>
      <c r="C207" s="58"/>
      <c r="D207" s="58"/>
      <c r="E207" s="58"/>
      <c r="F207" s="58"/>
      <c r="G207" s="58"/>
      <c r="H207" s="59"/>
    </row>
    <row r="208" spans="1:14" x14ac:dyDescent="0.35">
      <c r="A208" s="92" t="s">
        <v>64</v>
      </c>
      <c r="B208" s="92"/>
      <c r="C208" s="92"/>
      <c r="D208" s="92"/>
      <c r="E208" s="92"/>
      <c r="F208" s="92"/>
      <c r="G208" s="92"/>
      <c r="H208" s="92"/>
    </row>
    <row r="209" spans="1:8" x14ac:dyDescent="0.35">
      <c r="A209" s="86" t="s">
        <v>65</v>
      </c>
      <c r="B209" s="86"/>
      <c r="C209" s="86"/>
      <c r="D209" s="86"/>
      <c r="E209" s="86"/>
      <c r="F209" s="86"/>
      <c r="G209" s="86"/>
      <c r="H209" s="86"/>
    </row>
    <row r="210" spans="1:8" ht="15.75" customHeight="1" x14ac:dyDescent="0.35">
      <c r="A210" s="103" t="s">
        <v>66</v>
      </c>
      <c r="B210" s="103"/>
      <c r="C210" s="103"/>
      <c r="D210" s="103"/>
      <c r="E210" s="103"/>
      <c r="F210" s="103"/>
      <c r="G210" s="103"/>
      <c r="H210" s="103"/>
    </row>
    <row r="211" spans="1:8" x14ac:dyDescent="0.35">
      <c r="A211" s="86" t="s">
        <v>67</v>
      </c>
      <c r="B211" s="86"/>
      <c r="C211" s="86"/>
      <c r="D211" s="86"/>
      <c r="E211" s="86"/>
      <c r="F211" s="86"/>
      <c r="G211" s="86"/>
      <c r="H211" s="86"/>
    </row>
    <row r="212" spans="1:8" x14ac:dyDescent="0.35">
      <c r="A212" s="86" t="s">
        <v>68</v>
      </c>
      <c r="B212" s="86"/>
      <c r="C212" s="86"/>
      <c r="D212" s="86"/>
      <c r="E212" s="86"/>
      <c r="F212" s="86"/>
      <c r="G212" s="86"/>
      <c r="H212" s="86"/>
    </row>
    <row r="213" spans="1:8" x14ac:dyDescent="0.35">
      <c r="A213" s="86" t="s">
        <v>130</v>
      </c>
      <c r="B213" s="86"/>
      <c r="C213" s="86"/>
      <c r="D213" s="86"/>
      <c r="E213" s="86"/>
      <c r="F213" s="86"/>
      <c r="G213" s="86"/>
      <c r="H213" s="86"/>
    </row>
    <row r="214" spans="1:8" x14ac:dyDescent="0.35">
      <c r="A214" s="93" t="s">
        <v>131</v>
      </c>
      <c r="B214" s="93"/>
      <c r="C214" s="93"/>
      <c r="D214" s="93"/>
      <c r="E214" s="93"/>
      <c r="F214" s="93"/>
      <c r="G214" s="93"/>
      <c r="H214" s="93"/>
    </row>
    <row r="215" spans="1:8" x14ac:dyDescent="0.35">
      <c r="A215" s="124" t="s">
        <v>80</v>
      </c>
      <c r="B215" s="124"/>
      <c r="C215" s="124" t="s">
        <v>233</v>
      </c>
      <c r="D215" s="124"/>
      <c r="E215" s="124" t="s">
        <v>109</v>
      </c>
      <c r="F215" s="124"/>
      <c r="G215" s="124" t="s">
        <v>232</v>
      </c>
      <c r="H215" s="124"/>
    </row>
    <row r="216" spans="1:8" x14ac:dyDescent="0.35">
      <c r="A216" s="123" t="s">
        <v>82</v>
      </c>
      <c r="B216" s="123"/>
      <c r="C216" s="123"/>
      <c r="D216" s="123"/>
      <c r="E216" s="123"/>
      <c r="F216" s="123"/>
      <c r="G216" s="123"/>
      <c r="H216" s="123"/>
    </row>
    <row r="217" spans="1:8" x14ac:dyDescent="0.35">
      <c r="A217" s="123"/>
      <c r="B217" s="123"/>
      <c r="C217" s="123"/>
      <c r="D217" s="123"/>
      <c r="E217" s="123"/>
      <c r="F217" s="123"/>
      <c r="G217" s="123"/>
      <c r="H217" s="123"/>
    </row>
    <row r="218" spans="1:8" x14ac:dyDescent="0.35">
      <c r="A218" s="123"/>
      <c r="B218" s="123"/>
      <c r="C218" s="123"/>
      <c r="D218" s="123"/>
      <c r="E218" s="123"/>
      <c r="F218" s="123"/>
      <c r="G218" s="123"/>
      <c r="H218" s="123"/>
    </row>
    <row r="219" spans="1:8" x14ac:dyDescent="0.35">
      <c r="A219" s="123"/>
      <c r="B219" s="123"/>
      <c r="C219" s="123"/>
      <c r="D219" s="123"/>
      <c r="E219" s="123"/>
      <c r="F219" s="123"/>
      <c r="G219" s="123"/>
      <c r="H219" s="123"/>
    </row>
    <row r="220" spans="1:8" x14ac:dyDescent="0.35">
      <c r="A220" s="36" t="s">
        <v>69</v>
      </c>
      <c r="B220" s="37"/>
      <c r="C220" s="37"/>
      <c r="D220" s="36" t="str">
        <f>E8</f>
        <v>Pawan Atharva Phase I</v>
      </c>
      <c r="F220" s="37"/>
      <c r="G220" s="37"/>
      <c r="H220" s="37"/>
    </row>
    <row r="221" spans="1:8" x14ac:dyDescent="0.35">
      <c r="A221" s="37"/>
      <c r="B221" s="37"/>
      <c r="C221" s="37"/>
      <c r="D221" s="37"/>
      <c r="E221" s="37"/>
      <c r="F221" s="37"/>
      <c r="G221" s="37"/>
      <c r="H221" s="37"/>
    </row>
    <row r="222" spans="1:8" x14ac:dyDescent="0.35">
      <c r="A222" s="37"/>
      <c r="B222" s="37"/>
      <c r="C222" s="37"/>
      <c r="D222" s="37"/>
      <c r="E222" s="37"/>
      <c r="F222" s="37"/>
      <c r="G222" s="37"/>
      <c r="H222" s="37"/>
    </row>
    <row r="223" spans="1:8" ht="15" customHeight="1" x14ac:dyDescent="0.35"/>
    <row r="262" spans="1:1" x14ac:dyDescent="0.35">
      <c r="A262" s="39" t="s">
        <v>70</v>
      </c>
    </row>
  </sheetData>
  <mergeCells count="393">
    <mergeCell ref="I10:L10"/>
    <mergeCell ref="G166:H169"/>
    <mergeCell ref="G173:H177"/>
    <mergeCell ref="G179:H183"/>
    <mergeCell ref="G185:H189"/>
    <mergeCell ref="G191:H195"/>
    <mergeCell ref="A81:B81"/>
    <mergeCell ref="C81:H81"/>
    <mergeCell ref="A83:B83"/>
    <mergeCell ref="C83:H83"/>
    <mergeCell ref="A84:B84"/>
    <mergeCell ref="E84:F84"/>
    <mergeCell ref="G84:H84"/>
    <mergeCell ref="A85:B85"/>
    <mergeCell ref="E85:F94"/>
    <mergeCell ref="G85:H94"/>
    <mergeCell ref="A86:B86"/>
    <mergeCell ref="A87:B87"/>
    <mergeCell ref="A88:B88"/>
    <mergeCell ref="A89:B89"/>
    <mergeCell ref="A90:B90"/>
    <mergeCell ref="A91:B91"/>
    <mergeCell ref="A92:B92"/>
    <mergeCell ref="A94:B94"/>
    <mergeCell ref="L139:M139"/>
    <mergeCell ref="A140:B140"/>
    <mergeCell ref="L140:M140"/>
    <mergeCell ref="A61:C61"/>
    <mergeCell ref="D60:H60"/>
    <mergeCell ref="E71:F80"/>
    <mergeCell ref="G71:H80"/>
    <mergeCell ref="A79:B79"/>
    <mergeCell ref="A80:B80"/>
    <mergeCell ref="D61:H61"/>
    <mergeCell ref="D64:H64"/>
    <mergeCell ref="A65:C65"/>
    <mergeCell ref="D65:H65"/>
    <mergeCell ref="A71:B71"/>
    <mergeCell ref="G70:H70"/>
    <mergeCell ref="A78:B78"/>
    <mergeCell ref="L128:M128"/>
    <mergeCell ref="L127:M127"/>
    <mergeCell ref="L126:M126"/>
    <mergeCell ref="L125:M125"/>
    <mergeCell ref="C113:D113"/>
    <mergeCell ref="E113:F113"/>
    <mergeCell ref="G113:H113"/>
    <mergeCell ref="A112:B112"/>
    <mergeCell ref="A93:B93"/>
    <mergeCell ref="A95:E95"/>
    <mergeCell ref="F102:H102"/>
    <mergeCell ref="A96:E96"/>
    <mergeCell ref="A124:H124"/>
    <mergeCell ref="E121:E122"/>
    <mergeCell ref="B121:B122"/>
    <mergeCell ref="A113:B113"/>
    <mergeCell ref="A121:A122"/>
    <mergeCell ref="A102:E102"/>
    <mergeCell ref="A104:E104"/>
    <mergeCell ref="C112:D112"/>
    <mergeCell ref="E112:F112"/>
    <mergeCell ref="A130:B130"/>
    <mergeCell ref="G125:H136"/>
    <mergeCell ref="C116:D116"/>
    <mergeCell ref="E116:F116"/>
    <mergeCell ref="G116:H116"/>
    <mergeCell ref="A128:B128"/>
    <mergeCell ref="A100:E100"/>
    <mergeCell ref="C121:C122"/>
    <mergeCell ref="E110:F110"/>
    <mergeCell ref="A110:B110"/>
    <mergeCell ref="A106:E106"/>
    <mergeCell ref="C115:D115"/>
    <mergeCell ref="G115:H115"/>
    <mergeCell ref="A129:B129"/>
    <mergeCell ref="A166:B166"/>
    <mergeCell ref="A167:B167"/>
    <mergeCell ref="A168:B168"/>
    <mergeCell ref="A196:H196"/>
    <mergeCell ref="B202:H202"/>
    <mergeCell ref="F97:H97"/>
    <mergeCell ref="A97:E97"/>
    <mergeCell ref="D121:D122"/>
    <mergeCell ref="A99:E99"/>
    <mergeCell ref="A125:B125"/>
    <mergeCell ref="A126:B126"/>
    <mergeCell ref="A127:B127"/>
    <mergeCell ref="F99:H99"/>
    <mergeCell ref="F105:H105"/>
    <mergeCell ref="A133:B133"/>
    <mergeCell ref="A169:B169"/>
    <mergeCell ref="B197:H197"/>
    <mergeCell ref="B198:H198"/>
    <mergeCell ref="B200:H200"/>
    <mergeCell ref="B201:H201"/>
    <mergeCell ref="A98:E98"/>
    <mergeCell ref="A101:E101"/>
    <mergeCell ref="F101:H101"/>
    <mergeCell ref="D59:H59"/>
    <mergeCell ref="A58:C59"/>
    <mergeCell ref="A50:B51"/>
    <mergeCell ref="G50:H50"/>
    <mergeCell ref="D55:H55"/>
    <mergeCell ref="B204:H204"/>
    <mergeCell ref="L129:M129"/>
    <mergeCell ref="L130:M130"/>
    <mergeCell ref="A131:B131"/>
    <mergeCell ref="L131:M131"/>
    <mergeCell ref="A132:B132"/>
    <mergeCell ref="L132:M132"/>
    <mergeCell ref="G156:H159"/>
    <mergeCell ref="L133:M133"/>
    <mergeCell ref="A134:B134"/>
    <mergeCell ref="L134:M134"/>
    <mergeCell ref="A135:B135"/>
    <mergeCell ref="L135:M135"/>
    <mergeCell ref="A159:B159"/>
    <mergeCell ref="A136:B136"/>
    <mergeCell ref="L136:M136"/>
    <mergeCell ref="B199:H199"/>
    <mergeCell ref="A165:H165"/>
    <mergeCell ref="C151:C152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A64:C64"/>
    <mergeCell ref="F32:H32"/>
    <mergeCell ref="F33:H33"/>
    <mergeCell ref="G42:H42"/>
    <mergeCell ref="A119:H119"/>
    <mergeCell ref="A120:H120"/>
    <mergeCell ref="A38:B38"/>
    <mergeCell ref="C38:H38"/>
    <mergeCell ref="F98:H98"/>
    <mergeCell ref="A103:E103"/>
    <mergeCell ref="F35:H35"/>
    <mergeCell ref="A37:B37"/>
    <mergeCell ref="E37:F37"/>
    <mergeCell ref="C37:D37"/>
    <mergeCell ref="G37:H37"/>
    <mergeCell ref="A44:D44"/>
    <mergeCell ref="A45:D45"/>
    <mergeCell ref="A46:H46"/>
    <mergeCell ref="D57:H57"/>
    <mergeCell ref="A57:C57"/>
    <mergeCell ref="G49:H49"/>
    <mergeCell ref="A43:D43"/>
    <mergeCell ref="A77:B77"/>
    <mergeCell ref="A70:B70"/>
    <mergeCell ref="A73:B73"/>
    <mergeCell ref="E39:F39"/>
    <mergeCell ref="G39:H39"/>
    <mergeCell ref="A39:D39"/>
    <mergeCell ref="E41:F41"/>
    <mergeCell ref="G41:H41"/>
    <mergeCell ref="E42:F42"/>
    <mergeCell ref="C52:E52"/>
    <mergeCell ref="A36:H36"/>
    <mergeCell ref="A35:B35"/>
    <mergeCell ref="C35:E35"/>
    <mergeCell ref="A40:D40"/>
    <mergeCell ref="A47:B47"/>
    <mergeCell ref="C47:H47"/>
    <mergeCell ref="C50:E5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16:B16"/>
    <mergeCell ref="C16:H16"/>
    <mergeCell ref="A208:H208"/>
    <mergeCell ref="A209:H209"/>
    <mergeCell ref="E115:F115"/>
    <mergeCell ref="B205:H205"/>
    <mergeCell ref="B206:H206"/>
    <mergeCell ref="B203:H20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38:H138"/>
    <mergeCell ref="A139:B139"/>
    <mergeCell ref="A172:H172"/>
    <mergeCell ref="A173:B173"/>
    <mergeCell ref="G121:H122"/>
    <mergeCell ref="F95:H95"/>
    <mergeCell ref="F100:H100"/>
    <mergeCell ref="F103:H103"/>
    <mergeCell ref="A216:H219"/>
    <mergeCell ref="A215:B215"/>
    <mergeCell ref="E215:F215"/>
    <mergeCell ref="C215:D215"/>
    <mergeCell ref="G215:H215"/>
    <mergeCell ref="A109:H109"/>
    <mergeCell ref="A107:E107"/>
    <mergeCell ref="F107:H107"/>
    <mergeCell ref="A108:E108"/>
    <mergeCell ref="F108:H108"/>
    <mergeCell ref="A116:B116"/>
    <mergeCell ref="A111:B111"/>
    <mergeCell ref="A211:H211"/>
    <mergeCell ref="A114:H114"/>
    <mergeCell ref="A214:H214"/>
    <mergeCell ref="A212:H212"/>
    <mergeCell ref="L165:M165"/>
    <mergeCell ref="L141:M141"/>
    <mergeCell ref="A142:B142"/>
    <mergeCell ref="L142:M142"/>
    <mergeCell ref="A143:B143"/>
    <mergeCell ref="L143:M143"/>
    <mergeCell ref="L147:M147"/>
    <mergeCell ref="A148:B148"/>
    <mergeCell ref="L148:M148"/>
    <mergeCell ref="A149:B149"/>
    <mergeCell ref="L149:M149"/>
    <mergeCell ref="L144:M144"/>
    <mergeCell ref="L145:M145"/>
    <mergeCell ref="L146:M146"/>
    <mergeCell ref="A147:B147"/>
    <mergeCell ref="B151:B152"/>
    <mergeCell ref="A153:H153"/>
    <mergeCell ref="A150:H150"/>
    <mergeCell ref="A151:A152"/>
    <mergeCell ref="A155:H155"/>
    <mergeCell ref="A156:B156"/>
    <mergeCell ref="A157:B157"/>
    <mergeCell ref="A158:B158"/>
    <mergeCell ref="G161:H164"/>
    <mergeCell ref="A213:H213"/>
    <mergeCell ref="A210:H210"/>
    <mergeCell ref="A115:B115"/>
    <mergeCell ref="D151:D152"/>
    <mergeCell ref="E151:E152"/>
    <mergeCell ref="G151:H152"/>
    <mergeCell ref="A76:B76"/>
    <mergeCell ref="F96:H96"/>
    <mergeCell ref="G111:H111"/>
    <mergeCell ref="A160:H160"/>
    <mergeCell ref="A161:B161"/>
    <mergeCell ref="A162:B162"/>
    <mergeCell ref="A163:B163"/>
    <mergeCell ref="A164:B164"/>
    <mergeCell ref="A141:B141"/>
    <mergeCell ref="A144:B144"/>
    <mergeCell ref="A145:B145"/>
    <mergeCell ref="A146:B146"/>
    <mergeCell ref="G139:H149"/>
    <mergeCell ref="E118:F118"/>
    <mergeCell ref="G118:H118"/>
    <mergeCell ref="C110:D110"/>
    <mergeCell ref="F106:H106"/>
    <mergeCell ref="F104:H104"/>
    <mergeCell ref="L184:M184"/>
    <mergeCell ref="A185:B185"/>
    <mergeCell ref="A186:B186"/>
    <mergeCell ref="A177:B177"/>
    <mergeCell ref="A178:H178"/>
    <mergeCell ref="A179:B179"/>
    <mergeCell ref="A180:B180"/>
    <mergeCell ref="A181:B181"/>
    <mergeCell ref="A195:B195"/>
    <mergeCell ref="A187:B187"/>
    <mergeCell ref="A188:B188"/>
    <mergeCell ref="A190:H190"/>
    <mergeCell ref="L190:M190"/>
    <mergeCell ref="A191:B191"/>
    <mergeCell ref="A192:B192"/>
    <mergeCell ref="A193:B193"/>
    <mergeCell ref="A194:B194"/>
    <mergeCell ref="A189:B189"/>
    <mergeCell ref="C186:F186"/>
    <mergeCell ref="A182:B182"/>
    <mergeCell ref="A183:B183"/>
    <mergeCell ref="A184:H184"/>
    <mergeCell ref="G112:H112"/>
    <mergeCell ref="A41:D41"/>
    <mergeCell ref="A48:B48"/>
    <mergeCell ref="C48:E48"/>
    <mergeCell ref="G48:H48"/>
    <mergeCell ref="C49:E49"/>
    <mergeCell ref="C51:H51"/>
    <mergeCell ref="G110:H110"/>
    <mergeCell ref="A105:E105"/>
    <mergeCell ref="C111:D111"/>
    <mergeCell ref="E111:F111"/>
    <mergeCell ref="A54:H54"/>
    <mergeCell ref="A55:C55"/>
    <mergeCell ref="A56:C56"/>
    <mergeCell ref="D56:H56"/>
    <mergeCell ref="A60:C60"/>
    <mergeCell ref="D58:H58"/>
    <mergeCell ref="A49:B49"/>
    <mergeCell ref="A42:D42"/>
    <mergeCell ref="E45:H45"/>
    <mergeCell ref="A69:B69"/>
    <mergeCell ref="A67:B67"/>
    <mergeCell ref="C67:H67"/>
    <mergeCell ref="A75:B75"/>
    <mergeCell ref="B207:H207"/>
    <mergeCell ref="E43:F43"/>
    <mergeCell ref="G43:H43"/>
    <mergeCell ref="E44:F44"/>
    <mergeCell ref="G44:H44"/>
    <mergeCell ref="A154:H154"/>
    <mergeCell ref="A171:H171"/>
    <mergeCell ref="E40:F40"/>
    <mergeCell ref="G40:H40"/>
    <mergeCell ref="A117:B117"/>
    <mergeCell ref="C117:D117"/>
    <mergeCell ref="E117:F117"/>
    <mergeCell ref="G117:H117"/>
    <mergeCell ref="A118:B118"/>
    <mergeCell ref="C118:D118"/>
    <mergeCell ref="A174:B174"/>
    <mergeCell ref="A175:B175"/>
    <mergeCell ref="A176:B176"/>
    <mergeCell ref="G52:H52"/>
    <mergeCell ref="A52:B53"/>
    <mergeCell ref="C53:H53"/>
    <mergeCell ref="A170:H170"/>
    <mergeCell ref="A123:H123"/>
    <mergeCell ref="A137:H137"/>
  </mergeCells>
  <hyperlinks>
    <hyperlink ref="C38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scale="9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6" max="16383" man="1"/>
    <brk id="219" max="16383" man="1"/>
    <brk id="26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16" zoomScale="85" zoomScaleNormal="85" workbookViewId="0">
      <selection activeCell="B16" sqref="B16"/>
    </sheetView>
  </sheetViews>
  <sheetFormatPr defaultColWidth="8.81640625" defaultRowHeight="14.5" x14ac:dyDescent="0.35"/>
  <cols>
    <col min="1" max="1" width="8.81640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81640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89" t="s">
        <v>110</v>
      </c>
      <c r="C3" s="189"/>
      <c r="D3" s="189"/>
      <c r="E3" s="189"/>
      <c r="F3" s="189"/>
      <c r="G3" s="189"/>
      <c r="H3" s="189"/>
    </row>
    <row r="4" spans="1:9" x14ac:dyDescent="0.35">
      <c r="A4" s="2"/>
      <c r="B4" s="3" t="s">
        <v>111</v>
      </c>
      <c r="C4" s="3" t="s">
        <v>112</v>
      </c>
      <c r="D4" s="3" t="s">
        <v>72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2025-04-14T06:14:30Z</cp:lastPrinted>
  <dcterms:created xsi:type="dcterms:W3CDTF">2019-07-16T09:29:46Z</dcterms:created>
  <dcterms:modified xsi:type="dcterms:W3CDTF">2025-07-09T09:19:51Z</dcterms:modified>
</cp:coreProperties>
</file>