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Dump\July 2025\15-07-2025\"/>
    </mc:Choice>
  </mc:AlternateContent>
  <bookViews>
    <workbookView xWindow="0" yWindow="0" windowWidth="19200" windowHeight="6640" tabRatio="725"/>
  </bookViews>
  <sheets>
    <sheet name="Report" sheetId="1" r:id="rId1"/>
    <sheet name="Flat detail" sheetId="3" r:id="rId2"/>
    <sheet name="valuation" sheetId="5" r:id="rId3"/>
    <sheet name="Note" sheetId="4" r:id="rId4"/>
  </sheets>
  <definedNames>
    <definedName name="_xlnm.Print_Area" localSheetId="0">Report!$A$1:$H$1004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00" i="1" l="1"/>
  <c r="F700" i="1" s="1"/>
  <c r="D697" i="1"/>
  <c r="F697" i="1" s="1"/>
  <c r="D696" i="1"/>
  <c r="F696" i="1"/>
  <c r="D699" i="1"/>
  <c r="F699" i="1" s="1"/>
  <c r="D698" i="1"/>
  <c r="F698" i="1" s="1"/>
  <c r="A697" i="1"/>
  <c r="A698" i="1" s="1"/>
  <c r="A699" i="1" s="1"/>
  <c r="A700" i="1" s="1"/>
  <c r="G696" i="1"/>
  <c r="D736" i="1" l="1"/>
  <c r="D735" i="1"/>
  <c r="D734" i="1"/>
  <c r="D733" i="1"/>
  <c r="D732" i="1"/>
  <c r="D730" i="1"/>
  <c r="D729" i="1"/>
  <c r="D727" i="1"/>
  <c r="D726" i="1"/>
  <c r="D724" i="1"/>
  <c r="D723" i="1"/>
  <c r="D722" i="1"/>
  <c r="D721" i="1"/>
  <c r="D720" i="1"/>
  <c r="D718" i="1"/>
  <c r="D717" i="1"/>
  <c r="D716" i="1"/>
  <c r="D715" i="1"/>
  <c r="D714" i="1"/>
  <c r="D712" i="1"/>
  <c r="D711" i="1"/>
  <c r="D709" i="1"/>
  <c r="D708" i="1"/>
  <c r="D706" i="1"/>
  <c r="D705" i="1"/>
  <c r="E704" i="1"/>
  <c r="D704" i="1"/>
  <c r="D703" i="1"/>
  <c r="D702" i="1"/>
  <c r="E694" i="1"/>
  <c r="D694" i="1"/>
  <c r="D693" i="1"/>
  <c r="D692" i="1"/>
  <c r="E691" i="1"/>
  <c r="D691" i="1"/>
  <c r="E690" i="1"/>
  <c r="D690" i="1"/>
  <c r="E688" i="1"/>
  <c r="D688" i="1"/>
  <c r="E687" i="1"/>
  <c r="D687" i="1"/>
  <c r="E686" i="1"/>
  <c r="D686" i="1"/>
  <c r="E685" i="1"/>
  <c r="D685" i="1"/>
  <c r="E684" i="1"/>
  <c r="D684" i="1"/>
  <c r="I687" i="1"/>
  <c r="I684" i="1"/>
  <c r="E193" i="1" l="1"/>
  <c r="C193" i="1"/>
  <c r="F688" i="1"/>
  <c r="F687" i="1"/>
  <c r="F686" i="1"/>
  <c r="F685" i="1"/>
  <c r="A685" i="1"/>
  <c r="A686" i="1" s="1"/>
  <c r="A687" i="1" s="1"/>
  <c r="A688" i="1" s="1"/>
  <c r="G684" i="1"/>
  <c r="F684" i="1"/>
  <c r="F736" i="1"/>
  <c r="F735" i="1"/>
  <c r="F734" i="1"/>
  <c r="F733" i="1"/>
  <c r="A733" i="1"/>
  <c r="A734" i="1" s="1"/>
  <c r="A735" i="1" s="1"/>
  <c r="A736" i="1" s="1"/>
  <c r="G732" i="1"/>
  <c r="F732" i="1"/>
  <c r="F730" i="1"/>
  <c r="F729" i="1"/>
  <c r="F727" i="1"/>
  <c r="A727" i="1"/>
  <c r="A728" i="1" s="1"/>
  <c r="A729" i="1" s="1"/>
  <c r="A730" i="1" s="1"/>
  <c r="G726" i="1"/>
  <c r="F726" i="1"/>
  <c r="F724" i="1"/>
  <c r="F723" i="1"/>
  <c r="F722" i="1"/>
  <c r="F721" i="1"/>
  <c r="A721" i="1"/>
  <c r="A722" i="1" s="1"/>
  <c r="A723" i="1" s="1"/>
  <c r="A724" i="1" s="1"/>
  <c r="G720" i="1"/>
  <c r="F720" i="1"/>
  <c r="F718" i="1"/>
  <c r="F717" i="1"/>
  <c r="F716" i="1"/>
  <c r="F715" i="1"/>
  <c r="A715" i="1"/>
  <c r="A716" i="1" s="1"/>
  <c r="A717" i="1" s="1"/>
  <c r="A718" i="1" s="1"/>
  <c r="G714" i="1"/>
  <c r="F714" i="1"/>
  <c r="F712" i="1"/>
  <c r="F711" i="1"/>
  <c r="F709" i="1"/>
  <c r="A709" i="1"/>
  <c r="A710" i="1" s="1"/>
  <c r="A711" i="1" s="1"/>
  <c r="A712" i="1" s="1"/>
  <c r="G708" i="1"/>
  <c r="F708" i="1"/>
  <c r="F706" i="1"/>
  <c r="F705" i="1"/>
  <c r="F704" i="1"/>
  <c r="F703" i="1"/>
  <c r="A703" i="1"/>
  <c r="A704" i="1" s="1"/>
  <c r="A705" i="1" s="1"/>
  <c r="A706" i="1" s="1"/>
  <c r="G702" i="1"/>
  <c r="F702" i="1"/>
  <c r="F691" i="1"/>
  <c r="F690" i="1"/>
  <c r="F694" i="1"/>
  <c r="F693" i="1"/>
  <c r="F692" i="1"/>
  <c r="A691" i="1"/>
  <c r="A692" i="1" s="1"/>
  <c r="A693" i="1" s="1"/>
  <c r="A694" i="1" s="1"/>
  <c r="G690" i="1"/>
  <c r="C132" i="1"/>
  <c r="K143" i="1"/>
  <c r="K142" i="1"/>
  <c r="K141" i="1"/>
  <c r="K140" i="1"/>
  <c r="D61" i="1"/>
  <c r="H133" i="1"/>
  <c r="G193" i="1" l="1"/>
  <c r="D144" i="1"/>
  <c r="D140" i="1"/>
  <c r="K136" i="1"/>
  <c r="D143" i="1"/>
  <c r="D139" i="1"/>
  <c r="K138" i="1"/>
  <c r="K139" i="1" s="1"/>
  <c r="K144" i="1" s="1"/>
  <c r="K145" i="1" s="1"/>
  <c r="D142" i="1"/>
  <c r="D138" i="1"/>
  <c r="K137" i="1"/>
  <c r="C136" i="1" s="1"/>
  <c r="K135" i="1"/>
  <c r="D145" i="1"/>
  <c r="D141" i="1"/>
  <c r="C137" i="1" l="1"/>
  <c r="D137" i="1" s="1"/>
  <c r="D136" i="1"/>
  <c r="D741" i="1"/>
  <c r="D752" i="1"/>
  <c r="D763" i="1"/>
  <c r="D774" i="1"/>
  <c r="D785" i="1"/>
  <c r="D796" i="1"/>
  <c r="D845" i="1"/>
  <c r="F845" i="1" s="1"/>
  <c r="D844" i="1"/>
  <c r="F844" i="1" s="1"/>
  <c r="D843" i="1"/>
  <c r="F843" i="1" s="1"/>
  <c r="A841" i="1"/>
  <c r="A842" i="1" s="1"/>
  <c r="A843" i="1" s="1"/>
  <c r="A844" i="1" s="1"/>
  <c r="A845" i="1" s="1"/>
  <c r="A846" i="1" s="1"/>
  <c r="A847" i="1" s="1"/>
  <c r="A848" i="1" s="1"/>
  <c r="A849" i="1" s="1"/>
  <c r="G840" i="1"/>
  <c r="D840" i="1"/>
  <c r="F840" i="1" s="1"/>
  <c r="D837" i="1"/>
  <c r="F837" i="1" s="1"/>
  <c r="D831" i="1"/>
  <c r="F831" i="1" s="1"/>
  <c r="D830" i="1"/>
  <c r="F830" i="1" s="1"/>
  <c r="D807" i="1"/>
  <c r="F807" i="1" s="1"/>
  <c r="D818" i="1"/>
  <c r="F818" i="1" s="1"/>
  <c r="D829" i="1"/>
  <c r="F829" i="1" s="1"/>
  <c r="D838" i="1"/>
  <c r="F838" i="1" s="1"/>
  <c r="D836" i="1"/>
  <c r="F836" i="1" s="1"/>
  <c r="D835" i="1"/>
  <c r="F835" i="1" s="1"/>
  <c r="D834" i="1"/>
  <c r="F834" i="1" s="1"/>
  <c r="D832" i="1"/>
  <c r="F832" i="1" s="1"/>
  <c r="A830" i="1"/>
  <c r="A831" i="1" s="1"/>
  <c r="A832" i="1" s="1"/>
  <c r="A833" i="1" s="1"/>
  <c r="A834" i="1" s="1"/>
  <c r="A835" i="1" s="1"/>
  <c r="A836" i="1" s="1"/>
  <c r="A837" i="1" s="1"/>
  <c r="A838" i="1" s="1"/>
  <c r="G829" i="1"/>
  <c r="D816" i="1"/>
  <c r="F816" i="1" s="1"/>
  <c r="D827" i="1"/>
  <c r="F827" i="1" s="1"/>
  <c r="D826" i="1"/>
  <c r="F826" i="1" s="1"/>
  <c r="D819" i="1"/>
  <c r="F819" i="1" s="1"/>
  <c r="D825" i="1"/>
  <c r="F825" i="1" s="1"/>
  <c r="D824" i="1"/>
  <c r="F824" i="1" s="1"/>
  <c r="D823" i="1"/>
  <c r="F823" i="1" s="1"/>
  <c r="D822" i="1"/>
  <c r="F822" i="1" s="1"/>
  <c r="D821" i="1"/>
  <c r="F821" i="1" s="1"/>
  <c r="D820" i="1"/>
  <c r="F820" i="1" s="1"/>
  <c r="A819" i="1"/>
  <c r="A820" i="1" s="1"/>
  <c r="A821" i="1" s="1"/>
  <c r="A822" i="1" s="1"/>
  <c r="A823" i="1" s="1"/>
  <c r="A824" i="1" s="1"/>
  <c r="A825" i="1" s="1"/>
  <c r="A826" i="1" s="1"/>
  <c r="A827" i="1" s="1"/>
  <c r="G818" i="1"/>
  <c r="D815" i="1"/>
  <c r="F815" i="1" s="1"/>
  <c r="D814" i="1"/>
  <c r="F814" i="1" s="1"/>
  <c r="D813" i="1"/>
  <c r="F813" i="1" s="1"/>
  <c r="D812" i="1"/>
  <c r="F812" i="1" s="1"/>
  <c r="D810" i="1"/>
  <c r="F810" i="1" s="1"/>
  <c r="D809" i="1"/>
  <c r="F809" i="1" s="1"/>
  <c r="D808" i="1"/>
  <c r="F808" i="1" s="1"/>
  <c r="A808" i="1"/>
  <c r="A809" i="1" s="1"/>
  <c r="A810" i="1" s="1"/>
  <c r="A811" i="1" s="1"/>
  <c r="A812" i="1" s="1"/>
  <c r="A813" i="1" s="1"/>
  <c r="A814" i="1" s="1"/>
  <c r="A815" i="1" s="1"/>
  <c r="A816" i="1" s="1"/>
  <c r="G807" i="1"/>
  <c r="I132" i="1" l="1"/>
  <c r="C134" i="1" s="1"/>
  <c r="E136" i="1" s="1"/>
  <c r="G136" i="1"/>
  <c r="C146" i="1"/>
  <c r="K157" i="1"/>
  <c r="K156" i="1"/>
  <c r="K155" i="1"/>
  <c r="K154" i="1"/>
  <c r="D780" i="1"/>
  <c r="F780" i="1" s="1"/>
  <c r="D779" i="1"/>
  <c r="F779" i="1" s="1"/>
  <c r="D777" i="1"/>
  <c r="F777" i="1" s="1"/>
  <c r="D790" i="1"/>
  <c r="F790" i="1" s="1"/>
  <c r="D791" i="1"/>
  <c r="F791" i="1" s="1"/>
  <c r="D788" i="1"/>
  <c r="F788" i="1" s="1"/>
  <c r="D789" i="1"/>
  <c r="F789" i="1" s="1"/>
  <c r="D804" i="1"/>
  <c r="F804" i="1" s="1"/>
  <c r="D803" i="1"/>
  <c r="F803" i="1" s="1"/>
  <c r="D800" i="1"/>
  <c r="F800" i="1" s="1"/>
  <c r="D801" i="1"/>
  <c r="F801" i="1" s="1"/>
  <c r="D802" i="1"/>
  <c r="F802" i="1" s="1"/>
  <c r="D799" i="1"/>
  <c r="F799" i="1" s="1"/>
  <c r="D787" i="1"/>
  <c r="F787" i="1" s="1"/>
  <c r="D798" i="1"/>
  <c r="F798" i="1" s="1"/>
  <c r="D805" i="1"/>
  <c r="F805" i="1" s="1"/>
  <c r="D797" i="1"/>
  <c r="F797" i="1" s="1"/>
  <c r="A797" i="1"/>
  <c r="A798" i="1" s="1"/>
  <c r="A799" i="1" s="1"/>
  <c r="A800" i="1" s="1"/>
  <c r="A801" i="1" s="1"/>
  <c r="A802" i="1" s="1"/>
  <c r="A803" i="1" s="1"/>
  <c r="A804" i="1" s="1"/>
  <c r="A805" i="1" s="1"/>
  <c r="G796" i="1"/>
  <c r="F796" i="1"/>
  <c r="D794" i="1"/>
  <c r="F794" i="1" s="1"/>
  <c r="D793" i="1"/>
  <c r="F793" i="1" s="1"/>
  <c r="D792" i="1"/>
  <c r="F792" i="1" s="1"/>
  <c r="D786" i="1"/>
  <c r="F786" i="1" s="1"/>
  <c r="A786" i="1"/>
  <c r="A787" i="1" s="1"/>
  <c r="A788" i="1" s="1"/>
  <c r="A789" i="1" s="1"/>
  <c r="A790" i="1" s="1"/>
  <c r="A791" i="1" s="1"/>
  <c r="A792" i="1" s="1"/>
  <c r="A793" i="1" s="1"/>
  <c r="A794" i="1" s="1"/>
  <c r="G785" i="1"/>
  <c r="F785" i="1"/>
  <c r="D783" i="1"/>
  <c r="F783" i="1" s="1"/>
  <c r="D782" i="1"/>
  <c r="F782" i="1" s="1"/>
  <c r="D781" i="1"/>
  <c r="F781" i="1" s="1"/>
  <c r="D776" i="1"/>
  <c r="F776" i="1" s="1"/>
  <c r="D775" i="1"/>
  <c r="F775" i="1" s="1"/>
  <c r="A775" i="1"/>
  <c r="A776" i="1" s="1"/>
  <c r="A777" i="1" s="1"/>
  <c r="A778" i="1" s="1"/>
  <c r="A779" i="1" s="1"/>
  <c r="A780" i="1" s="1"/>
  <c r="A781" i="1" s="1"/>
  <c r="A782" i="1" s="1"/>
  <c r="A783" i="1" s="1"/>
  <c r="G774" i="1"/>
  <c r="F774" i="1"/>
  <c r="D772" i="1"/>
  <c r="F772" i="1" s="1"/>
  <c r="D771" i="1"/>
  <c r="F771" i="1" s="1"/>
  <c r="D770" i="1"/>
  <c r="F770" i="1" s="1"/>
  <c r="D769" i="1"/>
  <c r="F769" i="1" s="1"/>
  <c r="D768" i="1"/>
  <c r="F768" i="1" s="1"/>
  <c r="D766" i="1"/>
  <c r="F766" i="1" s="1"/>
  <c r="D765" i="1"/>
  <c r="F765" i="1" s="1"/>
  <c r="D764" i="1"/>
  <c r="F764" i="1" s="1"/>
  <c r="A764" i="1"/>
  <c r="A765" i="1" s="1"/>
  <c r="A766" i="1" s="1"/>
  <c r="A767" i="1" s="1"/>
  <c r="A768" i="1" s="1"/>
  <c r="A769" i="1" s="1"/>
  <c r="A770" i="1" s="1"/>
  <c r="A771" i="1" s="1"/>
  <c r="A772" i="1" s="1"/>
  <c r="G763" i="1"/>
  <c r="F763" i="1"/>
  <c r="D759" i="1"/>
  <c r="F759" i="1" s="1"/>
  <c r="D758" i="1"/>
  <c r="F758" i="1" s="1"/>
  <c r="D757" i="1"/>
  <c r="F757" i="1" s="1"/>
  <c r="D756" i="1"/>
  <c r="F756" i="1" s="1"/>
  <c r="D755" i="1"/>
  <c r="F755" i="1" s="1"/>
  <c r="F752" i="1"/>
  <c r="D761" i="1"/>
  <c r="F761" i="1" s="1"/>
  <c r="D760" i="1"/>
  <c r="F760" i="1" s="1"/>
  <c r="D754" i="1"/>
  <c r="F754" i="1" s="1"/>
  <c r="D753" i="1"/>
  <c r="F753" i="1" s="1"/>
  <c r="A753" i="1"/>
  <c r="A754" i="1" s="1"/>
  <c r="A755" i="1" s="1"/>
  <c r="A756" i="1" s="1"/>
  <c r="A757" i="1" s="1"/>
  <c r="A758" i="1" s="1"/>
  <c r="A759" i="1" s="1"/>
  <c r="A760" i="1" s="1"/>
  <c r="A761" i="1" s="1"/>
  <c r="G752" i="1"/>
  <c r="D748" i="1"/>
  <c r="F748" i="1" s="1"/>
  <c r="D743" i="1"/>
  <c r="F743" i="1" s="1"/>
  <c r="D750" i="1"/>
  <c r="F750" i="1" s="1"/>
  <c r="D749" i="1"/>
  <c r="F749" i="1" s="1"/>
  <c r="D747" i="1"/>
  <c r="F747" i="1" s="1"/>
  <c r="D746" i="1"/>
  <c r="F746" i="1" s="1"/>
  <c r="D745" i="1"/>
  <c r="F745" i="1" s="1"/>
  <c r="D744" i="1"/>
  <c r="F744" i="1" s="1"/>
  <c r="D742" i="1"/>
  <c r="F742" i="1" s="1"/>
  <c r="A742" i="1"/>
  <c r="A743" i="1" s="1"/>
  <c r="A744" i="1" s="1"/>
  <c r="A745" i="1" s="1"/>
  <c r="A746" i="1" s="1"/>
  <c r="A747" i="1" s="1"/>
  <c r="A748" i="1" s="1"/>
  <c r="A749" i="1" s="1"/>
  <c r="A750" i="1" s="1"/>
  <c r="G741" i="1"/>
  <c r="F741" i="1"/>
  <c r="C194" i="1" l="1"/>
  <c r="E194" i="1"/>
  <c r="G194" i="1"/>
  <c r="D578" i="1" l="1"/>
  <c r="D577" i="1"/>
  <c r="D576" i="1"/>
  <c r="D575" i="1"/>
  <c r="D574" i="1"/>
  <c r="D573" i="1"/>
  <c r="D580" i="1"/>
  <c r="D679" i="1"/>
  <c r="F679" i="1" s="1"/>
  <c r="D678" i="1"/>
  <c r="F678" i="1" s="1"/>
  <c r="D677" i="1"/>
  <c r="F677" i="1" s="1"/>
  <c r="D676" i="1"/>
  <c r="F676" i="1" s="1"/>
  <c r="D675" i="1"/>
  <c r="F675" i="1" s="1"/>
  <c r="D674" i="1"/>
  <c r="F674" i="1" s="1"/>
  <c r="D673" i="1"/>
  <c r="F673" i="1" s="1"/>
  <c r="D672" i="1"/>
  <c r="F672" i="1" s="1"/>
  <c r="D671" i="1"/>
  <c r="F671" i="1" s="1"/>
  <c r="A671" i="1"/>
  <c r="A672" i="1" s="1"/>
  <c r="A673" i="1" s="1"/>
  <c r="A674" i="1" s="1"/>
  <c r="A675" i="1" s="1"/>
  <c r="A676" i="1" s="1"/>
  <c r="A677" i="1" s="1"/>
  <c r="A678" i="1" s="1"/>
  <c r="A679" i="1" s="1"/>
  <c r="G670" i="1"/>
  <c r="D670" i="1"/>
  <c r="F670" i="1" s="1"/>
  <c r="D668" i="1"/>
  <c r="F668" i="1" s="1"/>
  <c r="D667" i="1"/>
  <c r="F667" i="1" s="1"/>
  <c r="D666" i="1"/>
  <c r="F666" i="1" s="1"/>
  <c r="D665" i="1"/>
  <c r="F665" i="1" s="1"/>
  <c r="D663" i="1"/>
  <c r="F663" i="1" s="1"/>
  <c r="D662" i="1"/>
  <c r="F662" i="1" s="1"/>
  <c r="D661" i="1"/>
  <c r="F661" i="1" s="1"/>
  <c r="D660" i="1"/>
  <c r="F660" i="1" s="1"/>
  <c r="A660" i="1"/>
  <c r="A661" i="1" s="1"/>
  <c r="A662" i="1" s="1"/>
  <c r="A663" i="1" s="1"/>
  <c r="A664" i="1" s="1"/>
  <c r="A665" i="1" s="1"/>
  <c r="A666" i="1" s="1"/>
  <c r="A667" i="1" s="1"/>
  <c r="A668" i="1" s="1"/>
  <c r="G659" i="1"/>
  <c r="D659" i="1"/>
  <c r="F659" i="1" s="1"/>
  <c r="D648" i="1"/>
  <c r="F648" i="1" s="1"/>
  <c r="D657" i="1"/>
  <c r="F657" i="1" s="1"/>
  <c r="D656" i="1"/>
  <c r="F656" i="1" s="1"/>
  <c r="D655" i="1"/>
  <c r="F655" i="1" s="1"/>
  <c r="D654" i="1"/>
  <c r="F654" i="1" s="1"/>
  <c r="D653" i="1"/>
  <c r="F653" i="1" s="1"/>
  <c r="D652" i="1"/>
  <c r="F652" i="1" s="1"/>
  <c r="D651" i="1"/>
  <c r="F651" i="1" s="1"/>
  <c r="D650" i="1"/>
  <c r="F650" i="1" s="1"/>
  <c r="D649" i="1"/>
  <c r="F649" i="1" s="1"/>
  <c r="A649" i="1"/>
  <c r="A650" i="1" s="1"/>
  <c r="A651" i="1" s="1"/>
  <c r="A652" i="1" s="1"/>
  <c r="A653" i="1" s="1"/>
  <c r="A654" i="1" s="1"/>
  <c r="A655" i="1" s="1"/>
  <c r="A656" i="1" s="1"/>
  <c r="A657" i="1" s="1"/>
  <c r="G648" i="1"/>
  <c r="D646" i="1"/>
  <c r="F646" i="1" s="1"/>
  <c r="D645" i="1"/>
  <c r="F645" i="1" s="1"/>
  <c r="D644" i="1"/>
  <c r="F644" i="1" s="1"/>
  <c r="D643" i="1"/>
  <c r="F643" i="1" s="1"/>
  <c r="D641" i="1"/>
  <c r="F641" i="1" s="1"/>
  <c r="D640" i="1"/>
  <c r="F640" i="1" s="1"/>
  <c r="D639" i="1"/>
  <c r="F639" i="1" s="1"/>
  <c r="D638" i="1"/>
  <c r="F638" i="1" s="1"/>
  <c r="A638" i="1"/>
  <c r="A639" i="1" s="1"/>
  <c r="A640" i="1" s="1"/>
  <c r="A641" i="1" s="1"/>
  <c r="A642" i="1" s="1"/>
  <c r="A643" i="1" s="1"/>
  <c r="A644" i="1" s="1"/>
  <c r="A645" i="1" s="1"/>
  <c r="A646" i="1" s="1"/>
  <c r="G637" i="1"/>
  <c r="D637" i="1"/>
  <c r="F637" i="1" s="1"/>
  <c r="D632" i="1"/>
  <c r="F632" i="1" s="1"/>
  <c r="D635" i="1"/>
  <c r="F635" i="1" s="1"/>
  <c r="D634" i="1"/>
  <c r="F634" i="1" s="1"/>
  <c r="D633" i="1"/>
  <c r="F633" i="1" s="1"/>
  <c r="D631" i="1"/>
  <c r="F631" i="1" s="1"/>
  <c r="D630" i="1"/>
  <c r="F630" i="1" s="1"/>
  <c r="D629" i="1"/>
  <c r="F629" i="1" s="1"/>
  <c r="D628" i="1"/>
  <c r="F628" i="1" s="1"/>
  <c r="D627" i="1"/>
  <c r="F627" i="1" s="1"/>
  <c r="A627" i="1"/>
  <c r="A628" i="1" s="1"/>
  <c r="A629" i="1" s="1"/>
  <c r="A630" i="1" s="1"/>
  <c r="A631" i="1" s="1"/>
  <c r="A632" i="1" s="1"/>
  <c r="A633" i="1" s="1"/>
  <c r="A634" i="1" s="1"/>
  <c r="A635" i="1" s="1"/>
  <c r="G626" i="1"/>
  <c r="D626" i="1"/>
  <c r="F626" i="1" s="1"/>
  <c r="D620" i="1"/>
  <c r="F620" i="1" s="1"/>
  <c r="D619" i="1"/>
  <c r="F619" i="1" s="1"/>
  <c r="D618" i="1"/>
  <c r="F618" i="1" s="1"/>
  <c r="D624" i="1"/>
  <c r="F624" i="1" s="1"/>
  <c r="D623" i="1"/>
  <c r="F623" i="1" s="1"/>
  <c r="D622" i="1"/>
  <c r="F622" i="1" s="1"/>
  <c r="D621" i="1"/>
  <c r="F621" i="1" s="1"/>
  <c r="D617" i="1"/>
  <c r="F617" i="1" s="1"/>
  <c r="D616" i="1"/>
  <c r="F616" i="1" s="1"/>
  <c r="A616" i="1"/>
  <c r="A617" i="1" s="1"/>
  <c r="A618" i="1" s="1"/>
  <c r="A619" i="1" s="1"/>
  <c r="A620" i="1" s="1"/>
  <c r="A621" i="1" s="1"/>
  <c r="A622" i="1" s="1"/>
  <c r="A623" i="1" s="1"/>
  <c r="A624" i="1" s="1"/>
  <c r="G615" i="1"/>
  <c r="D615" i="1"/>
  <c r="F615" i="1" s="1"/>
  <c r="D613" i="1"/>
  <c r="F613" i="1" s="1"/>
  <c r="D612" i="1"/>
  <c r="F612" i="1" s="1"/>
  <c r="D611" i="1"/>
  <c r="F611" i="1" s="1"/>
  <c r="D610" i="1"/>
  <c r="F610" i="1" s="1"/>
  <c r="D608" i="1"/>
  <c r="F608" i="1" s="1"/>
  <c r="D607" i="1"/>
  <c r="F607" i="1" s="1"/>
  <c r="D606" i="1"/>
  <c r="F606" i="1" s="1"/>
  <c r="D605" i="1"/>
  <c r="F605" i="1" s="1"/>
  <c r="A605" i="1"/>
  <c r="A606" i="1" s="1"/>
  <c r="A607" i="1" s="1"/>
  <c r="A608" i="1" s="1"/>
  <c r="A609" i="1" s="1"/>
  <c r="A610" i="1" s="1"/>
  <c r="A611" i="1" s="1"/>
  <c r="A612" i="1" s="1"/>
  <c r="A613" i="1" s="1"/>
  <c r="G604" i="1"/>
  <c r="D604" i="1"/>
  <c r="F604" i="1" s="1"/>
  <c r="D602" i="1"/>
  <c r="F602" i="1" s="1"/>
  <c r="D593" i="1"/>
  <c r="F593" i="1" s="1"/>
  <c r="D601" i="1"/>
  <c r="F601" i="1" s="1"/>
  <c r="D600" i="1"/>
  <c r="F600" i="1" s="1"/>
  <c r="D599" i="1"/>
  <c r="F599" i="1" s="1"/>
  <c r="D598" i="1"/>
  <c r="F598" i="1" s="1"/>
  <c r="D597" i="1"/>
  <c r="F597" i="1" s="1"/>
  <c r="D596" i="1"/>
  <c r="F596" i="1" s="1"/>
  <c r="D595" i="1"/>
  <c r="F595" i="1" s="1"/>
  <c r="D594" i="1"/>
  <c r="F594" i="1" s="1"/>
  <c r="A594" i="1"/>
  <c r="A595" i="1" s="1"/>
  <c r="A596" i="1" s="1"/>
  <c r="A597" i="1" s="1"/>
  <c r="A598" i="1" s="1"/>
  <c r="A599" i="1" s="1"/>
  <c r="A600" i="1" s="1"/>
  <c r="A601" i="1" s="1"/>
  <c r="A602" i="1" s="1"/>
  <c r="G593" i="1"/>
  <c r="D589" i="1"/>
  <c r="D588" i="1"/>
  <c r="D587" i="1"/>
  <c r="D586" i="1"/>
  <c r="D585" i="1"/>
  <c r="D584" i="1"/>
  <c r="D583" i="1"/>
  <c r="D349" i="1"/>
  <c r="D273" i="1"/>
  <c r="D272" i="1"/>
  <c r="D262" i="1"/>
  <c r="E571" i="1" l="1"/>
  <c r="E580" i="1"/>
  <c r="E579" i="1"/>
  <c r="E578" i="1"/>
  <c r="E577" i="1"/>
  <c r="E575" i="1"/>
  <c r="E574" i="1"/>
  <c r="E573" i="1"/>
  <c r="E572" i="1"/>
  <c r="D579" i="1"/>
  <c r="D572" i="1"/>
  <c r="D571" i="1"/>
  <c r="I574" i="1"/>
  <c r="I571" i="1" l="1"/>
  <c r="A852" i="1" l="1"/>
  <c r="A853" i="1" s="1"/>
  <c r="A854" i="1" s="1"/>
  <c r="A855" i="1" s="1"/>
  <c r="A856" i="1" s="1"/>
  <c r="A857" i="1" s="1"/>
  <c r="A858" i="1" s="1"/>
  <c r="A859" i="1" s="1"/>
  <c r="A860" i="1" s="1"/>
  <c r="A861" i="1" s="1"/>
  <c r="A862" i="1" s="1"/>
  <c r="A863" i="1" s="1"/>
  <c r="A864" i="1" s="1"/>
  <c r="A865" i="1" s="1"/>
  <c r="C76" i="1" l="1"/>
  <c r="E3" i="1" l="1"/>
  <c r="D71" i="1" s="1"/>
  <c r="D394" i="1" l="1"/>
  <c r="D375" i="1"/>
  <c r="D372" i="1"/>
  <c r="D379" i="1"/>
  <c r="D378" i="1"/>
  <c r="D377" i="1"/>
  <c r="D376" i="1"/>
  <c r="J374" i="1"/>
  <c r="D387" i="1"/>
  <c r="D386" i="1"/>
  <c r="D385" i="1"/>
  <c r="D382" i="1"/>
  <c r="D380" i="1"/>
  <c r="J218" i="1"/>
  <c r="J203" i="1"/>
  <c r="E27" i="1"/>
  <c r="E25" i="1"/>
  <c r="C15" i="1"/>
  <c r="C82" i="1" l="1"/>
  <c r="C118" i="1"/>
  <c r="C104" i="1"/>
  <c r="C90" i="1"/>
  <c r="K129" i="1"/>
  <c r="K128" i="1"/>
  <c r="K127" i="1"/>
  <c r="K126" i="1"/>
  <c r="K115" i="1"/>
  <c r="K114" i="1"/>
  <c r="K113" i="1"/>
  <c r="K112" i="1"/>
  <c r="K101" i="1"/>
  <c r="K100" i="1"/>
  <c r="K99" i="1"/>
  <c r="K98" i="1"/>
  <c r="D249" i="1" l="1"/>
  <c r="D248" i="1"/>
  <c r="D247" i="1"/>
  <c r="D246" i="1"/>
  <c r="D245" i="1"/>
  <c r="D244" i="1"/>
  <c r="D243" i="1"/>
  <c r="D242" i="1"/>
  <c r="D241" i="1"/>
  <c r="D240" i="1"/>
  <c r="D239" i="1"/>
  <c r="D238" i="1"/>
  <c r="D237" i="1"/>
  <c r="D236" i="1"/>
  <c r="D235" i="1"/>
  <c r="D234" i="1"/>
  <c r="D233" i="1"/>
  <c r="D232" i="1"/>
  <c r="D231" i="1"/>
  <c r="D230" i="1"/>
  <c r="D229" i="1"/>
  <c r="D228" i="1"/>
  <c r="D227" i="1"/>
  <c r="D226" i="1"/>
  <c r="D225" i="1"/>
  <c r="D224" i="1"/>
  <c r="D223" i="1"/>
  <c r="E576" i="1"/>
  <c r="J570" i="1"/>
  <c r="K183" i="1"/>
  <c r="D591" i="1"/>
  <c r="F591" i="1" s="1"/>
  <c r="F588" i="1"/>
  <c r="D590" i="1"/>
  <c r="F590" i="1" s="1"/>
  <c r="F589" i="1"/>
  <c r="F587" i="1"/>
  <c r="F586" i="1"/>
  <c r="F585" i="1"/>
  <c r="F584" i="1"/>
  <c r="F583" i="1"/>
  <c r="D582" i="1"/>
  <c r="F574" i="1"/>
  <c r="A583" i="1"/>
  <c r="A584" i="1" s="1"/>
  <c r="A585" i="1" s="1"/>
  <c r="A586" i="1" s="1"/>
  <c r="A587" i="1" s="1"/>
  <c r="A588" i="1" s="1"/>
  <c r="A589" i="1" s="1"/>
  <c r="A590" i="1" s="1"/>
  <c r="A591" i="1" s="1"/>
  <c r="G582" i="1"/>
  <c r="A572" i="1"/>
  <c r="A573" i="1" s="1"/>
  <c r="A574" i="1" s="1"/>
  <c r="A575" i="1" s="1"/>
  <c r="A576" i="1" s="1"/>
  <c r="A577" i="1" s="1"/>
  <c r="A578" i="1" s="1"/>
  <c r="A579" i="1" s="1"/>
  <c r="A580" i="1" s="1"/>
  <c r="G571" i="1"/>
  <c r="J355" i="1"/>
  <c r="D355" i="1"/>
  <c r="F355" i="1" s="1"/>
  <c r="D354" i="1"/>
  <c r="F354" i="1" s="1"/>
  <c r="D353" i="1"/>
  <c r="F353" i="1" s="1"/>
  <c r="D352" i="1"/>
  <c r="F352" i="1" s="1"/>
  <c r="D351" i="1"/>
  <c r="F351" i="1" s="1"/>
  <c r="D350" i="1"/>
  <c r="F350" i="1" s="1"/>
  <c r="F349" i="1"/>
  <c r="D348" i="1"/>
  <c r="F348" i="1" s="1"/>
  <c r="D347" i="1"/>
  <c r="F347" i="1" s="1"/>
  <c r="D346" i="1"/>
  <c r="F346" i="1" s="1"/>
  <c r="D345" i="1"/>
  <c r="F345" i="1" s="1"/>
  <c r="D344" i="1"/>
  <c r="F344" i="1" s="1"/>
  <c r="D343" i="1"/>
  <c r="F343" i="1" s="1"/>
  <c r="D342" i="1"/>
  <c r="F342" i="1" s="1"/>
  <c r="D341" i="1"/>
  <c r="F341" i="1" s="1"/>
  <c r="D340" i="1"/>
  <c r="F340" i="1" s="1"/>
  <c r="D339" i="1"/>
  <c r="F339" i="1" s="1"/>
  <c r="D338" i="1"/>
  <c r="F338" i="1" s="1"/>
  <c r="D337" i="1"/>
  <c r="F337" i="1" s="1"/>
  <c r="D336" i="1"/>
  <c r="F336" i="1" s="1"/>
  <c r="D335" i="1"/>
  <c r="F335" i="1" s="1"/>
  <c r="D334" i="1"/>
  <c r="F334" i="1" s="1"/>
  <c r="D333" i="1"/>
  <c r="F333" i="1" s="1"/>
  <c r="D332" i="1"/>
  <c r="F332" i="1" s="1"/>
  <c r="D331" i="1"/>
  <c r="F331" i="1" s="1"/>
  <c r="D330" i="1"/>
  <c r="F330" i="1" s="1"/>
  <c r="D329" i="1"/>
  <c r="F329" i="1" s="1"/>
  <c r="D328" i="1"/>
  <c r="F328" i="1" s="1"/>
  <c r="D327" i="1"/>
  <c r="F327" i="1" s="1"/>
  <c r="D326" i="1"/>
  <c r="F326" i="1" s="1"/>
  <c r="D325" i="1"/>
  <c r="F325" i="1" s="1"/>
  <c r="D324" i="1"/>
  <c r="F324" i="1" s="1"/>
  <c r="D323" i="1"/>
  <c r="F323" i="1" s="1"/>
  <c r="D322" i="1"/>
  <c r="F322" i="1" s="1"/>
  <c r="D321" i="1"/>
  <c r="F321" i="1" s="1"/>
  <c r="D320" i="1"/>
  <c r="F320" i="1" s="1"/>
  <c r="D319" i="1"/>
  <c r="F319" i="1" s="1"/>
  <c r="D318" i="1"/>
  <c r="F318" i="1" s="1"/>
  <c r="A318" i="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J317" i="1"/>
  <c r="G317" i="1"/>
  <c r="G318" i="1" s="1"/>
  <c r="G319" i="1" s="1"/>
  <c r="G320" i="1" s="1"/>
  <c r="G321" i="1" s="1"/>
  <c r="G322" i="1" s="1"/>
  <c r="G323" i="1" s="1"/>
  <c r="G324" i="1" s="1"/>
  <c r="G325" i="1" s="1"/>
  <c r="G326" i="1" s="1"/>
  <c r="G327" i="1" s="1"/>
  <c r="G328" i="1" s="1"/>
  <c r="G329" i="1" s="1"/>
  <c r="G330" i="1" s="1"/>
  <c r="G331" i="1" s="1"/>
  <c r="G332" i="1" s="1"/>
  <c r="G333" i="1" s="1"/>
  <c r="G334" i="1" s="1"/>
  <c r="G335" i="1" s="1"/>
  <c r="G336" i="1" s="1"/>
  <c r="G337" i="1" s="1"/>
  <c r="G338" i="1" s="1"/>
  <c r="G339" i="1" s="1"/>
  <c r="G340" i="1" s="1"/>
  <c r="G341" i="1" s="1"/>
  <c r="G342" i="1" s="1"/>
  <c r="G343" i="1" s="1"/>
  <c r="G344" i="1" s="1"/>
  <c r="G345" i="1" s="1"/>
  <c r="G346" i="1" s="1"/>
  <c r="G347" i="1" s="1"/>
  <c r="G348" i="1" s="1"/>
  <c r="G349" i="1" s="1"/>
  <c r="G350" i="1" s="1"/>
  <c r="G351" i="1" s="1"/>
  <c r="G352" i="1" s="1"/>
  <c r="G353" i="1" s="1"/>
  <c r="G354" i="1" s="1"/>
  <c r="G355" i="1" s="1"/>
  <c r="D317" i="1"/>
  <c r="F317" i="1" s="1"/>
  <c r="D315" i="1"/>
  <c r="F315" i="1" s="1"/>
  <c r="D314" i="1"/>
  <c r="F314" i="1" s="1"/>
  <c r="D313" i="1"/>
  <c r="F313" i="1" s="1"/>
  <c r="D312" i="1"/>
  <c r="F312" i="1" s="1"/>
  <c r="D311" i="1"/>
  <c r="F311" i="1" s="1"/>
  <c r="D310" i="1"/>
  <c r="F310" i="1" s="1"/>
  <c r="D309" i="1"/>
  <c r="F309" i="1" s="1"/>
  <c r="D308" i="1"/>
  <c r="F308" i="1" s="1"/>
  <c r="D307" i="1"/>
  <c r="F307" i="1" s="1"/>
  <c r="D306" i="1"/>
  <c r="F306" i="1" s="1"/>
  <c r="D305" i="1"/>
  <c r="F305" i="1" s="1"/>
  <c r="D304" i="1"/>
  <c r="F304" i="1" s="1"/>
  <c r="D303" i="1"/>
  <c r="F303" i="1" s="1"/>
  <c r="D302" i="1"/>
  <c r="F302" i="1" s="1"/>
  <c r="D301" i="1"/>
  <c r="F301" i="1" s="1"/>
  <c r="D300" i="1"/>
  <c r="F300" i="1" s="1"/>
  <c r="D299" i="1"/>
  <c r="F299" i="1" s="1"/>
  <c r="D298" i="1"/>
  <c r="F298" i="1" s="1"/>
  <c r="D297" i="1"/>
  <c r="F297" i="1" s="1"/>
  <c r="D296" i="1"/>
  <c r="F296" i="1" s="1"/>
  <c r="D295" i="1"/>
  <c r="F295" i="1" s="1"/>
  <c r="D294" i="1"/>
  <c r="F294" i="1" s="1"/>
  <c r="D293" i="1"/>
  <c r="F293" i="1" s="1"/>
  <c r="D292" i="1"/>
  <c r="F292" i="1" s="1"/>
  <c r="D291" i="1"/>
  <c r="F291" i="1" s="1"/>
  <c r="D290" i="1"/>
  <c r="F290" i="1" s="1"/>
  <c r="D289" i="1"/>
  <c r="F289" i="1" s="1"/>
  <c r="D288" i="1"/>
  <c r="F288" i="1" s="1"/>
  <c r="D287" i="1"/>
  <c r="F287" i="1" s="1"/>
  <c r="D286" i="1"/>
  <c r="F286" i="1" s="1"/>
  <c r="D285" i="1"/>
  <c r="F285" i="1" s="1"/>
  <c r="D284" i="1"/>
  <c r="F284" i="1" s="1"/>
  <c r="D283" i="1"/>
  <c r="F283" i="1" s="1"/>
  <c r="D282" i="1"/>
  <c r="F282" i="1" s="1"/>
  <c r="D281" i="1"/>
  <c r="F281" i="1" s="1"/>
  <c r="D280" i="1"/>
  <c r="F280" i="1" s="1"/>
  <c r="D279" i="1"/>
  <c r="F279" i="1" s="1"/>
  <c r="D278" i="1"/>
  <c r="F278" i="1" s="1"/>
  <c r="D277" i="1"/>
  <c r="J277" i="1"/>
  <c r="J315" i="1"/>
  <c r="A278" i="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G277" i="1"/>
  <c r="G278" i="1" s="1"/>
  <c r="G279" i="1" s="1"/>
  <c r="G280" i="1" s="1"/>
  <c r="G281" i="1" s="1"/>
  <c r="G282" i="1" s="1"/>
  <c r="G283" i="1" s="1"/>
  <c r="G284" i="1" s="1"/>
  <c r="G285" i="1" s="1"/>
  <c r="G286" i="1" s="1"/>
  <c r="G287" i="1" s="1"/>
  <c r="G288" i="1" s="1"/>
  <c r="G289" i="1" s="1"/>
  <c r="G290" i="1" s="1"/>
  <c r="G291" i="1" s="1"/>
  <c r="G292" i="1" s="1"/>
  <c r="G293" i="1" s="1"/>
  <c r="G294" i="1" s="1"/>
  <c r="G295" i="1" s="1"/>
  <c r="G296" i="1" s="1"/>
  <c r="G297" i="1" s="1"/>
  <c r="G298" i="1" s="1"/>
  <c r="G299" i="1" s="1"/>
  <c r="G300" i="1" s="1"/>
  <c r="G301" i="1" s="1"/>
  <c r="G302" i="1" s="1"/>
  <c r="G303" i="1" s="1"/>
  <c r="G304" i="1" s="1"/>
  <c r="G305" i="1" s="1"/>
  <c r="G306" i="1" s="1"/>
  <c r="G307" i="1" s="1"/>
  <c r="G308" i="1" s="1"/>
  <c r="G309" i="1" s="1"/>
  <c r="G310" i="1" s="1"/>
  <c r="G311" i="1" s="1"/>
  <c r="G312" i="1" s="1"/>
  <c r="G313" i="1" s="1"/>
  <c r="G314" i="1" s="1"/>
  <c r="G315" i="1" s="1"/>
  <c r="D275" i="1"/>
  <c r="F275" i="1" s="1"/>
  <c r="D274" i="1"/>
  <c r="F274" i="1" s="1"/>
  <c r="F273" i="1"/>
  <c r="F272" i="1"/>
  <c r="D271" i="1"/>
  <c r="F271" i="1" s="1"/>
  <c r="D270" i="1"/>
  <c r="F270" i="1" s="1"/>
  <c r="D269" i="1"/>
  <c r="F269" i="1" s="1"/>
  <c r="D268" i="1"/>
  <c r="F268" i="1" s="1"/>
  <c r="D267" i="1"/>
  <c r="F267" i="1" s="1"/>
  <c r="D266" i="1"/>
  <c r="F266" i="1" s="1"/>
  <c r="D265" i="1"/>
  <c r="F265" i="1" s="1"/>
  <c r="D264" i="1"/>
  <c r="F264" i="1" s="1"/>
  <c r="D263" i="1"/>
  <c r="F263" i="1" s="1"/>
  <c r="F262" i="1"/>
  <c r="D261" i="1"/>
  <c r="F261" i="1" s="1"/>
  <c r="D260" i="1"/>
  <c r="F260" i="1" s="1"/>
  <c r="D259" i="1"/>
  <c r="F259" i="1" s="1"/>
  <c r="D258" i="1"/>
  <c r="F258" i="1" s="1"/>
  <c r="D256" i="1"/>
  <c r="F256" i="1" s="1"/>
  <c r="D257" i="1"/>
  <c r="F257" i="1" s="1"/>
  <c r="D255" i="1"/>
  <c r="F255" i="1" s="1"/>
  <c r="D254" i="1"/>
  <c r="F254" i="1" s="1"/>
  <c r="D253" i="1"/>
  <c r="A254" i="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G253" i="1"/>
  <c r="G254" i="1" s="1"/>
  <c r="G255" i="1" s="1"/>
  <c r="G256" i="1" s="1"/>
  <c r="G257" i="1" s="1"/>
  <c r="G258" i="1" s="1"/>
  <c r="G259" i="1" s="1"/>
  <c r="G260" i="1" s="1"/>
  <c r="G261" i="1" s="1"/>
  <c r="G262" i="1" s="1"/>
  <c r="G263" i="1" s="1"/>
  <c r="G264" i="1" s="1"/>
  <c r="G265" i="1" s="1"/>
  <c r="G266" i="1" s="1"/>
  <c r="G267" i="1" s="1"/>
  <c r="G268" i="1" s="1"/>
  <c r="G269" i="1" s="1"/>
  <c r="G270" i="1" s="1"/>
  <c r="G271" i="1" s="1"/>
  <c r="G272" i="1" s="1"/>
  <c r="G273" i="1" s="1"/>
  <c r="G274" i="1" s="1"/>
  <c r="G275" i="1" s="1"/>
  <c r="D562" i="1"/>
  <c r="F562" i="1" s="1"/>
  <c r="D561" i="1"/>
  <c r="F561" i="1" s="1"/>
  <c r="D567" i="1"/>
  <c r="F567" i="1" s="1"/>
  <c r="D566" i="1"/>
  <c r="F566" i="1" s="1"/>
  <c r="D565" i="1"/>
  <c r="F565" i="1" s="1"/>
  <c r="D564" i="1"/>
  <c r="F564" i="1" s="1"/>
  <c r="D563" i="1"/>
  <c r="F563" i="1" s="1"/>
  <c r="A561" i="1"/>
  <c r="A562" i="1" s="1"/>
  <c r="A563" i="1" s="1"/>
  <c r="A564" i="1" s="1"/>
  <c r="A565" i="1" s="1"/>
  <c r="A566" i="1" s="1"/>
  <c r="A567" i="1" s="1"/>
  <c r="G560" i="1"/>
  <c r="D560" i="1"/>
  <c r="F560" i="1" s="1"/>
  <c r="D553" i="1"/>
  <c r="F553" i="1" s="1"/>
  <c r="D551" i="1"/>
  <c r="F551" i="1" s="1"/>
  <c r="D558" i="1"/>
  <c r="F558" i="1" s="1"/>
  <c r="D557" i="1"/>
  <c r="F557" i="1" s="1"/>
  <c r="D556" i="1"/>
  <c r="F556" i="1" s="1"/>
  <c r="D555" i="1"/>
  <c r="F555" i="1" s="1"/>
  <c r="D554" i="1"/>
  <c r="F554" i="1" s="1"/>
  <c r="K182" i="1" s="1"/>
  <c r="D552" i="1"/>
  <c r="F552" i="1" s="1"/>
  <c r="A552" i="1"/>
  <c r="A553" i="1" s="1"/>
  <c r="A554" i="1" s="1"/>
  <c r="A555" i="1" s="1"/>
  <c r="A556" i="1" s="1"/>
  <c r="A557" i="1" s="1"/>
  <c r="A558" i="1" s="1"/>
  <c r="G551" i="1"/>
  <c r="D548" i="1"/>
  <c r="F548" i="1" s="1"/>
  <c r="D547" i="1"/>
  <c r="F547" i="1" s="1"/>
  <c r="D546" i="1"/>
  <c r="F546" i="1" s="1"/>
  <c r="D545" i="1"/>
  <c r="F545" i="1" s="1"/>
  <c r="D544" i="1"/>
  <c r="F544" i="1" s="1"/>
  <c r="E549" i="1"/>
  <c r="D549" i="1"/>
  <c r="D543" i="1"/>
  <c r="F543" i="1" s="1"/>
  <c r="A543" i="1"/>
  <c r="A544" i="1" s="1"/>
  <c r="A545" i="1" s="1"/>
  <c r="A546" i="1" s="1"/>
  <c r="A547" i="1" s="1"/>
  <c r="A548" i="1" s="1"/>
  <c r="A549" i="1" s="1"/>
  <c r="G542" i="1"/>
  <c r="E542" i="1"/>
  <c r="D542" i="1"/>
  <c r="D538" i="1"/>
  <c r="F538" i="1" s="1"/>
  <c r="D535" i="1"/>
  <c r="F535" i="1" s="1"/>
  <c r="E540" i="1"/>
  <c r="D540" i="1"/>
  <c r="D539" i="1"/>
  <c r="F539" i="1" s="1"/>
  <c r="D537" i="1"/>
  <c r="F537" i="1" s="1"/>
  <c r="D536" i="1"/>
  <c r="F536" i="1" s="1"/>
  <c r="D534" i="1"/>
  <c r="F534" i="1" s="1"/>
  <c r="A534" i="1"/>
  <c r="A535" i="1" s="1"/>
  <c r="A536" i="1" s="1"/>
  <c r="A537" i="1" s="1"/>
  <c r="A538" i="1" s="1"/>
  <c r="A539" i="1" s="1"/>
  <c r="A540" i="1" s="1"/>
  <c r="G533" i="1"/>
  <c r="E533" i="1"/>
  <c r="D533" i="1"/>
  <c r="D526" i="1"/>
  <c r="F526" i="1" s="1"/>
  <c r="D525" i="1"/>
  <c r="F525" i="1" s="1"/>
  <c r="E531" i="1"/>
  <c r="D531" i="1"/>
  <c r="D530" i="1"/>
  <c r="F530" i="1" s="1"/>
  <c r="K181" i="1" s="1"/>
  <c r="D529" i="1"/>
  <c r="F529" i="1" s="1"/>
  <c r="D528" i="1"/>
  <c r="F528" i="1" s="1"/>
  <c r="D527" i="1"/>
  <c r="F527" i="1" s="1"/>
  <c r="A525" i="1"/>
  <c r="A526" i="1" s="1"/>
  <c r="A527" i="1" s="1"/>
  <c r="A528" i="1" s="1"/>
  <c r="A529" i="1" s="1"/>
  <c r="A530" i="1" s="1"/>
  <c r="A531" i="1" s="1"/>
  <c r="G524" i="1"/>
  <c r="E524" i="1"/>
  <c r="D524" i="1"/>
  <c r="D521" i="1"/>
  <c r="F521" i="1" s="1"/>
  <c r="D516" i="1"/>
  <c r="F516" i="1" s="1"/>
  <c r="J506" i="1"/>
  <c r="E522" i="1"/>
  <c r="D522" i="1"/>
  <c r="D520" i="1"/>
  <c r="F520" i="1" s="1"/>
  <c r="D519" i="1"/>
  <c r="F519" i="1" s="1"/>
  <c r="D518" i="1"/>
  <c r="F518" i="1" s="1"/>
  <c r="D517" i="1"/>
  <c r="F517" i="1" s="1"/>
  <c r="A516" i="1"/>
  <c r="A517" i="1" s="1"/>
  <c r="A518" i="1" s="1"/>
  <c r="A519" i="1" s="1"/>
  <c r="A520" i="1" s="1"/>
  <c r="A521" i="1" s="1"/>
  <c r="A522" i="1" s="1"/>
  <c r="G515" i="1"/>
  <c r="E515" i="1"/>
  <c r="D515" i="1"/>
  <c r="E513" i="1"/>
  <c r="E506" i="1"/>
  <c r="D512" i="1"/>
  <c r="F512" i="1" s="1"/>
  <c r="K180" i="1" s="1"/>
  <c r="D513" i="1"/>
  <c r="D511" i="1"/>
  <c r="F511" i="1" s="1"/>
  <c r="D510" i="1"/>
  <c r="F510" i="1" s="1"/>
  <c r="D509" i="1"/>
  <c r="F509" i="1" s="1"/>
  <c r="D508" i="1"/>
  <c r="F508" i="1" s="1"/>
  <c r="D507" i="1"/>
  <c r="F507" i="1" s="1"/>
  <c r="D506" i="1"/>
  <c r="A507" i="1"/>
  <c r="A508" i="1" s="1"/>
  <c r="A509" i="1" s="1"/>
  <c r="A510" i="1" s="1"/>
  <c r="A511" i="1" s="1"/>
  <c r="A512" i="1" s="1"/>
  <c r="A513" i="1" s="1"/>
  <c r="G506" i="1"/>
  <c r="D498" i="1"/>
  <c r="F498" i="1" s="1"/>
  <c r="D501" i="1"/>
  <c r="F501" i="1" s="1"/>
  <c r="D500" i="1"/>
  <c r="F500" i="1" s="1"/>
  <c r="D497" i="1"/>
  <c r="F497" i="1" s="1"/>
  <c r="A497" i="1"/>
  <c r="A498" i="1" s="1"/>
  <c r="A499" i="1" s="1"/>
  <c r="A500" i="1" s="1"/>
  <c r="A501" i="1" s="1"/>
  <c r="J496" i="1"/>
  <c r="G496" i="1"/>
  <c r="D496" i="1"/>
  <c r="F496" i="1" s="1"/>
  <c r="D494" i="1"/>
  <c r="F494" i="1" s="1"/>
  <c r="D493" i="1"/>
  <c r="D492" i="1"/>
  <c r="F492" i="1" s="1"/>
  <c r="D491" i="1"/>
  <c r="D490" i="1"/>
  <c r="D489" i="1"/>
  <c r="J489" i="1"/>
  <c r="G489" i="1"/>
  <c r="A490" i="1"/>
  <c r="A491" i="1" s="1"/>
  <c r="A492" i="1" s="1"/>
  <c r="A493" i="1" s="1"/>
  <c r="A494" i="1" s="1"/>
  <c r="D481" i="1"/>
  <c r="D484" i="1"/>
  <c r="D483" i="1"/>
  <c r="D482" i="1"/>
  <c r="D480" i="1"/>
  <c r="D479" i="1"/>
  <c r="D478" i="1"/>
  <c r="D475" i="1"/>
  <c r="D474" i="1"/>
  <c r="D473" i="1"/>
  <c r="D470" i="1"/>
  <c r="D471" i="1"/>
  <c r="D476" i="1"/>
  <c r="D472" i="1"/>
  <c r="D466" i="1"/>
  <c r="D468" i="1"/>
  <c r="D467" i="1"/>
  <c r="D465" i="1"/>
  <c r="D464" i="1"/>
  <c r="D463" i="1"/>
  <c r="D462" i="1"/>
  <c r="D460" i="1"/>
  <c r="D457" i="1"/>
  <c r="D452" i="1"/>
  <c r="D459" i="1"/>
  <c r="D458" i="1"/>
  <c r="D456" i="1"/>
  <c r="D455" i="1"/>
  <c r="D454" i="1"/>
  <c r="D453" i="1"/>
  <c r="D450" i="1"/>
  <c r="D447" i="1"/>
  <c r="D446" i="1"/>
  <c r="D445" i="1"/>
  <c r="D444" i="1"/>
  <c r="D443" i="1"/>
  <c r="D442" i="1"/>
  <c r="D449" i="1"/>
  <c r="D448" i="1"/>
  <c r="D439" i="1"/>
  <c r="D436" i="1"/>
  <c r="D435" i="1"/>
  <c r="D434" i="1"/>
  <c r="D433" i="1"/>
  <c r="D440" i="1"/>
  <c r="D438" i="1"/>
  <c r="D437" i="1"/>
  <c r="D432" i="1"/>
  <c r="D430" i="1"/>
  <c r="D429" i="1"/>
  <c r="D425" i="1"/>
  <c r="J424" i="1"/>
  <c r="D424" i="1"/>
  <c r="D423" i="1"/>
  <c r="D422" i="1"/>
  <c r="D428" i="1"/>
  <c r="D427" i="1"/>
  <c r="D426" i="1"/>
  <c r="D420" i="1"/>
  <c r="D418" i="1"/>
  <c r="D416" i="1"/>
  <c r="D417" i="1"/>
  <c r="D415" i="1"/>
  <c r="D412" i="1"/>
  <c r="D419" i="1"/>
  <c r="D414" i="1"/>
  <c r="D413" i="1"/>
  <c r="D410" i="1"/>
  <c r="D409" i="1"/>
  <c r="J408" i="1"/>
  <c r="D408" i="1"/>
  <c r="D398" i="1"/>
  <c r="D407" i="1"/>
  <c r="D406" i="1"/>
  <c r="D405" i="1"/>
  <c r="D404" i="1"/>
  <c r="D403" i="1"/>
  <c r="D402" i="1"/>
  <c r="D400" i="1"/>
  <c r="D399" i="1"/>
  <c r="D397" i="1"/>
  <c r="D396" i="1"/>
  <c r="D395" i="1"/>
  <c r="D393" i="1"/>
  <c r="D392" i="1"/>
  <c r="D390" i="1"/>
  <c r="D389" i="1"/>
  <c r="D388" i="1"/>
  <c r="D383" i="1"/>
  <c r="D384" i="1"/>
  <c r="J384" i="1"/>
  <c r="D374" i="1"/>
  <c r="D373" i="1"/>
  <c r="E370" i="1"/>
  <c r="E369" i="1"/>
  <c r="D369" i="1"/>
  <c r="D368" i="1"/>
  <c r="E368" i="1"/>
  <c r="E367" i="1"/>
  <c r="E366" i="1"/>
  <c r="E365" i="1"/>
  <c r="E364" i="1"/>
  <c r="E363" i="1"/>
  <c r="D363" i="1"/>
  <c r="J363" i="1"/>
  <c r="E362" i="1"/>
  <c r="K362" i="1"/>
  <c r="J226" i="1"/>
  <c r="J362" i="1"/>
  <c r="J224" i="1"/>
  <c r="J223" i="1"/>
  <c r="F506" i="1" l="1"/>
  <c r="F369" i="1"/>
  <c r="E192" i="1"/>
  <c r="C192" i="1"/>
  <c r="F515" i="1"/>
  <c r="F582" i="1"/>
  <c r="F573" i="1"/>
  <c r="F513" i="1"/>
  <c r="F522" i="1"/>
  <c r="F571" i="1"/>
  <c r="F578" i="1"/>
  <c r="E183" i="1"/>
  <c r="C183" i="1"/>
  <c r="C184" i="1"/>
  <c r="E190" i="1"/>
  <c r="F253" i="1"/>
  <c r="G184" i="1" s="1"/>
  <c r="C185" i="1"/>
  <c r="C190" i="1"/>
  <c r="F531" i="1"/>
  <c r="F533" i="1"/>
  <c r="F277" i="1"/>
  <c r="G185" i="1" s="1"/>
  <c r="F579" i="1"/>
  <c r="E184" i="1"/>
  <c r="E185" i="1"/>
  <c r="E191" i="1"/>
  <c r="F549" i="1"/>
  <c r="F575" i="1"/>
  <c r="F577" i="1"/>
  <c r="C191" i="1"/>
  <c r="F540" i="1"/>
  <c r="F524" i="1"/>
  <c r="F542" i="1"/>
  <c r="F576" i="1"/>
  <c r="F572" i="1"/>
  <c r="F580" i="1"/>
  <c r="F490" i="1"/>
  <c r="F491" i="1"/>
  <c r="F493" i="1"/>
  <c r="F489" i="1"/>
  <c r="G192" i="1" l="1"/>
  <c r="G191" i="1"/>
  <c r="G190" i="1"/>
  <c r="F484" i="1"/>
  <c r="F480" i="1"/>
  <c r="F466" i="1"/>
  <c r="F462" i="1"/>
  <c r="A462" i="1"/>
  <c r="A442" i="1"/>
  <c r="A432" i="1"/>
  <c r="A422" i="1"/>
  <c r="A412" i="1"/>
  <c r="A402" i="1"/>
  <c r="A392" i="1"/>
  <c r="A382" i="1"/>
  <c r="A372" i="1"/>
  <c r="A362" i="1"/>
  <c r="F178" i="1"/>
  <c r="K87" i="1"/>
  <c r="K86" i="1"/>
  <c r="K85" i="1"/>
  <c r="K84" i="1"/>
  <c r="D221" i="1"/>
  <c r="F221" i="1" s="1"/>
  <c r="D220" i="1"/>
  <c r="F220" i="1" s="1"/>
  <c r="D219" i="1"/>
  <c r="F481" i="1"/>
  <c r="F483" i="1"/>
  <c r="F482" i="1"/>
  <c r="F479" i="1"/>
  <c r="F478" i="1"/>
  <c r="F476" i="1"/>
  <c r="F475" i="1"/>
  <c r="F474" i="1"/>
  <c r="F473" i="1"/>
  <c r="F471" i="1"/>
  <c r="F470" i="1"/>
  <c r="F472" i="1"/>
  <c r="F468" i="1"/>
  <c r="F467" i="1"/>
  <c r="F465" i="1"/>
  <c r="F464" i="1"/>
  <c r="F463" i="1"/>
  <c r="G462" i="1"/>
  <c r="G463" i="1" s="1"/>
  <c r="G464" i="1" s="1"/>
  <c r="G465" i="1" s="1"/>
  <c r="G466" i="1" s="1"/>
  <c r="G467" i="1" s="1"/>
  <c r="G468" i="1" s="1"/>
  <c r="O470" i="1"/>
  <c r="P478" i="1"/>
  <c r="P470" i="1"/>
  <c r="O478" i="1"/>
  <c r="F219" i="1" l="1"/>
  <c r="G182" i="1" s="1"/>
  <c r="E182" i="1"/>
  <c r="C182" i="1"/>
  <c r="A463" i="1"/>
  <c r="A464" i="1" s="1"/>
  <c r="A465" i="1" s="1"/>
  <c r="A466" i="1" s="1"/>
  <c r="A467" i="1" s="1"/>
  <c r="A468" i="1" s="1"/>
  <c r="F460" i="1"/>
  <c r="F459" i="1"/>
  <c r="F458" i="1"/>
  <c r="F457" i="1"/>
  <c r="F456" i="1"/>
  <c r="F455" i="1"/>
  <c r="F454" i="1"/>
  <c r="F453" i="1"/>
  <c r="G452" i="1"/>
  <c r="F452" i="1"/>
  <c r="A453" i="1"/>
  <c r="A454" i="1" s="1"/>
  <c r="A455" i="1" s="1"/>
  <c r="A456" i="1" s="1"/>
  <c r="A457" i="1" s="1"/>
  <c r="A458" i="1" s="1"/>
  <c r="A459" i="1" s="1"/>
  <c r="A460" i="1" s="1"/>
  <c r="F450" i="1" l="1"/>
  <c r="F448" i="1"/>
  <c r="F447" i="1"/>
  <c r="K179" i="1" s="1"/>
  <c r="F446" i="1"/>
  <c r="F445" i="1"/>
  <c r="F444" i="1"/>
  <c r="F443" i="1"/>
  <c r="F442" i="1"/>
  <c r="F440" i="1"/>
  <c r="F438" i="1"/>
  <c r="F437" i="1"/>
  <c r="F436" i="1"/>
  <c r="F435" i="1"/>
  <c r="F434" i="1"/>
  <c r="F433" i="1"/>
  <c r="F432" i="1"/>
  <c r="F430" i="1"/>
  <c r="F429" i="1"/>
  <c r="F428" i="1"/>
  <c r="F427" i="1"/>
  <c r="F426" i="1"/>
  <c r="F425" i="1"/>
  <c r="F424" i="1"/>
  <c r="F423" i="1"/>
  <c r="F422" i="1"/>
  <c r="F449" i="1"/>
  <c r="G442" i="1"/>
  <c r="G443" i="1" s="1"/>
  <c r="G444" i="1" s="1"/>
  <c r="G445" i="1" s="1"/>
  <c r="G446" i="1" s="1"/>
  <c r="G447" i="1" s="1"/>
  <c r="G448" i="1" s="1"/>
  <c r="G449" i="1" s="1"/>
  <c r="G450" i="1" s="1"/>
  <c r="A443" i="1"/>
  <c r="A444" i="1" s="1"/>
  <c r="A445" i="1" s="1"/>
  <c r="A446" i="1" s="1"/>
  <c r="A447" i="1" s="1"/>
  <c r="A448" i="1" s="1"/>
  <c r="A449" i="1" s="1"/>
  <c r="A450" i="1" s="1"/>
  <c r="F439" i="1"/>
  <c r="G432" i="1"/>
  <c r="G433" i="1" s="1"/>
  <c r="G434" i="1" s="1"/>
  <c r="G435" i="1" s="1"/>
  <c r="G436" i="1" s="1"/>
  <c r="G437" i="1" s="1"/>
  <c r="G438" i="1" s="1"/>
  <c r="G439" i="1" s="1"/>
  <c r="G440" i="1" s="1"/>
  <c r="A433" i="1"/>
  <c r="A434" i="1" s="1"/>
  <c r="A435" i="1" s="1"/>
  <c r="A436" i="1" s="1"/>
  <c r="A437" i="1" s="1"/>
  <c r="A438" i="1" s="1"/>
  <c r="A439" i="1" s="1"/>
  <c r="A440" i="1" s="1"/>
  <c r="G422" i="1"/>
  <c r="G423" i="1" s="1"/>
  <c r="G424" i="1" s="1"/>
  <c r="G425" i="1" s="1"/>
  <c r="G426" i="1" s="1"/>
  <c r="G427" i="1" s="1"/>
  <c r="G428" i="1" s="1"/>
  <c r="G429" i="1" s="1"/>
  <c r="G430" i="1" s="1"/>
  <c r="A423" i="1"/>
  <c r="A424" i="1" s="1"/>
  <c r="A425" i="1" s="1"/>
  <c r="A426" i="1" s="1"/>
  <c r="A427" i="1" s="1"/>
  <c r="A428" i="1" s="1"/>
  <c r="A429" i="1" s="1"/>
  <c r="A430" i="1" s="1"/>
  <c r="F420" i="1"/>
  <c r="F417" i="1"/>
  <c r="F416" i="1"/>
  <c r="F414" i="1"/>
  <c r="F419" i="1"/>
  <c r="F418" i="1"/>
  <c r="F415" i="1"/>
  <c r="F413" i="1"/>
  <c r="F412" i="1"/>
  <c r="F410" i="1"/>
  <c r="F409" i="1"/>
  <c r="F408" i="1"/>
  <c r="F407" i="1"/>
  <c r="J178" i="1" s="1"/>
  <c r="F406" i="1"/>
  <c r="F405" i="1"/>
  <c r="F404" i="1"/>
  <c r="F403" i="1"/>
  <c r="F402" i="1"/>
  <c r="G412" i="1"/>
  <c r="G413" i="1" s="1"/>
  <c r="G414" i="1" s="1"/>
  <c r="G415" i="1" s="1"/>
  <c r="G416" i="1" s="1"/>
  <c r="G417" i="1" s="1"/>
  <c r="G418" i="1" s="1"/>
  <c r="G419" i="1" s="1"/>
  <c r="G420" i="1" s="1"/>
  <c r="A413" i="1"/>
  <c r="A414" i="1" s="1"/>
  <c r="A415" i="1" s="1"/>
  <c r="A416" i="1" s="1"/>
  <c r="A417" i="1" s="1"/>
  <c r="A418" i="1" s="1"/>
  <c r="A419" i="1" s="1"/>
  <c r="A420" i="1" s="1"/>
  <c r="G402" i="1"/>
  <c r="G403" i="1" s="1"/>
  <c r="G404" i="1" s="1"/>
  <c r="G405" i="1" s="1"/>
  <c r="G406" i="1" s="1"/>
  <c r="G407" i="1" s="1"/>
  <c r="G408" i="1" s="1"/>
  <c r="G409" i="1" s="1"/>
  <c r="G410" i="1" s="1"/>
  <c r="A403" i="1"/>
  <c r="A404" i="1" s="1"/>
  <c r="A405" i="1" s="1"/>
  <c r="A406" i="1" s="1"/>
  <c r="A407" i="1" s="1"/>
  <c r="A408" i="1" s="1"/>
  <c r="A409" i="1" s="1"/>
  <c r="A410" i="1" s="1"/>
  <c r="F400" i="1"/>
  <c r="F399" i="1"/>
  <c r="F398" i="1"/>
  <c r="F397" i="1"/>
  <c r="F395" i="1"/>
  <c r="F393" i="1"/>
  <c r="F392" i="1"/>
  <c r="F396" i="1"/>
  <c r="F394" i="1"/>
  <c r="G392" i="1"/>
  <c r="G393" i="1" s="1"/>
  <c r="G394" i="1" s="1"/>
  <c r="G395" i="1" s="1"/>
  <c r="G396" i="1" s="1"/>
  <c r="G397" i="1" s="1"/>
  <c r="G398" i="1" s="1"/>
  <c r="G399" i="1" s="1"/>
  <c r="G400" i="1" s="1"/>
  <c r="A393" i="1"/>
  <c r="A394" i="1" s="1"/>
  <c r="A395" i="1" s="1"/>
  <c r="A396" i="1" s="1"/>
  <c r="A397" i="1" s="1"/>
  <c r="A398" i="1" s="1"/>
  <c r="A399" i="1" s="1"/>
  <c r="A400" i="1" s="1"/>
  <c r="F390" i="1"/>
  <c r="F389" i="1"/>
  <c r="J180" i="1" s="1"/>
  <c r="F388" i="1"/>
  <c r="F387" i="1"/>
  <c r="F386" i="1"/>
  <c r="J386" i="1" s="1"/>
  <c r="F385" i="1"/>
  <c r="F384" i="1"/>
  <c r="F383" i="1"/>
  <c r="F382" i="1"/>
  <c r="G382" i="1"/>
  <c r="G383" i="1" s="1"/>
  <c r="G384" i="1" s="1"/>
  <c r="G385" i="1" s="1"/>
  <c r="G386" i="1" s="1"/>
  <c r="G387" i="1" s="1"/>
  <c r="G388" i="1" s="1"/>
  <c r="G389" i="1" s="1"/>
  <c r="G390" i="1" s="1"/>
  <c r="A383" i="1"/>
  <c r="A384" i="1" s="1"/>
  <c r="A385" i="1" s="1"/>
  <c r="A386" i="1" s="1"/>
  <c r="A387" i="1" s="1"/>
  <c r="A388" i="1" s="1"/>
  <c r="A389" i="1" s="1"/>
  <c r="A390" i="1" s="1"/>
  <c r="F380" i="1"/>
  <c r="L380" i="1" s="1"/>
  <c r="F379" i="1"/>
  <c r="L379" i="1" s="1"/>
  <c r="F378" i="1"/>
  <c r="L378" i="1" s="1"/>
  <c r="F377" i="1"/>
  <c r="L377" i="1" s="1"/>
  <c r="F376" i="1"/>
  <c r="L376" i="1" s="1"/>
  <c r="F375" i="1"/>
  <c r="L375" i="1" s="1"/>
  <c r="F374" i="1"/>
  <c r="L374" i="1" s="1"/>
  <c r="F373" i="1"/>
  <c r="F372" i="1"/>
  <c r="L372" i="1" s="1"/>
  <c r="G372" i="1"/>
  <c r="G373" i="1" s="1"/>
  <c r="G374" i="1" s="1"/>
  <c r="G375" i="1" s="1"/>
  <c r="G376" i="1" s="1"/>
  <c r="G377" i="1" s="1"/>
  <c r="G378" i="1" s="1"/>
  <c r="G379" i="1" s="1"/>
  <c r="G380" i="1" s="1"/>
  <c r="A373" i="1"/>
  <c r="A374" i="1" s="1"/>
  <c r="A375" i="1" s="1"/>
  <c r="A376" i="1" s="1"/>
  <c r="A377" i="1" s="1"/>
  <c r="A378" i="1" s="1"/>
  <c r="A379" i="1" s="1"/>
  <c r="A380" i="1" s="1"/>
  <c r="D370" i="1"/>
  <c r="F370" i="1" s="1"/>
  <c r="F368" i="1"/>
  <c r="D367" i="1"/>
  <c r="F367" i="1" s="1"/>
  <c r="D366" i="1"/>
  <c r="F366" i="1" s="1"/>
  <c r="I366" i="1" s="1"/>
  <c r="D365" i="1"/>
  <c r="F365" i="1" s="1"/>
  <c r="I365" i="1" s="1"/>
  <c r="D364" i="1"/>
  <c r="F364" i="1" s="1"/>
  <c r="I364" i="1" s="1"/>
  <c r="D362" i="1"/>
  <c r="F249" i="1"/>
  <c r="F248" i="1"/>
  <c r="F247" i="1"/>
  <c r="F246" i="1"/>
  <c r="F245" i="1"/>
  <c r="F244" i="1"/>
  <c r="F243" i="1"/>
  <c r="F242" i="1"/>
  <c r="F241" i="1"/>
  <c r="F240" i="1"/>
  <c r="F239" i="1"/>
  <c r="F238" i="1"/>
  <c r="F237" i="1"/>
  <c r="F236" i="1"/>
  <c r="F235" i="1"/>
  <c r="F234" i="1"/>
  <c r="F233" i="1"/>
  <c r="F232" i="1"/>
  <c r="F231" i="1"/>
  <c r="F230" i="1"/>
  <c r="F229" i="1"/>
  <c r="F228" i="1"/>
  <c r="F227" i="1"/>
  <c r="F226" i="1"/>
  <c r="F225" i="1"/>
  <c r="F224" i="1"/>
  <c r="A224" i="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G223" i="1"/>
  <c r="G224" i="1" s="1"/>
  <c r="G225" i="1" s="1"/>
  <c r="G226" i="1" s="1"/>
  <c r="G227" i="1" s="1"/>
  <c r="G228" i="1" s="1"/>
  <c r="G229" i="1" s="1"/>
  <c r="G230" i="1" s="1"/>
  <c r="G231" i="1" s="1"/>
  <c r="G232" i="1" s="1"/>
  <c r="G233" i="1" s="1"/>
  <c r="G234" i="1" s="1"/>
  <c r="G235" i="1" s="1"/>
  <c r="G236" i="1" s="1"/>
  <c r="G237" i="1" s="1"/>
  <c r="G238" i="1" s="1"/>
  <c r="G239" i="1" s="1"/>
  <c r="G240" i="1" s="1"/>
  <c r="G241" i="1" s="1"/>
  <c r="G242" i="1" s="1"/>
  <c r="G243" i="1" s="1"/>
  <c r="G244" i="1" s="1"/>
  <c r="G245" i="1" s="1"/>
  <c r="G246" i="1" s="1"/>
  <c r="G247" i="1" s="1"/>
  <c r="G248" i="1" s="1"/>
  <c r="G249" i="1" s="1"/>
  <c r="A220" i="1"/>
  <c r="A221" i="1" s="1"/>
  <c r="D218" i="1"/>
  <c r="F218" i="1" s="1"/>
  <c r="D217" i="1"/>
  <c r="F217" i="1" s="1"/>
  <c r="D216" i="1"/>
  <c r="F216" i="1" s="1"/>
  <c r="D215" i="1"/>
  <c r="F215" i="1" s="1"/>
  <c r="D214" i="1"/>
  <c r="F214" i="1" s="1"/>
  <c r="D213" i="1"/>
  <c r="F213" i="1" s="1"/>
  <c r="D212" i="1"/>
  <c r="F212" i="1" s="1"/>
  <c r="D211" i="1"/>
  <c r="F211" i="1" s="1"/>
  <c r="D210" i="1"/>
  <c r="F210" i="1" s="1"/>
  <c r="D209" i="1"/>
  <c r="F209" i="1" s="1"/>
  <c r="D208" i="1"/>
  <c r="F208" i="1" s="1"/>
  <c r="D207" i="1"/>
  <c r="F207" i="1" s="1"/>
  <c r="D206" i="1"/>
  <c r="F206" i="1" s="1"/>
  <c r="D205" i="1"/>
  <c r="F205" i="1" s="1"/>
  <c r="D204" i="1"/>
  <c r="F204" i="1" s="1"/>
  <c r="D203" i="1"/>
  <c r="K178" i="1" l="1"/>
  <c r="K184" i="1" s="1"/>
  <c r="L373" i="1"/>
  <c r="J179" i="1"/>
  <c r="E189" i="1"/>
  <c r="E195" i="1" s="1"/>
  <c r="C189" i="1"/>
  <c r="C195" i="1" s="1"/>
  <c r="E181" i="1"/>
  <c r="E186" i="1" s="1"/>
  <c r="C181" i="1"/>
  <c r="C186" i="1" s="1"/>
  <c r="F362" i="1"/>
  <c r="F203" i="1"/>
  <c r="G181" i="1" s="1"/>
  <c r="F223" i="1"/>
  <c r="G183" i="1" s="1"/>
  <c r="F363" i="1"/>
  <c r="A363" i="1"/>
  <c r="A364" i="1" s="1"/>
  <c r="A365" i="1" s="1"/>
  <c r="A366" i="1" s="1"/>
  <c r="A367" i="1" s="1"/>
  <c r="A368" i="1" s="1"/>
  <c r="A369" i="1" s="1"/>
  <c r="A370" i="1" s="1"/>
  <c r="J195" i="1" l="1"/>
  <c r="G189" i="1"/>
  <c r="G195" i="1" s="1"/>
  <c r="L362" i="1"/>
  <c r="G186" i="1"/>
  <c r="N470" i="1"/>
  <c r="N478" i="1"/>
  <c r="C74" i="1"/>
  <c r="H75" i="1"/>
  <c r="K82" i="1" l="1"/>
  <c r="K83" i="1" s="1"/>
  <c r="K88" i="1" s="1"/>
  <c r="K89" i="1" s="1"/>
  <c r="D82" i="1"/>
  <c r="D89" i="1"/>
  <c r="D85" i="1"/>
  <c r="K81" i="1"/>
  <c r="C80" i="1" s="1"/>
  <c r="D88" i="1"/>
  <c r="D84" i="1"/>
  <c r="K80" i="1"/>
  <c r="D87" i="1"/>
  <c r="D83" i="1"/>
  <c r="K79" i="1"/>
  <c r="D86" i="1"/>
  <c r="H91" i="1"/>
  <c r="H147" i="1"/>
  <c r="D158" i="1" l="1"/>
  <c r="D154" i="1"/>
  <c r="K150" i="1"/>
  <c r="D157" i="1"/>
  <c r="D153" i="1"/>
  <c r="K151" i="1"/>
  <c r="C150" i="1" s="1"/>
  <c r="K149" i="1"/>
  <c r="D155" i="1"/>
  <c r="K152" i="1"/>
  <c r="K153" i="1" s="1"/>
  <c r="K158" i="1" s="1"/>
  <c r="K159" i="1" s="1"/>
  <c r="C151" i="1" s="1"/>
  <c r="D151" i="1" s="1"/>
  <c r="D159" i="1"/>
  <c r="D156" i="1"/>
  <c r="D152" i="1"/>
  <c r="D103" i="1"/>
  <c r="D101" i="1"/>
  <c r="D99" i="1"/>
  <c r="D97" i="1"/>
  <c r="K96" i="1"/>
  <c r="K97" i="1" s="1"/>
  <c r="D102" i="1"/>
  <c r="D100" i="1"/>
  <c r="D98" i="1"/>
  <c r="D96" i="1"/>
  <c r="K94" i="1"/>
  <c r="K95" i="1"/>
  <c r="C94" i="1" s="1"/>
  <c r="K93" i="1"/>
  <c r="D80" i="1"/>
  <c r="H105" i="1"/>
  <c r="G150" i="1" l="1"/>
  <c r="D150" i="1"/>
  <c r="I146" i="1" s="1"/>
  <c r="C148" i="1" s="1"/>
  <c r="E150" i="1" s="1"/>
  <c r="K102" i="1"/>
  <c r="K103" i="1" s="1"/>
  <c r="C95" i="1" s="1"/>
  <c r="G94" i="1" s="1"/>
  <c r="F160" i="1" s="1"/>
  <c r="K109" i="1"/>
  <c r="C108" i="1" s="1"/>
  <c r="K107" i="1"/>
  <c r="D117" i="1"/>
  <c r="D115" i="1"/>
  <c r="D113" i="1"/>
  <c r="D111" i="1"/>
  <c r="D116" i="1"/>
  <c r="D112" i="1"/>
  <c r="D110" i="1"/>
  <c r="K110" i="1"/>
  <c r="K111" i="1" s="1"/>
  <c r="K116" i="1" s="1"/>
  <c r="K117" i="1" s="1"/>
  <c r="D114" i="1"/>
  <c r="K108" i="1"/>
  <c r="D94" i="1"/>
  <c r="C81" i="1"/>
  <c r="H119" i="1"/>
  <c r="C109" i="1" l="1"/>
  <c r="D109" i="1" s="1"/>
  <c r="D95" i="1"/>
  <c r="I90" i="1"/>
  <c r="C92" i="1" s="1"/>
  <c r="E94" i="1" s="1"/>
  <c r="D108" i="1"/>
  <c r="D131" i="1"/>
  <c r="D129" i="1"/>
  <c r="D127" i="1"/>
  <c r="D125" i="1"/>
  <c r="K124" i="1"/>
  <c r="K125" i="1" s="1"/>
  <c r="D130" i="1"/>
  <c r="D126" i="1"/>
  <c r="K122" i="1"/>
  <c r="K121" i="1"/>
  <c r="D128" i="1"/>
  <c r="D124" i="1"/>
  <c r="K123" i="1"/>
  <c r="G80" i="1"/>
  <c r="I74" i="1"/>
  <c r="D81" i="1"/>
  <c r="G108" i="1" l="1"/>
  <c r="K130" i="1"/>
  <c r="K131" i="1" s="1"/>
  <c r="C123" i="1" s="1"/>
  <c r="C122" i="1"/>
  <c r="D122" i="1" s="1"/>
  <c r="I104" i="1"/>
  <c r="C106" i="1" s="1"/>
  <c r="E108" i="1" s="1"/>
  <c r="E80" i="1"/>
  <c r="D123" i="1" l="1"/>
  <c r="I118" i="1"/>
  <c r="C120" i="1" s="1"/>
  <c r="E122" i="1" s="1"/>
  <c r="G122" i="1"/>
  <c r="D73" i="1"/>
  <c r="E43" i="1" l="1"/>
  <c r="E44" i="1" s="1"/>
  <c r="G478" i="1" l="1"/>
  <c r="G203" i="1"/>
  <c r="G204" i="1" s="1"/>
  <c r="G205" i="1" s="1"/>
  <c r="G206" i="1" s="1"/>
  <c r="G207" i="1" s="1"/>
  <c r="G208" i="1" s="1"/>
  <c r="G209" i="1" s="1"/>
  <c r="G210" i="1" s="1"/>
  <c r="G211" i="1" s="1"/>
  <c r="G212" i="1" s="1"/>
  <c r="G213" i="1" s="1"/>
  <c r="G214" i="1" s="1"/>
  <c r="G215" i="1" s="1"/>
  <c r="G216" i="1" s="1"/>
  <c r="G217" i="1" s="1"/>
  <c r="G218" i="1" s="1"/>
  <c r="G219" i="1" s="1"/>
  <c r="A204" i="1"/>
  <c r="A205" i="1" s="1"/>
  <c r="A206" i="1" s="1"/>
  <c r="A207" i="1" s="1"/>
  <c r="A208" i="1" s="1"/>
  <c r="A209" i="1" s="1"/>
  <c r="A210" i="1" s="1"/>
  <c r="A211" i="1" s="1"/>
  <c r="A212" i="1" s="1"/>
  <c r="A213" i="1" s="1"/>
  <c r="A214" i="1" s="1"/>
  <c r="A215" i="1" s="1"/>
  <c r="A216" i="1" s="1"/>
  <c r="A217" i="1" s="1"/>
  <c r="A218" i="1" s="1"/>
  <c r="G220" i="1" l="1"/>
  <c r="G221" i="1" s="1"/>
  <c r="O479" i="1"/>
  <c r="O471" i="1"/>
  <c r="A478" i="1" l="1"/>
  <c r="A470" i="1"/>
  <c r="P471" i="1"/>
  <c r="P472" i="1" s="1"/>
  <c r="P473" i="1" s="1"/>
  <c r="P474" i="1" s="1"/>
  <c r="P475" i="1" s="1"/>
  <c r="P476" i="1" s="1"/>
  <c r="P479" i="1"/>
  <c r="P480" i="1" s="1"/>
  <c r="P481" i="1" s="1"/>
  <c r="P482" i="1" s="1"/>
  <c r="P483" i="1" s="1"/>
  <c r="P484" i="1" s="1"/>
  <c r="O480" i="1"/>
  <c r="O472" i="1"/>
  <c r="G470" i="1"/>
  <c r="G362" i="1"/>
  <c r="G363" i="1" s="1"/>
  <c r="G364" i="1" s="1"/>
  <c r="G365" i="1" s="1"/>
  <c r="G366" i="1" s="1"/>
  <c r="G367" i="1" s="1"/>
  <c r="G368" i="1" s="1"/>
  <c r="G369" i="1" s="1"/>
  <c r="G370" i="1" s="1"/>
  <c r="N480" i="1" l="1"/>
  <c r="A480" i="1" s="1"/>
  <c r="N479" i="1"/>
  <c r="A479" i="1" s="1"/>
  <c r="N471" i="1"/>
  <c r="A471" i="1" s="1"/>
  <c r="N472" i="1"/>
  <c r="A472" i="1" s="1"/>
  <c r="O481" i="1"/>
  <c r="N481" i="1" s="1"/>
  <c r="O473" i="1"/>
  <c r="N473" i="1" s="1"/>
  <c r="F6" i="5"/>
  <c r="G6" i="5" s="1"/>
  <c r="F7" i="5"/>
  <c r="G7" i="5" s="1"/>
  <c r="F8" i="5"/>
  <c r="G8" i="5" s="1"/>
  <c r="F9" i="5"/>
  <c r="G9" i="5" s="1"/>
  <c r="F10" i="5"/>
  <c r="G10" i="5" s="1"/>
  <c r="F11" i="5"/>
  <c r="G11" i="5" s="1"/>
  <c r="G5" i="5"/>
  <c r="A473" i="1" l="1"/>
  <c r="O482" i="1"/>
  <c r="N482" i="1" s="1"/>
  <c r="A481" i="1"/>
  <c r="O474" i="1"/>
  <c r="N474" i="1" s="1"/>
  <c r="G12" i="5"/>
  <c r="O483" i="1" l="1"/>
  <c r="A482" i="1"/>
  <c r="A474" i="1"/>
  <c r="O475" i="1"/>
  <c r="N483" i="1" l="1"/>
  <c r="A483" i="1" s="1"/>
  <c r="O484" i="1"/>
  <c r="N484" i="1" s="1"/>
  <c r="A484" i="1" s="1"/>
  <c r="N475" i="1"/>
  <c r="A475" i="1" s="1"/>
  <c r="O476" i="1"/>
  <c r="N476" i="1" s="1"/>
  <c r="A476" i="1" s="1"/>
  <c r="E7" i="1" l="1"/>
  <c r="D878" i="1" l="1"/>
  <c r="L33" i="3" l="1"/>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L34" i="3" l="1"/>
  <c r="K34" i="3" s="1"/>
  <c r="E34" i="3"/>
  <c r="I34" i="3"/>
  <c r="H34" i="3" s="1"/>
  <c r="D34" i="3" l="1"/>
  <c r="D36" i="3" s="1"/>
  <c r="E36" i="3"/>
</calcChain>
</file>

<file path=xl/sharedStrings.xml><?xml version="1.0" encoding="utf-8"?>
<sst xmlns="http://schemas.openxmlformats.org/spreadsheetml/2006/main" count="1194" uniqueCount="338">
  <si>
    <t xml:space="preserve">Valuation Report </t>
  </si>
  <si>
    <t>Date:</t>
  </si>
  <si>
    <t>CPC Name:</t>
  </si>
  <si>
    <t>Date Of Property Visit</t>
  </si>
  <si>
    <t>Name of the builder group</t>
  </si>
  <si>
    <t>Name of the builder company</t>
  </si>
  <si>
    <t>Name of the Project</t>
  </si>
  <si>
    <t>Name / No of the Building</t>
  </si>
  <si>
    <t>Docouments Provided</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</si>
  <si>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</si>
  <si>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</si>
  <si>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</si>
  <si>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</si>
  <si>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</si>
  <si>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</si>
  <si>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</si>
  <si>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</si>
  <si>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</si>
  <si>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</si>
  <si>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</si>
  <si>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</si>
  <si>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</si>
  <si>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</si>
  <si>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</si>
  <si>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</si>
  <si>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</si>
  <si>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</si>
  <si>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</si>
  <si>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</si>
  <si>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</si>
  <si>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</si>
  <si>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</si>
  <si>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Latitude</t>
  </si>
  <si>
    <t>Longitude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</si>
  <si>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</si>
  <si>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</si>
  <si>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</si>
  <si>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</si>
  <si>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</si>
  <si>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</si>
  <si>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</si>
  <si>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</si>
  <si>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</si>
  <si>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</si>
  <si>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</si>
  <si>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</si>
  <si>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</si>
  <si>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 xml:space="preserve">Date of approval: </t>
  </si>
  <si>
    <t>Expected Completion</t>
  </si>
  <si>
    <t>Building wise Construction details</t>
  </si>
  <si>
    <t>Approved no of units</t>
  </si>
  <si>
    <t>Approved no of Floors</t>
  </si>
  <si>
    <t>Type of Work</t>
  </si>
  <si>
    <t>Plinth</t>
  </si>
  <si>
    <t>Violations Observed if any : NA</t>
  </si>
  <si>
    <t>Recommended Rates of the Property :</t>
  </si>
  <si>
    <t xml:space="preserve">Recommended rate of Parking </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</si>
  <si>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</si>
  <si>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</si>
  <si>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</si>
  <si>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</si>
  <si>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</si>
  <si>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</si>
  <si>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</si>
  <si>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</si>
  <si>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</si>
  <si>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</si>
  <si>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</si>
  <si>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</si>
  <si>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</si>
  <si>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</si>
  <si>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</si>
  <si>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</si>
  <si>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</si>
  <si>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</si>
  <si>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</si>
  <si>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</si>
  <si>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</si>
  <si>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</si>
  <si>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</si>
  <si>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</si>
  <si>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</si>
  <si>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</si>
  <si>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</si>
  <si>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</si>
  <si>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</si>
  <si>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</si>
  <si>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</si>
  <si>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</si>
  <si>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</si>
  <si>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</si>
  <si>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</si>
  <si>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</si>
  <si>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</si>
  <si>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</si>
  <si>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</si>
  <si>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</si>
  <si>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</si>
  <si>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</si>
  <si>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</si>
  <si>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Podium</t>
  </si>
  <si>
    <t>Ground</t>
  </si>
  <si>
    <t>Locality/Village</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</si>
  <si>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</si>
  <si>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</si>
  <si>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</si>
  <si>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Recommended rate of the flat Per Sq. Ft. ( on Saleable area)</t>
  </si>
  <si>
    <t>Commercial Area Details :</t>
  </si>
  <si>
    <t>Accessibility to the Project from the City: (Proximity to civic amenities like school, hospital, market, etc.)</t>
  </si>
  <si>
    <t>Inspected By :</t>
  </si>
  <si>
    <t>No. of Units</t>
  </si>
  <si>
    <t>Authorized Signatory
Name &amp; Seal of the agency</t>
  </si>
  <si>
    <t>Residential + Commercial</t>
  </si>
  <si>
    <t>Recommended rate of the shop Per Sq. Ft. ( on Saleable area)</t>
  </si>
  <si>
    <t>Recommended rate of the Office Per Sq. Ft. ( on Saleable area)</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</si>
  <si>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</si>
  <si>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</si>
  <si>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</si>
  <si>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</si>
  <si>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</si>
  <si>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</si>
  <si>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</si>
  <si>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</si>
  <si>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</si>
  <si>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</si>
  <si>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</si>
  <si>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</si>
  <si>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</si>
  <si>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</si>
  <si>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</si>
  <si>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Floor Rise Rate Per Sq.ft</t>
  </si>
  <si>
    <t>Development Charges</t>
  </si>
  <si>
    <t>Club Charges</t>
  </si>
  <si>
    <t>Legal Services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</si>
  <si>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</si>
  <si>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</si>
  <si>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</si>
  <si>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</si>
  <si>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</si>
  <si>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</si>
  <si>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</si>
  <si>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</si>
  <si>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in process</t>
  </si>
  <si>
    <t>Plinth completed</t>
  </si>
  <si>
    <t>All work Completed. OC Received.</t>
  </si>
  <si>
    <t>Report By :</t>
  </si>
  <si>
    <t>Market Research Data</t>
  </si>
  <si>
    <t>Source</t>
  </si>
  <si>
    <t>Distance from proposed property</t>
  </si>
  <si>
    <t>Net Carpet</t>
  </si>
  <si>
    <t>Market Value</t>
  </si>
  <si>
    <t>Magic Brick</t>
  </si>
  <si>
    <t>3BHK</t>
  </si>
  <si>
    <t>99 Acres</t>
  </si>
  <si>
    <t>Average</t>
  </si>
  <si>
    <t xml:space="preserve">Valuation Adopted </t>
  </si>
  <si>
    <t>Saleable Area</t>
  </si>
  <si>
    <t>Rate on Saleable</t>
  </si>
  <si>
    <t>All work Completed. Provide OC.</t>
  </si>
  <si>
    <t xml:space="preserve">Wheather the construction is as per approved Building plan : </t>
  </si>
  <si>
    <t>Saleable area
Loading :</t>
  </si>
  <si>
    <t>Shop No.
(Sale Plan)</t>
  </si>
  <si>
    <r>
      <t xml:space="preserve">Shop No.
</t>
    </r>
    <r>
      <rPr>
        <b/>
        <sz val="11"/>
        <color rgb="FF000000"/>
        <rFont val="Times New Roman"/>
        <family val="1"/>
      </rPr>
      <t>(Approved Plan)</t>
    </r>
  </si>
  <si>
    <r>
      <t xml:space="preserve">Flat No.
</t>
    </r>
    <r>
      <rPr>
        <b/>
        <sz val="11"/>
        <color rgb="FF000000"/>
        <rFont val="Times New Roman"/>
        <family val="1"/>
      </rPr>
      <t>(Approved Plan)</t>
    </r>
  </si>
  <si>
    <t>Flat No.
(Sale Plan)</t>
  </si>
  <si>
    <t>Contact Details ( Name &amp; Contact No.)</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</si>
  <si>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</si>
  <si>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</si>
  <si>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</si>
  <si>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</si>
  <si>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</si>
  <si>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</si>
  <si>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</si>
  <si>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</si>
  <si>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</si>
  <si>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</si>
  <si>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</si>
  <si>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</si>
  <si>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</si>
  <si>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</si>
  <si>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</si>
  <si>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</si>
  <si>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</si>
  <si>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</si>
  <si>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</si>
  <si>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</si>
  <si>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</si>
  <si>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1</t>
  </si>
  <si>
    <t>Basement 2</t>
  </si>
  <si>
    <t>Basement 3</t>
  </si>
  <si>
    <t>Basement 4</t>
  </si>
  <si>
    <t>Mr.Vikas Harakchand Jain</t>
  </si>
  <si>
    <t>Umbarde Road</t>
  </si>
  <si>
    <t>Shri Bhavani Medical Center</t>
  </si>
  <si>
    <t>Pratapgad CHS Ltd</t>
  </si>
  <si>
    <t>Survey No</t>
  </si>
  <si>
    <t>Thane</t>
  </si>
  <si>
    <t>Kolivali</t>
  </si>
  <si>
    <t>Kalyan</t>
  </si>
  <si>
    <t>3.7KM from Kalyan Railway Station</t>
  </si>
  <si>
    <t>Shop</t>
  </si>
  <si>
    <t>Godown</t>
  </si>
  <si>
    <t>1st &amp; 2nd Floor</t>
  </si>
  <si>
    <t>Office</t>
  </si>
  <si>
    <t>2BHK</t>
  </si>
  <si>
    <t>1BHK</t>
  </si>
  <si>
    <t>4th Floor</t>
  </si>
  <si>
    <t>5th Floor</t>
  </si>
  <si>
    <t>6th Floor</t>
  </si>
  <si>
    <t>8th Floor</t>
  </si>
  <si>
    <t>9th Floor</t>
  </si>
  <si>
    <t>10th Floor</t>
  </si>
  <si>
    <t>We considered  Saleable area  as per our calculation.</t>
  </si>
  <si>
    <t>12th Floor</t>
  </si>
  <si>
    <t>14th, 15th, 17th to 20th, 22nd to 24th Floor</t>
  </si>
  <si>
    <t>Approved Plans, CC</t>
  </si>
  <si>
    <t>Recommended rate of the Godown Per Sq. Ft. ( on Saleable area)</t>
  </si>
  <si>
    <t>KDMP/TPD/BP/KD/2020-21/06/267</t>
  </si>
  <si>
    <t>Commencement Certificate No.
Valid Upto:</t>
  </si>
  <si>
    <t>Location Link</t>
  </si>
  <si>
    <t>ep added</t>
  </si>
  <si>
    <t>all check</t>
  </si>
  <si>
    <t>3rd Floor For Residential</t>
  </si>
  <si>
    <t>DONE</t>
  </si>
  <si>
    <t>7th Floor (Part Refuge Area)</t>
  </si>
  <si>
    <t>pooja room</t>
  </si>
  <si>
    <t>regular 2 bed</t>
  </si>
  <si>
    <t>13th Floor (Part Terrace Area)</t>
  </si>
  <si>
    <t>16th &amp; 21st Floor (Part Refuge Area)</t>
  </si>
  <si>
    <t>Ground Floor For Commercial</t>
  </si>
  <si>
    <t>3rd to 6th, 8th to 10th, 12th to 15th, 17th to 20th, 22nd to 24th, 25th &amp; 27th Floor For Residential</t>
  </si>
  <si>
    <t>4BHK</t>
  </si>
  <si>
    <t>Refuge Area</t>
  </si>
  <si>
    <t>7th, 11th, 16th &amp; 21st &amp; 26th Floor (Part Refuge Area)</t>
  </si>
  <si>
    <t>Ground Floor For Parking</t>
  </si>
  <si>
    <t>1st &amp; 2nd Podium Floor For Parking</t>
  </si>
  <si>
    <t>Phase I</t>
  </si>
  <si>
    <t>We considered Gross carpet area = Net carpet + Enclose balcony + A.P Area</t>
  </si>
  <si>
    <t>3rd to 6th Floor For Residential</t>
  </si>
  <si>
    <t>1.5BHK</t>
  </si>
  <si>
    <t>8th to 10th, 12th, 13th, 14th &amp; 15th Floor</t>
  </si>
  <si>
    <t>7th &amp; 11th Floor (Part Refuge Area)</t>
  </si>
  <si>
    <t>16th Floor (Part Refuge Area)</t>
  </si>
  <si>
    <t>17th, 18th, 19th &amp; 20th Floor</t>
  </si>
  <si>
    <t>22nd to 25th &amp; 27th Floor</t>
  </si>
  <si>
    <t>21st &amp; 26th Floor (Part Refuge Area)</t>
  </si>
  <si>
    <t>Phase II</t>
  </si>
  <si>
    <t>1st Floor</t>
  </si>
  <si>
    <t>2nd Floor</t>
  </si>
  <si>
    <t>Phase II Wing D</t>
  </si>
  <si>
    <t>Phase I Wing A</t>
  </si>
  <si>
    <t>Shops</t>
  </si>
  <si>
    <t>Godowns</t>
  </si>
  <si>
    <t>Offices</t>
  </si>
  <si>
    <t>ep not added</t>
  </si>
  <si>
    <t>Wing B</t>
  </si>
  <si>
    <t>Wing C</t>
  </si>
  <si>
    <t>https://goo.gl/maps/H7hhVbrL7WkgnrVaA</t>
  </si>
  <si>
    <t>Layout Plan :</t>
  </si>
  <si>
    <t>RERA No. &amp; RERA Name</t>
  </si>
  <si>
    <t>Site meet person Contact Details ( Name &amp; Contact No.)</t>
  </si>
  <si>
    <t>Wing B = Gr + 2P + 3rd to 27th Floor</t>
  </si>
  <si>
    <t>Wing C = Gr + 2P + 3rd to 27th Floor</t>
  </si>
  <si>
    <t>Wing A = Gr + 1st to 24th Floor</t>
  </si>
  <si>
    <t>Mr.Dinesh (7719998000)</t>
  </si>
  <si>
    <t>Axis Badlapur</t>
  </si>
  <si>
    <t>Locality</t>
  </si>
  <si>
    <t>OC wing A (gr to 2nd floor)</t>
  </si>
  <si>
    <t>Phase I (Wing A)</t>
  </si>
  <si>
    <t>Phase II (Wing D)</t>
  </si>
  <si>
    <t>wing D - Gr + 1st to 5th Floor</t>
  </si>
  <si>
    <t>11th Floor (Part Refuge Area)</t>
  </si>
  <si>
    <t>Wing A (Type A)</t>
  </si>
  <si>
    <t>Wing D (Type D)</t>
  </si>
  <si>
    <t>Wing B (Type B)</t>
  </si>
  <si>
    <t>Wing C (Type C)</t>
  </si>
  <si>
    <t>We have updated Wing B, C &amp; Phase II (Wing D) (on 05/01/2023)</t>
  </si>
  <si>
    <t>39/1/1(PT), 39/5, 6/1(P) &amp; 6/2, Existing Building Name - Shree Complex Phase III Co - HSG Federal Society LTD.</t>
  </si>
  <si>
    <t>Existing Building Name</t>
  </si>
  <si>
    <t>Shree Complex Phase III Co - HSG Federal Society LTD.</t>
  </si>
  <si>
    <t xml:space="preserve">We have updated O.C for A Wing G +1st &amp; 2nd floor (on 03/03/2023).
</t>
  </si>
  <si>
    <t>KDMC/TPD/BP/KD/2020-21/06/167</t>
  </si>
  <si>
    <t>Wing D = Gr + 1st to 29th Floor</t>
  </si>
  <si>
    <t>4th &amp; 5th Floor</t>
  </si>
  <si>
    <t>6th, 8th, 9th &amp; 10th Floor</t>
  </si>
  <si>
    <t>13th to 15th &amp; 17th to 19th Floor</t>
  </si>
  <si>
    <t>20th Floor</t>
  </si>
  <si>
    <t>22nd to 25th &amp; 27th to 29th Floor</t>
  </si>
  <si>
    <t xml:space="preserve">We have updated Layout plan,  CC and Floor plan of Wing D on 20/10/2023.
</t>
  </si>
  <si>
    <t>Wing F (Type F)</t>
  </si>
  <si>
    <t>6th, 8th to 10th, 12th to 15th Floor</t>
  </si>
  <si>
    <t>17th Floor</t>
  </si>
  <si>
    <t>18th to 20th Floor</t>
  </si>
  <si>
    <t>Phase II (Wing F)</t>
  </si>
  <si>
    <t xml:space="preserve">We have updated latest approved floor plans &amp; CC for Wing F (On 12/11/2024).
</t>
  </si>
  <si>
    <t>We have received the latest approved floor plans &amp; CC (dtd. 02/08/2023) (i.e. sheet no. 32/35 to 35/35) for F Wing.
On rera Sheet no. 7/35 (including 3rd floor for F Wing) which  is not legible.
Please provide a legible approved floor plan for F Wing ( i. e. sheet no. 7/35).</t>
  </si>
  <si>
    <t>21st Floor (Part Refuge Area)</t>
  </si>
  <si>
    <t>22nd to 25th Floor</t>
  </si>
  <si>
    <t>26th Floor (Part Refuge Area)</t>
  </si>
  <si>
    <t>27th Floor (Part Terrace Area)</t>
  </si>
  <si>
    <t>Terrace Area</t>
  </si>
  <si>
    <t>Wing F = Gr/St + P1 to P2 + 3rd to 27th Floor</t>
  </si>
  <si>
    <t>Ritz</t>
  </si>
  <si>
    <t xml:space="preserve">As Wing A Flat No. 308 is Sample Furnish Flat, So development charges of Rs. 3,00,000/- can be considered only for this flat. </t>
  </si>
  <si>
    <t>Done by Sanjay 22/11/2024</t>
  </si>
  <si>
    <t>3L to 4.5L Sanjay 22/11/2024</t>
  </si>
  <si>
    <t>We have updated part OC for Tower D (On 27/11/2024).</t>
  </si>
  <si>
    <t>Miss. Varsha : 7718049921</t>
  </si>
  <si>
    <r>
      <rPr>
        <b/>
        <sz val="12"/>
        <color theme="1"/>
        <rFont val="Times New Roman"/>
        <family val="1"/>
      </rPr>
      <t>Phase I</t>
    </r>
    <r>
      <rPr>
        <sz val="12"/>
        <color theme="1"/>
        <rFont val="Times New Roman"/>
        <family val="1"/>
      </rPr>
      <t xml:space="preserve"> 
Type A, B &amp; C
</t>
    </r>
    <r>
      <rPr>
        <b/>
        <sz val="12"/>
        <color theme="1"/>
        <rFont val="Times New Roman"/>
        <family val="1"/>
      </rPr>
      <t xml:space="preserve">Phase II
</t>
    </r>
    <r>
      <rPr>
        <sz val="12"/>
        <color theme="1"/>
        <rFont val="Times New Roman"/>
        <family val="1"/>
      </rPr>
      <t>Type D, E &amp; F</t>
    </r>
  </si>
  <si>
    <t>Ritz Phase I (Wing A) = P51700026485 
Ritz Wing B = P51700047353
Ritz Wing C = P51700047718 
Ritz Phase II Commercial Wing D = P51700047423 
Ritz Tower D Residential = P51700051081
Ritz Tower E = P51700051119
Ritz Tower F = P51700051084</t>
  </si>
  <si>
    <t>06 Building</t>
  </si>
  <si>
    <t>Wing E = Gr/St + P1 to P2 + 3rd to 27th Floor</t>
  </si>
  <si>
    <t>Wing E (Type E)</t>
  </si>
  <si>
    <t>7th, 11th &amp; 16th Floor (Part Refuge Area)</t>
  </si>
  <si>
    <t>12th, 13th, 14th, 15th, 17th, 18th, 19th Floor</t>
  </si>
  <si>
    <t>20th. 22nd &amp; 23rd Floor</t>
  </si>
  <si>
    <t>24th, 25th &amp; 27th Floor</t>
  </si>
  <si>
    <t>Phase II (Wing E)</t>
  </si>
  <si>
    <t>We have updated latest approved floor plans for wing E (Type E) (On 13/01/2025).</t>
  </si>
  <si>
    <t>Phase I  Type A, B &amp; C</t>
  </si>
  <si>
    <t>Phase II  Type D, E &amp; F</t>
  </si>
  <si>
    <t>Flats - 1133, Shops - 39, Offices - 132, Godowns - 3</t>
  </si>
  <si>
    <t>5th, 6th, 8th, 9th Floor</t>
  </si>
  <si>
    <t xml:space="preserve">Wing A = Gr + 1st to 24th Floor
Wing B &amp; C = Gr + 2P + 3rd to 27th Floor
Wing C = Gr + 2P + 3rd to 27th Floor
</t>
  </si>
  <si>
    <t>KDMC/TPD/CC/KD/452
A Wing = G + 1st to 2nd Floor. Shop - 16, Godown - 03, Office - 54</t>
  </si>
  <si>
    <t xml:space="preserve">Part O. Certificate No.: 
Approved upto : </t>
  </si>
  <si>
    <t xml:space="preserve">Approved Floor plan No. </t>
  </si>
  <si>
    <t>Ritz Tower D = Gr + 1st to 29th Floor
Ritz Tower E &amp; F = Gr/St + 1st to 2nd Podium Floor + 3rd to 27th Floor
Ritz Tower F = Gr/St + 1st to 2nd Podium Floor + 3rd to 27th Floor</t>
  </si>
  <si>
    <t>KDMCC/PO/2024/APL/00077
Bldg Tower D = 1st &amp; 2nd Floor</t>
  </si>
  <si>
    <t xml:space="preserve">Wing A = Gr + 1st to 24th Floor
Wing B &amp; C = Gr + 2P + 3rd to 27th Floor
Wing D = Gr + 1st to 29th Floor
Wing E &amp; F = Gr/St + P1 to P2 + 3rd to 27th Floor
</t>
  </si>
  <si>
    <t xml:space="preserve">As per RERA 
Ritz Phase I - Completed
Ritz Wing B &amp; C - 30/09/2026
Ritz Phase II Commercial Wing D - 30/09/2026
Ritz Phase II Residential Wing D - 31/12/2026
Ritz Tower E &amp; F = 31/12/2026
</t>
  </si>
  <si>
    <t>Office No. 1031, Wing J, Akshar Business Park, Plot No. 03 Sector 25, Near APMC Market, Vashi, 
Navi Mumbai, Maharashtra 400703 TEL: 022-46090378/79/80
E mail : vsjcapf@gmail.com. Web site : www.vsjadon.com</t>
  </si>
  <si>
    <t>Pooja</t>
  </si>
  <si>
    <t>Mangesh Laxman Bapardekar</t>
  </si>
  <si>
    <t>Wing A = All work completed. OC received upto 2nd Floor.
Wing B to E = Construction work is in process at the time of Visit.
Wing F = Construction work is in process at the time of Visit.</t>
  </si>
  <si>
    <t>OC = 250000 by bhargav verbal on 15/09/2025</t>
  </si>
  <si>
    <t>Other Charges</t>
  </si>
  <si>
    <t xml:space="preserve">Recommended Rates / Other charges of the Property have been revised on 22/11/2024 &amp; 15/09/2025.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</si>
</sst>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_(* \(#,##0.00\);_(* &quot;-&quot;??_);_(@_)"/>
    <numFmt numFmtId="165" formatCode="0.0"/>
    <numFmt numFmtId="166" formatCode="_(* #,##0_);_(* \(#,##0\);_(* &quot;-&quot;??_);_(@_)"/>
    <numFmt numFmtId="167" formatCode="dd\/mm\/yyyy"/>
  </numFmts>
  <fonts count="26">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u/>
      <sz val="11"/>
      <color theme="10"/>
      <name val="Calibri"/>
      <family val="2"/>
    </font>
    <font>
      <b/>
      <sz val="12"/>
      <color rgb="FFFF0000"/>
      <name val="Times New Roman"/>
      <family val="1"/>
    </font>
    <font>
      <sz val="18"/>
      <color rgb="FFC10000"/>
      <name val="CIDFont+F2"/>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7"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s>
  <cellStyleXfs count="10">
    <xf numFmtId="0" fontId="0" fillId="0" borderId="0"/>
    <xf numFmtId="0" fontId="3" fillId="0" borderId="0"/>
    <xf numFmtId="0" fontId="5" fillId="0" borderId="0"/>
    <xf numFmtId="0" fontId="2" fillId="0" borderId="0"/>
    <xf numFmtId="0" fontId="5" fillId="0" borderId="0"/>
    <xf numFmtId="0" fontId="1" fillId="0" borderId="0"/>
    <xf numFmtId="164" fontId="5" fillId="0" borderId="0" applyFont="0" applyFill="0" applyBorder="0" applyAlignment="0" applyProtection="0"/>
    <xf numFmtId="0" fontId="20" fillId="0" borderId="0"/>
    <xf numFmtId="9" fontId="21" fillId="0" borderId="0" applyFont="0" applyFill="0" applyBorder="0" applyAlignment="0" applyProtection="0"/>
    <xf numFmtId="0" fontId="23" fillId="0" borderId="0" applyNumberFormat="0" applyFill="0" applyBorder="0" applyAlignment="0" applyProtection="0"/>
  </cellStyleXfs>
  <cellXfs count="333">
    <xf numFmtId="0" fontId="0" fillId="0" borderId="0" xfId="0"/>
    <xf numFmtId="0" fontId="7" fillId="0" borderId="0" xfId="0" applyFont="1" applyAlignment="1">
      <alignment horizontal="center" vertical="center"/>
    </xf>
    <xf numFmtId="0" fontId="7" fillId="0" borderId="0" xfId="1" applyFont="1" applyAlignment="1">
      <alignment horizontal="center" vertical="center"/>
    </xf>
    <xf numFmtId="0" fontId="0" fillId="3" borderId="1" xfId="0" applyFill="1" applyBorder="1"/>
    <xf numFmtId="0" fontId="0" fillId="0" borderId="2" xfId="0" applyBorder="1" applyAlignment="1"/>
    <xf numFmtId="0" fontId="9" fillId="0" borderId="1" xfId="0" applyFont="1" applyBorder="1"/>
    <xf numFmtId="0" fontId="9" fillId="0" borderId="1" xfId="0" applyFont="1" applyBorder="1" applyAlignment="1">
      <alignment horizontal="center"/>
    </xf>
    <xf numFmtId="0" fontId="0" fillId="0" borderId="1" xfId="0" applyBorder="1"/>
    <xf numFmtId="0" fontId="7" fillId="0" borderId="0" xfId="1" applyFont="1"/>
    <xf numFmtId="0" fontId="6" fillId="0" borderId="0" xfId="2" applyFont="1"/>
    <xf numFmtId="0" fontId="12" fillId="0" borderId="0" xfId="1" applyFont="1"/>
    <xf numFmtId="0" fontId="15" fillId="0" borderId="0" xfId="1" applyFont="1"/>
    <xf numFmtId="0" fontId="16" fillId="0" borderId="0" xfId="1" applyFont="1"/>
    <xf numFmtId="0" fontId="12" fillId="2" borderId="1" xfId="1" applyFont="1" applyFill="1" applyBorder="1" applyAlignment="1" applyProtection="1">
      <alignment vertical="top"/>
      <protection locked="0"/>
    </xf>
    <xf numFmtId="0" fontId="8" fillId="0" borderId="0" xfId="1" applyFont="1" applyBorder="1" applyAlignment="1" applyProtection="1">
      <alignment vertical="top"/>
      <protection locked="0"/>
    </xf>
    <xf numFmtId="0" fontId="8" fillId="0" borderId="0" xfId="1" applyFont="1" applyBorder="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0" fontId="7" fillId="0" borderId="0" xfId="1" applyFont="1" applyProtection="1">
      <protection hidden="1"/>
    </xf>
    <xf numFmtId="1" fontId="6" fillId="0" borderId="1" xfId="1" applyNumberFormat="1" applyFont="1" applyFill="1" applyBorder="1" applyAlignment="1" applyProtection="1">
      <alignment horizontal="center" vertical="center" wrapText="1"/>
      <protection locked="0"/>
    </xf>
    <xf numFmtId="0" fontId="7" fillId="0" borderId="11" xfId="1" applyFont="1" applyBorder="1" applyProtection="1">
      <protection hidden="1"/>
    </xf>
    <xf numFmtId="0" fontId="7" fillId="0" borderId="12" xfId="1" applyFont="1" applyBorder="1" applyProtection="1">
      <protection hidden="1"/>
    </xf>
    <xf numFmtId="0" fontId="7" fillId="0" borderId="0" xfId="1" applyFont="1" applyBorder="1" applyProtection="1">
      <protection hidden="1"/>
    </xf>
    <xf numFmtId="0" fontId="7" fillId="0" borderId="13" xfId="1" applyFont="1" applyBorder="1" applyProtection="1">
      <protection hidden="1"/>
    </xf>
    <xf numFmtId="0" fontId="7" fillId="0" borderId="0" xfId="1" applyFont="1" applyBorder="1"/>
    <xf numFmtId="0" fontId="7" fillId="0" borderId="13" xfId="1" applyFont="1" applyBorder="1"/>
    <xf numFmtId="9" fontId="17" fillId="0" borderId="0" xfId="0" applyNumberFormat="1" applyFont="1" applyBorder="1" applyProtection="1">
      <protection hidden="1"/>
    </xf>
    <xf numFmtId="0" fontId="5" fillId="0" borderId="0" xfId="4" applyFont="1"/>
    <xf numFmtId="0" fontId="5" fillId="0" borderId="0" xfId="4"/>
    <xf numFmtId="0" fontId="1" fillId="0" borderId="0" xfId="5"/>
    <xf numFmtId="0" fontId="9"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8" fillId="0" borderId="1" xfId="5" applyNumberFormat="1" applyFont="1" applyBorder="1" applyAlignment="1">
      <alignment horizontal="center" vertical="center"/>
    </xf>
    <xf numFmtId="0" fontId="1" fillId="0" borderId="1" xfId="5" applyFont="1" applyBorder="1" applyAlignment="1">
      <alignment horizontal="center" vertical="center"/>
    </xf>
    <xf numFmtId="0" fontId="5" fillId="0" borderId="1" xfId="4" applyFont="1" applyBorder="1" applyAlignment="1">
      <alignment horizontal="center" vertical="center"/>
    </xf>
    <xf numFmtId="1" fontId="8" fillId="0" borderId="3" xfId="1" applyNumberFormat="1" applyFont="1" applyFill="1" applyBorder="1" applyAlignment="1" applyProtection="1">
      <alignment horizontal="center" vertical="top" wrapText="1"/>
      <protection locked="0"/>
    </xf>
    <xf numFmtId="9" fontId="8" fillId="0" borderId="19" xfId="8" applyFont="1" applyFill="1" applyBorder="1" applyAlignment="1" applyProtection="1">
      <alignment horizontal="center" vertical="top" wrapText="1"/>
      <protection locked="0"/>
    </xf>
    <xf numFmtId="1" fontId="6" fillId="0" borderId="1" xfId="1" applyNumberFormat="1" applyFont="1" applyFill="1" applyBorder="1" applyAlignment="1" applyProtection="1">
      <alignment horizontal="center" vertical="center" wrapText="1"/>
      <protection locked="0"/>
    </xf>
    <xf numFmtId="1" fontId="7" fillId="0" borderId="0" xfId="1" applyNumberFormat="1" applyFont="1" applyAlignment="1">
      <alignment horizontal="center" vertical="center"/>
    </xf>
    <xf numFmtId="0" fontId="7" fillId="0" borderId="0" xfId="1" applyNumberFormat="1" applyFont="1" applyAlignment="1">
      <alignment horizontal="center" vertical="center"/>
    </xf>
    <xf numFmtId="0" fontId="7" fillId="0" borderId="0" xfId="1" applyFont="1" applyAlignment="1">
      <alignment horizontal="center" vertical="center"/>
    </xf>
    <xf numFmtId="1" fontId="8" fillId="0" borderId="3" xfId="1" applyNumberFormat="1" applyFont="1" applyFill="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0" fontId="17" fillId="0" borderId="0" xfId="0" applyFont="1" applyFill="1" applyBorder="1" applyProtection="1">
      <protection hidden="1"/>
    </xf>
    <xf numFmtId="167" fontId="7" fillId="0" borderId="0" xfId="1" applyNumberFormat="1" applyFont="1"/>
    <xf numFmtId="14" fontId="7" fillId="0" borderId="0" xfId="1" applyNumberFormat="1" applyFont="1"/>
    <xf numFmtId="1" fontId="7" fillId="0" borderId="0" xfId="1" applyNumberFormat="1" applyFont="1"/>
    <xf numFmtId="0" fontId="7" fillId="0" borderId="0" xfId="1" applyNumberFormat="1" applyFont="1"/>
    <xf numFmtId="0" fontId="7" fillId="0" borderId="0" xfId="1" applyFont="1" applyAlignment="1">
      <alignment horizontal="center" vertical="center"/>
    </xf>
    <xf numFmtId="1" fontId="6" fillId="0" borderId="1" xfId="1" applyNumberFormat="1" applyFont="1" applyFill="1" applyBorder="1" applyAlignment="1" applyProtection="1">
      <alignment horizontal="center" vertical="center" wrapText="1"/>
      <protection locked="0"/>
    </xf>
    <xf numFmtId="1" fontId="8" fillId="0" borderId="1" xfId="0" applyNumberFormat="1" applyFont="1" applyFill="1" applyBorder="1" applyAlignment="1" applyProtection="1">
      <alignment horizontal="center" vertical="center" wrapText="1"/>
      <protection locked="0"/>
    </xf>
    <xf numFmtId="1" fontId="6" fillId="0" borderId="1" xfId="1" applyNumberFormat="1" applyFont="1" applyFill="1" applyBorder="1" applyAlignment="1" applyProtection="1">
      <alignment horizontal="center" vertical="center" wrapText="1"/>
      <protection locked="0"/>
    </xf>
    <xf numFmtId="0" fontId="17" fillId="0" borderId="13" xfId="0" applyNumberFormat="1" applyFont="1" applyBorder="1" applyProtection="1">
      <protection hidden="1"/>
    </xf>
    <xf numFmtId="0" fontId="7" fillId="0" borderId="11" xfId="1" applyFont="1" applyFill="1" applyBorder="1" applyProtection="1">
      <protection hidden="1"/>
    </xf>
    <xf numFmtId="0" fontId="7" fillId="0" borderId="0" xfId="1" applyFont="1" applyFill="1" applyBorder="1" applyProtection="1">
      <protection hidden="1"/>
    </xf>
    <xf numFmtId="0" fontId="0" fillId="0" borderId="0" xfId="0" applyBorder="1"/>
    <xf numFmtId="0" fontId="17" fillId="0" borderId="14" xfId="0" applyFont="1" applyFill="1" applyBorder="1" applyProtection="1">
      <protection hidden="1"/>
    </xf>
    <xf numFmtId="9" fontId="17" fillId="0" borderId="14" xfId="0" applyNumberFormat="1" applyFont="1" applyBorder="1" applyProtection="1">
      <protection hidden="1"/>
    </xf>
    <xf numFmtId="165" fontId="0" fillId="0" borderId="0" xfId="0" applyNumberFormat="1" applyBorder="1"/>
    <xf numFmtId="1" fontId="0" fillId="0" borderId="13" xfId="0" applyNumberFormat="1" applyBorder="1"/>
    <xf numFmtId="1" fontId="0" fillId="0" borderId="13" xfId="0" applyNumberFormat="1" applyBorder="1" applyAlignment="1">
      <alignment horizontal="right"/>
    </xf>
    <xf numFmtId="1" fontId="0" fillId="0" borderId="15" xfId="0" applyNumberFormat="1" applyBorder="1"/>
    <xf numFmtId="0" fontId="12" fillId="0" borderId="4" xfId="1" applyFont="1" applyFill="1" applyBorder="1" applyAlignment="1" applyProtection="1">
      <alignment horizontal="center" vertical="top"/>
      <protection locked="0"/>
    </xf>
    <xf numFmtId="0" fontId="0" fillId="0" borderId="13" xfId="0" applyBorder="1"/>
    <xf numFmtId="1" fontId="0" fillId="0" borderId="0" xfId="0" applyNumberFormat="1" applyBorder="1"/>
    <xf numFmtId="0" fontId="7" fillId="0" borderId="0" xfId="1" applyFont="1" applyAlignment="1">
      <alignment horizontal="center" vertical="center"/>
    </xf>
    <xf numFmtId="0" fontId="12" fillId="2" borderId="1" xfId="1" applyFont="1" applyFill="1" applyBorder="1" applyAlignment="1" applyProtection="1">
      <alignment horizontal="left" vertical="top"/>
      <protection locked="0"/>
    </xf>
    <xf numFmtId="1" fontId="6" fillId="0" borderId="1" xfId="1" applyNumberFormat="1" applyFont="1" applyFill="1" applyBorder="1" applyAlignment="1" applyProtection="1">
      <alignment horizontal="center" vertical="center" wrapText="1"/>
      <protection locked="0"/>
    </xf>
    <xf numFmtId="0" fontId="7" fillId="0" borderId="0" xfId="1" applyFont="1" applyAlignment="1">
      <alignment horizontal="center" vertical="center"/>
    </xf>
    <xf numFmtId="0" fontId="7" fillId="0" borderId="0" xfId="1" applyFont="1" applyAlignment="1">
      <alignment horizontal="center" vertical="center"/>
    </xf>
    <xf numFmtId="1" fontId="6" fillId="0" borderId="1" xfId="1" applyNumberFormat="1" applyFont="1" applyFill="1" applyBorder="1" applyAlignment="1" applyProtection="1">
      <alignment horizontal="center" vertical="center" wrapText="1"/>
      <protection locked="0"/>
    </xf>
    <xf numFmtId="0" fontId="12" fillId="0" borderId="1" xfId="1" applyFont="1" applyFill="1" applyBorder="1" applyAlignment="1" applyProtection="1">
      <alignment horizontal="center" vertical="top"/>
      <protection locked="0"/>
    </xf>
    <xf numFmtId="0" fontId="12" fillId="0" borderId="5" xfId="1" applyFont="1" applyFill="1" applyBorder="1" applyAlignment="1" applyProtection="1">
      <alignment horizontal="center" vertical="top"/>
      <protection locked="0"/>
    </xf>
    <xf numFmtId="0" fontId="13" fillId="2" borderId="1" xfId="1" applyFont="1" applyFill="1" applyBorder="1" applyAlignment="1" applyProtection="1">
      <alignment horizontal="left" vertical="top"/>
      <protection locked="0"/>
    </xf>
    <xf numFmtId="1" fontId="6" fillId="0" borderId="1" xfId="1" applyNumberFormat="1" applyFont="1" applyFill="1" applyBorder="1" applyAlignment="1" applyProtection="1">
      <alignment horizontal="center" vertical="center" wrapText="1"/>
      <protection locked="0"/>
    </xf>
    <xf numFmtId="0" fontId="7" fillId="0" borderId="0" xfId="1" applyFont="1" applyAlignment="1">
      <alignment horizontal="center" vertical="center"/>
    </xf>
    <xf numFmtId="0" fontId="12" fillId="0" borderId="1" xfId="1" applyFont="1" applyBorder="1" applyAlignment="1" applyProtection="1">
      <alignment horizontal="center" vertical="top" wrapText="1"/>
      <protection locked="0"/>
    </xf>
    <xf numFmtId="0" fontId="12" fillId="0" borderId="1" xfId="1" applyFont="1" applyBorder="1" applyAlignment="1" applyProtection="1">
      <alignment horizontal="center" wrapText="1"/>
      <protection locked="0"/>
    </xf>
    <xf numFmtId="1" fontId="12" fillId="0" borderId="1" xfId="1" applyNumberFormat="1" applyFont="1" applyBorder="1" applyAlignment="1" applyProtection="1">
      <alignment horizontal="center" wrapText="1"/>
      <protection locked="0"/>
    </xf>
    <xf numFmtId="0" fontId="12" fillId="0" borderId="7" xfId="1" applyFont="1" applyBorder="1" applyAlignment="1" applyProtection="1">
      <alignment horizontal="center" wrapText="1"/>
      <protection locked="0"/>
    </xf>
    <xf numFmtId="1" fontId="6" fillId="0" borderId="1" xfId="1" applyNumberFormat="1" applyFont="1" applyFill="1" applyBorder="1" applyAlignment="1" applyProtection="1">
      <alignment horizontal="center" vertical="center" wrapText="1"/>
      <protection locked="0"/>
    </xf>
    <xf numFmtId="0" fontId="7" fillId="0" borderId="0" xfId="1" applyFont="1" applyAlignment="1">
      <alignment horizontal="center" vertical="center"/>
    </xf>
    <xf numFmtId="0" fontId="12" fillId="0" borderId="1" xfId="1" applyFont="1" applyFill="1" applyBorder="1" applyAlignment="1" applyProtection="1">
      <alignment horizontal="center" vertical="top" wrapText="1"/>
      <protection locked="0"/>
    </xf>
    <xf numFmtId="9" fontId="12" fillId="2" borderId="1" xfId="1" applyNumberFormat="1" applyFont="1" applyFill="1" applyBorder="1" applyAlignment="1" applyProtection="1">
      <alignment horizontal="center" vertical="center" wrapText="1"/>
      <protection hidden="1"/>
    </xf>
    <xf numFmtId="9" fontId="12" fillId="2" borderId="7" xfId="1" applyNumberFormat="1" applyFont="1" applyFill="1" applyBorder="1" applyAlignment="1" applyProtection="1">
      <alignment horizontal="center" vertical="center" wrapText="1"/>
      <protection hidden="1"/>
    </xf>
    <xf numFmtId="0" fontId="12" fillId="0" borderId="1" xfId="1" applyFont="1" applyFill="1" applyBorder="1" applyAlignment="1" applyProtection="1">
      <alignment horizontal="center" vertical="top"/>
      <protection locked="0"/>
    </xf>
    <xf numFmtId="1" fontId="15" fillId="0" borderId="0" xfId="1" applyNumberFormat="1" applyFont="1" applyAlignment="1">
      <alignment horizontal="center" vertical="center"/>
    </xf>
    <xf numFmtId="1" fontId="7" fillId="0" borderId="1" xfId="1" applyNumberFormat="1" applyFont="1" applyBorder="1" applyAlignment="1">
      <alignment horizontal="center" vertical="center"/>
    </xf>
    <xf numFmtId="0" fontId="7" fillId="0" borderId="0" xfId="1" applyFont="1" applyBorder="1" applyAlignment="1">
      <alignment horizontal="center" vertical="center"/>
    </xf>
    <xf numFmtId="1" fontId="7" fillId="0" borderId="0" xfId="1" applyNumberFormat="1" applyFont="1" applyBorder="1" applyAlignment="1">
      <alignment horizontal="center" vertical="center"/>
    </xf>
    <xf numFmtId="0" fontId="7" fillId="0" borderId="0" xfId="1" applyFont="1" applyAlignment="1">
      <alignment horizontal="center" vertical="center"/>
    </xf>
    <xf numFmtId="1" fontId="12" fillId="0" borderId="1" xfId="1" applyNumberFormat="1" applyFont="1" applyFill="1" applyBorder="1" applyAlignment="1" applyProtection="1">
      <alignment horizontal="center" vertical="center" wrapText="1"/>
      <protection locked="0"/>
    </xf>
    <xf numFmtId="1" fontId="12" fillId="0" borderId="1" xfId="1" applyNumberFormat="1" applyFont="1" applyBorder="1" applyAlignment="1" applyProtection="1">
      <alignment horizontal="center" vertical="center" wrapText="1"/>
      <protection locked="0"/>
    </xf>
    <xf numFmtId="0" fontId="24" fillId="0" borderId="0" xfId="1" applyFont="1"/>
    <xf numFmtId="0" fontId="7" fillId="0" borderId="1" xfId="1" applyFont="1" applyBorder="1" applyAlignment="1" applyProtection="1">
      <alignment horizontal="center" vertical="top" wrapText="1"/>
      <protection locked="0"/>
    </xf>
    <xf numFmtId="0" fontId="7" fillId="0" borderId="1" xfId="1" applyFont="1" applyFill="1" applyBorder="1" applyAlignment="1" applyProtection="1">
      <alignment horizontal="center" vertical="top" wrapText="1"/>
      <protection locked="0"/>
    </xf>
    <xf numFmtId="0" fontId="7" fillId="0" borderId="1" xfId="1" applyFont="1" applyBorder="1" applyAlignment="1" applyProtection="1">
      <alignment horizontal="center" wrapText="1"/>
      <protection locked="0"/>
    </xf>
    <xf numFmtId="9" fontId="7" fillId="2" borderId="1" xfId="1" applyNumberFormat="1" applyFont="1" applyFill="1" applyBorder="1" applyAlignment="1" applyProtection="1">
      <alignment horizontal="center" vertical="center" wrapText="1"/>
      <protection hidden="1"/>
    </xf>
    <xf numFmtId="1" fontId="7" fillId="0" borderId="1" xfId="1" applyNumberFormat="1" applyFont="1" applyBorder="1" applyAlignment="1" applyProtection="1">
      <alignment horizontal="center" wrapText="1"/>
      <protection locked="0"/>
    </xf>
    <xf numFmtId="0" fontId="7" fillId="0" borderId="7" xfId="1" applyFont="1" applyBorder="1" applyAlignment="1" applyProtection="1">
      <alignment horizontal="center" wrapText="1"/>
      <protection locked="0"/>
    </xf>
    <xf numFmtId="9" fontId="7" fillId="2" borderId="7" xfId="1" applyNumberFormat="1" applyFont="1" applyFill="1" applyBorder="1" applyAlignment="1" applyProtection="1">
      <alignment horizontal="center" vertical="center" wrapText="1"/>
      <protection hidden="1"/>
    </xf>
    <xf numFmtId="0" fontId="7" fillId="0" borderId="4" xfId="1" applyFont="1" applyFill="1" applyBorder="1" applyAlignment="1" applyProtection="1">
      <alignment horizontal="center" vertical="top"/>
      <protection locked="0"/>
    </xf>
    <xf numFmtId="0" fontId="7" fillId="0" borderId="1" xfId="1" applyFont="1" applyFill="1" applyBorder="1" applyAlignment="1" applyProtection="1">
      <alignment horizontal="center" vertical="top"/>
      <protection locked="0"/>
    </xf>
    <xf numFmtId="0" fontId="7" fillId="0" borderId="5" xfId="1" applyFont="1" applyFill="1" applyBorder="1" applyAlignment="1" applyProtection="1">
      <alignment horizontal="center" vertical="top"/>
      <protection locked="0"/>
    </xf>
    <xf numFmtId="1" fontId="6" fillId="0" borderId="0" xfId="2" applyNumberFormat="1" applyFont="1" applyAlignment="1">
      <alignment horizontal="right"/>
    </xf>
    <xf numFmtId="1" fontId="7" fillId="0" borderId="0" xfId="0" applyNumberFormat="1" applyFont="1" applyAlignment="1">
      <alignment horizontal="right" vertical="center"/>
    </xf>
    <xf numFmtId="1" fontId="6" fillId="0" borderId="0" xfId="2" applyNumberFormat="1" applyFont="1" applyAlignment="1"/>
    <xf numFmtId="1" fontId="7" fillId="0" borderId="0" xfId="0" applyNumberFormat="1" applyFont="1" applyAlignment="1">
      <alignment vertical="center"/>
    </xf>
    <xf numFmtId="1" fontId="7" fillId="0" borderId="0" xfId="1" applyNumberFormat="1" applyFont="1" applyFill="1" applyAlignment="1">
      <alignment horizontal="center" vertical="center"/>
    </xf>
    <xf numFmtId="0" fontId="7" fillId="0" borderId="0" xfId="1" applyFont="1" applyFill="1" applyAlignment="1">
      <alignment horizontal="center" vertical="center"/>
    </xf>
    <xf numFmtId="1" fontId="24" fillId="0" borderId="0" xfId="0" applyNumberFormat="1" applyFont="1" applyAlignment="1">
      <alignment horizontal="right" vertical="center"/>
    </xf>
    <xf numFmtId="0" fontId="25" fillId="0" borderId="0" xfId="0" applyFont="1" applyAlignment="1">
      <alignment horizontal="left" vertical="center" readingOrder="1"/>
    </xf>
    <xf numFmtId="0" fontId="25" fillId="0" borderId="0" xfId="0" applyFont="1"/>
    <xf numFmtId="1" fontId="12" fillId="0" borderId="1" xfId="1" applyNumberFormat="1" applyFont="1" applyBorder="1" applyAlignment="1">
      <alignment horizontal="center" vertical="center"/>
    </xf>
    <xf numFmtId="1" fontId="6" fillId="0" borderId="1" xfId="0" applyNumberFormat="1" applyFont="1" applyFill="1" applyBorder="1" applyAlignment="1" applyProtection="1">
      <alignment horizontal="center" vertical="center" wrapText="1"/>
      <protection locked="0"/>
    </xf>
    <xf numFmtId="1" fontId="8" fillId="0" borderId="1" xfId="0" applyNumberFormat="1" applyFont="1" applyFill="1" applyBorder="1" applyAlignment="1" applyProtection="1">
      <alignment horizontal="center" vertical="center" wrapText="1"/>
      <protection locked="0"/>
    </xf>
    <xf numFmtId="1" fontId="7" fillId="0" borderId="0" xfId="0" applyNumberFormat="1" applyFont="1" applyAlignment="1">
      <alignment horizontal="center" vertical="center"/>
    </xf>
    <xf numFmtId="2" fontId="7" fillId="0" borderId="0" xfId="1" applyNumberFormat="1" applyFont="1" applyAlignment="1">
      <alignment horizontal="center" vertical="center"/>
    </xf>
    <xf numFmtId="1" fontId="8" fillId="0" borderId="1" xfId="0" applyNumberFormat="1" applyFont="1" applyFill="1" applyBorder="1" applyAlignment="1" applyProtection="1">
      <alignment horizontal="center" vertical="center" wrapText="1"/>
      <protection locked="0"/>
    </xf>
    <xf numFmtId="0" fontId="13" fillId="2" borderId="1" xfId="1" applyFont="1" applyFill="1" applyBorder="1" applyAlignment="1" applyProtection="1">
      <alignment horizontal="left" vertical="top"/>
      <protection locked="0"/>
    </xf>
    <xf numFmtId="0" fontId="7" fillId="2" borderId="1" xfId="1" applyFont="1" applyFill="1" applyBorder="1" applyAlignment="1" applyProtection="1">
      <alignment horizontal="left" vertical="top"/>
      <protection locked="0"/>
    </xf>
    <xf numFmtId="0" fontId="7" fillId="2" borderId="1" xfId="1" applyFont="1" applyFill="1" applyBorder="1" applyAlignment="1" applyProtection="1">
      <alignment vertical="top"/>
      <protection locked="0"/>
    </xf>
    <xf numFmtId="0" fontId="7" fillId="0" borderId="0" xfId="1" applyFont="1" applyAlignment="1">
      <alignment horizontal="center" vertical="center"/>
    </xf>
    <xf numFmtId="1" fontId="6" fillId="0" borderId="1" xfId="1" applyNumberFormat="1" applyFont="1" applyFill="1" applyBorder="1" applyAlignment="1" applyProtection="1">
      <alignment horizontal="center" vertical="center" wrapText="1"/>
      <protection locked="0"/>
    </xf>
    <xf numFmtId="0" fontId="7" fillId="0" borderId="0" xfId="1" applyFont="1" applyAlignment="1">
      <alignment horizontal="center" vertical="center"/>
    </xf>
    <xf numFmtId="1" fontId="6" fillId="0" borderId="1" xfId="1" applyNumberFormat="1" applyFont="1" applyFill="1" applyBorder="1" applyAlignment="1" applyProtection="1">
      <alignment horizontal="center" vertical="center" wrapText="1"/>
      <protection locked="0"/>
    </xf>
    <xf numFmtId="0" fontId="12" fillId="0" borderId="1" xfId="1" applyFont="1" applyFill="1" applyBorder="1" applyAlignment="1" applyProtection="1">
      <alignment horizontal="center" vertical="top"/>
      <protection locked="0"/>
    </xf>
    <xf numFmtId="1" fontId="8" fillId="0" borderId="1" xfId="0" applyNumberFormat="1" applyFont="1" applyFill="1" applyBorder="1" applyAlignment="1" applyProtection="1">
      <alignment horizontal="center" vertical="center" wrapText="1"/>
      <protection locked="0"/>
    </xf>
    <xf numFmtId="0" fontId="7" fillId="0" borderId="0" xfId="1" applyFont="1" applyAlignment="1">
      <alignment horizontal="center" vertical="center"/>
    </xf>
    <xf numFmtId="1" fontId="6" fillId="0" borderId="1" xfId="1" applyNumberFormat="1" applyFont="1" applyFill="1" applyBorder="1" applyAlignment="1" applyProtection="1">
      <alignment horizontal="center" vertical="center" wrapText="1"/>
      <protection locked="0"/>
    </xf>
    <xf numFmtId="14" fontId="15" fillId="0" borderId="0" xfId="1" applyNumberFormat="1" applyFont="1"/>
    <xf numFmtId="1" fontId="8" fillId="0" borderId="1" xfId="0" applyNumberFormat="1" applyFont="1" applyFill="1" applyBorder="1" applyAlignment="1" applyProtection="1">
      <alignment horizontal="center" vertical="center" wrapText="1"/>
      <protection locked="0"/>
    </xf>
    <xf numFmtId="1" fontId="8" fillId="0" borderId="1" xfId="0" applyNumberFormat="1" applyFont="1" applyFill="1" applyBorder="1" applyAlignment="1" applyProtection="1">
      <alignment horizontal="center" vertical="center" wrapText="1"/>
      <protection locked="0"/>
    </xf>
    <xf numFmtId="0" fontId="13" fillId="2" borderId="1" xfId="1" applyFont="1" applyFill="1" applyBorder="1" applyAlignment="1" applyProtection="1">
      <alignment horizontal="left" vertical="top"/>
      <protection locked="0"/>
    </xf>
    <xf numFmtId="1" fontId="8" fillId="4" borderId="1" xfId="0" applyNumberFormat="1" applyFont="1" applyFill="1" applyBorder="1" applyAlignment="1" applyProtection="1">
      <alignment horizontal="center" vertical="center" wrapText="1"/>
      <protection locked="0"/>
    </xf>
    <xf numFmtId="0" fontId="7" fillId="3" borderId="0" xfId="1" applyFont="1" applyFill="1"/>
    <xf numFmtId="0" fontId="7" fillId="3" borderId="28" xfId="0" applyFont="1" applyFill="1" applyBorder="1" applyAlignment="1">
      <alignment vertical="center"/>
    </xf>
    <xf numFmtId="0" fontId="7" fillId="3" borderId="0" xfId="0" applyFont="1" applyFill="1" applyAlignment="1">
      <alignment vertical="center"/>
    </xf>
    <xf numFmtId="0" fontId="7" fillId="0" borderId="0" xfId="1" applyFont="1" applyAlignment="1">
      <alignment horizontal="center" vertical="center"/>
    </xf>
    <xf numFmtId="1" fontId="6" fillId="0" borderId="1" xfId="1" applyNumberFormat="1" applyFont="1" applyFill="1" applyBorder="1" applyAlignment="1" applyProtection="1">
      <alignment horizontal="center" vertical="center" wrapText="1"/>
      <protection locked="0"/>
    </xf>
    <xf numFmtId="0" fontId="12" fillId="0" borderId="1" xfId="1" applyFont="1" applyFill="1" applyBorder="1" applyAlignment="1" applyProtection="1">
      <alignment horizontal="center" vertical="top" wrapText="1"/>
      <protection locked="0"/>
    </xf>
    <xf numFmtId="0" fontId="12" fillId="0" borderId="1" xfId="1" applyFont="1" applyFill="1" applyBorder="1" applyAlignment="1" applyProtection="1">
      <alignment horizontal="center" vertical="top"/>
      <protection locked="0"/>
    </xf>
    <xf numFmtId="9" fontId="12" fillId="2" borderId="1" xfId="1" applyNumberFormat="1" applyFont="1" applyFill="1" applyBorder="1" applyAlignment="1" applyProtection="1">
      <alignment horizontal="center" vertical="center" wrapText="1"/>
      <protection hidden="1"/>
    </xf>
    <xf numFmtId="9" fontId="12" fillId="2" borderId="7" xfId="1" applyNumberFormat="1" applyFont="1" applyFill="1" applyBorder="1" applyAlignment="1" applyProtection="1">
      <alignment horizontal="center" vertical="center" wrapText="1"/>
      <protection hidden="1"/>
    </xf>
    <xf numFmtId="1" fontId="8" fillId="0" borderId="1" xfId="0" applyNumberFormat="1" applyFont="1" applyFill="1" applyBorder="1" applyAlignment="1" applyProtection="1">
      <alignment horizontal="center" vertical="center" wrapText="1"/>
      <protection locked="0"/>
    </xf>
    <xf numFmtId="0" fontId="7" fillId="0" borderId="0" xfId="1" applyFont="1" applyAlignment="1">
      <alignment horizontal="center" vertical="center"/>
    </xf>
    <xf numFmtId="1" fontId="6" fillId="0" borderId="1" xfId="1" applyNumberFormat="1" applyFont="1" applyFill="1" applyBorder="1" applyAlignment="1" applyProtection="1">
      <alignment horizontal="center" vertical="center" wrapText="1"/>
      <protection locked="0"/>
    </xf>
    <xf numFmtId="1" fontId="12" fillId="0" borderId="0" xfId="1" applyNumberFormat="1" applyFont="1" applyAlignment="1">
      <alignment horizontal="center" vertical="center"/>
    </xf>
    <xf numFmtId="0" fontId="12" fillId="0" borderId="1" xfId="1" applyFont="1" applyFill="1" applyBorder="1" applyAlignment="1" applyProtection="1">
      <alignment horizontal="center" vertical="top" wrapText="1"/>
      <protection locked="0"/>
    </xf>
    <xf numFmtId="9" fontId="12" fillId="2" borderId="1" xfId="1" applyNumberFormat="1" applyFont="1" applyFill="1" applyBorder="1" applyAlignment="1" applyProtection="1">
      <alignment horizontal="center" vertical="center" wrapText="1"/>
      <protection hidden="1"/>
    </xf>
    <xf numFmtId="1" fontId="7" fillId="0" borderId="1" xfId="0" applyNumberFormat="1" applyFont="1" applyBorder="1" applyAlignment="1" applyProtection="1">
      <alignment horizontal="center" vertical="center"/>
      <protection locked="0"/>
    </xf>
    <xf numFmtId="1" fontId="13" fillId="0" borderId="9" xfId="0" applyNumberFormat="1" applyFont="1" applyFill="1" applyBorder="1" applyAlignment="1" applyProtection="1">
      <alignment vertical="top" wrapText="1"/>
      <protection locked="0"/>
    </xf>
    <xf numFmtId="1" fontId="13" fillId="0" borderId="24" xfId="0" applyNumberFormat="1" applyFont="1" applyFill="1" applyBorder="1" applyAlignment="1" applyProtection="1">
      <alignment vertical="top" wrapText="1"/>
      <protection locked="0"/>
    </xf>
    <xf numFmtId="1" fontId="13" fillId="0" borderId="10" xfId="0" applyNumberFormat="1" applyFont="1" applyFill="1" applyBorder="1" applyAlignment="1" applyProtection="1">
      <alignment vertical="top" wrapText="1"/>
      <protection locked="0"/>
    </xf>
    <xf numFmtId="0" fontId="12" fillId="0" borderId="1" xfId="1" applyFont="1" applyFill="1" applyBorder="1" applyAlignment="1" applyProtection="1">
      <alignment horizontal="center" vertical="top" wrapText="1"/>
      <protection locked="0"/>
    </xf>
    <xf numFmtId="1" fontId="8" fillId="0" borderId="1" xfId="1" applyNumberFormat="1" applyFont="1" applyFill="1" applyBorder="1" applyAlignment="1" applyProtection="1">
      <alignment horizontal="center" vertical="center" wrapText="1"/>
      <protection locked="0"/>
    </xf>
    <xf numFmtId="0" fontId="7" fillId="0" borderId="0" xfId="1" applyFont="1" applyAlignment="1">
      <alignment horizontal="center" vertical="center"/>
    </xf>
    <xf numFmtId="1" fontId="6" fillId="0" borderId="1" xfId="1" applyNumberFormat="1" applyFont="1" applyFill="1" applyBorder="1" applyAlignment="1" applyProtection="1">
      <alignment horizontal="center" vertical="center" wrapText="1"/>
      <protection locked="0"/>
    </xf>
    <xf numFmtId="1" fontId="6" fillId="0" borderId="20" xfId="1" applyNumberFormat="1" applyFont="1" applyFill="1" applyBorder="1" applyAlignment="1" applyProtection="1">
      <alignment horizontal="center" vertical="center" wrapText="1"/>
      <protection locked="0"/>
    </xf>
    <xf numFmtId="1" fontId="6" fillId="0" borderId="21" xfId="1" applyNumberFormat="1" applyFont="1" applyFill="1" applyBorder="1" applyAlignment="1" applyProtection="1">
      <alignment horizontal="center" vertical="center" wrapText="1"/>
      <protection locked="0"/>
    </xf>
    <xf numFmtId="1" fontId="6" fillId="0" borderId="28" xfId="1" applyNumberFormat="1" applyFont="1" applyFill="1" applyBorder="1" applyAlignment="1" applyProtection="1">
      <alignment horizontal="center" vertical="center" wrapText="1"/>
      <protection locked="0"/>
    </xf>
    <xf numFmtId="1" fontId="6" fillId="0" borderId="29" xfId="1" applyNumberFormat="1" applyFont="1" applyFill="1" applyBorder="1" applyAlignment="1" applyProtection="1">
      <alignment horizontal="center" vertical="center" wrapText="1"/>
      <protection locked="0"/>
    </xf>
    <xf numFmtId="1" fontId="6" fillId="0" borderId="22" xfId="1" applyNumberFormat="1" applyFont="1" applyFill="1" applyBorder="1" applyAlignment="1" applyProtection="1">
      <alignment horizontal="center" vertical="center" wrapText="1"/>
      <protection locked="0"/>
    </xf>
    <xf numFmtId="1" fontId="6" fillId="0" borderId="23" xfId="1" applyNumberFormat="1" applyFont="1" applyFill="1" applyBorder="1" applyAlignment="1" applyProtection="1">
      <alignment horizontal="center" vertical="center" wrapText="1"/>
      <protection locked="0"/>
    </xf>
    <xf numFmtId="1" fontId="13" fillId="4" borderId="9" xfId="0" applyNumberFormat="1" applyFont="1" applyFill="1" applyBorder="1" applyAlignment="1" applyProtection="1">
      <alignment vertical="top" wrapText="1"/>
      <protection locked="0"/>
    </xf>
    <xf numFmtId="1" fontId="13" fillId="4" borderId="24" xfId="0" applyNumberFormat="1" applyFont="1" applyFill="1" applyBorder="1" applyAlignment="1" applyProtection="1">
      <alignment vertical="top" wrapText="1"/>
      <protection locked="0"/>
    </xf>
    <xf numFmtId="1" fontId="13" fillId="4" borderId="10" xfId="0" applyNumberFormat="1" applyFont="1" applyFill="1" applyBorder="1" applyAlignment="1" applyProtection="1">
      <alignment vertical="top" wrapText="1"/>
      <protection locked="0"/>
    </xf>
    <xf numFmtId="0" fontId="7" fillId="3" borderId="28" xfId="0" applyFont="1" applyFill="1" applyBorder="1" applyAlignment="1">
      <alignment horizontal="center" vertical="center"/>
    </xf>
    <xf numFmtId="0" fontId="7" fillId="3" borderId="0" xfId="0" applyFont="1" applyFill="1" applyAlignment="1">
      <alignment horizontal="center" vertical="center"/>
    </xf>
    <xf numFmtId="1" fontId="6" fillId="0" borderId="1" xfId="0" applyNumberFormat="1" applyFont="1" applyFill="1" applyBorder="1" applyAlignment="1" applyProtection="1">
      <alignment horizontal="center" vertical="center" wrapText="1"/>
      <protection locked="0"/>
    </xf>
    <xf numFmtId="0" fontId="13" fillId="0" borderId="25" xfId="1" applyFont="1" applyFill="1" applyBorder="1" applyAlignment="1" applyProtection="1">
      <alignment horizontal="center" vertical="top" wrapText="1"/>
      <protection locked="0"/>
    </xf>
    <xf numFmtId="0" fontId="13" fillId="0" borderId="18" xfId="1" applyFont="1" applyFill="1" applyBorder="1" applyAlignment="1" applyProtection="1">
      <alignment horizontal="center" vertical="top" wrapText="1"/>
      <protection locked="0"/>
    </xf>
    <xf numFmtId="0" fontId="13" fillId="0" borderId="16" xfId="1" applyFont="1" applyFill="1" applyBorder="1" applyAlignment="1" applyProtection="1">
      <alignment horizontal="left" vertical="top" wrapText="1"/>
      <protection locked="0"/>
    </xf>
    <xf numFmtId="0" fontId="13" fillId="0" borderId="17" xfId="1" applyFont="1" applyFill="1" applyBorder="1" applyAlignment="1" applyProtection="1">
      <alignment horizontal="left" vertical="top" wrapText="1"/>
      <protection locked="0"/>
    </xf>
    <xf numFmtId="0" fontId="13" fillId="0" borderId="26" xfId="1" applyFont="1" applyFill="1" applyBorder="1" applyAlignment="1" applyProtection="1">
      <alignment horizontal="left" vertical="top" wrapText="1"/>
      <protection locked="0"/>
    </xf>
    <xf numFmtId="0" fontId="13" fillId="0" borderId="1" xfId="1" applyFont="1" applyFill="1" applyBorder="1" applyAlignment="1" applyProtection="1">
      <alignment horizontal="left" vertical="top"/>
      <protection locked="0"/>
    </xf>
    <xf numFmtId="0" fontId="13" fillId="0" borderId="1" xfId="1" applyFont="1" applyFill="1" applyBorder="1" applyAlignment="1" applyProtection="1">
      <alignment horizontal="left" vertical="top" wrapText="1"/>
      <protection locked="0"/>
    </xf>
    <xf numFmtId="9" fontId="12" fillId="2" borderId="1" xfId="1" applyNumberFormat="1" applyFont="1" applyFill="1" applyBorder="1" applyAlignment="1" applyProtection="1">
      <alignment horizontal="center" vertical="center" wrapText="1"/>
      <protection hidden="1"/>
    </xf>
    <xf numFmtId="1" fontId="6" fillId="0" borderId="9" xfId="1" applyNumberFormat="1" applyFont="1" applyFill="1" applyBorder="1" applyAlignment="1" applyProtection="1">
      <alignment horizontal="center" vertical="center" wrapText="1"/>
      <protection locked="0"/>
    </xf>
    <xf numFmtId="1" fontId="6" fillId="0" borderId="24" xfId="1" applyNumberFormat="1" applyFont="1" applyFill="1" applyBorder="1" applyAlignment="1" applyProtection="1">
      <alignment horizontal="center" vertical="center" wrapText="1"/>
      <protection locked="0"/>
    </xf>
    <xf numFmtId="1" fontId="6" fillId="0" borderId="10" xfId="1" applyNumberFormat="1" applyFont="1" applyFill="1" applyBorder="1" applyAlignment="1" applyProtection="1">
      <alignment horizontal="center" vertical="center" wrapText="1"/>
      <protection locked="0"/>
    </xf>
    <xf numFmtId="1" fontId="8" fillId="0" borderId="9" xfId="1" applyNumberFormat="1" applyFont="1" applyFill="1" applyBorder="1" applyAlignment="1" applyProtection="1">
      <alignment horizontal="center" vertical="center" wrapText="1"/>
      <protection locked="0"/>
    </xf>
    <xf numFmtId="1" fontId="8" fillId="0" borderId="24" xfId="1" applyNumberFormat="1" applyFont="1" applyFill="1" applyBorder="1" applyAlignment="1" applyProtection="1">
      <alignment horizontal="center" vertical="center" wrapText="1"/>
      <protection locked="0"/>
    </xf>
    <xf numFmtId="1" fontId="8" fillId="0" borderId="10" xfId="1" applyNumberFormat="1" applyFont="1" applyFill="1" applyBorder="1" applyAlignment="1" applyProtection="1">
      <alignment horizontal="center" vertical="center" wrapText="1"/>
      <protection locked="0"/>
    </xf>
    <xf numFmtId="0" fontId="10" fillId="0" borderId="31" xfId="1" applyFont="1" applyFill="1" applyBorder="1" applyAlignment="1" applyProtection="1">
      <alignment horizontal="center" vertical="center"/>
      <protection locked="0"/>
    </xf>
    <xf numFmtId="0" fontId="10" fillId="0" borderId="21" xfId="1" applyFont="1" applyFill="1" applyBorder="1" applyAlignment="1" applyProtection="1">
      <alignment horizontal="center" vertical="center"/>
      <protection locked="0"/>
    </xf>
    <xf numFmtId="0" fontId="10" fillId="0" borderId="32" xfId="1" applyFont="1" applyFill="1" applyBorder="1" applyAlignment="1" applyProtection="1">
      <alignment horizontal="center" vertical="center"/>
      <protection locked="0"/>
    </xf>
    <xf numFmtId="0" fontId="10" fillId="0" borderId="23" xfId="1" applyFont="1" applyFill="1" applyBorder="1" applyAlignment="1" applyProtection="1">
      <alignment horizontal="center" vertical="center"/>
      <protection locked="0"/>
    </xf>
    <xf numFmtId="9" fontId="10" fillId="0" borderId="20" xfId="1" applyNumberFormat="1" applyFont="1" applyFill="1" applyBorder="1" applyAlignment="1" applyProtection="1">
      <alignment horizontal="center" vertical="center" wrapText="1"/>
      <protection locked="0"/>
    </xf>
    <xf numFmtId="9" fontId="10" fillId="0" borderId="33" xfId="1" applyNumberFormat="1" applyFont="1" applyFill="1" applyBorder="1" applyAlignment="1" applyProtection="1">
      <alignment horizontal="center" vertical="center" wrapText="1"/>
      <protection locked="0"/>
    </xf>
    <xf numFmtId="9" fontId="10" fillId="0" borderId="22" xfId="1" applyNumberFormat="1" applyFont="1" applyFill="1" applyBorder="1" applyAlignment="1" applyProtection="1">
      <alignment horizontal="center" vertical="center" wrapText="1"/>
      <protection locked="0"/>
    </xf>
    <xf numFmtId="9" fontId="10" fillId="0" borderId="34" xfId="1" applyNumberFormat="1" applyFont="1" applyFill="1" applyBorder="1" applyAlignment="1" applyProtection="1">
      <alignment horizontal="center" vertical="center" wrapText="1"/>
      <protection locked="0"/>
    </xf>
    <xf numFmtId="0" fontId="12" fillId="0" borderId="6" xfId="1" applyFont="1" applyFill="1" applyBorder="1" applyAlignment="1" applyProtection="1">
      <alignment horizontal="center" vertical="top" wrapText="1"/>
      <protection locked="0"/>
    </xf>
    <xf numFmtId="0" fontId="12" fillId="0" borderId="7" xfId="1" applyFont="1" applyFill="1" applyBorder="1" applyAlignment="1" applyProtection="1">
      <alignment horizontal="center" vertical="top" wrapText="1"/>
      <protection locked="0"/>
    </xf>
    <xf numFmtId="0" fontId="13" fillId="0" borderId="4" xfId="1" applyFont="1" applyFill="1" applyBorder="1" applyAlignment="1" applyProtection="1">
      <alignment horizontal="left" vertical="top"/>
      <protection locked="0"/>
    </xf>
    <xf numFmtId="0" fontId="13" fillId="0" borderId="5" xfId="1" applyFont="1" applyFill="1" applyBorder="1" applyAlignment="1" applyProtection="1">
      <alignment horizontal="left" vertical="top" wrapText="1"/>
      <protection locked="0"/>
    </xf>
    <xf numFmtId="0" fontId="12" fillId="0" borderId="4" xfId="1" applyFont="1" applyFill="1" applyBorder="1" applyAlignment="1" applyProtection="1">
      <alignment horizontal="center" vertical="top" wrapText="1"/>
      <protection locked="0"/>
    </xf>
    <xf numFmtId="0" fontId="12" fillId="0" borderId="5" xfId="1" applyFont="1" applyFill="1" applyBorder="1" applyAlignment="1" applyProtection="1">
      <alignment horizontal="center" vertical="top" wrapText="1"/>
      <protection locked="0"/>
    </xf>
    <xf numFmtId="9" fontId="12" fillId="2" borderId="7" xfId="1" applyNumberFormat="1" applyFont="1" applyFill="1" applyBorder="1" applyAlignment="1" applyProtection="1">
      <alignment horizontal="center" vertical="center" wrapText="1"/>
      <protection hidden="1"/>
    </xf>
    <xf numFmtId="9" fontId="12" fillId="2" borderId="5" xfId="1" applyNumberFormat="1" applyFont="1" applyFill="1" applyBorder="1" applyAlignment="1" applyProtection="1">
      <alignment horizontal="center" vertical="center" wrapText="1"/>
      <protection hidden="1"/>
    </xf>
    <xf numFmtId="9" fontId="12" fillId="2" borderId="8" xfId="1" applyNumberFormat="1" applyFont="1" applyFill="1" applyBorder="1" applyAlignment="1" applyProtection="1">
      <alignment horizontal="center" vertical="center" wrapText="1"/>
      <protection hidden="1"/>
    </xf>
    <xf numFmtId="0" fontId="10" fillId="0" borderId="25" xfId="1" applyFont="1" applyFill="1" applyBorder="1" applyAlignment="1" applyProtection="1">
      <alignment horizontal="center" vertical="top" wrapText="1"/>
      <protection locked="0"/>
    </xf>
    <xf numFmtId="0" fontId="10" fillId="0" borderId="18" xfId="1" applyFont="1" applyFill="1" applyBorder="1" applyAlignment="1" applyProtection="1">
      <alignment horizontal="center" vertical="top" wrapText="1"/>
      <protection locked="0"/>
    </xf>
    <xf numFmtId="0" fontId="10" fillId="0" borderId="16" xfId="1" applyFont="1" applyFill="1" applyBorder="1" applyAlignment="1" applyProtection="1">
      <alignment horizontal="left" vertical="top" wrapText="1"/>
      <protection locked="0"/>
    </xf>
    <xf numFmtId="0" fontId="10" fillId="0" borderId="17" xfId="1" applyFont="1" applyFill="1" applyBorder="1" applyAlignment="1" applyProtection="1">
      <alignment horizontal="left" vertical="top" wrapText="1"/>
      <protection locked="0"/>
    </xf>
    <xf numFmtId="0" fontId="10" fillId="0" borderId="26" xfId="1" applyFont="1" applyFill="1" applyBorder="1" applyAlignment="1" applyProtection="1">
      <alignment horizontal="left" vertical="top" wrapText="1"/>
      <protection locked="0"/>
    </xf>
    <xf numFmtId="0" fontId="10" fillId="0" borderId="4" xfId="1" applyFont="1" applyFill="1" applyBorder="1" applyAlignment="1" applyProtection="1">
      <alignment horizontal="left" vertical="top"/>
      <protection locked="0"/>
    </xf>
    <xf numFmtId="0" fontId="10" fillId="0" borderId="1" xfId="1" applyFont="1" applyFill="1" applyBorder="1" applyAlignment="1" applyProtection="1">
      <alignment horizontal="left" vertical="top"/>
      <protection locked="0"/>
    </xf>
    <xf numFmtId="0" fontId="10" fillId="0" borderId="1" xfId="1" applyFont="1" applyFill="1" applyBorder="1" applyAlignment="1" applyProtection="1">
      <alignment horizontal="left" vertical="top" wrapText="1"/>
      <protection locked="0"/>
    </xf>
    <xf numFmtId="0" fontId="10" fillId="0" borderId="5" xfId="1" applyFont="1" applyFill="1" applyBorder="1" applyAlignment="1" applyProtection="1">
      <alignment horizontal="left" vertical="top" wrapText="1"/>
      <protection locked="0"/>
    </xf>
    <xf numFmtId="0" fontId="7" fillId="0" borderId="4" xfId="1" applyFont="1" applyFill="1" applyBorder="1" applyAlignment="1" applyProtection="1">
      <alignment horizontal="center" vertical="top" wrapText="1"/>
      <protection locked="0"/>
    </xf>
    <xf numFmtId="0" fontId="7" fillId="0" borderId="1" xfId="1" applyFont="1" applyFill="1" applyBorder="1" applyAlignment="1" applyProtection="1">
      <alignment horizontal="center" vertical="top" wrapText="1"/>
      <protection locked="0"/>
    </xf>
    <xf numFmtId="0" fontId="7" fillId="0" borderId="5" xfId="1" applyFont="1" applyFill="1" applyBorder="1" applyAlignment="1" applyProtection="1">
      <alignment horizontal="center" vertical="top" wrapText="1"/>
      <protection locked="0"/>
    </xf>
    <xf numFmtId="9" fontId="7" fillId="2" borderId="1" xfId="1" applyNumberFormat="1" applyFont="1" applyFill="1" applyBorder="1" applyAlignment="1" applyProtection="1">
      <alignment horizontal="center" vertical="center" wrapText="1"/>
      <protection hidden="1"/>
    </xf>
    <xf numFmtId="9" fontId="7" fillId="2" borderId="7" xfId="1" applyNumberFormat="1" applyFont="1" applyFill="1" applyBorder="1" applyAlignment="1" applyProtection="1">
      <alignment horizontal="center" vertical="center" wrapText="1"/>
      <protection hidden="1"/>
    </xf>
    <xf numFmtId="9" fontId="7" fillId="2" borderId="5" xfId="1" applyNumberFormat="1" applyFont="1" applyFill="1" applyBorder="1" applyAlignment="1" applyProtection="1">
      <alignment horizontal="center" vertical="center" wrapText="1"/>
      <protection hidden="1"/>
    </xf>
    <xf numFmtId="9" fontId="7" fillId="2" borderId="8" xfId="1" applyNumberFormat="1" applyFont="1" applyFill="1" applyBorder="1" applyAlignment="1" applyProtection="1">
      <alignment horizontal="center" vertical="center" wrapText="1"/>
      <protection hidden="1"/>
    </xf>
    <xf numFmtId="0" fontId="7" fillId="0" borderId="6" xfId="1" applyFont="1" applyFill="1" applyBorder="1" applyAlignment="1" applyProtection="1">
      <alignment horizontal="center" vertical="top" wrapText="1"/>
      <protection locked="0"/>
    </xf>
    <xf numFmtId="0" fontId="7" fillId="0" borderId="7" xfId="1" applyFont="1" applyFill="1" applyBorder="1" applyAlignment="1" applyProtection="1">
      <alignment horizontal="center" vertical="top" wrapText="1"/>
      <protection locked="0"/>
    </xf>
    <xf numFmtId="0" fontId="12" fillId="0" borderId="1" xfId="1" applyFont="1" applyFill="1" applyBorder="1" applyAlignment="1" applyProtection="1">
      <alignment horizontal="left" vertical="top"/>
      <protection locked="0"/>
    </xf>
    <xf numFmtId="0" fontId="6" fillId="0" borderId="1" xfId="1" applyFont="1" applyFill="1" applyBorder="1" applyAlignment="1" applyProtection="1">
      <alignment horizontal="left" vertical="top"/>
      <protection locked="0"/>
    </xf>
    <xf numFmtId="1" fontId="8" fillId="0" borderId="3" xfId="1" applyNumberFormat="1" applyFont="1" applyFill="1" applyBorder="1" applyAlignment="1" applyProtection="1">
      <alignment horizontal="center" vertical="top" wrapText="1"/>
      <protection locked="0"/>
    </xf>
    <xf numFmtId="1" fontId="8" fillId="0" borderId="19" xfId="1" applyNumberFormat="1" applyFont="1" applyFill="1" applyBorder="1" applyAlignment="1" applyProtection="1">
      <alignment horizontal="center" vertical="top" wrapText="1"/>
      <protection locked="0"/>
    </xf>
    <xf numFmtId="1" fontId="8" fillId="0" borderId="20" xfId="1" applyNumberFormat="1" applyFont="1" applyFill="1" applyBorder="1" applyAlignment="1" applyProtection="1">
      <alignment horizontal="center" vertical="top" wrapText="1"/>
      <protection locked="0"/>
    </xf>
    <xf numFmtId="1" fontId="8" fillId="0" borderId="22" xfId="1" applyNumberFormat="1" applyFont="1" applyFill="1" applyBorder="1" applyAlignment="1" applyProtection="1">
      <alignment horizontal="center" vertical="top" wrapText="1"/>
      <protection locked="0"/>
    </xf>
    <xf numFmtId="1" fontId="8" fillId="0" borderId="9" xfId="0" applyNumberFormat="1" applyFont="1" applyFill="1" applyBorder="1" applyAlignment="1" applyProtection="1">
      <alignment vertical="top" wrapText="1"/>
      <protection locked="0"/>
    </xf>
    <xf numFmtId="1" fontId="8" fillId="0" borderId="24" xfId="0" applyNumberFormat="1" applyFont="1" applyFill="1" applyBorder="1" applyAlignment="1" applyProtection="1">
      <alignment vertical="top" wrapText="1"/>
      <protection locked="0"/>
    </xf>
    <xf numFmtId="1" fontId="8" fillId="0" borderId="10" xfId="0" applyNumberFormat="1" applyFont="1" applyFill="1" applyBorder="1" applyAlignment="1" applyProtection="1">
      <alignment vertical="top" wrapText="1"/>
      <protection locked="0"/>
    </xf>
    <xf numFmtId="1" fontId="4" fillId="0" borderId="3" xfId="1" applyNumberFormat="1" applyFont="1" applyFill="1" applyBorder="1" applyAlignment="1" applyProtection="1">
      <alignment horizontal="center" vertical="top" wrapText="1"/>
      <protection locked="0"/>
    </xf>
    <xf numFmtId="1" fontId="4" fillId="0" borderId="19" xfId="1" applyNumberFormat="1" applyFont="1" applyFill="1" applyBorder="1" applyAlignment="1" applyProtection="1">
      <alignment horizontal="center" vertical="top" wrapText="1"/>
      <protection locked="0"/>
    </xf>
    <xf numFmtId="1" fontId="8" fillId="0" borderId="21" xfId="1" applyNumberFormat="1" applyFont="1" applyFill="1" applyBorder="1" applyAlignment="1" applyProtection="1">
      <alignment horizontal="center" vertical="top" wrapText="1"/>
      <protection locked="0"/>
    </xf>
    <xf numFmtId="1" fontId="8" fillId="0" borderId="23" xfId="1" applyNumberFormat="1" applyFont="1" applyFill="1" applyBorder="1" applyAlignment="1" applyProtection="1">
      <alignment horizontal="center" vertical="top" wrapText="1"/>
      <protection locked="0"/>
    </xf>
    <xf numFmtId="2" fontId="12" fillId="0" borderId="1" xfId="1" applyNumberFormat="1" applyFont="1" applyFill="1" applyBorder="1" applyAlignment="1" applyProtection="1">
      <alignment horizontal="left" vertical="top" wrapText="1"/>
      <protection locked="0"/>
    </xf>
    <xf numFmtId="0" fontId="12" fillId="0" borderId="1" xfId="1" applyFont="1" applyFill="1" applyBorder="1" applyAlignment="1" applyProtection="1">
      <alignment horizontal="center" vertical="top"/>
      <protection locked="0"/>
    </xf>
    <xf numFmtId="0" fontId="8" fillId="0" borderId="1" xfId="1" applyFont="1" applyFill="1" applyBorder="1" applyAlignment="1" applyProtection="1">
      <alignment horizontal="left" vertical="top"/>
      <protection locked="0"/>
    </xf>
    <xf numFmtId="165" fontId="12" fillId="0" borderId="1" xfId="1" applyNumberFormat="1" applyFont="1" applyFill="1" applyBorder="1" applyAlignment="1" applyProtection="1">
      <alignment horizontal="left" vertical="top"/>
      <protection locked="0"/>
    </xf>
    <xf numFmtId="0" fontId="7" fillId="0" borderId="1"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1" fontId="8" fillId="0" borderId="1" xfId="0" applyNumberFormat="1" applyFont="1" applyFill="1" applyBorder="1" applyAlignment="1" applyProtection="1">
      <alignment horizontal="center" vertical="top" wrapText="1"/>
      <protection locked="0"/>
    </xf>
    <xf numFmtId="0" fontId="10" fillId="0" borderId="1" xfId="0" applyFont="1" applyBorder="1" applyAlignment="1" applyProtection="1">
      <alignment horizontal="center" vertical="top" wrapText="1"/>
      <protection locked="0"/>
    </xf>
    <xf numFmtId="0" fontId="8" fillId="0" borderId="1" xfId="1" applyFont="1" applyFill="1" applyBorder="1" applyAlignment="1" applyProtection="1">
      <alignment horizontal="center" vertical="top"/>
      <protection locked="0"/>
    </xf>
    <xf numFmtId="0" fontId="7" fillId="0" borderId="1" xfId="1" applyFont="1" applyBorder="1" applyAlignment="1" applyProtection="1">
      <alignment horizontal="center"/>
      <protection locked="0"/>
    </xf>
    <xf numFmtId="0" fontId="6" fillId="0" borderId="1" xfId="1" applyFont="1" applyFill="1" applyBorder="1" applyAlignment="1" applyProtection="1">
      <alignment horizontal="center" vertical="top"/>
      <protection locked="0"/>
    </xf>
    <xf numFmtId="167" fontId="12" fillId="0" borderId="1" xfId="1" applyNumberFormat="1" applyFont="1" applyFill="1" applyBorder="1" applyAlignment="1" applyProtection="1">
      <alignment horizontal="left" vertical="top" wrapText="1"/>
      <protection locked="0"/>
    </xf>
    <xf numFmtId="0" fontId="12" fillId="2" borderId="1" xfId="1" applyFont="1" applyFill="1" applyBorder="1" applyAlignment="1" applyProtection="1">
      <alignment horizontal="left" vertical="top" wrapText="1"/>
      <protection locked="0"/>
    </xf>
    <xf numFmtId="0" fontId="12" fillId="2" borderId="1" xfId="1" applyFont="1" applyFill="1" applyBorder="1" applyAlignment="1" applyProtection="1">
      <alignment horizontal="left" vertical="top"/>
      <protection locked="0"/>
    </xf>
    <xf numFmtId="0" fontId="6" fillId="0" borderId="1" xfId="1" applyFont="1" applyFill="1" applyBorder="1" applyAlignment="1" applyProtection="1">
      <alignment horizontal="left" vertical="top" wrapText="1"/>
      <protection locked="0"/>
    </xf>
    <xf numFmtId="0" fontId="12" fillId="0" borderId="1" xfId="1" applyFont="1" applyBorder="1" applyAlignment="1" applyProtection="1">
      <alignment horizontal="center"/>
      <protection locked="0"/>
    </xf>
    <xf numFmtId="0" fontId="13" fillId="0" borderId="1" xfId="1" applyFont="1" applyBorder="1" applyAlignment="1" applyProtection="1">
      <alignment horizontal="center"/>
      <protection locked="0"/>
    </xf>
    <xf numFmtId="0" fontId="23" fillId="0" borderId="9" xfId="9" applyFill="1" applyBorder="1" applyAlignment="1" applyProtection="1">
      <alignment horizontal="left" vertical="top"/>
      <protection locked="0"/>
    </xf>
    <xf numFmtId="0" fontId="8" fillId="0" borderId="24" xfId="1" applyFont="1" applyFill="1" applyBorder="1" applyAlignment="1" applyProtection="1">
      <alignment horizontal="left" vertical="top"/>
      <protection locked="0"/>
    </xf>
    <xf numFmtId="0" fontId="8" fillId="0" borderId="10" xfId="1" applyFont="1" applyFill="1" applyBorder="1" applyAlignment="1" applyProtection="1">
      <alignment horizontal="left" vertical="top"/>
      <protection locked="0"/>
    </xf>
    <xf numFmtId="0" fontId="8" fillId="0" borderId="9" xfId="1" applyFont="1" applyFill="1" applyBorder="1" applyAlignment="1" applyProtection="1">
      <alignment horizontal="center" vertical="top"/>
      <protection locked="0"/>
    </xf>
    <xf numFmtId="0" fontId="8" fillId="0" borderId="10" xfId="1" applyFont="1" applyFill="1" applyBorder="1" applyAlignment="1" applyProtection="1">
      <alignment horizontal="center" vertical="top"/>
      <protection locked="0"/>
    </xf>
    <xf numFmtId="0" fontId="12" fillId="0" borderId="1" xfId="1" applyFont="1" applyFill="1" applyBorder="1" applyAlignment="1" applyProtection="1">
      <alignment horizontal="left" vertical="center" wrapText="1"/>
      <protection locked="0"/>
    </xf>
    <xf numFmtId="0" fontId="12" fillId="0" borderId="1" xfId="1" applyFont="1" applyFill="1" applyBorder="1" applyAlignment="1" applyProtection="1">
      <alignment horizontal="left" vertical="top" wrapText="1"/>
      <protection locked="0"/>
    </xf>
    <xf numFmtId="0" fontId="8" fillId="0" borderId="1" xfId="1" applyFont="1" applyFill="1" applyBorder="1" applyAlignment="1" applyProtection="1">
      <alignment horizontal="left" vertical="top" wrapText="1"/>
      <protection locked="0"/>
    </xf>
    <xf numFmtId="0" fontId="13" fillId="2" borderId="1" xfId="1" applyFont="1" applyFill="1" applyBorder="1" applyAlignment="1" applyProtection="1">
      <alignment horizontal="left" vertical="top" wrapText="1"/>
      <protection locked="0"/>
    </xf>
    <xf numFmtId="0" fontId="13" fillId="2" borderId="1" xfId="1" applyFont="1" applyFill="1" applyBorder="1" applyAlignment="1" applyProtection="1">
      <alignment horizontal="left" vertical="top"/>
      <protection locked="0"/>
    </xf>
    <xf numFmtId="167" fontId="13" fillId="0" borderId="1" xfId="1" applyNumberFormat="1" applyFont="1" applyFill="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6" fillId="0" borderId="1" xfId="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0" fontId="13" fillId="0" borderId="1" xfId="1" applyFont="1" applyFill="1" applyBorder="1" applyAlignment="1" applyProtection="1">
      <alignment horizontal="center" vertical="top"/>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167" fontId="6" fillId="0" borderId="1" xfId="1" applyNumberFormat="1" applyFont="1" applyBorder="1" applyAlignment="1" applyProtection="1">
      <alignment horizontal="left" vertical="top"/>
      <protection locked="0"/>
    </xf>
    <xf numFmtId="0" fontId="8" fillId="0" borderId="1" xfId="1" applyFont="1" applyBorder="1" applyAlignment="1" applyProtection="1">
      <alignment horizontal="left" vertical="top"/>
      <protection locked="0"/>
    </xf>
    <xf numFmtId="0" fontId="7" fillId="0" borderId="1" xfId="1" applyFont="1" applyBorder="1" applyAlignment="1" applyProtection="1">
      <alignment horizontal="left" vertical="top" wrapText="1"/>
      <protection locked="0"/>
    </xf>
    <xf numFmtId="0" fontId="7" fillId="0" borderId="1" xfId="1" applyFont="1" applyBorder="1" applyAlignment="1" applyProtection="1">
      <alignment horizontal="left" vertical="top"/>
      <protection locked="0"/>
    </xf>
    <xf numFmtId="167" fontId="7" fillId="0" borderId="1" xfId="1" applyNumberFormat="1" applyFont="1" applyBorder="1" applyAlignment="1" applyProtection="1">
      <alignment horizontal="left" vertical="top"/>
      <protection locked="0"/>
    </xf>
    <xf numFmtId="0" fontId="6" fillId="0" borderId="1" xfId="1" applyFont="1" applyBorder="1" applyAlignment="1" applyProtection="1">
      <alignment horizontal="left" vertical="top" wrapText="1"/>
      <protection locked="0"/>
    </xf>
    <xf numFmtId="0" fontId="6" fillId="0" borderId="3" xfId="1" applyFont="1" applyFill="1" applyBorder="1" applyAlignment="1" applyProtection="1">
      <alignment horizontal="left" vertical="top"/>
      <protection locked="0"/>
    </xf>
    <xf numFmtId="0" fontId="12" fillId="0" borderId="3" xfId="1" applyFont="1" applyFill="1" applyBorder="1" applyAlignment="1" applyProtection="1">
      <alignment horizontal="left" vertical="top" wrapText="1"/>
      <protection locked="0"/>
    </xf>
    <xf numFmtId="2" fontId="6" fillId="0" borderId="1" xfId="1" applyNumberFormat="1" applyFont="1" applyFill="1" applyBorder="1" applyAlignment="1" applyProtection="1">
      <alignment horizontal="left" vertical="top"/>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1" xfId="0" applyNumberFormat="1" applyFont="1" applyFill="1" applyBorder="1" applyAlignment="1" applyProtection="1">
      <alignment horizontal="center" vertical="center" wrapText="1"/>
      <protection locked="0"/>
    </xf>
    <xf numFmtId="3" fontId="12" fillId="0" borderId="1" xfId="1" applyNumberFormat="1" applyFont="1" applyFill="1" applyBorder="1" applyAlignment="1" applyProtection="1">
      <alignment horizontal="left" vertical="top" wrapText="1"/>
      <protection locked="0"/>
    </xf>
    <xf numFmtId="0" fontId="6" fillId="0" borderId="1" xfId="1" applyFont="1" applyBorder="1" applyAlignment="1" applyProtection="1">
      <alignment vertical="top"/>
      <protection locked="0"/>
    </xf>
    <xf numFmtId="0" fontId="12" fillId="2" borderId="9" xfId="1" applyFont="1" applyFill="1" applyBorder="1" applyAlignment="1" applyProtection="1">
      <alignment horizontal="left" vertical="top" wrapText="1"/>
      <protection locked="0"/>
    </xf>
    <xf numFmtId="0" fontId="12" fillId="2" borderId="24" xfId="1" applyFont="1" applyFill="1" applyBorder="1" applyAlignment="1" applyProtection="1">
      <alignment horizontal="left" vertical="top" wrapText="1"/>
      <protection locked="0"/>
    </xf>
    <xf numFmtId="0" fontId="12" fillId="2" borderId="10" xfId="1" applyFont="1" applyFill="1" applyBorder="1" applyAlignment="1" applyProtection="1">
      <alignment horizontal="left" vertical="top" wrapText="1"/>
      <protection locked="0"/>
    </xf>
    <xf numFmtId="2" fontId="7" fillId="0" borderId="1" xfId="1" applyNumberFormat="1" applyFont="1" applyFill="1" applyBorder="1" applyAlignment="1" applyProtection="1">
      <alignment horizontal="left" vertical="top"/>
      <protection locked="0"/>
    </xf>
    <xf numFmtId="0" fontId="8" fillId="0" borderId="1" xfId="1" applyFont="1" applyFill="1" applyBorder="1" applyAlignment="1" applyProtection="1">
      <alignment vertical="top"/>
      <protection locked="0"/>
    </xf>
    <xf numFmtId="1" fontId="8" fillId="0" borderId="1" xfId="0" applyNumberFormat="1" applyFont="1" applyFill="1" applyBorder="1" applyAlignment="1" applyProtection="1">
      <alignment horizontal="left" vertical="top" wrapText="1"/>
      <protection locked="0"/>
    </xf>
    <xf numFmtId="0" fontId="8" fillId="0" borderId="1" xfId="1" applyFont="1" applyBorder="1" applyAlignment="1" applyProtection="1">
      <alignment vertical="top"/>
      <protection locked="0"/>
    </xf>
    <xf numFmtId="1" fontId="8" fillId="4" borderId="1" xfId="1" applyNumberFormat="1" applyFont="1" applyFill="1" applyBorder="1" applyAlignment="1" applyProtection="1">
      <alignment horizontal="center" vertical="center" wrapText="1"/>
      <protection locked="0"/>
    </xf>
    <xf numFmtId="0" fontId="7" fillId="0" borderId="0" xfId="1" applyFont="1" applyFill="1" applyAlignment="1">
      <alignment horizontal="center" vertical="center"/>
    </xf>
    <xf numFmtId="1" fontId="12" fillId="0" borderId="20" xfId="1" applyNumberFormat="1" applyFont="1" applyFill="1" applyBorder="1" applyAlignment="1" applyProtection="1">
      <alignment horizontal="center" vertical="center" wrapText="1"/>
      <protection locked="0"/>
    </xf>
    <xf numFmtId="1" fontId="12" fillId="0" borderId="21" xfId="1" applyNumberFormat="1" applyFont="1" applyFill="1" applyBorder="1" applyAlignment="1" applyProtection="1">
      <alignment horizontal="center" vertical="center" wrapText="1"/>
      <protection locked="0"/>
    </xf>
    <xf numFmtId="1" fontId="12" fillId="0" borderId="28" xfId="1" applyNumberFormat="1" applyFont="1" applyFill="1" applyBorder="1" applyAlignment="1" applyProtection="1">
      <alignment horizontal="center" vertical="center" wrapText="1"/>
      <protection locked="0"/>
    </xf>
    <xf numFmtId="1" fontId="12" fillId="0" borderId="29" xfId="1" applyNumberFormat="1" applyFont="1" applyFill="1" applyBorder="1" applyAlignment="1" applyProtection="1">
      <alignment horizontal="center" vertical="center" wrapText="1"/>
      <protection locked="0"/>
    </xf>
    <xf numFmtId="1" fontId="12" fillId="0" borderId="22" xfId="1" applyNumberFormat="1" applyFont="1" applyFill="1" applyBorder="1" applyAlignment="1" applyProtection="1">
      <alignment horizontal="center" vertical="center" wrapText="1"/>
      <protection locked="0"/>
    </xf>
    <xf numFmtId="1" fontId="12" fillId="0" borderId="23" xfId="1" applyNumberFormat="1" applyFont="1" applyFill="1" applyBorder="1" applyAlignment="1" applyProtection="1">
      <alignment horizontal="center" vertical="center" wrapText="1"/>
      <protection locked="0"/>
    </xf>
    <xf numFmtId="1" fontId="13" fillId="4" borderId="1" xfId="1" applyNumberFormat="1" applyFont="1" applyFill="1" applyBorder="1" applyAlignment="1" applyProtection="1">
      <alignment horizontal="center" vertical="center" wrapText="1"/>
      <protection locked="0"/>
    </xf>
    <xf numFmtId="1" fontId="10" fillId="0" borderId="1" xfId="0" applyNumberFormat="1" applyFont="1" applyBorder="1" applyAlignment="1" applyProtection="1">
      <alignment horizontal="center" vertical="center"/>
      <protection locked="0"/>
    </xf>
    <xf numFmtId="0" fontId="7" fillId="0" borderId="9" xfId="1" applyFont="1" applyFill="1" applyBorder="1" applyAlignment="1" applyProtection="1">
      <alignment horizontal="left" vertical="top" wrapText="1"/>
      <protection locked="0"/>
    </xf>
    <xf numFmtId="0" fontId="7" fillId="0" borderId="10" xfId="1" applyFont="1" applyFill="1" applyBorder="1" applyAlignment="1" applyProtection="1">
      <alignment horizontal="left" vertical="top" wrapText="1"/>
      <protection locked="0"/>
    </xf>
    <xf numFmtId="0" fontId="7" fillId="2" borderId="1" xfId="1" applyFont="1" applyFill="1" applyBorder="1" applyAlignment="1" applyProtection="1">
      <alignment horizontal="left" vertical="top" wrapText="1"/>
      <protection locked="0"/>
    </xf>
    <xf numFmtId="167" fontId="7" fillId="0" borderId="1" xfId="1" applyNumberFormat="1" applyFont="1" applyFill="1" applyBorder="1" applyAlignment="1" applyProtection="1">
      <alignment horizontal="left" vertical="top" wrapText="1"/>
      <protection locked="0"/>
    </xf>
    <xf numFmtId="0" fontId="7" fillId="0" borderId="1" xfId="1" applyFont="1" applyFill="1" applyBorder="1" applyAlignment="1" applyProtection="1">
      <alignment horizontal="left" vertical="top" wrapText="1"/>
      <protection locked="0"/>
    </xf>
    <xf numFmtId="0" fontId="7" fillId="2" borderId="1" xfId="1" applyFont="1" applyFill="1" applyBorder="1" applyAlignment="1" applyProtection="1">
      <alignment horizontal="left" vertical="top"/>
      <protection locked="0"/>
    </xf>
    <xf numFmtId="0" fontId="7" fillId="2" borderId="9" xfId="1" applyFont="1" applyFill="1" applyBorder="1" applyAlignment="1" applyProtection="1">
      <alignment horizontal="left" vertical="top" wrapText="1"/>
      <protection locked="0"/>
    </xf>
    <xf numFmtId="0" fontId="7" fillId="2" borderId="24" xfId="1" applyFont="1" applyFill="1" applyBorder="1" applyAlignment="1" applyProtection="1">
      <alignment horizontal="left" vertical="top" wrapText="1"/>
      <protection locked="0"/>
    </xf>
    <xf numFmtId="0" fontId="7" fillId="2" borderId="10" xfId="1" applyFont="1" applyFill="1" applyBorder="1" applyAlignment="1" applyProtection="1">
      <alignment horizontal="left" vertical="top" wrapText="1"/>
      <protection locked="0"/>
    </xf>
    <xf numFmtId="1" fontId="6" fillId="0" borderId="3" xfId="0" applyNumberFormat="1" applyFont="1" applyFill="1" applyBorder="1" applyAlignment="1" applyProtection="1">
      <alignment horizontal="center" vertical="center" wrapText="1"/>
      <protection locked="0"/>
    </xf>
    <xf numFmtId="1" fontId="6" fillId="0" borderId="30" xfId="0" applyNumberFormat="1" applyFont="1" applyFill="1" applyBorder="1" applyAlignment="1" applyProtection="1">
      <alignment horizontal="center" vertical="center" wrapText="1"/>
      <protection locked="0"/>
    </xf>
    <xf numFmtId="1" fontId="6" fillId="0" borderId="19" xfId="0" applyNumberFormat="1" applyFont="1" applyFill="1" applyBorder="1" applyAlignment="1" applyProtection="1">
      <alignment horizontal="center" vertical="center" wrapText="1"/>
      <protection locked="0"/>
    </xf>
    <xf numFmtId="0" fontId="12" fillId="0" borderId="1" xfId="1" applyFont="1" applyFill="1" applyBorder="1" applyAlignment="1" applyProtection="1">
      <alignment horizontal="left"/>
      <protection locked="0"/>
    </xf>
    <xf numFmtId="1" fontId="6" fillId="0" borderId="27" xfId="1" applyNumberFormat="1" applyFont="1" applyFill="1" applyBorder="1" applyAlignment="1" applyProtection="1">
      <alignment horizontal="center" vertical="center" wrapText="1"/>
      <protection locked="0"/>
    </xf>
    <xf numFmtId="1" fontId="6" fillId="0" borderId="2" xfId="1" applyNumberFormat="1" applyFont="1" applyFill="1" applyBorder="1" applyAlignment="1" applyProtection="1">
      <alignment horizontal="center" vertical="center" wrapText="1"/>
      <protection locked="0"/>
    </xf>
    <xf numFmtId="1" fontId="6" fillId="0" borderId="0" xfId="1" applyNumberFormat="1" applyFont="1" applyFill="1" applyBorder="1" applyAlignment="1" applyProtection="1">
      <alignment horizontal="center" vertical="center" wrapText="1"/>
      <protection locked="0"/>
    </xf>
    <xf numFmtId="1" fontId="13" fillId="0" borderId="9" xfId="1" applyNumberFormat="1" applyFont="1" applyFill="1" applyBorder="1" applyAlignment="1" applyProtection="1">
      <alignment horizontal="center" vertical="center" wrapText="1"/>
      <protection locked="0"/>
    </xf>
    <xf numFmtId="1" fontId="13" fillId="0" borderId="24" xfId="1" applyNumberFormat="1" applyFont="1" applyFill="1" applyBorder="1" applyAlignment="1" applyProtection="1">
      <alignment horizontal="center" vertical="center" wrapText="1"/>
      <protection locked="0"/>
    </xf>
    <xf numFmtId="1" fontId="13" fillId="0" borderId="10" xfId="1" applyNumberFormat="1" applyFont="1" applyFill="1" applyBorder="1" applyAlignment="1" applyProtection="1">
      <alignment horizontal="center" vertical="center" wrapText="1"/>
      <protection locked="0"/>
    </xf>
    <xf numFmtId="0" fontId="8" fillId="4" borderId="9" xfId="1" applyFont="1" applyFill="1" applyBorder="1" applyAlignment="1" applyProtection="1">
      <alignment horizontal="center" vertical="top" wrapText="1"/>
      <protection locked="0"/>
    </xf>
    <xf numFmtId="0" fontId="8" fillId="4" borderId="24" xfId="1" applyFont="1" applyFill="1" applyBorder="1" applyAlignment="1" applyProtection="1">
      <alignment horizontal="center" vertical="top" wrapText="1"/>
      <protection locked="0"/>
    </xf>
    <xf numFmtId="0" fontId="8" fillId="4" borderId="10" xfId="1" applyFont="1" applyFill="1" applyBorder="1" applyAlignment="1" applyProtection="1">
      <alignment horizontal="center" vertical="top" wrapText="1"/>
      <protection locked="0"/>
    </xf>
    <xf numFmtId="0" fontId="8" fillId="5" borderId="9" xfId="1" applyFont="1" applyFill="1" applyBorder="1" applyAlignment="1" applyProtection="1">
      <alignment horizontal="center" vertical="top" wrapText="1"/>
      <protection locked="0"/>
    </xf>
    <xf numFmtId="0" fontId="8" fillId="5" borderId="24" xfId="1" applyFont="1" applyFill="1" applyBorder="1" applyAlignment="1" applyProtection="1">
      <alignment horizontal="center" vertical="top" wrapText="1"/>
      <protection locked="0"/>
    </xf>
    <xf numFmtId="0" fontId="8" fillId="5" borderId="10" xfId="1" applyFont="1" applyFill="1" applyBorder="1" applyAlignment="1" applyProtection="1">
      <alignment horizontal="center" vertical="top" wrapText="1"/>
      <protection locked="0"/>
    </xf>
    <xf numFmtId="1" fontId="13" fillId="0" borderId="1" xfId="1" applyNumberFormat="1" applyFont="1" applyFill="1" applyBorder="1" applyAlignment="1" applyProtection="1">
      <alignment horizontal="center" vertical="center" wrapText="1"/>
      <protection locked="0"/>
    </xf>
    <xf numFmtId="0" fontId="0" fillId="3" borderId="1" xfId="0" applyFill="1" applyBorder="1" applyAlignment="1">
      <alignment horizontal="center" wrapText="1"/>
    </xf>
    <xf numFmtId="0" fontId="9" fillId="0" borderId="1" xfId="0" applyFont="1" applyBorder="1" applyAlignment="1">
      <alignment horizontal="center"/>
    </xf>
    <xf numFmtId="0" fontId="9" fillId="0" borderId="1" xfId="5" applyFont="1" applyBorder="1" applyAlignment="1">
      <alignment horizontal="left"/>
    </xf>
  </cellXfs>
  <cellStyles count="10">
    <cellStyle name="Comma 2" xfId="6"/>
    <cellStyle name="Excel Built-in Normal" xfId="2"/>
    <cellStyle name="Excel Built-in Normal 2" xfId="4"/>
    <cellStyle name="Hyperlink" xfId="9"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jpe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6.png"/><Relationship Id="rId1" Type="http://schemas.openxmlformats.org/officeDocument/2006/relationships/image" Target="../media/image25.png"/></Relationships>
</file>

<file path=xl/drawings/drawing1.xml><?xml version="1.0" encoding="utf-8"?>
<xdr:wsDr xmlns:xdr="http://schemas.openxmlformats.org/drawingml/2006/spreadsheetDrawing" xmlns:a="http://schemas.openxmlformats.org/drawingml/2006/main">
  <xdr:twoCellAnchor editAs="oneCell">
    <xdr:from>
      <xdr:col>0</xdr:col>
      <xdr:colOff>633186</xdr:colOff>
      <xdr:row>980</xdr:row>
      <xdr:rowOff>37876</xdr:rowOff>
    </xdr:from>
    <xdr:to>
      <xdr:col>7</xdr:col>
      <xdr:colOff>359289</xdr:colOff>
      <xdr:row>997</xdr:row>
      <xdr:rowOff>168056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633186" y="154685776"/>
          <a:ext cx="5720503" cy="3476629"/>
        </a:xfrm>
        <a:prstGeom prst="rect">
          <a:avLst/>
        </a:prstGeom>
        <a:ln>
          <a:solidFill>
            <a:schemeClr val="tx1"/>
          </a:solidFill>
        </a:ln>
      </xdr:spPr>
    </xdr:pic>
    <xdr:clientData/>
  </xdr:twoCellAnchor>
  <xdr:twoCellAnchor editAs="oneCell">
    <xdr:from>
      <xdr:col>0</xdr:col>
      <xdr:colOff>698948</xdr:colOff>
      <xdr:row>961</xdr:row>
      <xdr:rowOff>149679</xdr:rowOff>
    </xdr:from>
    <xdr:to>
      <xdr:col>7</xdr:col>
      <xdr:colOff>359289</xdr:colOff>
      <xdr:row>979</xdr:row>
      <xdr:rowOff>75749</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698948" y="151057429"/>
          <a:ext cx="5654741" cy="3469370"/>
        </a:xfrm>
        <a:prstGeom prst="rect">
          <a:avLst/>
        </a:prstGeom>
        <a:ln>
          <a:solidFill>
            <a:schemeClr val="tx1"/>
          </a:solidFill>
        </a:ln>
      </xdr:spPr>
    </xdr:pic>
    <xdr:clientData/>
  </xdr:twoCellAnchor>
  <xdr:twoCellAnchor editAs="oneCell">
    <xdr:from>
      <xdr:col>0</xdr:col>
      <xdr:colOff>533400</xdr:colOff>
      <xdr:row>923</xdr:row>
      <xdr:rowOff>180975</xdr:rowOff>
    </xdr:from>
    <xdr:to>
      <xdr:col>7</xdr:col>
      <xdr:colOff>420832</xdr:colOff>
      <xdr:row>939</xdr:row>
      <xdr:rowOff>114300</xdr:rowOff>
    </xdr:to>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533400" y="118500525"/>
          <a:ext cx="6019800" cy="3124200"/>
        </a:xfrm>
        <a:prstGeom prst="rect">
          <a:avLst/>
        </a:prstGeom>
        <a:ln>
          <a:solidFill>
            <a:schemeClr val="tx1"/>
          </a:solidFill>
        </a:ln>
      </xdr:spPr>
    </xdr:pic>
    <xdr:clientData/>
  </xdr:twoCellAnchor>
  <xdr:twoCellAnchor editAs="oneCell">
    <xdr:from>
      <xdr:col>8</xdr:col>
      <xdr:colOff>476250</xdr:colOff>
      <xdr:row>59</xdr:row>
      <xdr:rowOff>181841</xdr:rowOff>
    </xdr:from>
    <xdr:to>
      <xdr:col>10</xdr:col>
      <xdr:colOff>545249</xdr:colOff>
      <xdr:row>64</xdr:row>
      <xdr:rowOff>14246</xdr:rowOff>
    </xdr:to>
    <xdr:pic>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4"/>
        <a:stretch>
          <a:fillRect/>
        </a:stretch>
      </xdr:blipFill>
      <xdr:spPr>
        <a:xfrm>
          <a:off x="7013864" y="12832773"/>
          <a:ext cx="2190476" cy="1485714"/>
        </a:xfrm>
        <a:prstGeom prst="rect">
          <a:avLst/>
        </a:prstGeom>
      </xdr:spPr>
    </xdr:pic>
    <xdr:clientData/>
  </xdr:twoCellAnchor>
  <xdr:twoCellAnchor>
    <xdr:from>
      <xdr:col>5</xdr:col>
      <xdr:colOff>207818</xdr:colOff>
      <xdr:row>931</xdr:row>
      <xdr:rowOff>86590</xdr:rowOff>
    </xdr:from>
    <xdr:to>
      <xdr:col>6</xdr:col>
      <xdr:colOff>77931</xdr:colOff>
      <xdr:row>932</xdr:row>
      <xdr:rowOff>103908</xdr:rowOff>
    </xdr:to>
    <xdr:sp macro="" textlink="">
      <xdr:nvSpPr>
        <xdr:cNvPr id="15" name="TextBox 14">
          <a:extLst>
            <a:ext uri="{FF2B5EF4-FFF2-40B4-BE49-F238E27FC236}">
              <a16:creationId xmlns:a16="http://schemas.microsoft.com/office/drawing/2014/main" id="{00000000-0008-0000-0000-00000F000000}"/>
            </a:ext>
          </a:extLst>
        </xdr:cNvPr>
        <xdr:cNvSpPr txBox="1"/>
      </xdr:nvSpPr>
      <xdr:spPr>
        <a:xfrm>
          <a:off x="4355523" y="129280226"/>
          <a:ext cx="649431" cy="216477"/>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900" b="1">
              <a:solidFill>
                <a:srgbClr val="FF0000"/>
              </a:solidFill>
            </a:rPr>
            <a:t>Wing A</a:t>
          </a:r>
        </a:p>
      </xdr:txBody>
    </xdr:sp>
    <xdr:clientData/>
  </xdr:twoCellAnchor>
  <xdr:twoCellAnchor>
    <xdr:from>
      <xdr:col>6</xdr:col>
      <xdr:colOff>281419</xdr:colOff>
      <xdr:row>928</xdr:row>
      <xdr:rowOff>168854</xdr:rowOff>
    </xdr:from>
    <xdr:to>
      <xdr:col>6</xdr:col>
      <xdr:colOff>523874</xdr:colOff>
      <xdr:row>931</xdr:row>
      <xdr:rowOff>168855</xdr:rowOff>
    </xdr:to>
    <xdr:sp macro="" textlink="">
      <xdr:nvSpPr>
        <xdr:cNvPr id="18" name="TextBox 17">
          <a:extLst>
            <a:ext uri="{FF2B5EF4-FFF2-40B4-BE49-F238E27FC236}">
              <a16:creationId xmlns:a16="http://schemas.microsoft.com/office/drawing/2014/main" id="{00000000-0008-0000-0000-000012000000}"/>
            </a:ext>
          </a:extLst>
        </xdr:cNvPr>
        <xdr:cNvSpPr txBox="1"/>
      </xdr:nvSpPr>
      <xdr:spPr>
        <a:xfrm rot="5400000">
          <a:off x="5030931" y="128942524"/>
          <a:ext cx="597478" cy="24245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900" b="1">
              <a:solidFill>
                <a:srgbClr val="FF0000"/>
              </a:solidFill>
            </a:rPr>
            <a:t>Wing B</a:t>
          </a:r>
        </a:p>
      </xdr:txBody>
    </xdr:sp>
    <xdr:clientData/>
  </xdr:twoCellAnchor>
  <xdr:twoCellAnchor>
    <xdr:from>
      <xdr:col>5</xdr:col>
      <xdr:colOff>259772</xdr:colOff>
      <xdr:row>927</xdr:row>
      <xdr:rowOff>164523</xdr:rowOff>
    </xdr:from>
    <xdr:to>
      <xdr:col>6</xdr:col>
      <xdr:colOff>86590</xdr:colOff>
      <xdr:row>929</xdr:row>
      <xdr:rowOff>8660</xdr:rowOff>
    </xdr:to>
    <xdr:sp macro="" textlink="">
      <xdr:nvSpPr>
        <xdr:cNvPr id="20" name="TextBox 19">
          <a:extLst>
            <a:ext uri="{FF2B5EF4-FFF2-40B4-BE49-F238E27FC236}">
              <a16:creationId xmlns:a16="http://schemas.microsoft.com/office/drawing/2014/main" id="{00000000-0008-0000-0000-000014000000}"/>
            </a:ext>
          </a:extLst>
        </xdr:cNvPr>
        <xdr:cNvSpPr txBox="1"/>
      </xdr:nvSpPr>
      <xdr:spPr>
        <a:xfrm>
          <a:off x="4407477" y="128561523"/>
          <a:ext cx="606136" cy="24245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900" b="1">
              <a:solidFill>
                <a:srgbClr val="FF0000"/>
              </a:solidFill>
            </a:rPr>
            <a:t>Wing C</a:t>
          </a:r>
        </a:p>
      </xdr:txBody>
    </xdr:sp>
    <xdr:clientData/>
  </xdr:twoCellAnchor>
  <xdr:twoCellAnchor>
    <xdr:from>
      <xdr:col>1</xdr:col>
      <xdr:colOff>528204</xdr:colOff>
      <xdr:row>932</xdr:row>
      <xdr:rowOff>138545</xdr:rowOff>
    </xdr:from>
    <xdr:to>
      <xdr:col>2</xdr:col>
      <xdr:colOff>337704</xdr:colOff>
      <xdr:row>933</xdr:row>
      <xdr:rowOff>173180</xdr:rowOff>
    </xdr:to>
    <xdr:sp macro="" textlink="">
      <xdr:nvSpPr>
        <xdr:cNvPr id="21" name="TextBox 20">
          <a:extLst>
            <a:ext uri="{FF2B5EF4-FFF2-40B4-BE49-F238E27FC236}">
              <a16:creationId xmlns:a16="http://schemas.microsoft.com/office/drawing/2014/main" id="{00000000-0008-0000-0000-000015000000}"/>
            </a:ext>
          </a:extLst>
        </xdr:cNvPr>
        <xdr:cNvSpPr txBox="1"/>
      </xdr:nvSpPr>
      <xdr:spPr>
        <a:xfrm>
          <a:off x="1290204" y="129531340"/>
          <a:ext cx="606136" cy="23379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900" b="1">
              <a:solidFill>
                <a:srgbClr val="FF0000"/>
              </a:solidFill>
            </a:rPr>
            <a:t>Wing D</a:t>
          </a:r>
        </a:p>
      </xdr:txBody>
    </xdr:sp>
    <xdr:clientData/>
  </xdr:twoCellAnchor>
  <xdr:twoCellAnchor>
    <xdr:from>
      <xdr:col>3</xdr:col>
      <xdr:colOff>21648</xdr:colOff>
      <xdr:row>929</xdr:row>
      <xdr:rowOff>56284</xdr:rowOff>
    </xdr:from>
    <xdr:to>
      <xdr:col>3</xdr:col>
      <xdr:colOff>264102</xdr:colOff>
      <xdr:row>932</xdr:row>
      <xdr:rowOff>56284</xdr:rowOff>
    </xdr:to>
    <xdr:sp macro="" textlink="">
      <xdr:nvSpPr>
        <xdr:cNvPr id="22" name="TextBox 21">
          <a:extLst>
            <a:ext uri="{FF2B5EF4-FFF2-40B4-BE49-F238E27FC236}">
              <a16:creationId xmlns:a16="http://schemas.microsoft.com/office/drawing/2014/main" id="{00000000-0008-0000-0000-000016000000}"/>
            </a:ext>
          </a:extLst>
        </xdr:cNvPr>
        <xdr:cNvSpPr txBox="1"/>
      </xdr:nvSpPr>
      <xdr:spPr>
        <a:xfrm rot="15995890">
          <a:off x="2251363" y="129029114"/>
          <a:ext cx="597477" cy="242454"/>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900" b="1">
              <a:solidFill>
                <a:srgbClr val="FF0000"/>
              </a:solidFill>
            </a:rPr>
            <a:t>Wing E</a:t>
          </a:r>
        </a:p>
      </xdr:txBody>
    </xdr:sp>
    <xdr:clientData/>
  </xdr:twoCellAnchor>
  <xdr:twoCellAnchor>
    <xdr:from>
      <xdr:col>3</xdr:col>
      <xdr:colOff>69273</xdr:colOff>
      <xdr:row>927</xdr:row>
      <xdr:rowOff>103909</xdr:rowOff>
    </xdr:from>
    <xdr:to>
      <xdr:col>3</xdr:col>
      <xdr:colOff>649432</xdr:colOff>
      <xdr:row>928</xdr:row>
      <xdr:rowOff>138545</xdr:rowOff>
    </xdr:to>
    <xdr:sp macro="" textlink="">
      <xdr:nvSpPr>
        <xdr:cNvPr id="23" name="TextBox 22">
          <a:extLst>
            <a:ext uri="{FF2B5EF4-FFF2-40B4-BE49-F238E27FC236}">
              <a16:creationId xmlns:a16="http://schemas.microsoft.com/office/drawing/2014/main" id="{00000000-0008-0000-0000-000017000000}"/>
            </a:ext>
          </a:extLst>
        </xdr:cNvPr>
        <xdr:cNvSpPr txBox="1"/>
      </xdr:nvSpPr>
      <xdr:spPr>
        <a:xfrm>
          <a:off x="2476500" y="128500909"/>
          <a:ext cx="580159" cy="23379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900" b="1">
              <a:solidFill>
                <a:srgbClr val="FF0000"/>
              </a:solidFill>
            </a:rPr>
            <a:t>Wing F</a:t>
          </a:r>
        </a:p>
      </xdr:txBody>
    </xdr:sp>
    <xdr:clientData/>
  </xdr:twoCellAnchor>
  <xdr:twoCellAnchor>
    <xdr:from>
      <xdr:col>4</xdr:col>
      <xdr:colOff>415636</xdr:colOff>
      <xdr:row>937</xdr:row>
      <xdr:rowOff>190500</xdr:rowOff>
    </xdr:from>
    <xdr:to>
      <xdr:col>4</xdr:col>
      <xdr:colOff>692727</xdr:colOff>
      <xdr:row>939</xdr:row>
      <xdr:rowOff>25977</xdr:rowOff>
    </xdr:to>
    <xdr:sp macro="" textlink="">
      <xdr:nvSpPr>
        <xdr:cNvPr id="24" name="TextBox 23">
          <a:extLst>
            <a:ext uri="{FF2B5EF4-FFF2-40B4-BE49-F238E27FC236}">
              <a16:creationId xmlns:a16="http://schemas.microsoft.com/office/drawing/2014/main" id="{00000000-0008-0000-0000-000018000000}"/>
            </a:ext>
          </a:extLst>
        </xdr:cNvPr>
        <xdr:cNvSpPr txBox="1"/>
      </xdr:nvSpPr>
      <xdr:spPr>
        <a:xfrm rot="2054506">
          <a:off x="3784022" y="130579091"/>
          <a:ext cx="277091" cy="23379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a:t>N</a:t>
          </a:r>
        </a:p>
      </xdr:txBody>
    </xdr:sp>
    <xdr:clientData/>
  </xdr:twoCellAnchor>
  <xdr:twoCellAnchor>
    <xdr:from>
      <xdr:col>4</xdr:col>
      <xdr:colOff>640774</xdr:colOff>
      <xdr:row>936</xdr:row>
      <xdr:rowOff>129886</xdr:rowOff>
    </xdr:from>
    <xdr:to>
      <xdr:col>5</xdr:col>
      <xdr:colOff>25977</xdr:colOff>
      <xdr:row>937</xdr:row>
      <xdr:rowOff>190500</xdr:rowOff>
    </xdr:to>
    <xdr:cxnSp macro="">
      <xdr:nvCxnSpPr>
        <xdr:cNvPr id="26" name="Straight Arrow Connector 25">
          <a:extLst>
            <a:ext uri="{FF2B5EF4-FFF2-40B4-BE49-F238E27FC236}">
              <a16:creationId xmlns:a16="http://schemas.microsoft.com/office/drawing/2014/main" id="{00000000-0008-0000-0000-00001A000000}"/>
            </a:ext>
          </a:extLst>
        </xdr:cNvPr>
        <xdr:cNvCxnSpPr/>
      </xdr:nvCxnSpPr>
      <xdr:spPr>
        <a:xfrm flipH="1">
          <a:off x="4009160" y="130319318"/>
          <a:ext cx="164522" cy="25977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8</xdr:col>
      <xdr:colOff>1220933</xdr:colOff>
      <xdr:row>186</xdr:row>
      <xdr:rowOff>34636</xdr:rowOff>
    </xdr:from>
    <xdr:to>
      <xdr:col>12</xdr:col>
      <xdr:colOff>30270</xdr:colOff>
      <xdr:row>191</xdr:row>
      <xdr:rowOff>51954</xdr:rowOff>
    </xdr:to>
    <xdr:pic>
      <xdr:nvPicPr>
        <xdr:cNvPr id="29" name="Picture 28">
          <a:extLst>
            <a:ext uri="{FF2B5EF4-FFF2-40B4-BE49-F238E27FC236}">
              <a16:creationId xmlns:a16="http://schemas.microsoft.com/office/drawing/2014/main" id="{00000000-0008-0000-0000-00001D000000}"/>
            </a:ext>
          </a:extLst>
        </xdr:cNvPr>
        <xdr:cNvPicPr>
          <a:picLocks noChangeAspect="1"/>
        </xdr:cNvPicPr>
      </xdr:nvPicPr>
      <xdr:blipFill rotWithShape="1">
        <a:blip xmlns:r="http://schemas.openxmlformats.org/officeDocument/2006/relationships" r:embed="rId5"/>
        <a:srcRect b="48833"/>
        <a:stretch/>
      </xdr:blipFill>
      <xdr:spPr>
        <a:xfrm>
          <a:off x="7758547" y="32029977"/>
          <a:ext cx="3121564" cy="1013114"/>
        </a:xfrm>
        <a:prstGeom prst="rect">
          <a:avLst/>
        </a:prstGeom>
      </xdr:spPr>
    </xdr:pic>
    <xdr:clientData/>
  </xdr:twoCellAnchor>
  <xdr:twoCellAnchor editAs="oneCell">
    <xdr:from>
      <xdr:col>8</xdr:col>
      <xdr:colOff>69273</xdr:colOff>
      <xdr:row>51</xdr:row>
      <xdr:rowOff>43295</xdr:rowOff>
    </xdr:from>
    <xdr:to>
      <xdr:col>16</xdr:col>
      <xdr:colOff>350021</xdr:colOff>
      <xdr:row>52</xdr:row>
      <xdr:rowOff>62290</xdr:rowOff>
    </xdr:to>
    <xdr:pic>
      <xdr:nvPicPr>
        <xdr:cNvPr id="31" name="Picture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6"/>
        <a:stretch>
          <a:fillRect/>
        </a:stretch>
      </xdr:blipFill>
      <xdr:spPr>
        <a:xfrm>
          <a:off x="6606887" y="11672454"/>
          <a:ext cx="5380952" cy="438095"/>
        </a:xfrm>
        <a:prstGeom prst="rect">
          <a:avLst/>
        </a:prstGeom>
      </xdr:spPr>
    </xdr:pic>
    <xdr:clientData/>
  </xdr:twoCellAnchor>
  <xdr:oneCellAnchor>
    <xdr:from>
      <xdr:col>8</xdr:col>
      <xdr:colOff>0</xdr:colOff>
      <xdr:row>877</xdr:row>
      <xdr:rowOff>0</xdr:rowOff>
    </xdr:from>
    <xdr:ext cx="328423" cy="405432"/>
    <xdr:sp macro="" textlink="">
      <xdr:nvSpPr>
        <xdr:cNvPr id="33" name="TextBox 32">
          <a:extLst>
            <a:ext uri="{FF2B5EF4-FFF2-40B4-BE49-F238E27FC236}">
              <a16:creationId xmlns:a16="http://schemas.microsoft.com/office/drawing/2014/main" id="{00000000-0008-0000-0000-000021000000}"/>
            </a:ext>
          </a:extLst>
        </xdr:cNvPr>
        <xdr:cNvSpPr txBox="1"/>
      </xdr:nvSpPr>
      <xdr:spPr>
        <a:xfrm>
          <a:off x="7194550" y="136169400"/>
          <a:ext cx="328423" cy="405432"/>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2000" b="1">
              <a:solidFill>
                <a:srgbClr val="C00000"/>
              </a:solidFill>
            </a:rPr>
            <a:t>B</a:t>
          </a:r>
        </a:p>
      </xdr:txBody>
    </xdr:sp>
    <xdr:clientData/>
  </xdr:oneCellAnchor>
  <xdr:oneCellAnchor>
    <xdr:from>
      <xdr:col>12</xdr:col>
      <xdr:colOff>200861</xdr:colOff>
      <xdr:row>877</xdr:row>
      <xdr:rowOff>101600</xdr:rowOff>
    </xdr:from>
    <xdr:ext cx="708912" cy="311496"/>
    <xdr:sp macro="" textlink="">
      <xdr:nvSpPr>
        <xdr:cNvPr id="53" name="TextBox 52"/>
        <xdr:cNvSpPr txBox="1"/>
      </xdr:nvSpPr>
      <xdr:spPr>
        <a:xfrm>
          <a:off x="11935661" y="176682400"/>
          <a:ext cx="708912"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ysClr val="windowText" lastClr="000000"/>
              </a:solidFill>
              <a:effectLst>
                <a:outerShdw blurRad="38100" dist="25400" dir="5400000" algn="ctr" rotWithShape="0">
                  <a:srgbClr val="6E747A">
                    <a:alpha val="43000"/>
                  </a:srgbClr>
                </a:outerShdw>
              </a:effectLst>
            </a:rPr>
            <a:t>B Wing</a:t>
          </a:r>
        </a:p>
      </xdr:txBody>
    </xdr:sp>
    <xdr:clientData/>
  </xdr:oneCellAnchor>
  <xdr:twoCellAnchor>
    <xdr:from>
      <xdr:col>8</xdr:col>
      <xdr:colOff>276225</xdr:colOff>
      <xdr:row>878</xdr:row>
      <xdr:rowOff>168275</xdr:rowOff>
    </xdr:from>
    <xdr:to>
      <xdr:col>18</xdr:col>
      <xdr:colOff>145125</xdr:colOff>
      <xdr:row>918</xdr:row>
      <xdr:rowOff>161993</xdr:rowOff>
    </xdr:to>
    <xdr:grpSp>
      <xdr:nvGrpSpPr>
        <xdr:cNvPr id="4" name="Group 3"/>
        <xdr:cNvGrpSpPr/>
      </xdr:nvGrpSpPr>
      <xdr:grpSpPr>
        <a:xfrm>
          <a:off x="7496175" y="178914425"/>
          <a:ext cx="6491950" cy="7861368"/>
          <a:chOff x="323850" y="176898300"/>
          <a:chExt cx="6450675" cy="7861368"/>
        </a:xfrm>
      </xdr:grpSpPr>
      <xdr:pic>
        <xdr:nvPicPr>
          <xdr:cNvPr id="34" name="Picture 33"/>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4254937" y="182599668"/>
            <a:ext cx="1618313" cy="2160000"/>
          </a:xfrm>
          <a:prstGeom prst="rect">
            <a:avLst/>
          </a:prstGeom>
          <a:ln>
            <a:solidFill>
              <a:schemeClr val="tx1"/>
            </a:solidFill>
          </a:ln>
        </xdr:spPr>
      </xdr:pic>
      <xdr:pic>
        <xdr:nvPicPr>
          <xdr:cNvPr id="35" name="Picture 34"/>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323851" y="176898300"/>
            <a:ext cx="2049863" cy="2736000"/>
          </a:xfrm>
          <a:prstGeom prst="rect">
            <a:avLst/>
          </a:prstGeom>
          <a:ln>
            <a:solidFill>
              <a:schemeClr val="tx1"/>
            </a:solidFill>
          </a:ln>
        </xdr:spPr>
      </xdr:pic>
      <xdr:pic>
        <xdr:nvPicPr>
          <xdr:cNvPr id="36" name="Picture 35"/>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2524257" y="176898300"/>
            <a:ext cx="2049863" cy="2736000"/>
          </a:xfrm>
          <a:prstGeom prst="rect">
            <a:avLst/>
          </a:prstGeom>
          <a:ln>
            <a:solidFill>
              <a:schemeClr val="tx1"/>
            </a:solidFill>
          </a:ln>
        </xdr:spPr>
      </xdr:pic>
      <xdr:pic>
        <xdr:nvPicPr>
          <xdr:cNvPr id="37" name="Picture 36"/>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4724662" y="176898300"/>
            <a:ext cx="2049863" cy="2736000"/>
          </a:xfrm>
          <a:prstGeom prst="rect">
            <a:avLst/>
          </a:prstGeom>
          <a:ln>
            <a:solidFill>
              <a:schemeClr val="tx1"/>
            </a:solidFill>
          </a:ln>
        </xdr:spPr>
      </xdr:pic>
      <xdr:pic>
        <xdr:nvPicPr>
          <xdr:cNvPr id="38" name="Picture 37"/>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323850" y="179748984"/>
            <a:ext cx="2049863" cy="2736000"/>
          </a:xfrm>
          <a:prstGeom prst="rect">
            <a:avLst/>
          </a:prstGeom>
          <a:ln>
            <a:solidFill>
              <a:schemeClr val="tx1"/>
            </a:solidFill>
          </a:ln>
        </xdr:spPr>
      </xdr:pic>
      <xdr:pic>
        <xdr:nvPicPr>
          <xdr:cNvPr id="39" name="Picture 38"/>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2524257" y="179748984"/>
            <a:ext cx="2049863" cy="2736000"/>
          </a:xfrm>
          <a:prstGeom prst="rect">
            <a:avLst/>
          </a:prstGeom>
          <a:ln>
            <a:solidFill>
              <a:schemeClr val="tx1"/>
            </a:solidFill>
          </a:ln>
        </xdr:spPr>
      </xdr:pic>
      <xdr:pic>
        <xdr:nvPicPr>
          <xdr:cNvPr id="45" name="Picture 44"/>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4724662" y="179748984"/>
            <a:ext cx="2049863" cy="2736000"/>
          </a:xfrm>
          <a:prstGeom prst="rect">
            <a:avLst/>
          </a:prstGeom>
          <a:ln>
            <a:solidFill>
              <a:schemeClr val="tx1"/>
            </a:solidFill>
          </a:ln>
        </xdr:spPr>
      </xdr:pic>
      <xdr:pic>
        <xdr:nvPicPr>
          <xdr:cNvPr id="46" name="Picture 45"/>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1250776" y="182599668"/>
            <a:ext cx="2877333" cy="2160000"/>
          </a:xfrm>
          <a:prstGeom prst="rect">
            <a:avLst/>
          </a:prstGeom>
          <a:ln>
            <a:solidFill>
              <a:schemeClr val="tx1"/>
            </a:solidFill>
          </a:ln>
        </xdr:spPr>
      </xdr:pic>
      <xdr:sp macro="" textlink="">
        <xdr:nvSpPr>
          <xdr:cNvPr id="47" name="TextBox 46"/>
          <xdr:cNvSpPr txBox="1"/>
        </xdr:nvSpPr>
        <xdr:spPr>
          <a:xfrm>
            <a:off x="971551" y="176936400"/>
            <a:ext cx="708912"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ysClr val="windowText" lastClr="000000"/>
                </a:solidFill>
                <a:effectLst>
                  <a:outerShdw blurRad="38100" dist="25400" dir="5400000" algn="ctr" rotWithShape="0">
                    <a:srgbClr val="6E747A">
                      <a:alpha val="43000"/>
                    </a:srgbClr>
                  </a:outerShdw>
                </a:effectLst>
              </a:rPr>
              <a:t>A Wing</a:t>
            </a:r>
          </a:p>
        </xdr:txBody>
      </xdr:sp>
      <xdr:sp macro="" textlink="">
        <xdr:nvSpPr>
          <xdr:cNvPr id="48" name="TextBox 47"/>
          <xdr:cNvSpPr txBox="1"/>
        </xdr:nvSpPr>
        <xdr:spPr>
          <a:xfrm>
            <a:off x="3229107" y="177190400"/>
            <a:ext cx="708912"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ysClr val="windowText" lastClr="000000"/>
                </a:solidFill>
                <a:effectLst>
                  <a:outerShdw blurRad="38100" dist="25400" dir="5400000" algn="ctr" rotWithShape="0">
                    <a:srgbClr val="6E747A">
                      <a:alpha val="43000"/>
                    </a:srgbClr>
                  </a:outerShdw>
                </a:effectLst>
              </a:rPr>
              <a:t>B Wing</a:t>
            </a:r>
          </a:p>
        </xdr:txBody>
      </xdr:sp>
      <xdr:sp macro="" textlink="">
        <xdr:nvSpPr>
          <xdr:cNvPr id="57" name="TextBox 56"/>
          <xdr:cNvSpPr txBox="1"/>
        </xdr:nvSpPr>
        <xdr:spPr>
          <a:xfrm>
            <a:off x="4724662" y="176898300"/>
            <a:ext cx="708912"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ysClr val="windowText" lastClr="000000"/>
                </a:solidFill>
                <a:effectLst>
                  <a:outerShdw blurRad="38100" dist="25400" dir="5400000" algn="ctr" rotWithShape="0">
                    <a:srgbClr val="6E747A">
                      <a:alpha val="43000"/>
                    </a:srgbClr>
                  </a:outerShdw>
                </a:effectLst>
              </a:rPr>
              <a:t>C Wing</a:t>
            </a:r>
          </a:p>
        </xdr:txBody>
      </xdr:sp>
      <xdr:sp macro="" textlink="">
        <xdr:nvSpPr>
          <xdr:cNvPr id="58" name="TextBox 57"/>
          <xdr:cNvSpPr txBox="1"/>
        </xdr:nvSpPr>
        <xdr:spPr>
          <a:xfrm>
            <a:off x="1536700" y="179806134"/>
            <a:ext cx="708912"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ysClr val="windowText" lastClr="000000"/>
                </a:solidFill>
                <a:effectLst>
                  <a:outerShdw blurRad="38100" dist="25400" dir="5400000" algn="ctr" rotWithShape="0">
                    <a:srgbClr val="6E747A">
                      <a:alpha val="43000"/>
                    </a:srgbClr>
                  </a:outerShdw>
                </a:effectLst>
              </a:rPr>
              <a:t>D Wing</a:t>
            </a:r>
          </a:p>
        </xdr:txBody>
      </xdr:sp>
      <xdr:sp macro="" textlink="">
        <xdr:nvSpPr>
          <xdr:cNvPr id="59" name="TextBox 58"/>
          <xdr:cNvSpPr txBox="1"/>
        </xdr:nvSpPr>
        <xdr:spPr>
          <a:xfrm>
            <a:off x="3635507" y="180237934"/>
            <a:ext cx="708912"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ysClr val="windowText" lastClr="000000"/>
                </a:solidFill>
                <a:effectLst>
                  <a:outerShdw blurRad="38100" dist="25400" dir="5400000" algn="ctr" rotWithShape="0">
                    <a:srgbClr val="6E747A">
                      <a:alpha val="43000"/>
                    </a:srgbClr>
                  </a:outerShdw>
                </a:effectLst>
              </a:rPr>
              <a:t>E Wing</a:t>
            </a:r>
          </a:p>
        </xdr:txBody>
      </xdr:sp>
      <xdr:sp macro="" textlink="">
        <xdr:nvSpPr>
          <xdr:cNvPr id="60" name="TextBox 59"/>
          <xdr:cNvSpPr txBox="1"/>
        </xdr:nvSpPr>
        <xdr:spPr>
          <a:xfrm>
            <a:off x="5353312" y="180174434"/>
            <a:ext cx="708912"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ysClr val="windowText" lastClr="000000"/>
                </a:solidFill>
                <a:effectLst>
                  <a:outerShdw blurRad="38100" dist="25400" dir="5400000" algn="ctr" rotWithShape="0">
                    <a:srgbClr val="6E747A">
                      <a:alpha val="43000"/>
                    </a:srgbClr>
                  </a:outerShdw>
                </a:effectLst>
              </a:rPr>
              <a:t>F Wing</a:t>
            </a:r>
          </a:p>
        </xdr:txBody>
      </xdr:sp>
    </xdr:grpSp>
    <xdr:clientData/>
  </xdr:twoCellAnchor>
  <xdr:twoCellAnchor>
    <xdr:from>
      <xdr:col>0</xdr:col>
      <xdr:colOff>254000</xdr:colOff>
      <xdr:row>878</xdr:row>
      <xdr:rowOff>95250</xdr:rowOff>
    </xdr:from>
    <xdr:to>
      <xdr:col>7</xdr:col>
      <xdr:colOff>928029</xdr:colOff>
      <xdr:row>916</xdr:row>
      <xdr:rowOff>163742</xdr:rowOff>
    </xdr:to>
    <xdr:grpSp>
      <xdr:nvGrpSpPr>
        <xdr:cNvPr id="8" name="Group 7"/>
        <xdr:cNvGrpSpPr/>
      </xdr:nvGrpSpPr>
      <xdr:grpSpPr>
        <a:xfrm>
          <a:off x="254000" y="178841400"/>
          <a:ext cx="6693829" cy="7542442"/>
          <a:chOff x="254000" y="178435000"/>
          <a:chExt cx="6693829" cy="7542442"/>
        </a:xfrm>
      </xdr:grpSpPr>
      <xdr:pic>
        <xdr:nvPicPr>
          <xdr:cNvPr id="63" name="Picture 62"/>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5599235" y="184177442"/>
            <a:ext cx="1348594" cy="1800000"/>
          </a:xfrm>
          <a:prstGeom prst="rect">
            <a:avLst/>
          </a:prstGeom>
          <a:ln>
            <a:solidFill>
              <a:schemeClr val="tx1"/>
            </a:solidFill>
          </a:ln>
        </xdr:spPr>
      </xdr:pic>
      <xdr:pic>
        <xdr:nvPicPr>
          <xdr:cNvPr id="64" name="Picture 63"/>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356883" y="178435000"/>
            <a:ext cx="2049863" cy="2736000"/>
          </a:xfrm>
          <a:prstGeom prst="rect">
            <a:avLst/>
          </a:prstGeom>
          <a:ln>
            <a:solidFill>
              <a:schemeClr val="tx1"/>
            </a:solidFill>
          </a:ln>
        </xdr:spPr>
      </xdr:pic>
      <xdr:pic>
        <xdr:nvPicPr>
          <xdr:cNvPr id="65" name="Picture 64"/>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2570068" y="178435000"/>
            <a:ext cx="2049863" cy="2736000"/>
          </a:xfrm>
          <a:prstGeom prst="rect">
            <a:avLst/>
          </a:prstGeom>
          <a:ln>
            <a:solidFill>
              <a:schemeClr val="tx1"/>
            </a:solidFill>
          </a:ln>
        </xdr:spPr>
      </xdr:pic>
      <xdr:pic>
        <xdr:nvPicPr>
          <xdr:cNvPr id="66" name="Picture 65"/>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356883" y="181306221"/>
            <a:ext cx="2049863" cy="2736000"/>
          </a:xfrm>
          <a:prstGeom prst="rect">
            <a:avLst/>
          </a:prstGeom>
          <a:ln>
            <a:solidFill>
              <a:schemeClr val="tx1"/>
            </a:solidFill>
          </a:ln>
        </xdr:spPr>
      </xdr:pic>
      <xdr:pic>
        <xdr:nvPicPr>
          <xdr:cNvPr id="67" name="Picture 66"/>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tretch>
            <a:fillRect/>
          </a:stretch>
        </xdr:blipFill>
        <xdr:spPr>
          <a:xfrm>
            <a:off x="2570067" y="181306221"/>
            <a:ext cx="2049863" cy="2736000"/>
          </a:xfrm>
          <a:prstGeom prst="rect">
            <a:avLst/>
          </a:prstGeom>
          <a:ln>
            <a:solidFill>
              <a:schemeClr val="tx1"/>
            </a:solidFill>
          </a:ln>
        </xdr:spPr>
      </xdr:pic>
      <xdr:pic>
        <xdr:nvPicPr>
          <xdr:cNvPr id="68" name="Picture 67"/>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a:ext>
            </a:extLst>
          </a:blip>
          <a:stretch>
            <a:fillRect/>
          </a:stretch>
        </xdr:blipFill>
        <xdr:spPr>
          <a:xfrm>
            <a:off x="4783251" y="181306221"/>
            <a:ext cx="2049863" cy="2736000"/>
          </a:xfrm>
          <a:prstGeom prst="rect">
            <a:avLst/>
          </a:prstGeom>
          <a:ln>
            <a:solidFill>
              <a:schemeClr val="tx1"/>
            </a:solidFill>
          </a:ln>
        </xdr:spPr>
      </xdr:pic>
      <xdr:pic>
        <xdr:nvPicPr>
          <xdr:cNvPr id="69" name="Picture 68"/>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a:ext>
            </a:extLst>
          </a:blip>
          <a:stretch>
            <a:fillRect/>
          </a:stretch>
        </xdr:blipFill>
        <xdr:spPr>
          <a:xfrm>
            <a:off x="4084918" y="184177442"/>
            <a:ext cx="1348594" cy="1800000"/>
          </a:xfrm>
          <a:prstGeom prst="rect">
            <a:avLst/>
          </a:prstGeom>
          <a:ln>
            <a:solidFill>
              <a:schemeClr val="tx1"/>
            </a:solidFill>
          </a:ln>
        </xdr:spPr>
      </xdr:pic>
      <xdr:pic>
        <xdr:nvPicPr>
          <xdr:cNvPr id="70" name="Picture 69"/>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a:ext>
            </a:extLst>
          </a:blip>
          <a:stretch>
            <a:fillRect/>
          </a:stretch>
        </xdr:blipFill>
        <xdr:spPr>
          <a:xfrm>
            <a:off x="1768317" y="184177442"/>
            <a:ext cx="2150878" cy="1800000"/>
          </a:xfrm>
          <a:prstGeom prst="rect">
            <a:avLst/>
          </a:prstGeom>
          <a:ln>
            <a:solidFill>
              <a:schemeClr val="tx1"/>
            </a:solidFill>
          </a:ln>
        </xdr:spPr>
      </xdr:pic>
      <xdr:pic>
        <xdr:nvPicPr>
          <xdr:cNvPr id="71" name="Picture 70"/>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a:ext>
            </a:extLst>
          </a:blip>
          <a:stretch>
            <a:fillRect/>
          </a:stretch>
        </xdr:blipFill>
        <xdr:spPr>
          <a:xfrm>
            <a:off x="4783253" y="178435000"/>
            <a:ext cx="2049863" cy="2736000"/>
          </a:xfrm>
          <a:prstGeom prst="rect">
            <a:avLst/>
          </a:prstGeom>
          <a:ln>
            <a:solidFill>
              <a:schemeClr val="tx1"/>
            </a:solidFill>
          </a:ln>
        </xdr:spPr>
      </xdr:pic>
      <xdr:pic>
        <xdr:nvPicPr>
          <xdr:cNvPr id="72" name="Picture 71"/>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a:ext>
            </a:extLst>
          </a:blip>
          <a:stretch>
            <a:fillRect/>
          </a:stretch>
        </xdr:blipFill>
        <xdr:spPr>
          <a:xfrm>
            <a:off x="254000" y="184177442"/>
            <a:ext cx="1348594" cy="1800000"/>
          </a:xfrm>
          <a:prstGeom prst="rect">
            <a:avLst/>
          </a:prstGeom>
          <a:ln>
            <a:solidFill>
              <a:schemeClr val="tx1"/>
            </a:solidFill>
          </a:ln>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H7hhVbrL7WkgnrVaA" TargetMode="Externa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P961"/>
  <sheetViews>
    <sheetView tabSelected="1" view="pageBreakPreview" topLeftCell="A853" zoomScaleNormal="100" zoomScaleSheetLayoutView="100" workbookViewId="0">
      <selection activeCell="J860" sqref="J860"/>
    </sheetView>
  </sheetViews>
  <sheetFormatPr defaultColWidth="9.1796875" defaultRowHeight="15.5"/>
  <cols>
    <col min="1" max="1" width="11.453125" style="16" customWidth="1"/>
    <col min="2" max="2" width="12" style="16" customWidth="1"/>
    <col min="3" max="3" width="12.81640625" style="16" customWidth="1"/>
    <col min="4" max="4" width="14.453125" style="16" customWidth="1"/>
    <col min="5" max="7" width="11.81640625" style="16" customWidth="1"/>
    <col min="8" max="8" width="17.1796875" style="16" customWidth="1"/>
    <col min="9" max="9" width="20.453125" style="8" customWidth="1"/>
    <col min="10" max="10" width="11.453125" style="8" customWidth="1"/>
    <col min="11" max="11" width="22.1796875" style="8" customWidth="1"/>
    <col min="12" max="12" width="10.54296875" style="8" customWidth="1"/>
    <col min="13" max="13" width="11.81640625" style="8" customWidth="1"/>
    <col min="14" max="14" width="12.54296875" style="8" hidden="1" customWidth="1"/>
    <col min="15" max="15" width="9.81640625" style="8" hidden="1" customWidth="1"/>
    <col min="16" max="16" width="10.453125" style="8" hidden="1" customWidth="1"/>
    <col min="17" max="247" width="9.1796875" style="8"/>
    <col min="248" max="248" width="8.81640625" style="8" customWidth="1"/>
    <col min="249" max="249" width="9.81640625" style="8" customWidth="1"/>
    <col min="250" max="250" width="14.453125" style="8" customWidth="1"/>
    <col min="251" max="251" width="7.1796875" style="8" customWidth="1"/>
    <col min="252" max="252" width="5.54296875" style="8" customWidth="1"/>
    <col min="253" max="253" width="9" style="8" customWidth="1"/>
    <col min="254" max="255" width="9.81640625" style="8" customWidth="1"/>
    <col min="256" max="256" width="11.1796875" style="8" customWidth="1"/>
    <col min="257" max="257" width="2.81640625" style="8" customWidth="1"/>
    <col min="258" max="258" width="3.54296875" style="8" customWidth="1"/>
    <col min="259" max="503" width="9.1796875" style="8"/>
    <col min="504" max="504" width="8.81640625" style="8" customWidth="1"/>
    <col min="505" max="505" width="9.81640625" style="8" customWidth="1"/>
    <col min="506" max="506" width="14.453125" style="8" customWidth="1"/>
    <col min="507" max="507" width="7.1796875" style="8" customWidth="1"/>
    <col min="508" max="508" width="5.54296875" style="8" customWidth="1"/>
    <col min="509" max="509" width="9" style="8" customWidth="1"/>
    <col min="510" max="511" width="9.81640625" style="8" customWidth="1"/>
    <col min="512" max="512" width="11.1796875" style="8" customWidth="1"/>
    <col min="513" max="513" width="2.81640625" style="8" customWidth="1"/>
    <col min="514" max="514" width="3.54296875" style="8" customWidth="1"/>
    <col min="515" max="759" width="9.1796875" style="8"/>
    <col min="760" max="760" width="8.81640625" style="8" customWidth="1"/>
    <col min="761" max="761" width="9.81640625" style="8" customWidth="1"/>
    <col min="762" max="762" width="14.453125" style="8" customWidth="1"/>
    <col min="763" max="763" width="7.1796875" style="8" customWidth="1"/>
    <col min="764" max="764" width="5.54296875" style="8" customWidth="1"/>
    <col min="765" max="765" width="9" style="8" customWidth="1"/>
    <col min="766" max="767" width="9.81640625" style="8" customWidth="1"/>
    <col min="768" max="768" width="11.1796875" style="8" customWidth="1"/>
    <col min="769" max="769" width="2.81640625" style="8" customWidth="1"/>
    <col min="770" max="770" width="3.54296875" style="8" customWidth="1"/>
    <col min="771" max="1015" width="9.1796875" style="8"/>
    <col min="1016" max="1016" width="8.81640625" style="8" customWidth="1"/>
    <col min="1017" max="1017" width="9.81640625" style="8" customWidth="1"/>
    <col min="1018" max="1018" width="14.453125" style="8" customWidth="1"/>
    <col min="1019" max="1019" width="7.1796875" style="8" customWidth="1"/>
    <col min="1020" max="1020" width="5.54296875" style="8" customWidth="1"/>
    <col min="1021" max="1021" width="9" style="8" customWidth="1"/>
    <col min="1022" max="1023" width="9.81640625" style="8" customWidth="1"/>
    <col min="1024" max="1024" width="11.1796875" style="8" customWidth="1"/>
    <col min="1025" max="1025" width="2.81640625" style="8" customWidth="1"/>
    <col min="1026" max="1026" width="3.54296875" style="8" customWidth="1"/>
    <col min="1027" max="1271" width="9.1796875" style="8"/>
    <col min="1272" max="1272" width="8.81640625" style="8" customWidth="1"/>
    <col min="1273" max="1273" width="9.81640625" style="8" customWidth="1"/>
    <col min="1274" max="1274" width="14.453125" style="8" customWidth="1"/>
    <col min="1275" max="1275" width="7.1796875" style="8" customWidth="1"/>
    <col min="1276" max="1276" width="5.54296875" style="8" customWidth="1"/>
    <col min="1277" max="1277" width="9" style="8" customWidth="1"/>
    <col min="1278" max="1279" width="9.81640625" style="8" customWidth="1"/>
    <col min="1280" max="1280" width="11.1796875" style="8" customWidth="1"/>
    <col min="1281" max="1281" width="2.81640625" style="8" customWidth="1"/>
    <col min="1282" max="1282" width="3.54296875" style="8" customWidth="1"/>
    <col min="1283" max="1527" width="9.1796875" style="8"/>
    <col min="1528" max="1528" width="8.81640625" style="8" customWidth="1"/>
    <col min="1529" max="1529" width="9.81640625" style="8" customWidth="1"/>
    <col min="1530" max="1530" width="14.453125" style="8" customWidth="1"/>
    <col min="1531" max="1531" width="7.1796875" style="8" customWidth="1"/>
    <col min="1532" max="1532" width="5.54296875" style="8" customWidth="1"/>
    <col min="1533" max="1533" width="9" style="8" customWidth="1"/>
    <col min="1534" max="1535" width="9.81640625" style="8" customWidth="1"/>
    <col min="1536" max="1536" width="11.1796875" style="8" customWidth="1"/>
    <col min="1537" max="1537" width="2.81640625" style="8" customWidth="1"/>
    <col min="1538" max="1538" width="3.54296875" style="8" customWidth="1"/>
    <col min="1539" max="1783" width="9.1796875" style="8"/>
    <col min="1784" max="1784" width="8.81640625" style="8" customWidth="1"/>
    <col min="1785" max="1785" width="9.81640625" style="8" customWidth="1"/>
    <col min="1786" max="1786" width="14.453125" style="8" customWidth="1"/>
    <col min="1787" max="1787" width="7.1796875" style="8" customWidth="1"/>
    <col min="1788" max="1788" width="5.54296875" style="8" customWidth="1"/>
    <col min="1789" max="1789" width="9" style="8" customWidth="1"/>
    <col min="1790" max="1791" width="9.81640625" style="8" customWidth="1"/>
    <col min="1792" max="1792" width="11.1796875" style="8" customWidth="1"/>
    <col min="1793" max="1793" width="2.81640625" style="8" customWidth="1"/>
    <col min="1794" max="1794" width="3.54296875" style="8" customWidth="1"/>
    <col min="1795" max="2039" width="9.1796875" style="8"/>
    <col min="2040" max="2040" width="8.81640625" style="8" customWidth="1"/>
    <col min="2041" max="2041" width="9.81640625" style="8" customWidth="1"/>
    <col min="2042" max="2042" width="14.453125" style="8" customWidth="1"/>
    <col min="2043" max="2043" width="7.1796875" style="8" customWidth="1"/>
    <col min="2044" max="2044" width="5.54296875" style="8" customWidth="1"/>
    <col min="2045" max="2045" width="9" style="8" customWidth="1"/>
    <col min="2046" max="2047" width="9.81640625" style="8" customWidth="1"/>
    <col min="2048" max="2048" width="11.1796875" style="8" customWidth="1"/>
    <col min="2049" max="2049" width="2.81640625" style="8" customWidth="1"/>
    <col min="2050" max="2050" width="3.54296875" style="8" customWidth="1"/>
    <col min="2051" max="2295" width="9.1796875" style="8"/>
    <col min="2296" max="2296" width="8.81640625" style="8" customWidth="1"/>
    <col min="2297" max="2297" width="9.81640625" style="8" customWidth="1"/>
    <col min="2298" max="2298" width="14.453125" style="8" customWidth="1"/>
    <col min="2299" max="2299" width="7.1796875" style="8" customWidth="1"/>
    <col min="2300" max="2300" width="5.54296875" style="8" customWidth="1"/>
    <col min="2301" max="2301" width="9" style="8" customWidth="1"/>
    <col min="2302" max="2303" width="9.81640625" style="8" customWidth="1"/>
    <col min="2304" max="2304" width="11.1796875" style="8" customWidth="1"/>
    <col min="2305" max="2305" width="2.81640625" style="8" customWidth="1"/>
    <col min="2306" max="2306" width="3.54296875" style="8" customWidth="1"/>
    <col min="2307" max="2551" width="9.1796875" style="8"/>
    <col min="2552" max="2552" width="8.81640625" style="8" customWidth="1"/>
    <col min="2553" max="2553" width="9.81640625" style="8" customWidth="1"/>
    <col min="2554" max="2554" width="14.453125" style="8" customWidth="1"/>
    <col min="2555" max="2555" width="7.1796875" style="8" customWidth="1"/>
    <col min="2556" max="2556" width="5.54296875" style="8" customWidth="1"/>
    <col min="2557" max="2557" width="9" style="8" customWidth="1"/>
    <col min="2558" max="2559" width="9.81640625" style="8" customWidth="1"/>
    <col min="2560" max="2560" width="11.1796875" style="8" customWidth="1"/>
    <col min="2561" max="2561" width="2.81640625" style="8" customWidth="1"/>
    <col min="2562" max="2562" width="3.54296875" style="8" customWidth="1"/>
    <col min="2563" max="2807" width="9.1796875" style="8"/>
    <col min="2808" max="2808" width="8.81640625" style="8" customWidth="1"/>
    <col min="2809" max="2809" width="9.81640625" style="8" customWidth="1"/>
    <col min="2810" max="2810" width="14.453125" style="8" customWidth="1"/>
    <col min="2811" max="2811" width="7.1796875" style="8" customWidth="1"/>
    <col min="2812" max="2812" width="5.54296875" style="8" customWidth="1"/>
    <col min="2813" max="2813" width="9" style="8" customWidth="1"/>
    <col min="2814" max="2815" width="9.81640625" style="8" customWidth="1"/>
    <col min="2816" max="2816" width="11.1796875" style="8" customWidth="1"/>
    <col min="2817" max="2817" width="2.81640625" style="8" customWidth="1"/>
    <col min="2818" max="2818" width="3.54296875" style="8" customWidth="1"/>
    <col min="2819" max="3063" width="9.1796875" style="8"/>
    <col min="3064" max="3064" width="8.81640625" style="8" customWidth="1"/>
    <col min="3065" max="3065" width="9.81640625" style="8" customWidth="1"/>
    <col min="3066" max="3066" width="14.453125" style="8" customWidth="1"/>
    <col min="3067" max="3067" width="7.1796875" style="8" customWidth="1"/>
    <col min="3068" max="3068" width="5.54296875" style="8" customWidth="1"/>
    <col min="3069" max="3069" width="9" style="8" customWidth="1"/>
    <col min="3070" max="3071" width="9.81640625" style="8" customWidth="1"/>
    <col min="3072" max="3072" width="11.1796875" style="8" customWidth="1"/>
    <col min="3073" max="3073" width="2.81640625" style="8" customWidth="1"/>
    <col min="3074" max="3074" width="3.54296875" style="8" customWidth="1"/>
    <col min="3075" max="3319" width="9.1796875" style="8"/>
    <col min="3320" max="3320" width="8.81640625" style="8" customWidth="1"/>
    <col min="3321" max="3321" width="9.81640625" style="8" customWidth="1"/>
    <col min="3322" max="3322" width="14.453125" style="8" customWidth="1"/>
    <col min="3323" max="3323" width="7.1796875" style="8" customWidth="1"/>
    <col min="3324" max="3324" width="5.54296875" style="8" customWidth="1"/>
    <col min="3325" max="3325" width="9" style="8" customWidth="1"/>
    <col min="3326" max="3327" width="9.81640625" style="8" customWidth="1"/>
    <col min="3328" max="3328" width="11.1796875" style="8" customWidth="1"/>
    <col min="3329" max="3329" width="2.81640625" style="8" customWidth="1"/>
    <col min="3330" max="3330" width="3.54296875" style="8" customWidth="1"/>
    <col min="3331" max="3575" width="9.1796875" style="8"/>
    <col min="3576" max="3576" width="8.81640625" style="8" customWidth="1"/>
    <col min="3577" max="3577" width="9.81640625" style="8" customWidth="1"/>
    <col min="3578" max="3578" width="14.453125" style="8" customWidth="1"/>
    <col min="3579" max="3579" width="7.1796875" style="8" customWidth="1"/>
    <col min="3580" max="3580" width="5.54296875" style="8" customWidth="1"/>
    <col min="3581" max="3581" width="9" style="8" customWidth="1"/>
    <col min="3582" max="3583" width="9.81640625" style="8" customWidth="1"/>
    <col min="3584" max="3584" width="11.1796875" style="8" customWidth="1"/>
    <col min="3585" max="3585" width="2.81640625" style="8" customWidth="1"/>
    <col min="3586" max="3586" width="3.54296875" style="8" customWidth="1"/>
    <col min="3587" max="3831" width="9.1796875" style="8"/>
    <col min="3832" max="3832" width="8.81640625" style="8" customWidth="1"/>
    <col min="3833" max="3833" width="9.81640625" style="8" customWidth="1"/>
    <col min="3834" max="3834" width="14.453125" style="8" customWidth="1"/>
    <col min="3835" max="3835" width="7.1796875" style="8" customWidth="1"/>
    <col min="3836" max="3836" width="5.54296875" style="8" customWidth="1"/>
    <col min="3837" max="3837" width="9" style="8" customWidth="1"/>
    <col min="3838" max="3839" width="9.81640625" style="8" customWidth="1"/>
    <col min="3840" max="3840" width="11.1796875" style="8" customWidth="1"/>
    <col min="3841" max="3841" width="2.81640625" style="8" customWidth="1"/>
    <col min="3842" max="3842" width="3.54296875" style="8" customWidth="1"/>
    <col min="3843" max="4087" width="9.1796875" style="8"/>
    <col min="4088" max="4088" width="8.81640625" style="8" customWidth="1"/>
    <col min="4089" max="4089" width="9.81640625" style="8" customWidth="1"/>
    <col min="4090" max="4090" width="14.453125" style="8" customWidth="1"/>
    <col min="4091" max="4091" width="7.1796875" style="8" customWidth="1"/>
    <col min="4092" max="4092" width="5.54296875" style="8" customWidth="1"/>
    <col min="4093" max="4093" width="9" style="8" customWidth="1"/>
    <col min="4094" max="4095" width="9.81640625" style="8" customWidth="1"/>
    <col min="4096" max="4096" width="11.1796875" style="8" customWidth="1"/>
    <col min="4097" max="4097" width="2.81640625" style="8" customWidth="1"/>
    <col min="4098" max="4098" width="3.54296875" style="8" customWidth="1"/>
    <col min="4099" max="4343" width="9.1796875" style="8"/>
    <col min="4344" max="4344" width="8.81640625" style="8" customWidth="1"/>
    <col min="4345" max="4345" width="9.81640625" style="8" customWidth="1"/>
    <col min="4346" max="4346" width="14.453125" style="8" customWidth="1"/>
    <col min="4347" max="4347" width="7.1796875" style="8" customWidth="1"/>
    <col min="4348" max="4348" width="5.54296875" style="8" customWidth="1"/>
    <col min="4349" max="4349" width="9" style="8" customWidth="1"/>
    <col min="4350" max="4351" width="9.81640625" style="8" customWidth="1"/>
    <col min="4352" max="4352" width="11.1796875" style="8" customWidth="1"/>
    <col min="4353" max="4353" width="2.81640625" style="8" customWidth="1"/>
    <col min="4354" max="4354" width="3.54296875" style="8" customWidth="1"/>
    <col min="4355" max="4599" width="9.1796875" style="8"/>
    <col min="4600" max="4600" width="8.81640625" style="8" customWidth="1"/>
    <col min="4601" max="4601" width="9.81640625" style="8" customWidth="1"/>
    <col min="4602" max="4602" width="14.453125" style="8" customWidth="1"/>
    <col min="4603" max="4603" width="7.1796875" style="8" customWidth="1"/>
    <col min="4604" max="4604" width="5.54296875" style="8" customWidth="1"/>
    <col min="4605" max="4605" width="9" style="8" customWidth="1"/>
    <col min="4606" max="4607" width="9.81640625" style="8" customWidth="1"/>
    <col min="4608" max="4608" width="11.1796875" style="8" customWidth="1"/>
    <col min="4609" max="4609" width="2.81640625" style="8" customWidth="1"/>
    <col min="4610" max="4610" width="3.54296875" style="8" customWidth="1"/>
    <col min="4611" max="4855" width="9.1796875" style="8"/>
    <col min="4856" max="4856" width="8.81640625" style="8" customWidth="1"/>
    <col min="4857" max="4857" width="9.81640625" style="8" customWidth="1"/>
    <col min="4858" max="4858" width="14.453125" style="8" customWidth="1"/>
    <col min="4859" max="4859" width="7.1796875" style="8" customWidth="1"/>
    <col min="4860" max="4860" width="5.54296875" style="8" customWidth="1"/>
    <col min="4861" max="4861" width="9" style="8" customWidth="1"/>
    <col min="4862" max="4863" width="9.81640625" style="8" customWidth="1"/>
    <col min="4864" max="4864" width="11.1796875" style="8" customWidth="1"/>
    <col min="4865" max="4865" width="2.81640625" style="8" customWidth="1"/>
    <col min="4866" max="4866" width="3.54296875" style="8" customWidth="1"/>
    <col min="4867" max="5111" width="9.1796875" style="8"/>
    <col min="5112" max="5112" width="8.81640625" style="8" customWidth="1"/>
    <col min="5113" max="5113" width="9.81640625" style="8" customWidth="1"/>
    <col min="5114" max="5114" width="14.453125" style="8" customWidth="1"/>
    <col min="5115" max="5115" width="7.1796875" style="8" customWidth="1"/>
    <col min="5116" max="5116" width="5.54296875" style="8" customWidth="1"/>
    <col min="5117" max="5117" width="9" style="8" customWidth="1"/>
    <col min="5118" max="5119" width="9.81640625" style="8" customWidth="1"/>
    <col min="5120" max="5120" width="11.1796875" style="8" customWidth="1"/>
    <col min="5121" max="5121" width="2.81640625" style="8" customWidth="1"/>
    <col min="5122" max="5122" width="3.54296875" style="8" customWidth="1"/>
    <col min="5123" max="5367" width="9.1796875" style="8"/>
    <col min="5368" max="5368" width="8.81640625" style="8" customWidth="1"/>
    <col min="5369" max="5369" width="9.81640625" style="8" customWidth="1"/>
    <col min="5370" max="5370" width="14.453125" style="8" customWidth="1"/>
    <col min="5371" max="5371" width="7.1796875" style="8" customWidth="1"/>
    <col min="5372" max="5372" width="5.54296875" style="8" customWidth="1"/>
    <col min="5373" max="5373" width="9" style="8" customWidth="1"/>
    <col min="5374" max="5375" width="9.81640625" style="8" customWidth="1"/>
    <col min="5376" max="5376" width="11.1796875" style="8" customWidth="1"/>
    <col min="5377" max="5377" width="2.81640625" style="8" customWidth="1"/>
    <col min="5378" max="5378" width="3.54296875" style="8" customWidth="1"/>
    <col min="5379" max="5623" width="9.1796875" style="8"/>
    <col min="5624" max="5624" width="8.81640625" style="8" customWidth="1"/>
    <col min="5625" max="5625" width="9.81640625" style="8" customWidth="1"/>
    <col min="5626" max="5626" width="14.453125" style="8" customWidth="1"/>
    <col min="5627" max="5627" width="7.1796875" style="8" customWidth="1"/>
    <col min="5628" max="5628" width="5.54296875" style="8" customWidth="1"/>
    <col min="5629" max="5629" width="9" style="8" customWidth="1"/>
    <col min="5630" max="5631" width="9.81640625" style="8" customWidth="1"/>
    <col min="5632" max="5632" width="11.1796875" style="8" customWidth="1"/>
    <col min="5633" max="5633" width="2.81640625" style="8" customWidth="1"/>
    <col min="5634" max="5634" width="3.54296875" style="8" customWidth="1"/>
    <col min="5635" max="5879" width="9.1796875" style="8"/>
    <col min="5880" max="5880" width="8.81640625" style="8" customWidth="1"/>
    <col min="5881" max="5881" width="9.81640625" style="8" customWidth="1"/>
    <col min="5882" max="5882" width="14.453125" style="8" customWidth="1"/>
    <col min="5883" max="5883" width="7.1796875" style="8" customWidth="1"/>
    <col min="5884" max="5884" width="5.54296875" style="8" customWidth="1"/>
    <col min="5885" max="5885" width="9" style="8" customWidth="1"/>
    <col min="5886" max="5887" width="9.81640625" style="8" customWidth="1"/>
    <col min="5888" max="5888" width="11.1796875" style="8" customWidth="1"/>
    <col min="5889" max="5889" width="2.81640625" style="8" customWidth="1"/>
    <col min="5890" max="5890" width="3.54296875" style="8" customWidth="1"/>
    <col min="5891" max="6135" width="9.1796875" style="8"/>
    <col min="6136" max="6136" width="8.81640625" style="8" customWidth="1"/>
    <col min="6137" max="6137" width="9.81640625" style="8" customWidth="1"/>
    <col min="6138" max="6138" width="14.453125" style="8" customWidth="1"/>
    <col min="6139" max="6139" width="7.1796875" style="8" customWidth="1"/>
    <col min="6140" max="6140" width="5.54296875" style="8" customWidth="1"/>
    <col min="6141" max="6141" width="9" style="8" customWidth="1"/>
    <col min="6142" max="6143" width="9.81640625" style="8" customWidth="1"/>
    <col min="6144" max="6144" width="11.1796875" style="8" customWidth="1"/>
    <col min="6145" max="6145" width="2.81640625" style="8" customWidth="1"/>
    <col min="6146" max="6146" width="3.54296875" style="8" customWidth="1"/>
    <col min="6147" max="6391" width="9.1796875" style="8"/>
    <col min="6392" max="6392" width="8.81640625" style="8" customWidth="1"/>
    <col min="6393" max="6393" width="9.81640625" style="8" customWidth="1"/>
    <col min="6394" max="6394" width="14.453125" style="8" customWidth="1"/>
    <col min="6395" max="6395" width="7.1796875" style="8" customWidth="1"/>
    <col min="6396" max="6396" width="5.54296875" style="8" customWidth="1"/>
    <col min="6397" max="6397" width="9" style="8" customWidth="1"/>
    <col min="6398" max="6399" width="9.81640625" style="8" customWidth="1"/>
    <col min="6400" max="6400" width="11.1796875" style="8" customWidth="1"/>
    <col min="6401" max="6401" width="2.81640625" style="8" customWidth="1"/>
    <col min="6402" max="6402" width="3.54296875" style="8" customWidth="1"/>
    <col min="6403" max="6647" width="9.1796875" style="8"/>
    <col min="6648" max="6648" width="8.81640625" style="8" customWidth="1"/>
    <col min="6649" max="6649" width="9.81640625" style="8" customWidth="1"/>
    <col min="6650" max="6650" width="14.453125" style="8" customWidth="1"/>
    <col min="6651" max="6651" width="7.1796875" style="8" customWidth="1"/>
    <col min="6652" max="6652" width="5.54296875" style="8" customWidth="1"/>
    <col min="6653" max="6653" width="9" style="8" customWidth="1"/>
    <col min="6654" max="6655" width="9.81640625" style="8" customWidth="1"/>
    <col min="6656" max="6656" width="11.1796875" style="8" customWidth="1"/>
    <col min="6657" max="6657" width="2.81640625" style="8" customWidth="1"/>
    <col min="6658" max="6658" width="3.54296875" style="8" customWidth="1"/>
    <col min="6659" max="6903" width="9.1796875" style="8"/>
    <col min="6904" max="6904" width="8.81640625" style="8" customWidth="1"/>
    <col min="6905" max="6905" width="9.81640625" style="8" customWidth="1"/>
    <col min="6906" max="6906" width="14.453125" style="8" customWidth="1"/>
    <col min="6907" max="6907" width="7.1796875" style="8" customWidth="1"/>
    <col min="6908" max="6908" width="5.54296875" style="8" customWidth="1"/>
    <col min="6909" max="6909" width="9" style="8" customWidth="1"/>
    <col min="6910" max="6911" width="9.81640625" style="8" customWidth="1"/>
    <col min="6912" max="6912" width="11.1796875" style="8" customWidth="1"/>
    <col min="6913" max="6913" width="2.81640625" style="8" customWidth="1"/>
    <col min="6914" max="6914" width="3.54296875" style="8" customWidth="1"/>
    <col min="6915" max="7159" width="9.1796875" style="8"/>
    <col min="7160" max="7160" width="8.81640625" style="8" customWidth="1"/>
    <col min="7161" max="7161" width="9.81640625" style="8" customWidth="1"/>
    <col min="7162" max="7162" width="14.453125" style="8" customWidth="1"/>
    <col min="7163" max="7163" width="7.1796875" style="8" customWidth="1"/>
    <col min="7164" max="7164" width="5.54296875" style="8" customWidth="1"/>
    <col min="7165" max="7165" width="9" style="8" customWidth="1"/>
    <col min="7166" max="7167" width="9.81640625" style="8" customWidth="1"/>
    <col min="7168" max="7168" width="11.1796875" style="8" customWidth="1"/>
    <col min="7169" max="7169" width="2.81640625" style="8" customWidth="1"/>
    <col min="7170" max="7170" width="3.54296875" style="8" customWidth="1"/>
    <col min="7171" max="7415" width="9.1796875" style="8"/>
    <col min="7416" max="7416" width="8.81640625" style="8" customWidth="1"/>
    <col min="7417" max="7417" width="9.81640625" style="8" customWidth="1"/>
    <col min="7418" max="7418" width="14.453125" style="8" customWidth="1"/>
    <col min="7419" max="7419" width="7.1796875" style="8" customWidth="1"/>
    <col min="7420" max="7420" width="5.54296875" style="8" customWidth="1"/>
    <col min="7421" max="7421" width="9" style="8" customWidth="1"/>
    <col min="7422" max="7423" width="9.81640625" style="8" customWidth="1"/>
    <col min="7424" max="7424" width="11.1796875" style="8" customWidth="1"/>
    <col min="7425" max="7425" width="2.81640625" style="8" customWidth="1"/>
    <col min="7426" max="7426" width="3.54296875" style="8" customWidth="1"/>
    <col min="7427" max="7671" width="9.1796875" style="8"/>
    <col min="7672" max="7672" width="8.81640625" style="8" customWidth="1"/>
    <col min="7673" max="7673" width="9.81640625" style="8" customWidth="1"/>
    <col min="7674" max="7674" width="14.453125" style="8" customWidth="1"/>
    <col min="7675" max="7675" width="7.1796875" style="8" customWidth="1"/>
    <col min="7676" max="7676" width="5.54296875" style="8" customWidth="1"/>
    <col min="7677" max="7677" width="9" style="8" customWidth="1"/>
    <col min="7678" max="7679" width="9.81640625" style="8" customWidth="1"/>
    <col min="7680" max="7680" width="11.1796875" style="8" customWidth="1"/>
    <col min="7681" max="7681" width="2.81640625" style="8" customWidth="1"/>
    <col min="7682" max="7682" width="3.54296875" style="8" customWidth="1"/>
    <col min="7683" max="7927" width="9.1796875" style="8"/>
    <col min="7928" max="7928" width="8.81640625" style="8" customWidth="1"/>
    <col min="7929" max="7929" width="9.81640625" style="8" customWidth="1"/>
    <col min="7930" max="7930" width="14.453125" style="8" customWidth="1"/>
    <col min="7931" max="7931" width="7.1796875" style="8" customWidth="1"/>
    <col min="7932" max="7932" width="5.54296875" style="8" customWidth="1"/>
    <col min="7933" max="7933" width="9" style="8" customWidth="1"/>
    <col min="7934" max="7935" width="9.81640625" style="8" customWidth="1"/>
    <col min="7936" max="7936" width="11.1796875" style="8" customWidth="1"/>
    <col min="7937" max="7937" width="2.81640625" style="8" customWidth="1"/>
    <col min="7938" max="7938" width="3.54296875" style="8" customWidth="1"/>
    <col min="7939" max="8183" width="9.1796875" style="8"/>
    <col min="8184" max="8184" width="8.81640625" style="8" customWidth="1"/>
    <col min="8185" max="8185" width="9.81640625" style="8" customWidth="1"/>
    <col min="8186" max="8186" width="14.453125" style="8" customWidth="1"/>
    <col min="8187" max="8187" width="7.1796875" style="8" customWidth="1"/>
    <col min="8188" max="8188" width="5.54296875" style="8" customWidth="1"/>
    <col min="8189" max="8189" width="9" style="8" customWidth="1"/>
    <col min="8190" max="8191" width="9.81640625" style="8" customWidth="1"/>
    <col min="8192" max="8192" width="11.1796875" style="8" customWidth="1"/>
    <col min="8193" max="8193" width="2.81640625" style="8" customWidth="1"/>
    <col min="8194" max="8194" width="3.54296875" style="8" customWidth="1"/>
    <col min="8195" max="8439" width="9.1796875" style="8"/>
    <col min="8440" max="8440" width="8.81640625" style="8" customWidth="1"/>
    <col min="8441" max="8441" width="9.81640625" style="8" customWidth="1"/>
    <col min="8442" max="8442" width="14.453125" style="8" customWidth="1"/>
    <col min="8443" max="8443" width="7.1796875" style="8" customWidth="1"/>
    <col min="8444" max="8444" width="5.54296875" style="8" customWidth="1"/>
    <col min="8445" max="8445" width="9" style="8" customWidth="1"/>
    <col min="8446" max="8447" width="9.81640625" style="8" customWidth="1"/>
    <col min="8448" max="8448" width="11.1796875" style="8" customWidth="1"/>
    <col min="8449" max="8449" width="2.81640625" style="8" customWidth="1"/>
    <col min="8450" max="8450" width="3.54296875" style="8" customWidth="1"/>
    <col min="8451" max="8695" width="9.1796875" style="8"/>
    <col min="8696" max="8696" width="8.81640625" style="8" customWidth="1"/>
    <col min="8697" max="8697" width="9.81640625" style="8" customWidth="1"/>
    <col min="8698" max="8698" width="14.453125" style="8" customWidth="1"/>
    <col min="8699" max="8699" width="7.1796875" style="8" customWidth="1"/>
    <col min="8700" max="8700" width="5.54296875" style="8" customWidth="1"/>
    <col min="8701" max="8701" width="9" style="8" customWidth="1"/>
    <col min="8702" max="8703" width="9.81640625" style="8" customWidth="1"/>
    <col min="8704" max="8704" width="11.1796875" style="8" customWidth="1"/>
    <col min="8705" max="8705" width="2.81640625" style="8" customWidth="1"/>
    <col min="8706" max="8706" width="3.54296875" style="8" customWidth="1"/>
    <col min="8707" max="8951" width="9.1796875" style="8"/>
    <col min="8952" max="8952" width="8.81640625" style="8" customWidth="1"/>
    <col min="8953" max="8953" width="9.81640625" style="8" customWidth="1"/>
    <col min="8954" max="8954" width="14.453125" style="8" customWidth="1"/>
    <col min="8955" max="8955" width="7.1796875" style="8" customWidth="1"/>
    <col min="8956" max="8956" width="5.54296875" style="8" customWidth="1"/>
    <col min="8957" max="8957" width="9" style="8" customWidth="1"/>
    <col min="8958" max="8959" width="9.81640625" style="8" customWidth="1"/>
    <col min="8960" max="8960" width="11.1796875" style="8" customWidth="1"/>
    <col min="8961" max="8961" width="2.81640625" style="8" customWidth="1"/>
    <col min="8962" max="8962" width="3.54296875" style="8" customWidth="1"/>
    <col min="8963" max="9207" width="9.1796875" style="8"/>
    <col min="9208" max="9208" width="8.81640625" style="8" customWidth="1"/>
    <col min="9209" max="9209" width="9.81640625" style="8" customWidth="1"/>
    <col min="9210" max="9210" width="14.453125" style="8" customWidth="1"/>
    <col min="9211" max="9211" width="7.1796875" style="8" customWidth="1"/>
    <col min="9212" max="9212" width="5.54296875" style="8" customWidth="1"/>
    <col min="9213" max="9213" width="9" style="8" customWidth="1"/>
    <col min="9214" max="9215" width="9.81640625" style="8" customWidth="1"/>
    <col min="9216" max="9216" width="11.1796875" style="8" customWidth="1"/>
    <col min="9217" max="9217" width="2.81640625" style="8" customWidth="1"/>
    <col min="9218" max="9218" width="3.54296875" style="8" customWidth="1"/>
    <col min="9219" max="9463" width="9.1796875" style="8"/>
    <col min="9464" max="9464" width="8.81640625" style="8" customWidth="1"/>
    <col min="9465" max="9465" width="9.81640625" style="8" customWidth="1"/>
    <col min="9466" max="9466" width="14.453125" style="8" customWidth="1"/>
    <col min="9467" max="9467" width="7.1796875" style="8" customWidth="1"/>
    <col min="9468" max="9468" width="5.54296875" style="8" customWidth="1"/>
    <col min="9469" max="9469" width="9" style="8" customWidth="1"/>
    <col min="9470" max="9471" width="9.81640625" style="8" customWidth="1"/>
    <col min="9472" max="9472" width="11.1796875" style="8" customWidth="1"/>
    <col min="9473" max="9473" width="2.81640625" style="8" customWidth="1"/>
    <col min="9474" max="9474" width="3.54296875" style="8" customWidth="1"/>
    <col min="9475" max="9719" width="9.1796875" style="8"/>
    <col min="9720" max="9720" width="8.81640625" style="8" customWidth="1"/>
    <col min="9721" max="9721" width="9.81640625" style="8" customWidth="1"/>
    <col min="9722" max="9722" width="14.453125" style="8" customWidth="1"/>
    <col min="9723" max="9723" width="7.1796875" style="8" customWidth="1"/>
    <col min="9724" max="9724" width="5.54296875" style="8" customWidth="1"/>
    <col min="9725" max="9725" width="9" style="8" customWidth="1"/>
    <col min="9726" max="9727" width="9.81640625" style="8" customWidth="1"/>
    <col min="9728" max="9728" width="11.1796875" style="8" customWidth="1"/>
    <col min="9729" max="9729" width="2.81640625" style="8" customWidth="1"/>
    <col min="9730" max="9730" width="3.54296875" style="8" customWidth="1"/>
    <col min="9731" max="9975" width="9.1796875" style="8"/>
    <col min="9976" max="9976" width="8.81640625" style="8" customWidth="1"/>
    <col min="9977" max="9977" width="9.81640625" style="8" customWidth="1"/>
    <col min="9978" max="9978" width="14.453125" style="8" customWidth="1"/>
    <col min="9979" max="9979" width="7.1796875" style="8" customWidth="1"/>
    <col min="9980" max="9980" width="5.54296875" style="8" customWidth="1"/>
    <col min="9981" max="9981" width="9" style="8" customWidth="1"/>
    <col min="9982" max="9983" width="9.81640625" style="8" customWidth="1"/>
    <col min="9984" max="9984" width="11.1796875" style="8" customWidth="1"/>
    <col min="9985" max="9985" width="2.81640625" style="8" customWidth="1"/>
    <col min="9986" max="9986" width="3.54296875" style="8" customWidth="1"/>
    <col min="9987" max="10231" width="9.1796875" style="8"/>
    <col min="10232" max="10232" width="8.81640625" style="8" customWidth="1"/>
    <col min="10233" max="10233" width="9.81640625" style="8" customWidth="1"/>
    <col min="10234" max="10234" width="14.453125" style="8" customWidth="1"/>
    <col min="10235" max="10235" width="7.1796875" style="8" customWidth="1"/>
    <col min="10236" max="10236" width="5.54296875" style="8" customWidth="1"/>
    <col min="10237" max="10237" width="9" style="8" customWidth="1"/>
    <col min="10238" max="10239" width="9.81640625" style="8" customWidth="1"/>
    <col min="10240" max="10240" width="11.1796875" style="8" customWidth="1"/>
    <col min="10241" max="10241" width="2.81640625" style="8" customWidth="1"/>
    <col min="10242" max="10242" width="3.54296875" style="8" customWidth="1"/>
    <col min="10243" max="10487" width="9.1796875" style="8"/>
    <col min="10488" max="10488" width="8.81640625" style="8" customWidth="1"/>
    <col min="10489" max="10489" width="9.81640625" style="8" customWidth="1"/>
    <col min="10490" max="10490" width="14.453125" style="8" customWidth="1"/>
    <col min="10491" max="10491" width="7.1796875" style="8" customWidth="1"/>
    <col min="10492" max="10492" width="5.54296875" style="8" customWidth="1"/>
    <col min="10493" max="10493" width="9" style="8" customWidth="1"/>
    <col min="10494" max="10495" width="9.81640625" style="8" customWidth="1"/>
    <col min="10496" max="10496" width="11.1796875" style="8" customWidth="1"/>
    <col min="10497" max="10497" width="2.81640625" style="8" customWidth="1"/>
    <col min="10498" max="10498" width="3.54296875" style="8" customWidth="1"/>
    <col min="10499" max="10743" width="9.1796875" style="8"/>
    <col min="10744" max="10744" width="8.81640625" style="8" customWidth="1"/>
    <col min="10745" max="10745" width="9.81640625" style="8" customWidth="1"/>
    <col min="10746" max="10746" width="14.453125" style="8" customWidth="1"/>
    <col min="10747" max="10747" width="7.1796875" style="8" customWidth="1"/>
    <col min="10748" max="10748" width="5.54296875" style="8" customWidth="1"/>
    <col min="10749" max="10749" width="9" style="8" customWidth="1"/>
    <col min="10750" max="10751" width="9.81640625" style="8" customWidth="1"/>
    <col min="10752" max="10752" width="11.1796875" style="8" customWidth="1"/>
    <col min="10753" max="10753" width="2.81640625" style="8" customWidth="1"/>
    <col min="10754" max="10754" width="3.54296875" style="8" customWidth="1"/>
    <col min="10755" max="10999" width="9.1796875" style="8"/>
    <col min="11000" max="11000" width="8.81640625" style="8" customWidth="1"/>
    <col min="11001" max="11001" width="9.81640625" style="8" customWidth="1"/>
    <col min="11002" max="11002" width="14.453125" style="8" customWidth="1"/>
    <col min="11003" max="11003" width="7.1796875" style="8" customWidth="1"/>
    <col min="11004" max="11004" width="5.54296875" style="8" customWidth="1"/>
    <col min="11005" max="11005" width="9" style="8" customWidth="1"/>
    <col min="11006" max="11007" width="9.81640625" style="8" customWidth="1"/>
    <col min="11008" max="11008" width="11.1796875" style="8" customWidth="1"/>
    <col min="11009" max="11009" width="2.81640625" style="8" customWidth="1"/>
    <col min="11010" max="11010" width="3.54296875" style="8" customWidth="1"/>
    <col min="11011" max="11255" width="9.1796875" style="8"/>
    <col min="11256" max="11256" width="8.81640625" style="8" customWidth="1"/>
    <col min="11257" max="11257" width="9.81640625" style="8" customWidth="1"/>
    <col min="11258" max="11258" width="14.453125" style="8" customWidth="1"/>
    <col min="11259" max="11259" width="7.1796875" style="8" customWidth="1"/>
    <col min="11260" max="11260" width="5.54296875" style="8" customWidth="1"/>
    <col min="11261" max="11261" width="9" style="8" customWidth="1"/>
    <col min="11262" max="11263" width="9.81640625" style="8" customWidth="1"/>
    <col min="11264" max="11264" width="11.1796875" style="8" customWidth="1"/>
    <col min="11265" max="11265" width="2.81640625" style="8" customWidth="1"/>
    <col min="11266" max="11266" width="3.54296875" style="8" customWidth="1"/>
    <col min="11267" max="11511" width="9.1796875" style="8"/>
    <col min="11512" max="11512" width="8.81640625" style="8" customWidth="1"/>
    <col min="11513" max="11513" width="9.81640625" style="8" customWidth="1"/>
    <col min="11514" max="11514" width="14.453125" style="8" customWidth="1"/>
    <col min="11515" max="11515" width="7.1796875" style="8" customWidth="1"/>
    <col min="11516" max="11516" width="5.54296875" style="8" customWidth="1"/>
    <col min="11517" max="11517" width="9" style="8" customWidth="1"/>
    <col min="11518" max="11519" width="9.81640625" style="8" customWidth="1"/>
    <col min="11520" max="11520" width="11.1796875" style="8" customWidth="1"/>
    <col min="11521" max="11521" width="2.81640625" style="8" customWidth="1"/>
    <col min="11522" max="11522" width="3.54296875" style="8" customWidth="1"/>
    <col min="11523" max="11767" width="9.1796875" style="8"/>
    <col min="11768" max="11768" width="8.81640625" style="8" customWidth="1"/>
    <col min="11769" max="11769" width="9.81640625" style="8" customWidth="1"/>
    <col min="11770" max="11770" width="14.453125" style="8" customWidth="1"/>
    <col min="11771" max="11771" width="7.1796875" style="8" customWidth="1"/>
    <col min="11772" max="11772" width="5.54296875" style="8" customWidth="1"/>
    <col min="11773" max="11773" width="9" style="8" customWidth="1"/>
    <col min="11774" max="11775" width="9.81640625" style="8" customWidth="1"/>
    <col min="11776" max="11776" width="11.1796875" style="8" customWidth="1"/>
    <col min="11777" max="11777" width="2.81640625" style="8" customWidth="1"/>
    <col min="11778" max="11778" width="3.54296875" style="8" customWidth="1"/>
    <col min="11779" max="12023" width="9.1796875" style="8"/>
    <col min="12024" max="12024" width="8.81640625" style="8" customWidth="1"/>
    <col min="12025" max="12025" width="9.81640625" style="8" customWidth="1"/>
    <col min="12026" max="12026" width="14.453125" style="8" customWidth="1"/>
    <col min="12027" max="12027" width="7.1796875" style="8" customWidth="1"/>
    <col min="12028" max="12028" width="5.54296875" style="8" customWidth="1"/>
    <col min="12029" max="12029" width="9" style="8" customWidth="1"/>
    <col min="12030" max="12031" width="9.81640625" style="8" customWidth="1"/>
    <col min="12032" max="12032" width="11.1796875" style="8" customWidth="1"/>
    <col min="12033" max="12033" width="2.81640625" style="8" customWidth="1"/>
    <col min="12034" max="12034" width="3.54296875" style="8" customWidth="1"/>
    <col min="12035" max="12279" width="9.1796875" style="8"/>
    <col min="12280" max="12280" width="8.81640625" style="8" customWidth="1"/>
    <col min="12281" max="12281" width="9.81640625" style="8" customWidth="1"/>
    <col min="12282" max="12282" width="14.453125" style="8" customWidth="1"/>
    <col min="12283" max="12283" width="7.1796875" style="8" customWidth="1"/>
    <col min="12284" max="12284" width="5.54296875" style="8" customWidth="1"/>
    <col min="12285" max="12285" width="9" style="8" customWidth="1"/>
    <col min="12286" max="12287" width="9.81640625" style="8" customWidth="1"/>
    <col min="12288" max="12288" width="11.1796875" style="8" customWidth="1"/>
    <col min="12289" max="12289" width="2.81640625" style="8" customWidth="1"/>
    <col min="12290" max="12290" width="3.54296875" style="8" customWidth="1"/>
    <col min="12291" max="12535" width="9.1796875" style="8"/>
    <col min="12536" max="12536" width="8.81640625" style="8" customWidth="1"/>
    <col min="12537" max="12537" width="9.81640625" style="8" customWidth="1"/>
    <col min="12538" max="12538" width="14.453125" style="8" customWidth="1"/>
    <col min="12539" max="12539" width="7.1796875" style="8" customWidth="1"/>
    <col min="12540" max="12540" width="5.54296875" style="8" customWidth="1"/>
    <col min="12541" max="12541" width="9" style="8" customWidth="1"/>
    <col min="12542" max="12543" width="9.81640625" style="8" customWidth="1"/>
    <col min="12544" max="12544" width="11.1796875" style="8" customWidth="1"/>
    <col min="12545" max="12545" width="2.81640625" style="8" customWidth="1"/>
    <col min="12546" max="12546" width="3.54296875" style="8" customWidth="1"/>
    <col min="12547" max="12791" width="9.1796875" style="8"/>
    <col min="12792" max="12792" width="8.81640625" style="8" customWidth="1"/>
    <col min="12793" max="12793" width="9.81640625" style="8" customWidth="1"/>
    <col min="12794" max="12794" width="14.453125" style="8" customWidth="1"/>
    <col min="12795" max="12795" width="7.1796875" style="8" customWidth="1"/>
    <col min="12796" max="12796" width="5.54296875" style="8" customWidth="1"/>
    <col min="12797" max="12797" width="9" style="8" customWidth="1"/>
    <col min="12798" max="12799" width="9.81640625" style="8" customWidth="1"/>
    <col min="12800" max="12800" width="11.1796875" style="8" customWidth="1"/>
    <col min="12801" max="12801" width="2.81640625" style="8" customWidth="1"/>
    <col min="12802" max="12802" width="3.54296875" style="8" customWidth="1"/>
    <col min="12803" max="13047" width="9.1796875" style="8"/>
    <col min="13048" max="13048" width="8.81640625" style="8" customWidth="1"/>
    <col min="13049" max="13049" width="9.81640625" style="8" customWidth="1"/>
    <col min="13050" max="13050" width="14.453125" style="8" customWidth="1"/>
    <col min="13051" max="13051" width="7.1796875" style="8" customWidth="1"/>
    <col min="13052" max="13052" width="5.54296875" style="8" customWidth="1"/>
    <col min="13053" max="13053" width="9" style="8" customWidth="1"/>
    <col min="13054" max="13055" width="9.81640625" style="8" customWidth="1"/>
    <col min="13056" max="13056" width="11.1796875" style="8" customWidth="1"/>
    <col min="13057" max="13057" width="2.81640625" style="8" customWidth="1"/>
    <col min="13058" max="13058" width="3.54296875" style="8" customWidth="1"/>
    <col min="13059" max="13303" width="9.1796875" style="8"/>
    <col min="13304" max="13304" width="8.81640625" style="8" customWidth="1"/>
    <col min="13305" max="13305" width="9.81640625" style="8" customWidth="1"/>
    <col min="13306" max="13306" width="14.453125" style="8" customWidth="1"/>
    <col min="13307" max="13307" width="7.1796875" style="8" customWidth="1"/>
    <col min="13308" max="13308" width="5.54296875" style="8" customWidth="1"/>
    <col min="13309" max="13309" width="9" style="8" customWidth="1"/>
    <col min="13310" max="13311" width="9.81640625" style="8" customWidth="1"/>
    <col min="13312" max="13312" width="11.1796875" style="8" customWidth="1"/>
    <col min="13313" max="13313" width="2.81640625" style="8" customWidth="1"/>
    <col min="13314" max="13314" width="3.54296875" style="8" customWidth="1"/>
    <col min="13315" max="13559" width="9.1796875" style="8"/>
    <col min="13560" max="13560" width="8.81640625" style="8" customWidth="1"/>
    <col min="13561" max="13561" width="9.81640625" style="8" customWidth="1"/>
    <col min="13562" max="13562" width="14.453125" style="8" customWidth="1"/>
    <col min="13563" max="13563" width="7.1796875" style="8" customWidth="1"/>
    <col min="13564" max="13564" width="5.54296875" style="8" customWidth="1"/>
    <col min="13565" max="13565" width="9" style="8" customWidth="1"/>
    <col min="13566" max="13567" width="9.81640625" style="8" customWidth="1"/>
    <col min="13568" max="13568" width="11.1796875" style="8" customWidth="1"/>
    <col min="13569" max="13569" width="2.81640625" style="8" customWidth="1"/>
    <col min="13570" max="13570" width="3.54296875" style="8" customWidth="1"/>
    <col min="13571" max="13815" width="9.1796875" style="8"/>
    <col min="13816" max="13816" width="8.81640625" style="8" customWidth="1"/>
    <col min="13817" max="13817" width="9.81640625" style="8" customWidth="1"/>
    <col min="13818" max="13818" width="14.453125" style="8" customWidth="1"/>
    <col min="13819" max="13819" width="7.1796875" style="8" customWidth="1"/>
    <col min="13820" max="13820" width="5.54296875" style="8" customWidth="1"/>
    <col min="13821" max="13821" width="9" style="8" customWidth="1"/>
    <col min="13822" max="13823" width="9.81640625" style="8" customWidth="1"/>
    <col min="13824" max="13824" width="11.1796875" style="8" customWidth="1"/>
    <col min="13825" max="13825" width="2.81640625" style="8" customWidth="1"/>
    <col min="13826" max="13826" width="3.54296875" style="8" customWidth="1"/>
    <col min="13827" max="14071" width="9.1796875" style="8"/>
    <col min="14072" max="14072" width="8.81640625" style="8" customWidth="1"/>
    <col min="14073" max="14073" width="9.81640625" style="8" customWidth="1"/>
    <col min="14074" max="14074" width="14.453125" style="8" customWidth="1"/>
    <col min="14075" max="14075" width="7.1796875" style="8" customWidth="1"/>
    <col min="14076" max="14076" width="5.54296875" style="8" customWidth="1"/>
    <col min="14077" max="14077" width="9" style="8" customWidth="1"/>
    <col min="14078" max="14079" width="9.81640625" style="8" customWidth="1"/>
    <col min="14080" max="14080" width="11.1796875" style="8" customWidth="1"/>
    <col min="14081" max="14081" width="2.81640625" style="8" customWidth="1"/>
    <col min="14082" max="14082" width="3.54296875" style="8" customWidth="1"/>
    <col min="14083" max="14327" width="9.1796875" style="8"/>
    <col min="14328" max="14328" width="8.81640625" style="8" customWidth="1"/>
    <col min="14329" max="14329" width="9.81640625" style="8" customWidth="1"/>
    <col min="14330" max="14330" width="14.453125" style="8" customWidth="1"/>
    <col min="14331" max="14331" width="7.1796875" style="8" customWidth="1"/>
    <col min="14332" max="14332" width="5.54296875" style="8" customWidth="1"/>
    <col min="14333" max="14333" width="9" style="8" customWidth="1"/>
    <col min="14334" max="14335" width="9.81640625" style="8" customWidth="1"/>
    <col min="14336" max="14336" width="11.1796875" style="8" customWidth="1"/>
    <col min="14337" max="14337" width="2.81640625" style="8" customWidth="1"/>
    <col min="14338" max="14338" width="3.54296875" style="8" customWidth="1"/>
    <col min="14339" max="14583" width="9.1796875" style="8"/>
    <col min="14584" max="14584" width="8.81640625" style="8" customWidth="1"/>
    <col min="14585" max="14585" width="9.81640625" style="8" customWidth="1"/>
    <col min="14586" max="14586" width="14.453125" style="8" customWidth="1"/>
    <col min="14587" max="14587" width="7.1796875" style="8" customWidth="1"/>
    <col min="14588" max="14588" width="5.54296875" style="8" customWidth="1"/>
    <col min="14589" max="14589" width="9" style="8" customWidth="1"/>
    <col min="14590" max="14591" width="9.81640625" style="8" customWidth="1"/>
    <col min="14592" max="14592" width="11.1796875" style="8" customWidth="1"/>
    <col min="14593" max="14593" width="2.81640625" style="8" customWidth="1"/>
    <col min="14594" max="14594" width="3.54296875" style="8" customWidth="1"/>
    <col min="14595" max="14839" width="9.1796875" style="8"/>
    <col min="14840" max="14840" width="8.81640625" style="8" customWidth="1"/>
    <col min="14841" max="14841" width="9.81640625" style="8" customWidth="1"/>
    <col min="14842" max="14842" width="14.453125" style="8" customWidth="1"/>
    <col min="14843" max="14843" width="7.1796875" style="8" customWidth="1"/>
    <col min="14844" max="14844" width="5.54296875" style="8" customWidth="1"/>
    <col min="14845" max="14845" width="9" style="8" customWidth="1"/>
    <col min="14846" max="14847" width="9.81640625" style="8" customWidth="1"/>
    <col min="14848" max="14848" width="11.1796875" style="8" customWidth="1"/>
    <col min="14849" max="14849" width="2.81640625" style="8" customWidth="1"/>
    <col min="14850" max="14850" width="3.54296875" style="8" customWidth="1"/>
    <col min="14851" max="15095" width="9.1796875" style="8"/>
    <col min="15096" max="15096" width="8.81640625" style="8" customWidth="1"/>
    <col min="15097" max="15097" width="9.81640625" style="8" customWidth="1"/>
    <col min="15098" max="15098" width="14.453125" style="8" customWidth="1"/>
    <col min="15099" max="15099" width="7.1796875" style="8" customWidth="1"/>
    <col min="15100" max="15100" width="5.54296875" style="8" customWidth="1"/>
    <col min="15101" max="15101" width="9" style="8" customWidth="1"/>
    <col min="15102" max="15103" width="9.81640625" style="8" customWidth="1"/>
    <col min="15104" max="15104" width="11.1796875" style="8" customWidth="1"/>
    <col min="15105" max="15105" width="2.81640625" style="8" customWidth="1"/>
    <col min="15106" max="15106" width="3.54296875" style="8" customWidth="1"/>
    <col min="15107" max="15351" width="9.1796875" style="8"/>
    <col min="15352" max="15352" width="8.81640625" style="8" customWidth="1"/>
    <col min="15353" max="15353" width="9.81640625" style="8" customWidth="1"/>
    <col min="15354" max="15354" width="14.453125" style="8" customWidth="1"/>
    <col min="15355" max="15355" width="7.1796875" style="8" customWidth="1"/>
    <col min="15356" max="15356" width="5.54296875" style="8" customWidth="1"/>
    <col min="15357" max="15357" width="9" style="8" customWidth="1"/>
    <col min="15358" max="15359" width="9.81640625" style="8" customWidth="1"/>
    <col min="15360" max="15360" width="11.1796875" style="8" customWidth="1"/>
    <col min="15361" max="15361" width="2.81640625" style="8" customWidth="1"/>
    <col min="15362" max="15362" width="3.54296875" style="8" customWidth="1"/>
    <col min="15363" max="15607" width="9.1796875" style="8"/>
    <col min="15608" max="15608" width="8.81640625" style="8" customWidth="1"/>
    <col min="15609" max="15609" width="9.81640625" style="8" customWidth="1"/>
    <col min="15610" max="15610" width="14.453125" style="8" customWidth="1"/>
    <col min="15611" max="15611" width="7.1796875" style="8" customWidth="1"/>
    <col min="15612" max="15612" width="5.54296875" style="8" customWidth="1"/>
    <col min="15613" max="15613" width="9" style="8" customWidth="1"/>
    <col min="15614" max="15615" width="9.81640625" style="8" customWidth="1"/>
    <col min="15616" max="15616" width="11.1796875" style="8" customWidth="1"/>
    <col min="15617" max="15617" width="2.81640625" style="8" customWidth="1"/>
    <col min="15618" max="15618" width="3.54296875" style="8" customWidth="1"/>
    <col min="15619" max="15863" width="9.1796875" style="8"/>
    <col min="15864" max="15864" width="8.81640625" style="8" customWidth="1"/>
    <col min="15865" max="15865" width="9.81640625" style="8" customWidth="1"/>
    <col min="15866" max="15866" width="14.453125" style="8" customWidth="1"/>
    <col min="15867" max="15867" width="7.1796875" style="8" customWidth="1"/>
    <col min="15868" max="15868" width="5.54296875" style="8" customWidth="1"/>
    <col min="15869" max="15869" width="9" style="8" customWidth="1"/>
    <col min="15870" max="15871" width="9.81640625" style="8" customWidth="1"/>
    <col min="15872" max="15872" width="11.1796875" style="8" customWidth="1"/>
    <col min="15873" max="15873" width="2.81640625" style="8" customWidth="1"/>
    <col min="15874" max="15874" width="3.54296875" style="8" customWidth="1"/>
    <col min="15875" max="16119" width="9.1796875" style="8"/>
    <col min="16120" max="16120" width="8.81640625" style="8" customWidth="1"/>
    <col min="16121" max="16121" width="9.81640625" style="8" customWidth="1"/>
    <col min="16122" max="16122" width="14.453125" style="8" customWidth="1"/>
    <col min="16123" max="16123" width="7.1796875" style="8" customWidth="1"/>
    <col min="16124" max="16124" width="5.54296875" style="8" customWidth="1"/>
    <col min="16125" max="16125" width="9" style="8" customWidth="1"/>
    <col min="16126" max="16127" width="9.81640625" style="8" customWidth="1"/>
    <col min="16128" max="16128" width="11.1796875" style="8" customWidth="1"/>
    <col min="16129" max="16129" width="2.81640625" style="8" customWidth="1"/>
    <col min="16130" max="16130" width="3.54296875" style="8" customWidth="1"/>
    <col min="16131" max="16384" width="9.1796875" style="8"/>
  </cols>
  <sheetData>
    <row r="1" spans="1:8" ht="46.5" customHeight="1">
      <c r="A1" s="271" t="s">
        <v>331</v>
      </c>
      <c r="B1" s="271"/>
      <c r="C1" s="271"/>
      <c r="D1" s="271"/>
      <c r="E1" s="271"/>
      <c r="F1" s="271"/>
      <c r="G1" s="271"/>
      <c r="H1" s="271"/>
    </row>
    <row r="2" spans="1:8" ht="16.5" customHeight="1">
      <c r="A2" s="272" t="s">
        <v>0</v>
      </c>
      <c r="B2" s="272"/>
      <c r="C2" s="272"/>
      <c r="D2" s="272"/>
      <c r="E2" s="272"/>
      <c r="F2" s="272"/>
      <c r="G2" s="272"/>
      <c r="H2" s="272"/>
    </row>
    <row r="3" spans="1:8">
      <c r="A3" s="268" t="s">
        <v>1</v>
      </c>
      <c r="B3" s="268"/>
      <c r="C3" s="268"/>
      <c r="D3" s="268"/>
      <c r="E3" s="273" t="str">
        <f ca="1">TEXT(TODAY(),"DD/MM/YYYY")</f>
        <v>15/09/2025</v>
      </c>
      <c r="F3" s="273"/>
      <c r="G3" s="273"/>
      <c r="H3" s="273"/>
    </row>
    <row r="4" spans="1:8" ht="15" customHeight="1">
      <c r="A4" s="268" t="s">
        <v>2</v>
      </c>
      <c r="B4" s="268"/>
      <c r="C4" s="268"/>
      <c r="D4" s="268"/>
      <c r="E4" s="261" t="s">
        <v>265</v>
      </c>
      <c r="F4" s="261"/>
      <c r="G4" s="261"/>
      <c r="H4" s="261"/>
    </row>
    <row r="5" spans="1:8">
      <c r="A5" s="268" t="s">
        <v>3</v>
      </c>
      <c r="B5" s="268"/>
      <c r="C5" s="268"/>
      <c r="D5" s="268"/>
      <c r="E5" s="277">
        <v>45846</v>
      </c>
      <c r="F5" s="277"/>
      <c r="G5" s="277"/>
      <c r="H5" s="277"/>
    </row>
    <row r="6" spans="1:8" ht="16.5" customHeight="1">
      <c r="A6" s="268" t="s">
        <v>4</v>
      </c>
      <c r="B6" s="268"/>
      <c r="C6" s="268"/>
      <c r="D6" s="268"/>
      <c r="E6" s="278" t="s">
        <v>191</v>
      </c>
      <c r="F6" s="278"/>
      <c r="G6" s="278"/>
      <c r="H6" s="278"/>
    </row>
    <row r="7" spans="1:8" ht="15" customHeight="1">
      <c r="A7" s="268" t="s">
        <v>5</v>
      </c>
      <c r="B7" s="268"/>
      <c r="C7" s="268"/>
      <c r="D7" s="268"/>
      <c r="E7" s="278" t="str">
        <f>E6</f>
        <v>Mr.Vikas Harakchand Jain</v>
      </c>
      <c r="F7" s="278"/>
      <c r="G7" s="278"/>
      <c r="H7" s="278"/>
    </row>
    <row r="8" spans="1:8">
      <c r="A8" s="268" t="s">
        <v>6</v>
      </c>
      <c r="B8" s="268"/>
      <c r="C8" s="268"/>
      <c r="D8" s="268"/>
      <c r="E8" s="274" t="s">
        <v>302</v>
      </c>
      <c r="F8" s="274"/>
      <c r="G8" s="274"/>
      <c r="H8" s="274"/>
    </row>
    <row r="9" spans="1:8">
      <c r="A9" s="268" t="s">
        <v>165</v>
      </c>
      <c r="B9" s="268"/>
      <c r="C9" s="268"/>
      <c r="D9" s="268"/>
      <c r="E9" s="268" t="s">
        <v>264</v>
      </c>
      <c r="F9" s="268"/>
      <c r="G9" s="268"/>
      <c r="H9" s="268"/>
    </row>
    <row r="10" spans="1:8">
      <c r="A10" s="268" t="s">
        <v>260</v>
      </c>
      <c r="B10" s="268"/>
      <c r="C10" s="268"/>
      <c r="D10" s="268"/>
      <c r="E10" s="269" t="s">
        <v>307</v>
      </c>
      <c r="F10" s="269"/>
      <c r="G10" s="269"/>
      <c r="H10" s="269"/>
    </row>
    <row r="11" spans="1:8" ht="66" customHeight="1">
      <c r="A11" s="269" t="s">
        <v>7</v>
      </c>
      <c r="B11" s="269"/>
      <c r="C11" s="269"/>
      <c r="D11" s="269"/>
      <c r="E11" s="275" t="s">
        <v>308</v>
      </c>
      <c r="F11" s="276"/>
      <c r="G11" s="276"/>
      <c r="H11" s="276"/>
    </row>
    <row r="12" spans="1:8">
      <c r="A12" s="268" t="s">
        <v>278</v>
      </c>
      <c r="B12" s="268"/>
      <c r="C12" s="268"/>
      <c r="D12" s="268"/>
      <c r="E12" s="267" t="s">
        <v>279</v>
      </c>
      <c r="F12" s="267"/>
      <c r="G12" s="267"/>
      <c r="H12" s="267"/>
    </row>
    <row r="13" spans="1:8">
      <c r="A13" s="268" t="s">
        <v>8</v>
      </c>
      <c r="B13" s="268"/>
      <c r="C13" s="268"/>
      <c r="D13" s="268"/>
      <c r="E13" s="267" t="s">
        <v>215</v>
      </c>
      <c r="F13" s="267"/>
      <c r="G13" s="267"/>
      <c r="H13" s="267"/>
    </row>
    <row r="14" spans="1:8" ht="110.5" customHeight="1">
      <c r="A14" s="268" t="s">
        <v>259</v>
      </c>
      <c r="B14" s="268"/>
      <c r="C14" s="268"/>
      <c r="D14" s="268"/>
      <c r="E14" s="267" t="s">
        <v>309</v>
      </c>
      <c r="F14" s="269"/>
      <c r="G14" s="269"/>
      <c r="H14" s="269"/>
    </row>
    <row r="15" spans="1:8" ht="48.75" customHeight="1">
      <c r="A15" s="267" t="s">
        <v>9</v>
      </c>
      <c r="B15" s="267"/>
      <c r="C15" s="267" t="str">
        <f>CONCATENATE((IF(OR(E8="",E8="NA"),"",E8)),", ",(IF(OR(A16="",A16="NA"),"",A16)),".",(IF(OR(C16="",C16="NA"),"",C16)),", near ",(IF(OR(C21="",C21="NA"),"",C21)),", ",(IF(OR(C18="",C18="NA"),"",C18)),", ",(IF(OR(C17="",C17="NA"),"",C17)),", ",(IF(OR(G18="",G18="NA"),"",G18)),", ",(IF(OR(C19="",C19="NA"),"",C19)),", ",(IF(OR(C20="",C20="NA"),"",C20)),", ",(IF(OR(G19="",G19="NA"),"",G19))," - ",(IF(OR(G20="",G20="NA"),"",G20)),".")</f>
        <v>Ritz, Survey No.39/1/1(PT), 39/5, 6/1(P) &amp; 6/2, Existing Building Name - Shree Complex Phase III Co - HSG Federal Society LTD., near Shri Bhavani Medical Center, Umbarde Road, , Kolivali, Kalyan, Kalyan, Thane - 421301.</v>
      </c>
      <c r="D15" s="267"/>
      <c r="E15" s="267"/>
      <c r="F15" s="267"/>
      <c r="G15" s="267"/>
      <c r="H15" s="267"/>
    </row>
    <row r="16" spans="1:8" ht="33.75" customHeight="1">
      <c r="A16" s="262" t="s">
        <v>195</v>
      </c>
      <c r="B16" s="262"/>
      <c r="C16" s="262" t="s">
        <v>277</v>
      </c>
      <c r="D16" s="262"/>
      <c r="E16" s="262"/>
      <c r="F16" s="262"/>
      <c r="G16" s="262"/>
      <c r="H16" s="262"/>
    </row>
    <row r="17" spans="1:8" ht="15.75" customHeight="1">
      <c r="A17" s="262" t="s">
        <v>266</v>
      </c>
      <c r="B17" s="262"/>
      <c r="C17" s="262" t="s">
        <v>29</v>
      </c>
      <c r="D17" s="262"/>
      <c r="E17" s="262"/>
      <c r="F17" s="262"/>
      <c r="G17" s="262"/>
      <c r="H17" s="262"/>
    </row>
    <row r="18" spans="1:8" ht="15.75" customHeight="1">
      <c r="A18" s="262" t="s">
        <v>10</v>
      </c>
      <c r="B18" s="262"/>
      <c r="C18" s="226" t="s">
        <v>192</v>
      </c>
      <c r="D18" s="226"/>
      <c r="E18" s="262" t="s">
        <v>102</v>
      </c>
      <c r="F18" s="262"/>
      <c r="G18" s="262" t="s">
        <v>197</v>
      </c>
      <c r="H18" s="262"/>
    </row>
    <row r="19" spans="1:8">
      <c r="A19" s="226" t="s">
        <v>12</v>
      </c>
      <c r="B19" s="226"/>
      <c r="C19" s="262" t="s">
        <v>198</v>
      </c>
      <c r="D19" s="262"/>
      <c r="E19" s="262" t="s">
        <v>11</v>
      </c>
      <c r="F19" s="262"/>
      <c r="G19" s="316" t="s">
        <v>196</v>
      </c>
      <c r="H19" s="316"/>
    </row>
    <row r="20" spans="1:8">
      <c r="A20" s="226" t="s">
        <v>103</v>
      </c>
      <c r="B20" s="226"/>
      <c r="C20" s="262" t="s">
        <v>198</v>
      </c>
      <c r="D20" s="262"/>
      <c r="E20" s="262" t="s">
        <v>13</v>
      </c>
      <c r="F20" s="262"/>
      <c r="G20" s="262">
        <v>421301</v>
      </c>
      <c r="H20" s="262"/>
    </row>
    <row r="21" spans="1:8" ht="32.25" customHeight="1">
      <c r="A21" s="226" t="s">
        <v>166</v>
      </c>
      <c r="B21" s="226"/>
      <c r="C21" s="262" t="s">
        <v>193</v>
      </c>
      <c r="D21" s="262"/>
      <c r="E21" s="262" t="s">
        <v>14</v>
      </c>
      <c r="F21" s="262"/>
      <c r="G21" s="262" t="s">
        <v>199</v>
      </c>
      <c r="H21" s="262"/>
    </row>
    <row r="22" spans="1:8" ht="15" customHeight="1">
      <c r="A22" s="253" t="s">
        <v>108</v>
      </c>
      <c r="B22" s="253"/>
      <c r="C22" s="253"/>
      <c r="D22" s="253"/>
      <c r="E22" s="226" t="s">
        <v>15</v>
      </c>
      <c r="F22" s="226"/>
      <c r="G22" s="226"/>
      <c r="H22" s="226"/>
    </row>
    <row r="23" spans="1:8" ht="18.75" customHeight="1">
      <c r="A23" s="253"/>
      <c r="B23" s="253"/>
      <c r="C23" s="253"/>
      <c r="D23" s="253"/>
      <c r="E23" s="226"/>
      <c r="F23" s="226"/>
      <c r="G23" s="226"/>
      <c r="H23" s="226"/>
    </row>
    <row r="24" spans="1:8" ht="15" customHeight="1">
      <c r="A24" s="253" t="s">
        <v>16</v>
      </c>
      <c r="B24" s="253"/>
      <c r="C24" s="253"/>
      <c r="D24" s="253"/>
      <c r="E24" s="262" t="s">
        <v>17</v>
      </c>
      <c r="F24" s="262"/>
      <c r="G24" s="262"/>
      <c r="H24" s="262"/>
    </row>
    <row r="25" spans="1:8" ht="15" customHeight="1">
      <c r="A25" s="227" t="s">
        <v>18</v>
      </c>
      <c r="B25" s="227"/>
      <c r="C25" s="227"/>
      <c r="D25" s="227"/>
      <c r="E25" s="262" t="str">
        <f>IF(AND(G19="Mumbai"),"Upper Class","Middle Class")</f>
        <v>Middle Class</v>
      </c>
      <c r="F25" s="262"/>
      <c r="G25" s="262"/>
      <c r="H25" s="262"/>
    </row>
    <row r="26" spans="1:8">
      <c r="A26" s="227" t="s">
        <v>19</v>
      </c>
      <c r="B26" s="227"/>
      <c r="C26" s="227"/>
      <c r="D26" s="227"/>
      <c r="E26" s="262" t="s">
        <v>20</v>
      </c>
      <c r="F26" s="262"/>
      <c r="G26" s="262"/>
      <c r="H26" s="262"/>
    </row>
    <row r="27" spans="1:8" ht="15.75" customHeight="1">
      <c r="A27" s="227" t="s">
        <v>21</v>
      </c>
      <c r="B27" s="227"/>
      <c r="C27" s="227"/>
      <c r="D27" s="227"/>
      <c r="E27" s="262" t="str">
        <f>IF(AND(G19="Mumbai"),"Developed","Developing")</f>
        <v>Developing</v>
      </c>
      <c r="F27" s="262"/>
      <c r="G27" s="262"/>
      <c r="H27" s="262"/>
    </row>
    <row r="28" spans="1:8">
      <c r="A28" s="227" t="s">
        <v>22</v>
      </c>
      <c r="B28" s="227"/>
      <c r="C28" s="227"/>
      <c r="D28" s="227"/>
      <c r="E28" s="262" t="s">
        <v>23</v>
      </c>
      <c r="F28" s="262"/>
      <c r="G28" s="262"/>
      <c r="H28" s="262"/>
    </row>
    <row r="29" spans="1:8">
      <c r="A29" s="227" t="s">
        <v>116</v>
      </c>
      <c r="B29" s="227"/>
      <c r="C29" s="227"/>
      <c r="D29" s="227"/>
      <c r="E29" s="262" t="s">
        <v>117</v>
      </c>
      <c r="F29" s="262"/>
      <c r="G29" s="262"/>
      <c r="H29" s="262"/>
    </row>
    <row r="30" spans="1:8" ht="15" customHeight="1">
      <c r="A30" s="253" t="s">
        <v>34</v>
      </c>
      <c r="B30" s="253"/>
      <c r="C30" s="253"/>
      <c r="D30" s="253"/>
      <c r="E30" s="261" t="s">
        <v>112</v>
      </c>
      <c r="F30" s="261"/>
      <c r="G30" s="261"/>
      <c r="H30" s="261"/>
    </row>
    <row r="31" spans="1:8">
      <c r="A31" s="253" t="s">
        <v>128</v>
      </c>
      <c r="B31" s="253"/>
      <c r="C31" s="253"/>
      <c r="D31" s="253"/>
      <c r="E31" s="253" t="s">
        <v>35</v>
      </c>
      <c r="F31" s="253"/>
      <c r="G31" s="253"/>
      <c r="H31" s="253"/>
    </row>
    <row r="32" spans="1:8" s="11" customFormat="1">
      <c r="A32" s="255" t="s">
        <v>129</v>
      </c>
      <c r="B32" s="255"/>
      <c r="C32" s="270" t="s">
        <v>28</v>
      </c>
      <c r="D32" s="270"/>
      <c r="E32" s="270"/>
      <c r="F32" s="270" t="s">
        <v>30</v>
      </c>
      <c r="G32" s="270"/>
      <c r="H32" s="270"/>
    </row>
    <row r="33" spans="1:9" s="11" customFormat="1">
      <c r="A33" s="254" t="s">
        <v>24</v>
      </c>
      <c r="B33" s="254" t="s">
        <v>29</v>
      </c>
      <c r="C33" s="240" t="s">
        <v>29</v>
      </c>
      <c r="D33" s="240"/>
      <c r="E33" s="240"/>
      <c r="F33" s="240" t="s">
        <v>194</v>
      </c>
      <c r="G33" s="240"/>
      <c r="H33" s="240"/>
    </row>
    <row r="34" spans="1:9">
      <c r="A34" s="254" t="s">
        <v>25</v>
      </c>
      <c r="B34" s="254" t="s">
        <v>29</v>
      </c>
      <c r="C34" s="240" t="s">
        <v>29</v>
      </c>
      <c r="D34" s="240"/>
      <c r="E34" s="240"/>
      <c r="F34" s="240" t="s">
        <v>192</v>
      </c>
      <c r="G34" s="240"/>
      <c r="H34" s="240"/>
    </row>
    <row r="35" spans="1:9" s="11" customFormat="1">
      <c r="A35" s="254" t="s">
        <v>27</v>
      </c>
      <c r="B35" s="254" t="s">
        <v>29</v>
      </c>
      <c r="C35" s="240" t="s">
        <v>29</v>
      </c>
      <c r="D35" s="240"/>
      <c r="E35" s="240"/>
      <c r="F35" s="240" t="s">
        <v>193</v>
      </c>
      <c r="G35" s="240"/>
      <c r="H35" s="240"/>
    </row>
    <row r="36" spans="1:9">
      <c r="A36" s="254" t="s">
        <v>26</v>
      </c>
      <c r="B36" s="254" t="s">
        <v>29</v>
      </c>
      <c r="C36" s="240" t="s">
        <v>29</v>
      </c>
      <c r="D36" s="240"/>
      <c r="E36" s="240"/>
      <c r="F36" s="240" t="s">
        <v>10</v>
      </c>
      <c r="G36" s="240"/>
      <c r="H36" s="240"/>
    </row>
    <row r="37" spans="1:9">
      <c r="A37" s="227" t="s">
        <v>31</v>
      </c>
      <c r="B37" s="227"/>
      <c r="C37" s="227"/>
      <c r="D37" s="227"/>
      <c r="E37" s="227"/>
      <c r="F37" s="227"/>
      <c r="G37" s="227"/>
      <c r="H37" s="227"/>
    </row>
    <row r="38" spans="1:9" ht="15.75" customHeight="1">
      <c r="A38" s="247" t="s">
        <v>32</v>
      </c>
      <c r="B38" s="247"/>
      <c r="C38" s="248">
        <v>19.260078</v>
      </c>
      <c r="D38" s="248"/>
      <c r="E38" s="247" t="s">
        <v>33</v>
      </c>
      <c r="F38" s="247"/>
      <c r="G38" s="249">
        <v>73.128619999999998</v>
      </c>
      <c r="H38" s="249"/>
    </row>
    <row r="39" spans="1:9">
      <c r="A39" s="259" t="s">
        <v>219</v>
      </c>
      <c r="B39" s="260"/>
      <c r="C39" s="256" t="s">
        <v>257</v>
      </c>
      <c r="D39" s="257"/>
      <c r="E39" s="257"/>
      <c r="F39" s="257"/>
      <c r="G39" s="257"/>
      <c r="H39" s="258"/>
    </row>
    <row r="40" spans="1:9">
      <c r="A40" s="241" t="s">
        <v>36</v>
      </c>
      <c r="B40" s="241"/>
      <c r="C40" s="241"/>
      <c r="D40" s="241"/>
      <c r="E40" s="241"/>
      <c r="F40" s="241"/>
      <c r="G40" s="241"/>
      <c r="H40" s="241"/>
    </row>
    <row r="41" spans="1:9">
      <c r="A41" s="227" t="s">
        <v>37</v>
      </c>
      <c r="B41" s="227"/>
      <c r="C41" s="227"/>
      <c r="D41" s="227"/>
      <c r="E41" s="239">
        <v>15609.31</v>
      </c>
      <c r="F41" s="239"/>
      <c r="G41" s="239"/>
      <c r="H41" s="239"/>
    </row>
    <row r="42" spans="1:9">
      <c r="A42" s="227" t="s">
        <v>38</v>
      </c>
      <c r="B42" s="227"/>
      <c r="C42" s="227"/>
      <c r="D42" s="227"/>
      <c r="E42" s="242">
        <v>1.1000000000000001</v>
      </c>
      <c r="F42" s="242"/>
      <c r="G42" s="242"/>
      <c r="H42" s="242"/>
    </row>
    <row r="43" spans="1:9">
      <c r="A43" s="227" t="s">
        <v>39</v>
      </c>
      <c r="B43" s="227"/>
      <c r="C43" s="227"/>
      <c r="D43" s="227"/>
      <c r="E43" s="242">
        <f>E45/E41-E42</f>
        <v>4.6638121095679441</v>
      </c>
      <c r="F43" s="242"/>
      <c r="G43" s="242"/>
      <c r="H43" s="242"/>
    </row>
    <row r="44" spans="1:9">
      <c r="A44" s="227" t="s">
        <v>40</v>
      </c>
      <c r="B44" s="227"/>
      <c r="C44" s="227"/>
      <c r="D44" s="227"/>
      <c r="E44" s="242">
        <f>E42+E43</f>
        <v>5.7638121095679438</v>
      </c>
      <c r="F44" s="242"/>
      <c r="G44" s="242"/>
      <c r="H44" s="242"/>
    </row>
    <row r="45" spans="1:9">
      <c r="A45" s="227" t="s">
        <v>127</v>
      </c>
      <c r="B45" s="227"/>
      <c r="C45" s="227"/>
      <c r="D45" s="227"/>
      <c r="E45" s="290">
        <v>89969.13</v>
      </c>
      <c r="F45" s="290"/>
      <c r="G45" s="290"/>
      <c r="H45" s="290"/>
      <c r="I45" s="8">
        <v>52295.94</v>
      </c>
    </row>
    <row r="46" spans="1:9">
      <c r="A46" s="226" t="s">
        <v>41</v>
      </c>
      <c r="B46" s="226"/>
      <c r="C46" s="226"/>
      <c r="D46" s="226"/>
      <c r="E46" s="226" t="s">
        <v>310</v>
      </c>
      <c r="F46" s="226"/>
      <c r="G46" s="226"/>
      <c r="H46" s="226"/>
    </row>
    <row r="47" spans="1:9">
      <c r="A47" s="241" t="s">
        <v>42</v>
      </c>
      <c r="B47" s="241"/>
      <c r="C47" s="241"/>
      <c r="D47" s="241"/>
      <c r="E47" s="241"/>
      <c r="F47" s="241"/>
      <c r="G47" s="241"/>
      <c r="H47" s="241"/>
    </row>
    <row r="48" spans="1:9">
      <c r="A48" s="253" t="s">
        <v>43</v>
      </c>
      <c r="B48" s="253"/>
      <c r="C48" s="251" t="s">
        <v>281</v>
      </c>
      <c r="D48" s="251"/>
      <c r="E48" s="251"/>
      <c r="F48" s="73" t="s">
        <v>44</v>
      </c>
      <c r="G48" s="250">
        <v>45140</v>
      </c>
      <c r="H48" s="250"/>
    </row>
    <row r="49" spans="1:10">
      <c r="A49" s="323" t="s">
        <v>319</v>
      </c>
      <c r="B49" s="324"/>
      <c r="C49" s="324"/>
      <c r="D49" s="324"/>
      <c r="E49" s="324"/>
      <c r="F49" s="324"/>
      <c r="G49" s="324"/>
      <c r="H49" s="325"/>
    </row>
    <row r="50" spans="1:10">
      <c r="A50" s="227" t="s">
        <v>45</v>
      </c>
      <c r="B50" s="227"/>
      <c r="C50" s="251" t="s">
        <v>217</v>
      </c>
      <c r="D50" s="251"/>
      <c r="E50" s="251"/>
      <c r="F50" s="73" t="s">
        <v>44</v>
      </c>
      <c r="G50" s="250">
        <v>44824</v>
      </c>
      <c r="H50" s="250"/>
    </row>
    <row r="51" spans="1:10" s="10" customFormat="1">
      <c r="A51" s="262" t="s">
        <v>218</v>
      </c>
      <c r="B51" s="262"/>
      <c r="C51" s="251" t="s">
        <v>217</v>
      </c>
      <c r="D51" s="252"/>
      <c r="E51" s="252"/>
      <c r="F51" s="13" t="s">
        <v>44</v>
      </c>
      <c r="G51" s="250">
        <v>44824</v>
      </c>
      <c r="H51" s="250"/>
    </row>
    <row r="52" spans="1:10" s="10" customFormat="1" ht="33" customHeight="1">
      <c r="A52" s="262"/>
      <c r="B52" s="262"/>
      <c r="C52" s="287" t="s">
        <v>323</v>
      </c>
      <c r="D52" s="288"/>
      <c r="E52" s="288"/>
      <c r="F52" s="288"/>
      <c r="G52" s="288"/>
      <c r="H52" s="289"/>
      <c r="J52" s="10" t="s">
        <v>267</v>
      </c>
    </row>
    <row r="53" spans="1:10" ht="47.25" customHeight="1">
      <c r="A53" s="263" t="s">
        <v>325</v>
      </c>
      <c r="B53" s="263"/>
      <c r="C53" s="264" t="s">
        <v>324</v>
      </c>
      <c r="D53" s="265"/>
      <c r="E53" s="265" t="s">
        <v>47</v>
      </c>
      <c r="F53" s="126" t="s">
        <v>44</v>
      </c>
      <c r="G53" s="266">
        <v>44585</v>
      </c>
      <c r="H53" s="266"/>
    </row>
    <row r="54" spans="1:10">
      <c r="A54" s="326" t="s">
        <v>320</v>
      </c>
      <c r="B54" s="327"/>
      <c r="C54" s="327"/>
      <c r="D54" s="327"/>
      <c r="E54" s="327"/>
      <c r="F54" s="327"/>
      <c r="G54" s="327"/>
      <c r="H54" s="328"/>
    </row>
    <row r="55" spans="1:10">
      <c r="A55" s="304" t="s">
        <v>326</v>
      </c>
      <c r="B55" s="305"/>
      <c r="C55" s="306" t="s">
        <v>281</v>
      </c>
      <c r="D55" s="306"/>
      <c r="E55" s="306"/>
      <c r="F55" s="127" t="s">
        <v>44</v>
      </c>
      <c r="G55" s="307">
        <v>45140</v>
      </c>
      <c r="H55" s="307"/>
    </row>
    <row r="56" spans="1:10" s="10" customFormat="1">
      <c r="A56" s="308" t="s">
        <v>218</v>
      </c>
      <c r="B56" s="308"/>
      <c r="C56" s="306" t="s">
        <v>281</v>
      </c>
      <c r="D56" s="309"/>
      <c r="E56" s="309"/>
      <c r="F56" s="128" t="s">
        <v>44</v>
      </c>
      <c r="G56" s="307">
        <v>45140</v>
      </c>
      <c r="H56" s="307"/>
    </row>
    <row r="57" spans="1:10" s="10" customFormat="1" ht="30.75" customHeight="1">
      <c r="A57" s="308"/>
      <c r="B57" s="308"/>
      <c r="C57" s="310" t="s">
        <v>327</v>
      </c>
      <c r="D57" s="311"/>
      <c r="E57" s="311"/>
      <c r="F57" s="311"/>
      <c r="G57" s="311"/>
      <c r="H57" s="312"/>
    </row>
    <row r="58" spans="1:10" ht="34.5" customHeight="1">
      <c r="A58" s="263" t="s">
        <v>325</v>
      </c>
      <c r="B58" s="263"/>
      <c r="C58" s="264" t="s">
        <v>328</v>
      </c>
      <c r="D58" s="265"/>
      <c r="E58" s="265" t="s">
        <v>47</v>
      </c>
      <c r="F58" s="140" t="s">
        <v>44</v>
      </c>
      <c r="G58" s="266">
        <v>45595</v>
      </c>
      <c r="H58" s="266"/>
    </row>
    <row r="59" spans="1:10" hidden="1">
      <c r="A59" s="263" t="s">
        <v>46</v>
      </c>
      <c r="B59" s="263"/>
      <c r="C59" s="264" t="s">
        <v>29</v>
      </c>
      <c r="D59" s="265"/>
      <c r="E59" s="265" t="s">
        <v>47</v>
      </c>
      <c r="F59" s="80" t="s">
        <v>44</v>
      </c>
      <c r="G59" s="266" t="s">
        <v>29</v>
      </c>
      <c r="H59" s="266"/>
    </row>
    <row r="60" spans="1:10">
      <c r="A60" s="291" t="s">
        <v>49</v>
      </c>
      <c r="B60" s="291"/>
      <c r="C60" s="291"/>
      <c r="D60" s="291"/>
      <c r="E60" s="291"/>
      <c r="F60" s="291"/>
      <c r="G60" s="291"/>
      <c r="H60" s="291"/>
    </row>
    <row r="61" spans="1:10">
      <c r="A61" s="253" t="s">
        <v>126</v>
      </c>
      <c r="B61" s="253"/>
      <c r="C61" s="253"/>
      <c r="D61" s="281">
        <f>E45</f>
        <v>89969.13</v>
      </c>
      <c r="E61" s="227"/>
      <c r="F61" s="227"/>
      <c r="G61" s="227"/>
      <c r="H61" s="227"/>
    </row>
    <row r="62" spans="1:10">
      <c r="A62" s="262" t="s">
        <v>50</v>
      </c>
      <c r="B62" s="226"/>
      <c r="C62" s="226"/>
      <c r="D62" s="226" t="s">
        <v>321</v>
      </c>
      <c r="E62" s="226"/>
      <c r="F62" s="226"/>
      <c r="G62" s="226"/>
      <c r="H62" s="226"/>
      <c r="I62" s="53"/>
    </row>
    <row r="63" spans="1:10" ht="66.75" customHeight="1">
      <c r="A63" s="262" t="s">
        <v>51</v>
      </c>
      <c r="B63" s="262"/>
      <c r="C63" s="262"/>
      <c r="D63" s="262" t="s">
        <v>329</v>
      </c>
      <c r="E63" s="262"/>
      <c r="F63" s="262"/>
      <c r="G63" s="262"/>
      <c r="H63" s="262"/>
      <c r="I63" s="54"/>
    </row>
    <row r="64" spans="1:10" ht="15.75" customHeight="1">
      <c r="A64" s="262" t="s">
        <v>124</v>
      </c>
      <c r="B64" s="262"/>
      <c r="C64" s="262"/>
      <c r="D64" s="262" t="s">
        <v>263</v>
      </c>
      <c r="E64" s="262"/>
      <c r="F64" s="262"/>
      <c r="G64" s="262"/>
      <c r="H64" s="262"/>
      <c r="I64" s="54"/>
    </row>
    <row r="65" spans="1:11" ht="15.75" customHeight="1">
      <c r="A65" s="262"/>
      <c r="B65" s="262"/>
      <c r="C65" s="262"/>
      <c r="D65" s="262" t="s">
        <v>261</v>
      </c>
      <c r="E65" s="262"/>
      <c r="F65" s="262"/>
      <c r="G65" s="262"/>
      <c r="H65" s="262"/>
      <c r="I65" s="54"/>
    </row>
    <row r="66" spans="1:11" ht="15.75" customHeight="1">
      <c r="A66" s="262"/>
      <c r="B66" s="262"/>
      <c r="C66" s="262"/>
      <c r="D66" s="262" t="s">
        <v>262</v>
      </c>
      <c r="E66" s="262"/>
      <c r="F66" s="262"/>
      <c r="G66" s="262"/>
      <c r="H66" s="262"/>
      <c r="I66" s="54"/>
    </row>
    <row r="67" spans="1:11" ht="15.75" customHeight="1">
      <c r="A67" s="262"/>
      <c r="B67" s="262"/>
      <c r="C67" s="262"/>
      <c r="D67" s="262" t="s">
        <v>282</v>
      </c>
      <c r="E67" s="262"/>
      <c r="F67" s="262"/>
      <c r="G67" s="262"/>
      <c r="H67" s="262"/>
      <c r="I67" s="54"/>
    </row>
    <row r="68" spans="1:11" ht="15.75" customHeight="1">
      <c r="A68" s="262"/>
      <c r="B68" s="262"/>
      <c r="C68" s="262"/>
      <c r="D68" s="262" t="s">
        <v>311</v>
      </c>
      <c r="E68" s="262"/>
      <c r="F68" s="262"/>
      <c r="G68" s="262"/>
      <c r="H68" s="262"/>
      <c r="I68" s="54"/>
    </row>
    <row r="69" spans="1:11" ht="15.75" customHeight="1">
      <c r="A69" s="262"/>
      <c r="B69" s="262"/>
      <c r="C69" s="262"/>
      <c r="D69" s="262" t="s">
        <v>301</v>
      </c>
      <c r="E69" s="262"/>
      <c r="F69" s="262"/>
      <c r="G69" s="262"/>
      <c r="H69" s="262"/>
      <c r="I69" s="54"/>
    </row>
    <row r="70" spans="1:11" ht="95.25" customHeight="1">
      <c r="A70" s="227" t="s">
        <v>48</v>
      </c>
      <c r="B70" s="227"/>
      <c r="C70" s="227"/>
      <c r="D70" s="262" t="s">
        <v>330</v>
      </c>
      <c r="E70" s="262"/>
      <c r="F70" s="262"/>
      <c r="G70" s="262"/>
      <c r="H70" s="262"/>
      <c r="I70" s="52"/>
      <c r="J70" s="137"/>
      <c r="K70" s="53"/>
    </row>
    <row r="71" spans="1:11" ht="15.75" customHeight="1">
      <c r="A71" s="227" t="s">
        <v>122</v>
      </c>
      <c r="B71" s="227"/>
      <c r="C71" s="227"/>
      <c r="D71" s="253" t="str">
        <f>(IF(G59="NA","60 Years After Completion",IF(G59&lt;&gt;"NA",""&amp;ROUNDUP((E3-G59)/360,0)&amp;" Years"," ")))</f>
        <v>60 Years After Completion</v>
      </c>
      <c r="E71" s="253"/>
      <c r="F71" s="253"/>
      <c r="G71" s="253"/>
      <c r="H71" s="253"/>
      <c r="I71" s="51"/>
    </row>
    <row r="72" spans="1:11" ht="15.75" customHeight="1">
      <c r="A72" s="227" t="s">
        <v>123</v>
      </c>
      <c r="B72" s="227"/>
      <c r="C72" s="227"/>
      <c r="D72" s="253" t="s">
        <v>23</v>
      </c>
      <c r="E72" s="253"/>
      <c r="F72" s="253"/>
      <c r="G72" s="253"/>
      <c r="H72" s="253"/>
      <c r="J72" s="18"/>
      <c r="K72" s="18"/>
    </row>
    <row r="73" spans="1:11" ht="15.75" customHeight="1" thickBot="1">
      <c r="A73" s="279" t="s">
        <v>121</v>
      </c>
      <c r="B73" s="279"/>
      <c r="C73" s="279"/>
      <c r="D73" s="280" t="str">
        <f>(IF(E80&gt;95%,"Nothing",IF(E80&gt;0%,"Cement, Aggregate, Steel, etc",IF(E80=0%,"Work not yet Started"))))</f>
        <v>Nothing</v>
      </c>
      <c r="E73" s="280"/>
      <c r="F73" s="280"/>
      <c r="G73" s="280"/>
      <c r="H73" s="280"/>
      <c r="I73" s="100"/>
      <c r="J73" s="18"/>
      <c r="K73" s="18"/>
    </row>
    <row r="74" spans="1:11" ht="15.75" customHeight="1">
      <c r="A74" s="177" t="s">
        <v>184</v>
      </c>
      <c r="B74" s="178"/>
      <c r="C74" s="179" t="str">
        <f>D64</f>
        <v>Wing A = Gr + 1st to 24th Floor</v>
      </c>
      <c r="D74" s="180"/>
      <c r="E74" s="180"/>
      <c r="F74" s="180"/>
      <c r="G74" s="180"/>
      <c r="H74" s="181"/>
      <c r="I74" s="60" t="str">
        <f ca="1">(IF(C80=0,"Work not yet Started.",IF(D80=25%,"Piling work in process",IF(D80=50%,"Excavation work in process",IF(D80=100%,"Excavation work completed, ","0")))&amp;(IF(C81=0%,"",IF(C81=K82,"Footing work is process",IF(C81=K83,"Footing work Completed",IF(C81=K84,"1st Basement Completed",IF(C81=K85,"1st &amp; 2nd Basement Completed",IF(C81=K86,"1st to 3rd Basement Completed",IF(C81=K87,"1st to 4th Basement Completed",IF(C81=K88,"Plinth work is process",IF(C81=K89,"Plinth work completed","0")))))))))))&amp;(IF(C82&gt;0,", RCC upto "&amp;C82&amp;" Slab completed",""))&amp;(IF(C83&gt;0,", Brickwork upto "&amp;C83&amp;" Floor completed"," "))&amp;(IF(C84&gt;0,", Internal Plaster upto "&amp;C84&amp;" Floor completed"," "))&amp;(IF(C85&gt;0,", External Plaster upto "&amp;C85&amp;" Floor completed"," "))&amp;(IF(C86&gt;0,", Flooring upto "&amp;C86&amp;" Floor completed"," "))&amp;(IF(C87&gt;0,", Painting upto "&amp;C87&amp;" Floor completed"," "))&amp;(IF(C88&gt;0,", Finishing upto "&amp;C88&amp;" Floor completed"," ")))</f>
        <v>Excavation work completed, Plinth work completed, RCC upto 25 Slab completed, Brickwork upto 24 Floor completed, Internal Plaster upto 24 Floor completed, External Plaster upto 24 Floor completed, Flooring upto 24 Floor completed, Painting upto 24 Floor completed, Finishing upto 24 Floor completed</v>
      </c>
      <c r="J74" s="20"/>
      <c r="K74" s="21"/>
    </row>
    <row r="75" spans="1:11">
      <c r="A75" s="69" t="s">
        <v>186</v>
      </c>
      <c r="B75" s="78">
        <v>0</v>
      </c>
      <c r="C75" s="78" t="s">
        <v>101</v>
      </c>
      <c r="D75" s="78">
        <v>1</v>
      </c>
      <c r="E75" s="78" t="s">
        <v>100</v>
      </c>
      <c r="F75" s="78">
        <v>0</v>
      </c>
      <c r="G75" s="78" t="s">
        <v>115</v>
      </c>
      <c r="H75" s="79">
        <f ca="1">--TRIM(RIGHT(SUBSTITUTE(LEFT(C74,_xlfn.AGGREGATE(16,6,FIND({0,1,2,3,4,5,6,7,8,9},C74,ROW(INDIRECT("1:"&amp;LEN(C74)))),1))," ",REPT(" ",LEN(C74))),LEN(C74)))</f>
        <v>24</v>
      </c>
      <c r="I75" s="61" t="s">
        <v>158</v>
      </c>
      <c r="J75" s="22"/>
      <c r="K75" s="23"/>
    </row>
    <row r="76" spans="1:11">
      <c r="A76" s="213" t="s">
        <v>125</v>
      </c>
      <c r="B76" s="214"/>
      <c r="C76" s="215" t="str">
        <f>I75</f>
        <v>All work Completed. Provide OC.</v>
      </c>
      <c r="D76" s="215"/>
      <c r="E76" s="215"/>
      <c r="F76" s="215"/>
      <c r="G76" s="215"/>
      <c r="H76" s="216"/>
      <c r="I76" s="61" t="s">
        <v>144</v>
      </c>
      <c r="J76" s="22"/>
      <c r="K76" s="23"/>
    </row>
    <row r="77" spans="1:11">
      <c r="A77" s="191" t="s">
        <v>120</v>
      </c>
      <c r="B77" s="192"/>
      <c r="C77" s="195">
        <v>1</v>
      </c>
      <c r="D77" s="196"/>
      <c r="E77" s="191" t="s">
        <v>119</v>
      </c>
      <c r="F77" s="192"/>
      <c r="G77" s="195">
        <v>1</v>
      </c>
      <c r="H77" s="196"/>
      <c r="I77" s="61"/>
      <c r="J77" s="22"/>
      <c r="K77" s="23"/>
    </row>
    <row r="78" spans="1:11" ht="16" thickBot="1">
      <c r="A78" s="193"/>
      <c r="B78" s="194"/>
      <c r="C78" s="197"/>
      <c r="D78" s="198"/>
      <c r="E78" s="193"/>
      <c r="F78" s="194"/>
      <c r="G78" s="197"/>
      <c r="H78" s="198"/>
      <c r="I78" s="61"/>
      <c r="J78" s="22"/>
      <c r="K78" s="23"/>
    </row>
    <row r="79" spans="1:11" hidden="1">
      <c r="A79" s="217" t="s">
        <v>52</v>
      </c>
      <c r="B79" s="218"/>
      <c r="C79" s="101" t="s">
        <v>183</v>
      </c>
      <c r="D79" s="102" t="s">
        <v>118</v>
      </c>
      <c r="E79" s="218" t="s">
        <v>120</v>
      </c>
      <c r="F79" s="218"/>
      <c r="G79" s="218" t="s">
        <v>119</v>
      </c>
      <c r="H79" s="219"/>
      <c r="I79" s="50" t="s">
        <v>185</v>
      </c>
      <c r="J79" s="24"/>
      <c r="K79" s="25">
        <f ca="1">H75*25%</f>
        <v>6</v>
      </c>
    </row>
    <row r="80" spans="1:11" hidden="1">
      <c r="A80" s="217" t="s">
        <v>172</v>
      </c>
      <c r="B80" s="218"/>
      <c r="C80" s="103">
        <f ca="1">K81</f>
        <v>24</v>
      </c>
      <c r="D80" s="104">
        <f ca="1">((100/H75)*C80)/100</f>
        <v>1</v>
      </c>
      <c r="E80" s="220" t="str">
        <f>(IF(C76=I75,"100%",IF(C76=I76,"100%",(((C81/H75*10)+(40/(B75+D75+F75+H75)*C82)+(7.5/(H75)*C83)+(7.5/(H75)*C84)+(10/H75*C85)+(10/H75*C86)+(5/H75*C87)+(5/H75*C88)+(5/H75*C89))/100))))</f>
        <v>100%</v>
      </c>
      <c r="F80" s="220"/>
      <c r="G80" s="220">
        <f ca="1">((((C80/H75)*20)+((C81/H75)*25)+(30/(B75+H75+F75+D75)*C82)+(5/H75*C83)+(5/H75*C84)+(5/H75*C85)+(5/H75*C86)+(0/H75*C87)+(0/H75*C88)+(5/H75*C89))/100)</f>
        <v>1</v>
      </c>
      <c r="H80" s="222"/>
      <c r="I80" s="50" t="s">
        <v>138</v>
      </c>
      <c r="J80" s="26"/>
      <c r="K80" s="59">
        <f ca="1">H75*50%</f>
        <v>12</v>
      </c>
    </row>
    <row r="81" spans="1:11" hidden="1">
      <c r="A81" s="217" t="s">
        <v>53</v>
      </c>
      <c r="B81" s="218"/>
      <c r="C81" s="105">
        <f ca="1">K89</f>
        <v>24</v>
      </c>
      <c r="D81" s="104">
        <f ca="1">((100/H75)*C81)/100</f>
        <v>1</v>
      </c>
      <c r="E81" s="220"/>
      <c r="F81" s="220"/>
      <c r="G81" s="220"/>
      <c r="H81" s="222"/>
      <c r="I81" s="50" t="s">
        <v>139</v>
      </c>
      <c r="J81" s="26"/>
      <c r="K81" s="59">
        <f ca="1">H75</f>
        <v>24</v>
      </c>
    </row>
    <row r="82" spans="1:11" ht="15.75" hidden="1" customHeight="1">
      <c r="A82" s="217" t="s">
        <v>173</v>
      </c>
      <c r="B82" s="218"/>
      <c r="C82" s="105">
        <f>25</f>
        <v>25</v>
      </c>
      <c r="D82" s="104">
        <f ca="1">((100/(B75+D75+F75+H75))*C82)/100</f>
        <v>1</v>
      </c>
      <c r="E82" s="220"/>
      <c r="F82" s="220"/>
      <c r="G82" s="220"/>
      <c r="H82" s="222"/>
      <c r="I82" s="50" t="s">
        <v>140</v>
      </c>
      <c r="J82" s="26"/>
      <c r="K82" s="66">
        <f ca="1">(IF(B75=0,H75/4,(H75/(B75+4))))</f>
        <v>6</v>
      </c>
    </row>
    <row r="83" spans="1:11" ht="15.75" hidden="1" customHeight="1">
      <c r="A83" s="217" t="s">
        <v>180</v>
      </c>
      <c r="B83" s="218" t="s">
        <v>174</v>
      </c>
      <c r="C83" s="103">
        <v>24</v>
      </c>
      <c r="D83" s="104">
        <f ca="1">((100/H75)*C83)/100</f>
        <v>1</v>
      </c>
      <c r="E83" s="220"/>
      <c r="F83" s="220"/>
      <c r="G83" s="220"/>
      <c r="H83" s="222"/>
      <c r="I83" s="50" t="s">
        <v>141</v>
      </c>
      <c r="J83" s="26"/>
      <c r="K83" s="66">
        <f ca="1">(IF(B75=0,H75/4+K82,(H75/(B75+4)+K82)))</f>
        <v>12</v>
      </c>
    </row>
    <row r="84" spans="1:11" ht="15.75" hidden="1" customHeight="1">
      <c r="A84" s="217" t="s">
        <v>181</v>
      </c>
      <c r="B84" s="218" t="s">
        <v>174</v>
      </c>
      <c r="C84" s="103">
        <v>24</v>
      </c>
      <c r="D84" s="104">
        <f ca="1">((100/H75)*C84)/100</f>
        <v>1</v>
      </c>
      <c r="E84" s="220"/>
      <c r="F84" s="220"/>
      <c r="G84" s="220"/>
      <c r="H84" s="222"/>
      <c r="I84" s="50" t="s">
        <v>187</v>
      </c>
      <c r="J84" s="71"/>
      <c r="K84" s="66">
        <f>(IF(B75=0,0,(H75/(B75+4)+K83)))</f>
        <v>0</v>
      </c>
    </row>
    <row r="85" spans="1:11" ht="15" hidden="1" customHeight="1">
      <c r="A85" s="217" t="s">
        <v>179</v>
      </c>
      <c r="B85" s="218" t="s">
        <v>176</v>
      </c>
      <c r="C85" s="103">
        <v>24</v>
      </c>
      <c r="D85" s="104">
        <f ca="1">((100/(H75))*C85)/100</f>
        <v>1</v>
      </c>
      <c r="E85" s="220"/>
      <c r="F85" s="220"/>
      <c r="G85" s="220"/>
      <c r="H85" s="222"/>
      <c r="I85" s="50" t="s">
        <v>188</v>
      </c>
      <c r="J85" s="71"/>
      <c r="K85" s="66">
        <f>(IF(B75&gt;1,(H75/(B75+4)+K84),0))</f>
        <v>0</v>
      </c>
    </row>
    <row r="86" spans="1:11" ht="15.75" hidden="1" customHeight="1">
      <c r="A86" s="217" t="s">
        <v>175</v>
      </c>
      <c r="B86" s="218" t="s">
        <v>175</v>
      </c>
      <c r="C86" s="103">
        <v>24</v>
      </c>
      <c r="D86" s="104">
        <f ca="1">((100/H75)*C86)/100</f>
        <v>1</v>
      </c>
      <c r="E86" s="220"/>
      <c r="F86" s="220"/>
      <c r="G86" s="220"/>
      <c r="H86" s="222"/>
      <c r="I86" s="50" t="s">
        <v>189</v>
      </c>
      <c r="J86" s="65"/>
      <c r="K86" s="67">
        <f>(IF(B75&gt;2,(H75/(B75+4)+K85),0))</f>
        <v>0</v>
      </c>
    </row>
    <row r="87" spans="1:11" ht="15.75" hidden="1" customHeight="1">
      <c r="A87" s="217" t="s">
        <v>182</v>
      </c>
      <c r="B87" s="218"/>
      <c r="C87" s="103">
        <v>24</v>
      </c>
      <c r="D87" s="104">
        <f ca="1">((100/H75)*C87)/100</f>
        <v>1</v>
      </c>
      <c r="E87" s="220"/>
      <c r="F87" s="220"/>
      <c r="G87" s="220"/>
      <c r="H87" s="222"/>
      <c r="I87" s="50" t="s">
        <v>190</v>
      </c>
      <c r="J87" s="62"/>
      <c r="K87" s="70">
        <f>(IF(B75&gt;3,(H75/(B75+4)+K86),0))</f>
        <v>0</v>
      </c>
    </row>
    <row r="88" spans="1:11" ht="15.75" hidden="1" customHeight="1">
      <c r="A88" s="217" t="s">
        <v>177</v>
      </c>
      <c r="B88" s="218" t="s">
        <v>177</v>
      </c>
      <c r="C88" s="103">
        <v>24</v>
      </c>
      <c r="D88" s="104">
        <f ca="1">((100/(H75))*C88)/100</f>
        <v>1</v>
      </c>
      <c r="E88" s="220"/>
      <c r="F88" s="220"/>
      <c r="G88" s="220"/>
      <c r="H88" s="222"/>
      <c r="I88" s="50" t="s">
        <v>142</v>
      </c>
      <c r="J88" s="26"/>
      <c r="K88" s="66">
        <f ca="1">(IF(B75=0,H75/4+K83,(H75/(B75+4)+K83+MAX(0,K84-K83)+MAX(0,K85-K84)+MAX(0,K86-K85)+MAX(0,K87-K86))))</f>
        <v>18</v>
      </c>
    </row>
    <row r="89" spans="1:11" ht="16" hidden="1" thickBot="1">
      <c r="A89" s="224" t="s">
        <v>178</v>
      </c>
      <c r="B89" s="225"/>
      <c r="C89" s="106">
        <v>24</v>
      </c>
      <c r="D89" s="107">
        <f ca="1">((100/(H75))*C89)/100</f>
        <v>1</v>
      </c>
      <c r="E89" s="221"/>
      <c r="F89" s="221"/>
      <c r="G89" s="221"/>
      <c r="H89" s="223"/>
      <c r="I89" s="63" t="s">
        <v>143</v>
      </c>
      <c r="J89" s="64"/>
      <c r="K89" s="68">
        <f ca="1">(IF(B75=0,H75/4+K88,(H75/(B75+4)+K88)))</f>
        <v>24</v>
      </c>
    </row>
    <row r="90" spans="1:11" ht="15.75" customHeight="1">
      <c r="A90" s="208" t="s">
        <v>184</v>
      </c>
      <c r="B90" s="209"/>
      <c r="C90" s="210" t="str">
        <f>D65</f>
        <v>Wing B = Gr + 2P + 3rd to 27th Floor</v>
      </c>
      <c r="D90" s="211"/>
      <c r="E90" s="211"/>
      <c r="F90" s="211"/>
      <c r="G90" s="211"/>
      <c r="H90" s="212"/>
      <c r="I90" s="60" t="str">
        <f ca="1">(IF(C94=0,"Work not yet Started.",IF(D94=25%,"Piling work in process",IF(D94=50%,"Excavation work in process",IF(D94=100%,"Excavation work completed, ","0")))&amp;(IF(C95=0%,"",IF(C95=K96,"Footing work is process",IF(C95=K97,"Footing work Completed",IF(C95=K98,"1st Basement Completed",IF(C95=K99,"1st &amp; 2nd Basement Completed",IF(C95=K100,"1st to 3rd Basement Completed",IF(C95=K101,"1st to 4th Basement Completed",IF(C95=K102,"Plinth work is process",IF(C95=K103,"Plinth work completed","0")))))))))))&amp;(IF(C96&gt;0,", RCC upto "&amp;C96&amp;" Slab completed",""))&amp;(IF(C97&gt;0,", Brickwork upto "&amp;C97&amp;" Floor completed"," "))&amp;(IF(C98&gt;0,", Internal Plaster upto "&amp;C98&amp;" Floor completed"," "))&amp;(IF(C99&gt;0,", External Plaster upto "&amp;C99&amp;" Floor completed"," "))&amp;(IF(C100&gt;0,", Flooring upto "&amp;C100&amp;" Floor completed"," "))&amp;(IF(C101&gt;0,", Painting upto "&amp;C101&amp;" Floor completed"," "))&amp;(IF(C102&gt;0,", Finishing upto "&amp;C102&amp;" Floor completed"," ")))</f>
        <v xml:space="preserve">Excavation work completed, Plinth work completed, RCC upto 19 Slab completed, Brickwork upto 15 Floor completed, Internal Plaster upto 11 Floor completed    </v>
      </c>
      <c r="J90" s="20"/>
      <c r="K90" s="21"/>
    </row>
    <row r="91" spans="1:11">
      <c r="A91" s="108" t="s">
        <v>186</v>
      </c>
      <c r="B91" s="109">
        <v>0</v>
      </c>
      <c r="C91" s="109" t="s">
        <v>101</v>
      </c>
      <c r="D91" s="109">
        <v>1</v>
      </c>
      <c r="E91" s="109" t="s">
        <v>100</v>
      </c>
      <c r="F91" s="109">
        <v>0</v>
      </c>
      <c r="G91" s="109" t="s">
        <v>115</v>
      </c>
      <c r="H91" s="110">
        <f ca="1">--TRIM(RIGHT(SUBSTITUTE(LEFT(C90,_xlfn.AGGREGATE(16,6,FIND({0,1,2,3,4,5,6,7,8,9},C90,ROW(INDIRECT("1:"&amp;LEN(C90)))),1))," ",REPT(" ",LEN(C90))),LEN(C90)))</f>
        <v>27</v>
      </c>
      <c r="I91" s="61" t="s">
        <v>158</v>
      </c>
      <c r="J91" s="22"/>
      <c r="K91" s="23"/>
    </row>
    <row r="92" spans="1:11" ht="30.65" customHeight="1">
      <c r="A92" s="213" t="s">
        <v>125</v>
      </c>
      <c r="B92" s="214"/>
      <c r="C92" s="215" t="str">
        <f ca="1">I90</f>
        <v xml:space="preserve">Excavation work completed, Plinth work completed, RCC upto 19 Slab completed, Brickwork upto 15 Floor completed, Internal Plaster upto 11 Floor completed    </v>
      </c>
      <c r="D92" s="215"/>
      <c r="E92" s="215"/>
      <c r="F92" s="215"/>
      <c r="G92" s="215"/>
      <c r="H92" s="216"/>
      <c r="I92" s="61" t="s">
        <v>144</v>
      </c>
      <c r="J92" s="22"/>
      <c r="K92" s="23"/>
    </row>
    <row r="93" spans="1:11">
      <c r="A93" s="217" t="s">
        <v>52</v>
      </c>
      <c r="B93" s="218"/>
      <c r="C93" s="101" t="s">
        <v>183</v>
      </c>
      <c r="D93" s="102" t="s">
        <v>118</v>
      </c>
      <c r="E93" s="218" t="s">
        <v>120</v>
      </c>
      <c r="F93" s="218"/>
      <c r="G93" s="218" t="s">
        <v>119</v>
      </c>
      <c r="H93" s="219"/>
      <c r="I93" s="50" t="s">
        <v>185</v>
      </c>
      <c r="J93" s="24"/>
      <c r="K93" s="25">
        <f ca="1">H91*25%</f>
        <v>6.75</v>
      </c>
    </row>
    <row r="94" spans="1:11">
      <c r="A94" s="217" t="s">
        <v>172</v>
      </c>
      <c r="B94" s="218"/>
      <c r="C94" s="103">
        <f ca="1">K95</f>
        <v>27</v>
      </c>
      <c r="D94" s="104">
        <f ca="1">((100/H91)*C94)/100</f>
        <v>1</v>
      </c>
      <c r="E94" s="220">
        <f ca="1">(IF(C92=I91,"100%",IF(C92=I92,"100%",(((C95/H91*10)+(40/(B91+D91+F91+H91)*C96)+(7.5/(H91)*C97)+(7.5/(H91)*C98)+(10/H91*C99)+(10/H91*C100)+(5/H91*C101)+(5/H91*C102)+(5/H91*C103))/100))))</f>
        <v>0.44365079365079363</v>
      </c>
      <c r="F94" s="220"/>
      <c r="G94" s="220">
        <f ca="1">((((C94/H91)*20)+((C95/H91)*25)+(30/(B91+H91+F91+D91)*C96)+(5/H91*C97)+(5/H91*C98)+(5/H91*C99)+(5/H91*C100)+(0/H91*C101)+(0/H91*C102)+(5/H91*C103))/100)</f>
        <v>0.70171957671957674</v>
      </c>
      <c r="H94" s="222"/>
      <c r="I94" s="50" t="s">
        <v>138</v>
      </c>
      <c r="J94" s="26"/>
      <c r="K94" s="59">
        <f ca="1">H91*50%</f>
        <v>13.5</v>
      </c>
    </row>
    <row r="95" spans="1:11">
      <c r="A95" s="217" t="s">
        <v>53</v>
      </c>
      <c r="B95" s="218"/>
      <c r="C95" s="105">
        <f ca="1">K103</f>
        <v>27</v>
      </c>
      <c r="D95" s="104">
        <f ca="1">((100/H91)*C95)/100</f>
        <v>1</v>
      </c>
      <c r="E95" s="220"/>
      <c r="F95" s="220"/>
      <c r="G95" s="220"/>
      <c r="H95" s="222"/>
      <c r="I95" s="50" t="s">
        <v>139</v>
      </c>
      <c r="J95" s="26"/>
      <c r="K95" s="59">
        <f ca="1">H91</f>
        <v>27</v>
      </c>
    </row>
    <row r="96" spans="1:11" ht="15.75" customHeight="1">
      <c r="A96" s="217" t="s">
        <v>173</v>
      </c>
      <c r="B96" s="218"/>
      <c r="C96" s="105">
        <v>19</v>
      </c>
      <c r="D96" s="104">
        <f ca="1">((100/(B91+D91+F91+H91))*C96)/100</f>
        <v>0.6785714285714286</v>
      </c>
      <c r="E96" s="220"/>
      <c r="F96" s="220"/>
      <c r="G96" s="220"/>
      <c r="H96" s="222"/>
      <c r="I96" s="50" t="s">
        <v>140</v>
      </c>
      <c r="J96" s="26"/>
      <c r="K96" s="66">
        <f ca="1">(IF(B91=0,H91/4,(H91/(B91+4))))</f>
        <v>6.75</v>
      </c>
    </row>
    <row r="97" spans="1:11" ht="15.75" customHeight="1">
      <c r="A97" s="217" t="s">
        <v>180</v>
      </c>
      <c r="B97" s="218" t="s">
        <v>174</v>
      </c>
      <c r="C97" s="103">
        <v>15</v>
      </c>
      <c r="D97" s="104">
        <f ca="1">((100/H91)*C97)/100</f>
        <v>0.55555555555555558</v>
      </c>
      <c r="E97" s="220"/>
      <c r="F97" s="220"/>
      <c r="G97" s="220"/>
      <c r="H97" s="222"/>
      <c r="I97" s="50" t="s">
        <v>141</v>
      </c>
      <c r="J97" s="26"/>
      <c r="K97" s="66">
        <f ca="1">(IF(B91=0,H91/4+K96,(H91/(B91+4)+K96)))</f>
        <v>13.5</v>
      </c>
    </row>
    <row r="98" spans="1:11" ht="15.75" customHeight="1">
      <c r="A98" s="217" t="s">
        <v>181</v>
      </c>
      <c r="B98" s="218" t="s">
        <v>174</v>
      </c>
      <c r="C98" s="103">
        <v>11</v>
      </c>
      <c r="D98" s="104">
        <f ca="1">((100/H91)*C98)/100</f>
        <v>0.40740740740740738</v>
      </c>
      <c r="E98" s="220"/>
      <c r="F98" s="220"/>
      <c r="G98" s="220"/>
      <c r="H98" s="222"/>
      <c r="I98" s="50" t="s">
        <v>187</v>
      </c>
      <c r="J98" s="71"/>
      <c r="K98" s="66">
        <f>(IF(B91=0,0,(H91/(B91+4)+K97)))</f>
        <v>0</v>
      </c>
    </row>
    <row r="99" spans="1:11" ht="15" customHeight="1">
      <c r="A99" s="217" t="s">
        <v>179</v>
      </c>
      <c r="B99" s="218" t="s">
        <v>176</v>
      </c>
      <c r="C99" s="103">
        <v>0</v>
      </c>
      <c r="D99" s="104">
        <f ca="1">((100/(H91))*C99)/100</f>
        <v>0</v>
      </c>
      <c r="E99" s="220"/>
      <c r="F99" s="220"/>
      <c r="G99" s="220"/>
      <c r="H99" s="222"/>
      <c r="I99" s="50" t="s">
        <v>188</v>
      </c>
      <c r="J99" s="71"/>
      <c r="K99" s="66">
        <f>(IF(B91&gt;1,(H91/(B91+4)+K98),0))</f>
        <v>0</v>
      </c>
    </row>
    <row r="100" spans="1:11" ht="15.75" customHeight="1">
      <c r="A100" s="217" t="s">
        <v>175</v>
      </c>
      <c r="B100" s="218" t="s">
        <v>175</v>
      </c>
      <c r="C100" s="103">
        <v>0</v>
      </c>
      <c r="D100" s="104">
        <f ca="1">((100/H91)*C100)/100</f>
        <v>0</v>
      </c>
      <c r="E100" s="220"/>
      <c r="F100" s="220"/>
      <c r="G100" s="220"/>
      <c r="H100" s="222"/>
      <c r="I100" s="50" t="s">
        <v>189</v>
      </c>
      <c r="J100" s="65"/>
      <c r="K100" s="67">
        <f>(IF(B91&gt;2,(H91/(B91+4)+K99),0))</f>
        <v>0</v>
      </c>
    </row>
    <row r="101" spans="1:11" ht="15.75" customHeight="1">
      <c r="A101" s="217" t="s">
        <v>182</v>
      </c>
      <c r="B101" s="218"/>
      <c r="C101" s="103">
        <v>0</v>
      </c>
      <c r="D101" s="104">
        <f ca="1">((100/H91)*C101)/100</f>
        <v>0</v>
      </c>
      <c r="E101" s="220"/>
      <c r="F101" s="220"/>
      <c r="G101" s="220"/>
      <c r="H101" s="222"/>
      <c r="I101" s="50" t="s">
        <v>190</v>
      </c>
      <c r="J101" s="62"/>
      <c r="K101" s="70">
        <f>(IF(B91&gt;3,(H91/(B91+4)+K100),0))</f>
        <v>0</v>
      </c>
    </row>
    <row r="102" spans="1:11" ht="15.75" customHeight="1">
      <c r="A102" s="217" t="s">
        <v>177</v>
      </c>
      <c r="B102" s="218" t="s">
        <v>177</v>
      </c>
      <c r="C102" s="103">
        <v>0</v>
      </c>
      <c r="D102" s="104">
        <f ca="1">((100/(H91))*C102)/100</f>
        <v>0</v>
      </c>
      <c r="E102" s="220"/>
      <c r="F102" s="220"/>
      <c r="G102" s="220"/>
      <c r="H102" s="222"/>
      <c r="I102" s="50" t="s">
        <v>142</v>
      </c>
      <c r="J102" s="26"/>
      <c r="K102" s="66">
        <f ca="1">(IF(B91=0,H91/4+K97,(H91/(B91+4)+K97+MAX(0,K98-K97)+MAX(0,K99-K98)+MAX(0,K100-K99)+MAX(0,K101-K100))))</f>
        <v>20.25</v>
      </c>
    </row>
    <row r="103" spans="1:11" ht="16" thickBot="1">
      <c r="A103" s="224" t="s">
        <v>178</v>
      </c>
      <c r="B103" s="225"/>
      <c r="C103" s="106">
        <v>0</v>
      </c>
      <c r="D103" s="107">
        <f ca="1">((100/(H91))*C103)/100</f>
        <v>0</v>
      </c>
      <c r="E103" s="221"/>
      <c r="F103" s="221"/>
      <c r="G103" s="221"/>
      <c r="H103" s="223"/>
      <c r="I103" s="63" t="s">
        <v>143</v>
      </c>
      <c r="J103" s="64"/>
      <c r="K103" s="68">
        <f ca="1">(IF(B91=0,H91/4+K102,(H91/(B91+4)+K102)))</f>
        <v>27</v>
      </c>
    </row>
    <row r="104" spans="1:11" ht="15.75" customHeight="1">
      <c r="A104" s="177" t="s">
        <v>184</v>
      </c>
      <c r="B104" s="178"/>
      <c r="C104" s="179" t="str">
        <f>D66</f>
        <v>Wing C = Gr + 2P + 3rd to 27th Floor</v>
      </c>
      <c r="D104" s="180"/>
      <c r="E104" s="180"/>
      <c r="F104" s="180"/>
      <c r="G104" s="180"/>
      <c r="H104" s="181"/>
      <c r="I104" s="60" t="str">
        <f ca="1">(IF(C108=0,"Work not yet Started.",IF(D108=25%,"Piling work in process",IF(D108=50%,"Excavation work in process",IF(D108=100%,"Excavation work completed, ","0")))&amp;(IF(C109=0%,"",IF(C109=K110,"Footing work is process",IF(C109=K111,"Footing work Completed",IF(C109=K112,"1st Basement Completed",IF(C109=K113,"1st &amp; 2nd Basement Completed",IF(C109=K114,"1st to 3rd Basement Completed",IF(C109=K115,"1st to 4th Basement Completed",IF(C109=K116,"Plinth work is process",IF(C109=K117,"Plinth work completed","0")))))))))))&amp;(IF(C110&gt;0,", RCC upto "&amp;C110&amp;" Slab completed",""))&amp;(IF(C111&gt;0,", Brickwork upto "&amp;C111&amp;" Floor completed"," "))&amp;(IF(C112&gt;0,", Internal Plaster upto "&amp;C112&amp;" Floor completed"," "))&amp;(IF(C113&gt;0,", External Plaster upto "&amp;C113&amp;" Floor completed"," "))&amp;(IF(C114&gt;0,", Flooring upto "&amp;C114&amp;" Floor completed"," "))&amp;(IF(C115&gt;0,", Painting upto "&amp;C115&amp;" Floor completed"," "))&amp;(IF(C116&gt;0,", Finishing upto "&amp;C116&amp;" Floor completed"," ")))</f>
        <v xml:space="preserve">Excavation work completed, Plinth work completed, RCC upto 19 Slab completed, Brickwork upto 15 Floor completed, Internal Plaster upto 11 Floor completed    </v>
      </c>
      <c r="J104" s="20"/>
      <c r="K104" s="21"/>
    </row>
    <row r="105" spans="1:11">
      <c r="A105" s="69" t="s">
        <v>186</v>
      </c>
      <c r="B105" s="92">
        <v>0</v>
      </c>
      <c r="C105" s="92" t="s">
        <v>101</v>
      </c>
      <c r="D105" s="92">
        <v>1</v>
      </c>
      <c r="E105" s="92" t="s">
        <v>100</v>
      </c>
      <c r="F105" s="92">
        <v>0</v>
      </c>
      <c r="G105" s="92" t="s">
        <v>115</v>
      </c>
      <c r="H105" s="79">
        <f ca="1">--TRIM(RIGHT(SUBSTITUTE(LEFT(C104,_xlfn.AGGREGATE(16,6,FIND({0,1,2,3,4,5,6,7,8,9},C104,ROW(INDIRECT("1:"&amp;LEN(C104)))),1))," ",REPT(" ",LEN(C104))),LEN(C104)))</f>
        <v>27</v>
      </c>
      <c r="I105" s="61" t="s">
        <v>158</v>
      </c>
      <c r="J105" s="22"/>
      <c r="K105" s="23"/>
    </row>
    <row r="106" spans="1:11" ht="33" customHeight="1">
      <c r="A106" s="201" t="s">
        <v>125</v>
      </c>
      <c r="B106" s="182"/>
      <c r="C106" s="183" t="str">
        <f ca="1">I104</f>
        <v xml:space="preserve">Excavation work completed, Plinth work completed, RCC upto 19 Slab completed, Brickwork upto 15 Floor completed, Internal Plaster upto 11 Floor completed    </v>
      </c>
      <c r="D106" s="183"/>
      <c r="E106" s="183"/>
      <c r="F106" s="183"/>
      <c r="G106" s="183"/>
      <c r="H106" s="202"/>
      <c r="I106" s="61" t="s">
        <v>144</v>
      </c>
      <c r="J106" s="22"/>
      <c r="K106" s="23"/>
    </row>
    <row r="107" spans="1:11">
      <c r="A107" s="203" t="s">
        <v>52</v>
      </c>
      <c r="B107" s="161"/>
      <c r="C107" s="83" t="s">
        <v>183</v>
      </c>
      <c r="D107" s="89" t="s">
        <v>118</v>
      </c>
      <c r="E107" s="161" t="s">
        <v>120</v>
      </c>
      <c r="F107" s="161"/>
      <c r="G107" s="161" t="s">
        <v>119</v>
      </c>
      <c r="H107" s="204"/>
      <c r="I107" s="50" t="s">
        <v>185</v>
      </c>
      <c r="J107" s="24"/>
      <c r="K107" s="25">
        <f ca="1">H105*25%</f>
        <v>6.75</v>
      </c>
    </row>
    <row r="108" spans="1:11">
      <c r="A108" s="203" t="s">
        <v>172</v>
      </c>
      <c r="B108" s="161"/>
      <c r="C108" s="84">
        <f ca="1">K109</f>
        <v>27</v>
      </c>
      <c r="D108" s="90">
        <f ca="1">((100/H105)*C108)/100</f>
        <v>1</v>
      </c>
      <c r="E108" s="184">
        <f ca="1">(IF(C106=I105,"100%",IF(C106=I106,"100%",(((C109/H105*10)+(40/(B105+D105+F105+H105)*C110)+(7.5/(H105)*C111)+(7.5/(H105)*C112)+(10/H105*C113)+(10/H105*C114)+(5/H105*C115)+(5/H105*C116)+(5/H105*C117))/100))))</f>
        <v>0.44365079365079363</v>
      </c>
      <c r="F108" s="184"/>
      <c r="G108" s="184">
        <f ca="1">((((C108/H105)*20)+((C109/H105)*25)+(30/(B105+H105+F105+D105)*C110)+(5/H105*C111)+(5/H105*C112)+(5/H105*C113)+(5/H105*C114)+(0/H105*C115)+(0/H105*C116)+(5/H105*C117))/100)</f>
        <v>0.70171957671957674</v>
      </c>
      <c r="H108" s="206"/>
      <c r="I108" s="50" t="s">
        <v>138</v>
      </c>
      <c r="J108" s="26"/>
      <c r="K108" s="59">
        <f ca="1">H105*50%</f>
        <v>13.5</v>
      </c>
    </row>
    <row r="109" spans="1:11">
      <c r="A109" s="203" t="s">
        <v>53</v>
      </c>
      <c r="B109" s="161"/>
      <c r="C109" s="85">
        <f ca="1">K117</f>
        <v>27</v>
      </c>
      <c r="D109" s="90">
        <f ca="1">((100/H105)*C109)/100</f>
        <v>1</v>
      </c>
      <c r="E109" s="184"/>
      <c r="F109" s="184"/>
      <c r="G109" s="184"/>
      <c r="H109" s="206"/>
      <c r="I109" s="50" t="s">
        <v>139</v>
      </c>
      <c r="J109" s="26"/>
      <c r="K109" s="59">
        <f ca="1">H105</f>
        <v>27</v>
      </c>
    </row>
    <row r="110" spans="1:11" ht="15.75" customHeight="1">
      <c r="A110" s="203" t="s">
        <v>173</v>
      </c>
      <c r="B110" s="161"/>
      <c r="C110" s="85">
        <v>19</v>
      </c>
      <c r="D110" s="90">
        <f ca="1">((100/(B105+D105+F105+H105))*C110)/100</f>
        <v>0.6785714285714286</v>
      </c>
      <c r="E110" s="184"/>
      <c r="F110" s="184"/>
      <c r="G110" s="184"/>
      <c r="H110" s="206"/>
      <c r="I110" s="50" t="s">
        <v>140</v>
      </c>
      <c r="J110" s="26"/>
      <c r="K110" s="66">
        <f ca="1">(IF(B105=0,H105/4,(H105/(B105+4))))</f>
        <v>6.75</v>
      </c>
    </row>
    <row r="111" spans="1:11" ht="15.75" customHeight="1">
      <c r="A111" s="203" t="s">
        <v>180</v>
      </c>
      <c r="B111" s="161" t="s">
        <v>174</v>
      </c>
      <c r="C111" s="84">
        <v>15</v>
      </c>
      <c r="D111" s="90">
        <f ca="1">((100/H105)*C111)/100</f>
        <v>0.55555555555555558</v>
      </c>
      <c r="E111" s="184"/>
      <c r="F111" s="184"/>
      <c r="G111" s="184"/>
      <c r="H111" s="206"/>
      <c r="I111" s="50" t="s">
        <v>141</v>
      </c>
      <c r="J111" s="26"/>
      <c r="K111" s="66">
        <f ca="1">(IF(B105=0,H105/4+K110,(H105/(B105+4)+K110)))</f>
        <v>13.5</v>
      </c>
    </row>
    <row r="112" spans="1:11" ht="15.75" customHeight="1">
      <c r="A112" s="203" t="s">
        <v>181</v>
      </c>
      <c r="B112" s="161" t="s">
        <v>174</v>
      </c>
      <c r="C112" s="84">
        <v>11</v>
      </c>
      <c r="D112" s="90">
        <f ca="1">((100/H105)*C112)/100</f>
        <v>0.40740740740740738</v>
      </c>
      <c r="E112" s="184"/>
      <c r="F112" s="184"/>
      <c r="G112" s="184"/>
      <c r="H112" s="206"/>
      <c r="I112" s="50" t="s">
        <v>187</v>
      </c>
      <c r="J112" s="71"/>
      <c r="K112" s="66">
        <f>(IF(B105=0,0,(H105/(B105+4)+K111)))</f>
        <v>0</v>
      </c>
    </row>
    <row r="113" spans="1:11" ht="15" customHeight="1">
      <c r="A113" s="203" t="s">
        <v>179</v>
      </c>
      <c r="B113" s="161" t="s">
        <v>176</v>
      </c>
      <c r="C113" s="84">
        <v>0</v>
      </c>
      <c r="D113" s="90">
        <f ca="1">((100/(H105))*C113)/100</f>
        <v>0</v>
      </c>
      <c r="E113" s="184"/>
      <c r="F113" s="184"/>
      <c r="G113" s="184"/>
      <c r="H113" s="206"/>
      <c r="I113" s="50" t="s">
        <v>188</v>
      </c>
      <c r="J113" s="71"/>
      <c r="K113" s="66">
        <f>(IF(B105&gt;1,(H105/(B105+4)+K112),0))</f>
        <v>0</v>
      </c>
    </row>
    <row r="114" spans="1:11" ht="15.75" customHeight="1">
      <c r="A114" s="203" t="s">
        <v>175</v>
      </c>
      <c r="B114" s="161" t="s">
        <v>175</v>
      </c>
      <c r="C114" s="84">
        <v>0</v>
      </c>
      <c r="D114" s="90">
        <f ca="1">((100/H105)*C114)/100</f>
        <v>0</v>
      </c>
      <c r="E114" s="184"/>
      <c r="F114" s="184"/>
      <c r="G114" s="184"/>
      <c r="H114" s="206"/>
      <c r="I114" s="50" t="s">
        <v>189</v>
      </c>
      <c r="J114" s="65"/>
      <c r="K114" s="67">
        <f>(IF(B105&gt;2,(H105/(B105+4)+K113),0))</f>
        <v>0</v>
      </c>
    </row>
    <row r="115" spans="1:11" ht="15.75" customHeight="1">
      <c r="A115" s="203" t="s">
        <v>182</v>
      </c>
      <c r="B115" s="161"/>
      <c r="C115" s="84">
        <v>0</v>
      </c>
      <c r="D115" s="90">
        <f ca="1">((100/H105)*C115)/100</f>
        <v>0</v>
      </c>
      <c r="E115" s="184"/>
      <c r="F115" s="184"/>
      <c r="G115" s="184"/>
      <c r="H115" s="206"/>
      <c r="I115" s="50" t="s">
        <v>190</v>
      </c>
      <c r="J115" s="62"/>
      <c r="K115" s="70">
        <f>(IF(B105&gt;3,(H105/(B105+4)+K114),0))</f>
        <v>0</v>
      </c>
    </row>
    <row r="116" spans="1:11" ht="15.75" customHeight="1">
      <c r="A116" s="203" t="s">
        <v>177</v>
      </c>
      <c r="B116" s="161" t="s">
        <v>177</v>
      </c>
      <c r="C116" s="84">
        <v>0</v>
      </c>
      <c r="D116" s="90">
        <f ca="1">((100/(H105))*C116)/100</f>
        <v>0</v>
      </c>
      <c r="E116" s="184"/>
      <c r="F116" s="184"/>
      <c r="G116" s="184"/>
      <c r="H116" s="206"/>
      <c r="I116" s="50" t="s">
        <v>142</v>
      </c>
      <c r="J116" s="26"/>
      <c r="K116" s="66">
        <f ca="1">(IF(B105=0,H105/4+K111,(H105/(B105+4)+K111+MAX(0,K112-K111)+MAX(0,K113-K112)+MAX(0,K114-K113)+MAX(0,K115-K114))))</f>
        <v>20.25</v>
      </c>
    </row>
    <row r="117" spans="1:11" ht="16" thickBot="1">
      <c r="A117" s="199" t="s">
        <v>178</v>
      </c>
      <c r="B117" s="200"/>
      <c r="C117" s="86">
        <v>0</v>
      </c>
      <c r="D117" s="91">
        <f ca="1">((100/(H105))*C117)/100</f>
        <v>0</v>
      </c>
      <c r="E117" s="205"/>
      <c r="F117" s="205"/>
      <c r="G117" s="205"/>
      <c r="H117" s="207"/>
      <c r="I117" s="63" t="s">
        <v>143</v>
      </c>
      <c r="J117" s="64"/>
      <c r="K117" s="68">
        <f ca="1">(IF(B105=0,H105/4+K116,(H105/(B105+4)+K116)))</f>
        <v>27</v>
      </c>
    </row>
    <row r="118" spans="1:11" ht="15.75" customHeight="1">
      <c r="A118" s="177" t="s">
        <v>184</v>
      </c>
      <c r="B118" s="178"/>
      <c r="C118" s="179" t="str">
        <f>D67</f>
        <v>Wing D = Gr + 1st to 29th Floor</v>
      </c>
      <c r="D118" s="180"/>
      <c r="E118" s="180"/>
      <c r="F118" s="180"/>
      <c r="G118" s="180"/>
      <c r="H118" s="181"/>
      <c r="I118" s="60" t="str">
        <f ca="1">(IF(C122=0,"Work not yet Started.",IF(D122=25%,"Piling work in process",IF(D122=50%,"Excavation work in process",IF(D122=100%,"Excavation work completed, ","0")))&amp;(IF(C123=0%,"",IF(C123=K124,"Footing work is process",IF(C123=K125,"Footing work Completed",IF(C123=K126,"1st Basement Completed",IF(C123=K127,"1st &amp; 2nd Basement Completed",IF(C123=K128,"1st to 3rd Basement Completed",IF(C123=K129,"1st to 4th Basement Completed",IF(C123=K130,"Plinth work is process",IF(C123=K131,"Plinth work completed","0")))))))))))&amp;(IF(C124&gt;0,", RCC upto "&amp;C124&amp;" Slab completed",""))&amp;(IF(C125&gt;0,", Brickwork upto "&amp;C125&amp;" Floor completed"," "))&amp;(IF(C126&gt;0,", Internal Plaster upto "&amp;C126&amp;" Floor completed"," "))&amp;(IF(C127&gt;0,", External Plaster upto "&amp;C127&amp;" Floor completed"," "))&amp;(IF(C128&gt;0,", Flooring upto "&amp;C128&amp;" Floor completed"," "))&amp;(IF(C129&gt;0,", Painting upto "&amp;C129&amp;" Floor completed"," "))&amp;(IF(C130&gt;0,", Finishing upto "&amp;C130&amp;" Floor completed"," ")))</f>
        <v xml:space="preserve">Excavation work completed, Plinth work completed, RCC upto 20 Slab completed, Brickwork upto 15 Floor completed, Internal Plaster upto 8 Floor completed, External Plaster upto 2 Floor completed, Flooring upto 2 Floor completed, Painting upto 2 Floor completed </v>
      </c>
      <c r="J118" s="20"/>
      <c r="K118" s="21"/>
    </row>
    <row r="119" spans="1:11">
      <c r="A119" s="69" t="s">
        <v>186</v>
      </c>
      <c r="B119" s="92">
        <v>0</v>
      </c>
      <c r="C119" s="92" t="s">
        <v>101</v>
      </c>
      <c r="D119" s="92">
        <v>1</v>
      </c>
      <c r="E119" s="92" t="s">
        <v>100</v>
      </c>
      <c r="F119" s="92">
        <v>0</v>
      </c>
      <c r="G119" s="92" t="s">
        <v>115</v>
      </c>
      <c r="H119" s="79">
        <f ca="1">--TRIM(RIGHT(SUBSTITUTE(LEFT(C118,_xlfn.AGGREGATE(16,6,FIND({0,1,2,3,4,5,6,7,8,9},C118,ROW(INDIRECT("1:"&amp;LEN(C118)))),1))," ",REPT(" ",LEN(C118))),LEN(C118)))</f>
        <v>29</v>
      </c>
      <c r="I119" s="61" t="s">
        <v>158</v>
      </c>
      <c r="J119" s="22"/>
      <c r="K119" s="23"/>
    </row>
    <row r="120" spans="1:11" ht="62.15" customHeight="1">
      <c r="A120" s="201" t="s">
        <v>125</v>
      </c>
      <c r="B120" s="182"/>
      <c r="C120" s="183" t="str">
        <f ca="1">I118</f>
        <v xml:space="preserve">Excavation work completed, Plinth work completed, RCC upto 20 Slab completed, Brickwork upto 15 Floor completed, Internal Plaster upto 8 Floor completed, External Plaster upto 2 Floor completed, Flooring upto 2 Floor completed, Painting upto 2 Floor completed </v>
      </c>
      <c r="D120" s="183"/>
      <c r="E120" s="183"/>
      <c r="F120" s="183"/>
      <c r="G120" s="183"/>
      <c r="H120" s="202"/>
      <c r="I120" s="61" t="s">
        <v>144</v>
      </c>
      <c r="J120" s="22"/>
      <c r="K120" s="23"/>
    </row>
    <row r="121" spans="1:11">
      <c r="A121" s="203" t="s">
        <v>52</v>
      </c>
      <c r="B121" s="161"/>
      <c r="C121" s="83" t="s">
        <v>183</v>
      </c>
      <c r="D121" s="89" t="s">
        <v>118</v>
      </c>
      <c r="E121" s="161" t="s">
        <v>120</v>
      </c>
      <c r="F121" s="161"/>
      <c r="G121" s="161" t="s">
        <v>119</v>
      </c>
      <c r="H121" s="204"/>
      <c r="I121" s="50" t="s">
        <v>185</v>
      </c>
      <c r="J121" s="24"/>
      <c r="K121" s="25">
        <f ca="1">H119*25%</f>
        <v>7.25</v>
      </c>
    </row>
    <row r="122" spans="1:11">
      <c r="A122" s="203" t="s">
        <v>172</v>
      </c>
      <c r="B122" s="161"/>
      <c r="C122" s="84">
        <f ca="1">K123</f>
        <v>29</v>
      </c>
      <c r="D122" s="90">
        <f ca="1">((100/H119)*C122)/100</f>
        <v>1</v>
      </c>
      <c r="E122" s="184">
        <f ca="1">(IF(C120=I119,"100%",IF(C120=I120,"100%",(((C123/H119*10)+(40/(B119+D119+F119+H119)*C124)+(7.5/(H119)*C125)+(7.5/(H119)*C126)+(10/H119*C127)+(10/H119*C128)+(5/H119*C129)+(5/H119*C130)+(5/H119*C131))/100))))</f>
        <v>0.44339080459770114</v>
      </c>
      <c r="F122" s="184"/>
      <c r="G122" s="184">
        <f ca="1">((((C122/H119)*20)+((C123/H119)*25)+(30/(B119+H119+F119+D119)*C124)+(5/H119*C125)+(5/H119*C126)+(5/H119*C127)+(5/H119*C128)+(0/H119*C129)+(0/H119*C130)+(5/H119*C131))/100)</f>
        <v>0.69655172413793098</v>
      </c>
      <c r="H122" s="206"/>
      <c r="I122" s="50" t="s">
        <v>138</v>
      </c>
      <c r="J122" s="26"/>
      <c r="K122" s="59">
        <f ca="1">H119*50%</f>
        <v>14.5</v>
      </c>
    </row>
    <row r="123" spans="1:11">
      <c r="A123" s="203" t="s">
        <v>53</v>
      </c>
      <c r="B123" s="161"/>
      <c r="C123" s="85">
        <f ca="1">K131</f>
        <v>29</v>
      </c>
      <c r="D123" s="90">
        <f ca="1">((100/H119)*C123)/100</f>
        <v>1</v>
      </c>
      <c r="E123" s="184"/>
      <c r="F123" s="184"/>
      <c r="G123" s="184"/>
      <c r="H123" s="206"/>
      <c r="I123" s="50" t="s">
        <v>139</v>
      </c>
      <c r="J123" s="26"/>
      <c r="K123" s="59">
        <f ca="1">H119</f>
        <v>29</v>
      </c>
    </row>
    <row r="124" spans="1:11" ht="15.75" customHeight="1">
      <c r="A124" s="203" t="s">
        <v>173</v>
      </c>
      <c r="B124" s="161"/>
      <c r="C124" s="85">
        <v>20</v>
      </c>
      <c r="D124" s="90">
        <f ca="1">((100/(B119+D119+F119+H119))*C124)/100</f>
        <v>0.66666666666666674</v>
      </c>
      <c r="E124" s="184"/>
      <c r="F124" s="184"/>
      <c r="G124" s="184"/>
      <c r="H124" s="206"/>
      <c r="I124" s="50" t="s">
        <v>140</v>
      </c>
      <c r="J124" s="26"/>
      <c r="K124" s="66">
        <f ca="1">(IF(B119=0,H119/4,(H119/(B119+4))))</f>
        <v>7.25</v>
      </c>
    </row>
    <row r="125" spans="1:11" ht="15.75" customHeight="1">
      <c r="A125" s="203" t="s">
        <v>180</v>
      </c>
      <c r="B125" s="161" t="s">
        <v>174</v>
      </c>
      <c r="C125" s="84">
        <v>15</v>
      </c>
      <c r="D125" s="90">
        <f ca="1">((100/H119)*C125)/100</f>
        <v>0.51724137931034475</v>
      </c>
      <c r="E125" s="184"/>
      <c r="F125" s="184"/>
      <c r="G125" s="184"/>
      <c r="H125" s="206"/>
      <c r="I125" s="50" t="s">
        <v>141</v>
      </c>
      <c r="J125" s="26"/>
      <c r="K125" s="66">
        <f ca="1">(IF(B119=0,H119/4+K124,(H119/(B119+4)+K124)))</f>
        <v>14.5</v>
      </c>
    </row>
    <row r="126" spans="1:11" ht="15.75" customHeight="1">
      <c r="A126" s="203" t="s">
        <v>181</v>
      </c>
      <c r="B126" s="161" t="s">
        <v>174</v>
      </c>
      <c r="C126" s="84">
        <v>8</v>
      </c>
      <c r="D126" s="90">
        <f ca="1">((100/H119)*C126)/100</f>
        <v>0.27586206896551724</v>
      </c>
      <c r="E126" s="184"/>
      <c r="F126" s="184"/>
      <c r="G126" s="184"/>
      <c r="H126" s="206"/>
      <c r="I126" s="50" t="s">
        <v>187</v>
      </c>
      <c r="J126" s="71"/>
      <c r="K126" s="66">
        <f>(IF(B119=0,0,(H119/(B119+4)+K125)))</f>
        <v>0</v>
      </c>
    </row>
    <row r="127" spans="1:11" ht="15" customHeight="1">
      <c r="A127" s="203" t="s">
        <v>179</v>
      </c>
      <c r="B127" s="161" t="s">
        <v>176</v>
      </c>
      <c r="C127" s="84">
        <v>2</v>
      </c>
      <c r="D127" s="90">
        <f ca="1">((100/(H119))*C127)/100</f>
        <v>6.8965517241379309E-2</v>
      </c>
      <c r="E127" s="184"/>
      <c r="F127" s="184"/>
      <c r="G127" s="184"/>
      <c r="H127" s="206"/>
      <c r="I127" s="50" t="s">
        <v>188</v>
      </c>
      <c r="J127" s="71"/>
      <c r="K127" s="66">
        <f>(IF(B119&gt;1,(H119/(B119+4)+K126),0))</f>
        <v>0</v>
      </c>
    </row>
    <row r="128" spans="1:11" ht="15.75" customHeight="1">
      <c r="A128" s="203" t="s">
        <v>175</v>
      </c>
      <c r="B128" s="161" t="s">
        <v>175</v>
      </c>
      <c r="C128" s="84">
        <v>2</v>
      </c>
      <c r="D128" s="90">
        <f ca="1">((100/H119)*C128)/100</f>
        <v>6.8965517241379309E-2</v>
      </c>
      <c r="E128" s="184"/>
      <c r="F128" s="184"/>
      <c r="G128" s="184"/>
      <c r="H128" s="206"/>
      <c r="I128" s="50" t="s">
        <v>189</v>
      </c>
      <c r="J128" s="65"/>
      <c r="K128" s="67">
        <f>(IF(B119&gt;2,(H119/(B119+4)+K127),0))</f>
        <v>0</v>
      </c>
    </row>
    <row r="129" spans="1:11" ht="15.75" customHeight="1">
      <c r="A129" s="203" t="s">
        <v>182</v>
      </c>
      <c r="B129" s="161"/>
      <c r="C129" s="84">
        <v>2</v>
      </c>
      <c r="D129" s="90">
        <f ca="1">((100/H119)*C129)/100</f>
        <v>6.8965517241379309E-2</v>
      </c>
      <c r="E129" s="184"/>
      <c r="F129" s="184"/>
      <c r="G129" s="184"/>
      <c r="H129" s="206"/>
      <c r="I129" s="50" t="s">
        <v>190</v>
      </c>
      <c r="J129" s="62"/>
      <c r="K129" s="70">
        <f>(IF(B119&gt;3,(H119/(B119+4)+K128),0))</f>
        <v>0</v>
      </c>
    </row>
    <row r="130" spans="1:11" ht="15.75" customHeight="1">
      <c r="A130" s="203" t="s">
        <v>177</v>
      </c>
      <c r="B130" s="161" t="s">
        <v>177</v>
      </c>
      <c r="C130" s="84">
        <v>0</v>
      </c>
      <c r="D130" s="90">
        <f ca="1">((100/(H119))*C130)/100</f>
        <v>0</v>
      </c>
      <c r="E130" s="184"/>
      <c r="F130" s="184"/>
      <c r="G130" s="184"/>
      <c r="H130" s="206"/>
      <c r="I130" s="50" t="s">
        <v>142</v>
      </c>
      <c r="J130" s="26"/>
      <c r="K130" s="66">
        <f ca="1">(IF(B119=0,H119/4+K125,(H119/(B119+4)+K125+MAX(0,K126-K125)+MAX(0,K127-K126)+MAX(0,K128-K127)+MAX(0,K129-K128))))</f>
        <v>21.75</v>
      </c>
    </row>
    <row r="131" spans="1:11" ht="16" thickBot="1">
      <c r="A131" s="199" t="s">
        <v>178</v>
      </c>
      <c r="B131" s="200"/>
      <c r="C131" s="86">
        <v>0</v>
      </c>
      <c r="D131" s="91">
        <f ca="1">((100/(H119))*C131)/100</f>
        <v>0</v>
      </c>
      <c r="E131" s="205"/>
      <c r="F131" s="205"/>
      <c r="G131" s="205"/>
      <c r="H131" s="207"/>
      <c r="I131" s="63" t="s">
        <v>143</v>
      </c>
      <c r="J131" s="64"/>
      <c r="K131" s="68">
        <f ca="1">(IF(B119=0,H119/4+K130,(H119/(B119+4)+K130)))</f>
        <v>29</v>
      </c>
    </row>
    <row r="132" spans="1:11" ht="15.75" customHeight="1">
      <c r="A132" s="177" t="s">
        <v>184</v>
      </c>
      <c r="B132" s="178"/>
      <c r="C132" s="179" t="str">
        <f>D68</f>
        <v>Wing E = Gr/St + P1 to P2 + 3rd to 27th Floor</v>
      </c>
      <c r="D132" s="180"/>
      <c r="E132" s="180"/>
      <c r="F132" s="180"/>
      <c r="G132" s="180"/>
      <c r="H132" s="181"/>
      <c r="I132" s="60" t="str">
        <f ca="1">(IF(C136=0,"Work not yet Started.",IF(D136=25%,"Piling work in process",IF(D136=50%,"Excavation work in process",IF(D136=100%,"Excavation work completed, ","0")))&amp;(IF(C137=0%,"",IF(C137=K138,"Footing work is process",IF(C137=K139,"Footing work Completed",IF(C137=K140,"1st Basement Completed",IF(C137=K141,"1st &amp; 2nd Basement Completed",IF(C137=K142,"1st to 3rd Basement Completed",IF(C137=K143,"1st to 4th Basement Completed",IF(C137=K144,"Plinth work is process",IF(C137=K145,"Plinth work completed","0")))))))))))&amp;(IF(C138&gt;0,", RCC upto "&amp;C138&amp;" Slab completed",""))&amp;(IF(C139&gt;0,", Brickwork upto "&amp;C139&amp;" Floor completed"," "))&amp;(IF(C140&gt;0,", Internal Plaster upto "&amp;C140&amp;" Floor completed"," "))&amp;(IF(C141&gt;0,", External Plaster upto "&amp;C141&amp;" Floor completed"," "))&amp;(IF(C142&gt;0,", Flooring upto "&amp;C142&amp;" Floor completed"," "))&amp;(IF(C143&gt;0,", Painting upto "&amp;C143&amp;" Floor completed"," "))&amp;(IF(C144&gt;0,", Finishing upto "&amp;C144&amp;" Floor completed"," ")))</f>
        <v xml:space="preserve">Excavation work completed, Plinth work completed, RCC upto 20 Slab completed, Brickwork upto 16 Floor completed, Internal Plaster upto 9 Floor completed, External Plaster upto 2 Floor completed   </v>
      </c>
      <c r="J132" s="20"/>
      <c r="K132" s="21"/>
    </row>
    <row r="133" spans="1:11">
      <c r="A133" s="69" t="s">
        <v>186</v>
      </c>
      <c r="B133" s="148">
        <v>0</v>
      </c>
      <c r="C133" s="148" t="s">
        <v>101</v>
      </c>
      <c r="D133" s="148">
        <v>1</v>
      </c>
      <c r="E133" s="148" t="s">
        <v>100</v>
      </c>
      <c r="F133" s="148">
        <v>0</v>
      </c>
      <c r="G133" s="148" t="s">
        <v>115</v>
      </c>
      <c r="H133" s="79">
        <f ca="1">--TRIM(RIGHT(SUBSTITUTE(LEFT(C132,_xlfn.AGGREGATE(16,6,FIND({0,1,2,3,4,5,6,7,8,9},C132,ROW(INDIRECT("1:"&amp;LEN(C132)))),1))," ",REPT(" ",LEN(C132))),LEN(C132)))</f>
        <v>27</v>
      </c>
      <c r="I133" s="61" t="s">
        <v>158</v>
      </c>
      <c r="J133" s="22"/>
      <c r="K133" s="23"/>
    </row>
    <row r="134" spans="1:11" ht="32.15" customHeight="1">
      <c r="A134" s="201" t="s">
        <v>125</v>
      </c>
      <c r="B134" s="182"/>
      <c r="C134" s="183" t="str">
        <f ca="1">I132</f>
        <v xml:space="preserve">Excavation work completed, Plinth work completed, RCC upto 20 Slab completed, Brickwork upto 16 Floor completed, Internal Plaster upto 9 Floor completed, External Plaster upto 2 Floor completed   </v>
      </c>
      <c r="D134" s="183"/>
      <c r="E134" s="183"/>
      <c r="F134" s="183"/>
      <c r="G134" s="183"/>
      <c r="H134" s="202"/>
      <c r="I134" s="61" t="s">
        <v>144</v>
      </c>
      <c r="J134" s="22"/>
      <c r="K134" s="23"/>
    </row>
    <row r="135" spans="1:11">
      <c r="A135" s="203" t="s">
        <v>52</v>
      </c>
      <c r="B135" s="161"/>
      <c r="C135" s="83" t="s">
        <v>183</v>
      </c>
      <c r="D135" s="147" t="s">
        <v>118</v>
      </c>
      <c r="E135" s="161" t="s">
        <v>120</v>
      </c>
      <c r="F135" s="161"/>
      <c r="G135" s="161" t="s">
        <v>119</v>
      </c>
      <c r="H135" s="204"/>
      <c r="I135" s="50" t="s">
        <v>185</v>
      </c>
      <c r="J135" s="24"/>
      <c r="K135" s="25">
        <f ca="1">H133*25%</f>
        <v>6.75</v>
      </c>
    </row>
    <row r="136" spans="1:11">
      <c r="A136" s="203" t="s">
        <v>172</v>
      </c>
      <c r="B136" s="161"/>
      <c r="C136" s="84">
        <f ca="1">K137</f>
        <v>27</v>
      </c>
      <c r="D136" s="149">
        <f ca="1">((100/H133)*C136)/100</f>
        <v>1</v>
      </c>
      <c r="E136" s="184">
        <f ca="1">(IF(C134=I133,"100%",IF(C134=I134,"100%",(((C137/H133*10)+(40/(B133+D133+F133+H133)*C138)+(7.5/(H133)*C139)+(7.5/(H133)*C140)+(10/H133*C141)+(10/H133*C142)+(5/H133*C143)+(5/H133*C144)+(5/H133*C145))/100))))</f>
        <v>0.46256613756613751</v>
      </c>
      <c r="F136" s="184"/>
      <c r="G136" s="184">
        <f ca="1">((((C136/H133)*20)+((C137/H133)*25)+(30/(B133+H133+F133+D133)*C138)+(5/H133*C139)+(5/H133*C140)+(5/H133*C141)+(5/H133*C142)+(0/H133*C143)+(0/H133*C144)+(5/H133*C145))/100)</f>
        <v>0.7142857142857143</v>
      </c>
      <c r="H136" s="206"/>
      <c r="I136" s="50" t="s">
        <v>138</v>
      </c>
      <c r="J136" s="26"/>
      <c r="K136" s="59">
        <f ca="1">H133*50%</f>
        <v>13.5</v>
      </c>
    </row>
    <row r="137" spans="1:11">
      <c r="A137" s="203" t="s">
        <v>53</v>
      </c>
      <c r="B137" s="161"/>
      <c r="C137" s="85">
        <f ca="1">K145</f>
        <v>27</v>
      </c>
      <c r="D137" s="149">
        <f ca="1">((100/H133)*C137)/100</f>
        <v>1</v>
      </c>
      <c r="E137" s="184"/>
      <c r="F137" s="184"/>
      <c r="G137" s="184"/>
      <c r="H137" s="206"/>
      <c r="I137" s="50" t="s">
        <v>139</v>
      </c>
      <c r="J137" s="26"/>
      <c r="K137" s="59">
        <f ca="1">H133</f>
        <v>27</v>
      </c>
    </row>
    <row r="138" spans="1:11" ht="15.75" customHeight="1">
      <c r="A138" s="203" t="s">
        <v>173</v>
      </c>
      <c r="B138" s="161"/>
      <c r="C138" s="85">
        <v>20</v>
      </c>
      <c r="D138" s="149">
        <f ca="1">((100/(B133+D133+F133+H133))*C138)/100</f>
        <v>0.7142857142857143</v>
      </c>
      <c r="E138" s="184"/>
      <c r="F138" s="184"/>
      <c r="G138" s="184"/>
      <c r="H138" s="206"/>
      <c r="I138" s="50" t="s">
        <v>140</v>
      </c>
      <c r="J138" s="26"/>
      <c r="K138" s="66">
        <f ca="1">(IF(B133=0,H133/4,(H133/(B133+4))))</f>
        <v>6.75</v>
      </c>
    </row>
    <row r="139" spans="1:11" ht="15.75" customHeight="1">
      <c r="A139" s="203" t="s">
        <v>180</v>
      </c>
      <c r="B139" s="161" t="s">
        <v>174</v>
      </c>
      <c r="C139" s="84">
        <v>16</v>
      </c>
      <c r="D139" s="149">
        <f ca="1">((100/H133)*C139)/100</f>
        <v>0.59259259259259256</v>
      </c>
      <c r="E139" s="184"/>
      <c r="F139" s="184"/>
      <c r="G139" s="184"/>
      <c r="H139" s="206"/>
      <c r="I139" s="50" t="s">
        <v>141</v>
      </c>
      <c r="J139" s="26"/>
      <c r="K139" s="66">
        <f ca="1">(IF(B133=0,H133/4+K138,(H133/(B133+4)+K138)))</f>
        <v>13.5</v>
      </c>
    </row>
    <row r="140" spans="1:11" ht="15.75" customHeight="1">
      <c r="A140" s="203" t="s">
        <v>181</v>
      </c>
      <c r="B140" s="161" t="s">
        <v>174</v>
      </c>
      <c r="C140" s="84">
        <v>9</v>
      </c>
      <c r="D140" s="149">
        <f ca="1">((100/H133)*C140)/100</f>
        <v>0.33333333333333337</v>
      </c>
      <c r="E140" s="184"/>
      <c r="F140" s="184"/>
      <c r="G140" s="184"/>
      <c r="H140" s="206"/>
      <c r="I140" s="50" t="s">
        <v>187</v>
      </c>
      <c r="J140" s="71"/>
      <c r="K140" s="66">
        <f>(IF(B133=0,0,(H133/(B133+4)+K139)))</f>
        <v>0</v>
      </c>
    </row>
    <row r="141" spans="1:11" ht="15" customHeight="1">
      <c r="A141" s="203" t="s">
        <v>179</v>
      </c>
      <c r="B141" s="161" t="s">
        <v>176</v>
      </c>
      <c r="C141" s="84">
        <v>2</v>
      </c>
      <c r="D141" s="149">
        <f ca="1">((100/(H133))*C141)/100</f>
        <v>7.407407407407407E-2</v>
      </c>
      <c r="E141" s="184"/>
      <c r="F141" s="184"/>
      <c r="G141" s="184"/>
      <c r="H141" s="206"/>
      <c r="I141" s="50" t="s">
        <v>188</v>
      </c>
      <c r="J141" s="71"/>
      <c r="K141" s="66">
        <f>(IF(B133&gt;1,(H133/(B133+4)+K140),0))</f>
        <v>0</v>
      </c>
    </row>
    <row r="142" spans="1:11" ht="15.75" customHeight="1">
      <c r="A142" s="203" t="s">
        <v>175</v>
      </c>
      <c r="B142" s="161" t="s">
        <v>175</v>
      </c>
      <c r="C142" s="84">
        <v>0</v>
      </c>
      <c r="D142" s="149">
        <f ca="1">((100/H133)*C142)/100</f>
        <v>0</v>
      </c>
      <c r="E142" s="184"/>
      <c r="F142" s="184"/>
      <c r="G142" s="184"/>
      <c r="H142" s="206"/>
      <c r="I142" s="50" t="s">
        <v>189</v>
      </c>
      <c r="J142" s="65"/>
      <c r="K142" s="67">
        <f>(IF(B133&gt;2,(H133/(B133+4)+K141),0))</f>
        <v>0</v>
      </c>
    </row>
    <row r="143" spans="1:11" ht="15.75" customHeight="1">
      <c r="A143" s="203" t="s">
        <v>182</v>
      </c>
      <c r="B143" s="161"/>
      <c r="C143" s="84">
        <v>0</v>
      </c>
      <c r="D143" s="149">
        <f ca="1">((100/H133)*C143)/100</f>
        <v>0</v>
      </c>
      <c r="E143" s="184"/>
      <c r="F143" s="184"/>
      <c r="G143" s="184"/>
      <c r="H143" s="206"/>
      <c r="I143" s="50" t="s">
        <v>190</v>
      </c>
      <c r="J143" s="62"/>
      <c r="K143" s="70">
        <f>(IF(B133&gt;3,(H133/(B133+4)+K142),0))</f>
        <v>0</v>
      </c>
    </row>
    <row r="144" spans="1:11" ht="15.75" customHeight="1">
      <c r="A144" s="203" t="s">
        <v>177</v>
      </c>
      <c r="B144" s="161" t="s">
        <v>177</v>
      </c>
      <c r="C144" s="84">
        <v>0</v>
      </c>
      <c r="D144" s="149">
        <f ca="1">((100/(H133))*C144)/100</f>
        <v>0</v>
      </c>
      <c r="E144" s="184"/>
      <c r="F144" s="184"/>
      <c r="G144" s="184"/>
      <c r="H144" s="206"/>
      <c r="I144" s="50" t="s">
        <v>142</v>
      </c>
      <c r="J144" s="26"/>
      <c r="K144" s="66">
        <f ca="1">(IF(B133=0,H133/4+K139,(H133/(B133+4)+K139+MAX(0,K140-K139)+MAX(0,K141-K140)+MAX(0,K142-K141)+MAX(0,K143-K142))))</f>
        <v>20.25</v>
      </c>
    </row>
    <row r="145" spans="1:11" ht="16" thickBot="1">
      <c r="A145" s="199" t="s">
        <v>178</v>
      </c>
      <c r="B145" s="200"/>
      <c r="C145" s="86">
        <v>0</v>
      </c>
      <c r="D145" s="150">
        <f ca="1">((100/(H133))*C145)/100</f>
        <v>0</v>
      </c>
      <c r="E145" s="205"/>
      <c r="F145" s="205"/>
      <c r="G145" s="205"/>
      <c r="H145" s="207"/>
      <c r="I145" s="63" t="s">
        <v>143</v>
      </c>
      <c r="J145" s="64"/>
      <c r="K145" s="68">
        <f ca="1">(IF(B133=0,H133/4+K144,(H133/(B133+4)+K144)))</f>
        <v>27</v>
      </c>
    </row>
    <row r="146" spans="1:11" ht="15.75" customHeight="1">
      <c r="A146" s="177" t="s">
        <v>184</v>
      </c>
      <c r="B146" s="178"/>
      <c r="C146" s="179" t="str">
        <f>D69</f>
        <v>Wing F = Gr/St + P1 to P2 + 3rd to 27th Floor</v>
      </c>
      <c r="D146" s="180"/>
      <c r="E146" s="180"/>
      <c r="F146" s="180"/>
      <c r="G146" s="180"/>
      <c r="H146" s="181"/>
      <c r="I146" s="60" t="str">
        <f ca="1">(IF(C150=0,"Work not yet Started.",IF(D150=25%,"Piling work in process",IF(D150=50%,"Excavation work in process",IF(D150=100%,"Excavation work completed, ","0")))&amp;(IF(C151=0%,"",IF(C151=K152,"Footing work is process",IF(C151=K153,"Footing work Completed",IF(C151=K154,"1st Basement Completed",IF(C151=K155,"1st &amp; 2nd Basement Completed",IF(C151=K156,"1st to 3rd Basement Completed",IF(C151=K157,"1st to 4th Basement Completed",IF(C151=K158,"Plinth work is process",IF(C151=K159,"Plinth work completed","0")))))))))))&amp;(IF(C152&gt;0,", RCC upto "&amp;C152&amp;" Slab completed",""))&amp;(IF(C153&gt;0,", Brickwork upto "&amp;C153&amp;" Floor completed"," "))&amp;(IF(C154&gt;0,", Internal Plaster upto "&amp;C154&amp;" Floor completed"," "))&amp;(IF(C155&gt;0,", External Plaster upto "&amp;C155&amp;" Floor completed"," "))&amp;(IF(C156&gt;0,", Flooring upto "&amp;C156&amp;" Floor completed"," "))&amp;(IF(C157&gt;0,", Painting upto "&amp;C157&amp;" Floor completed"," "))&amp;(IF(C158&gt;0,", Finishing upto "&amp;C158&amp;" Floor completed"," ")))</f>
        <v xml:space="preserve">Excavation work completed, Plinth work completed, RCC upto 6 Slab completed, Brickwork upto 1 Floor completed     </v>
      </c>
      <c r="J146" s="20"/>
      <c r="K146" s="21"/>
    </row>
    <row r="147" spans="1:11">
      <c r="A147" s="69" t="s">
        <v>186</v>
      </c>
      <c r="B147" s="133">
        <v>0</v>
      </c>
      <c r="C147" s="133" t="s">
        <v>101</v>
      </c>
      <c r="D147" s="133">
        <v>1</v>
      </c>
      <c r="E147" s="133" t="s">
        <v>100</v>
      </c>
      <c r="F147" s="133">
        <v>0</v>
      </c>
      <c r="G147" s="133" t="s">
        <v>115</v>
      </c>
      <c r="H147" s="79">
        <f ca="1">--TRIM(RIGHT(SUBSTITUTE(LEFT(C146,_xlfn.AGGREGATE(16,6,FIND({0,1,2,3,4,5,6,7,8,9},C146,ROW(INDIRECT("1:"&amp;LEN(C146)))),1))," ",REPT(" ",LEN(C146))),LEN(C146)))</f>
        <v>27</v>
      </c>
      <c r="I147" s="61" t="s">
        <v>158</v>
      </c>
      <c r="J147" s="22"/>
      <c r="K147" s="23"/>
    </row>
    <row r="148" spans="1:11" ht="31" customHeight="1">
      <c r="A148" s="182" t="s">
        <v>125</v>
      </c>
      <c r="B148" s="182"/>
      <c r="C148" s="183" t="str">
        <f ca="1">I146</f>
        <v xml:space="preserve">Excavation work completed, Plinth work completed, RCC upto 6 Slab completed, Brickwork upto 1 Floor completed     </v>
      </c>
      <c r="D148" s="183"/>
      <c r="E148" s="183"/>
      <c r="F148" s="183"/>
      <c r="G148" s="183"/>
      <c r="H148" s="183"/>
      <c r="I148" s="61" t="s">
        <v>144</v>
      </c>
      <c r="J148" s="22"/>
      <c r="K148" s="23"/>
    </row>
    <row r="149" spans="1:11">
      <c r="A149" s="161" t="s">
        <v>52</v>
      </c>
      <c r="B149" s="161"/>
      <c r="C149" s="83" t="s">
        <v>183</v>
      </c>
      <c r="D149" s="155" t="s">
        <v>118</v>
      </c>
      <c r="E149" s="161" t="s">
        <v>120</v>
      </c>
      <c r="F149" s="161"/>
      <c r="G149" s="161" t="s">
        <v>119</v>
      </c>
      <c r="H149" s="161"/>
      <c r="I149" s="50" t="s">
        <v>185</v>
      </c>
      <c r="J149" s="24"/>
      <c r="K149" s="25">
        <f ca="1">H147*25%</f>
        <v>6.75</v>
      </c>
    </row>
    <row r="150" spans="1:11">
      <c r="A150" s="161" t="s">
        <v>172</v>
      </c>
      <c r="B150" s="161"/>
      <c r="C150" s="84">
        <f ca="1">K151</f>
        <v>27</v>
      </c>
      <c r="D150" s="156">
        <f ca="1">((100/H147)*C150)/100</f>
        <v>1</v>
      </c>
      <c r="E150" s="184">
        <f ca="1">(IF(C148=I147,"100%",IF(C148=I148,"100%",(((C151/H147*10)+(40/(B147+D147+F147+H147)*C152)+(7.5/(H147)*C153)+(7.5/(H147)*C154)+(10/H147*C155)+(10/H147*C156)+(5/H147*C157)+(5/H147*C158)+(5/H147*C159))/100))))</f>
        <v>0.18849206349206349</v>
      </c>
      <c r="F150" s="184"/>
      <c r="G150" s="184">
        <f ca="1">((((C150/H147)*20)+((C151/H147)*25)+(30/(B147+H147+F147+D147)*C152)+(5/H147*C153)+(5/H147*C154)+(5/H147*C155)+(5/H147*C156)+(0/H147*C157)+(0/H147*C158)+(5/H147*C159))/100)</f>
        <v>0.51613756613756612</v>
      </c>
      <c r="H150" s="184"/>
      <c r="I150" s="50" t="s">
        <v>138</v>
      </c>
      <c r="J150" s="26"/>
      <c r="K150" s="59">
        <f ca="1">H147*50%</f>
        <v>13.5</v>
      </c>
    </row>
    <row r="151" spans="1:11">
      <c r="A151" s="161" t="s">
        <v>53</v>
      </c>
      <c r="B151" s="161"/>
      <c r="C151" s="85">
        <f ca="1">K159</f>
        <v>27</v>
      </c>
      <c r="D151" s="156">
        <f ca="1">((100/H147)*C151)/100</f>
        <v>1</v>
      </c>
      <c r="E151" s="184"/>
      <c r="F151" s="184"/>
      <c r="G151" s="184"/>
      <c r="H151" s="184"/>
      <c r="I151" s="50" t="s">
        <v>139</v>
      </c>
      <c r="J151" s="26"/>
      <c r="K151" s="59">
        <f ca="1">H147</f>
        <v>27</v>
      </c>
    </row>
    <row r="152" spans="1:11" ht="15.75" customHeight="1">
      <c r="A152" s="161" t="s">
        <v>173</v>
      </c>
      <c r="B152" s="161"/>
      <c r="C152" s="85">
        <v>6</v>
      </c>
      <c r="D152" s="156">
        <f ca="1">((100/(B147+D147+F147+H147))*C152)/100</f>
        <v>0.2142857142857143</v>
      </c>
      <c r="E152" s="184"/>
      <c r="F152" s="184"/>
      <c r="G152" s="184"/>
      <c r="H152" s="184"/>
      <c r="I152" s="50" t="s">
        <v>140</v>
      </c>
      <c r="J152" s="26"/>
      <c r="K152" s="66">
        <f ca="1">(IF(B147=0,H147/4,(H147/(B147+4))))</f>
        <v>6.75</v>
      </c>
    </row>
    <row r="153" spans="1:11" ht="15.75" customHeight="1">
      <c r="A153" s="161" t="s">
        <v>180</v>
      </c>
      <c r="B153" s="161" t="s">
        <v>174</v>
      </c>
      <c r="C153" s="84">
        <v>1</v>
      </c>
      <c r="D153" s="156">
        <f ca="1">((100/H147)*C153)/100</f>
        <v>3.7037037037037035E-2</v>
      </c>
      <c r="E153" s="184"/>
      <c r="F153" s="184"/>
      <c r="G153" s="184"/>
      <c r="H153" s="184"/>
      <c r="I153" s="50" t="s">
        <v>141</v>
      </c>
      <c r="J153" s="26"/>
      <c r="K153" s="66">
        <f ca="1">(IF(B147=0,H147/4+K152,(H147/(B147+4)+K152)))</f>
        <v>13.5</v>
      </c>
    </row>
    <row r="154" spans="1:11" ht="15.75" customHeight="1">
      <c r="A154" s="161" t="s">
        <v>181</v>
      </c>
      <c r="B154" s="161" t="s">
        <v>174</v>
      </c>
      <c r="C154" s="84">
        <v>0</v>
      </c>
      <c r="D154" s="156">
        <f ca="1">((100/H147)*C154)/100</f>
        <v>0</v>
      </c>
      <c r="E154" s="184"/>
      <c r="F154" s="184"/>
      <c r="G154" s="184"/>
      <c r="H154" s="184"/>
      <c r="I154" s="50" t="s">
        <v>187</v>
      </c>
      <c r="J154" s="71"/>
      <c r="K154" s="66">
        <f>(IF(B147=0,0,(H147/(B147+4)+K153)))</f>
        <v>0</v>
      </c>
    </row>
    <row r="155" spans="1:11" ht="15" customHeight="1">
      <c r="A155" s="161" t="s">
        <v>179</v>
      </c>
      <c r="B155" s="161" t="s">
        <v>176</v>
      </c>
      <c r="C155" s="84">
        <v>0</v>
      </c>
      <c r="D155" s="156">
        <f ca="1">((100/(H147))*C155)/100</f>
        <v>0</v>
      </c>
      <c r="E155" s="184"/>
      <c r="F155" s="184"/>
      <c r="G155" s="184"/>
      <c r="H155" s="184"/>
      <c r="I155" s="50" t="s">
        <v>188</v>
      </c>
      <c r="J155" s="71"/>
      <c r="K155" s="66">
        <f>(IF(B147&gt;1,(H147/(B147+4)+K154),0))</f>
        <v>0</v>
      </c>
    </row>
    <row r="156" spans="1:11" ht="15.75" customHeight="1">
      <c r="A156" s="161" t="s">
        <v>175</v>
      </c>
      <c r="B156" s="161" t="s">
        <v>175</v>
      </c>
      <c r="C156" s="84">
        <v>0</v>
      </c>
      <c r="D156" s="156">
        <f ca="1">((100/H147)*C156)/100</f>
        <v>0</v>
      </c>
      <c r="E156" s="184"/>
      <c r="F156" s="184"/>
      <c r="G156" s="184"/>
      <c r="H156" s="184"/>
      <c r="I156" s="50" t="s">
        <v>189</v>
      </c>
      <c r="J156" s="65"/>
      <c r="K156" s="67">
        <f>(IF(B147&gt;2,(H147/(B147+4)+K155),0))</f>
        <v>0</v>
      </c>
    </row>
    <row r="157" spans="1:11" ht="15.75" customHeight="1">
      <c r="A157" s="161" t="s">
        <v>182</v>
      </c>
      <c r="B157" s="161"/>
      <c r="C157" s="84">
        <v>0</v>
      </c>
      <c r="D157" s="156">
        <f ca="1">((100/H147)*C157)/100</f>
        <v>0</v>
      </c>
      <c r="E157" s="184"/>
      <c r="F157" s="184"/>
      <c r="G157" s="184"/>
      <c r="H157" s="184"/>
      <c r="I157" s="50" t="s">
        <v>190</v>
      </c>
      <c r="J157" s="62"/>
      <c r="K157" s="70">
        <f>(IF(B147&gt;3,(H147/(B147+4)+K156),0))</f>
        <v>0</v>
      </c>
    </row>
    <row r="158" spans="1:11" ht="15.75" customHeight="1">
      <c r="A158" s="161" t="s">
        <v>177</v>
      </c>
      <c r="B158" s="161" t="s">
        <v>177</v>
      </c>
      <c r="C158" s="84">
        <v>0</v>
      </c>
      <c r="D158" s="156">
        <f ca="1">((100/(H147))*C158)/100</f>
        <v>0</v>
      </c>
      <c r="E158" s="184"/>
      <c r="F158" s="184"/>
      <c r="G158" s="184"/>
      <c r="H158" s="184"/>
      <c r="I158" s="50" t="s">
        <v>142</v>
      </c>
      <c r="J158" s="26"/>
      <c r="K158" s="66">
        <f ca="1">(IF(B147=0,H147/4+K153,(H147/(B147+4)+K153+MAX(0,K154-K153)+MAX(0,K155-K154)+MAX(0,K156-K155)+MAX(0,K157-K156))))</f>
        <v>20.25</v>
      </c>
    </row>
    <row r="159" spans="1:11" ht="16" thickBot="1">
      <c r="A159" s="161" t="s">
        <v>178</v>
      </c>
      <c r="B159" s="161"/>
      <c r="C159" s="84">
        <v>0</v>
      </c>
      <c r="D159" s="156">
        <f ca="1">((100/(H147))*C159)/100</f>
        <v>0</v>
      </c>
      <c r="E159" s="184"/>
      <c r="F159" s="184"/>
      <c r="G159" s="184"/>
      <c r="H159" s="184"/>
      <c r="I159" s="63" t="s">
        <v>143</v>
      </c>
      <c r="J159" s="64"/>
      <c r="K159" s="68">
        <f ca="1">(IF(B147=0,H147/4+K158,(H147/(B147+4)+K158)))</f>
        <v>27</v>
      </c>
    </row>
    <row r="160" spans="1:11">
      <c r="A160" s="226" t="s">
        <v>159</v>
      </c>
      <c r="B160" s="226"/>
      <c r="C160" s="226"/>
      <c r="D160" s="226"/>
      <c r="E160" s="226"/>
      <c r="F160" s="226" t="str">
        <f ca="1">(IF(G94="100%","Yes",IF(G94&gt;0%,"Under Construction",IF(G94=0%,"Work not yet Started"))))</f>
        <v>Under Construction</v>
      </c>
      <c r="G160" s="226"/>
      <c r="H160" s="226"/>
    </row>
    <row r="161" spans="1:10">
      <c r="A161" s="227" t="s">
        <v>54</v>
      </c>
      <c r="B161" s="227"/>
      <c r="C161" s="227"/>
      <c r="D161" s="227"/>
      <c r="E161" s="227"/>
      <c r="F161" s="227"/>
      <c r="G161" s="227"/>
      <c r="H161" s="227"/>
    </row>
    <row r="162" spans="1:10" ht="15" customHeight="1">
      <c r="A162" s="182" t="s">
        <v>104</v>
      </c>
      <c r="B162" s="182"/>
      <c r="C162" s="183" t="s">
        <v>105</v>
      </c>
      <c r="D162" s="183"/>
      <c r="E162" s="183"/>
      <c r="F162" s="183"/>
      <c r="G162" s="183"/>
      <c r="H162" s="183"/>
    </row>
    <row r="163" spans="1:10">
      <c r="A163" s="241" t="s">
        <v>55</v>
      </c>
      <c r="B163" s="241"/>
      <c r="C163" s="241"/>
      <c r="D163" s="241"/>
      <c r="E163" s="241"/>
      <c r="F163" s="241"/>
      <c r="G163" s="241"/>
      <c r="H163" s="241"/>
    </row>
    <row r="164" spans="1:10">
      <c r="A164" s="227" t="s">
        <v>106</v>
      </c>
      <c r="B164" s="227"/>
      <c r="C164" s="227"/>
      <c r="D164" s="227"/>
      <c r="E164" s="227"/>
      <c r="F164" s="226">
        <v>7500</v>
      </c>
      <c r="G164" s="226"/>
      <c r="H164" s="226"/>
    </row>
    <row r="165" spans="1:10">
      <c r="A165" s="227" t="s">
        <v>113</v>
      </c>
      <c r="B165" s="227"/>
      <c r="C165" s="227"/>
      <c r="D165" s="227"/>
      <c r="E165" s="227"/>
      <c r="F165" s="226">
        <v>18000</v>
      </c>
      <c r="G165" s="226"/>
      <c r="H165" s="226"/>
      <c r="J165" s="8" t="s">
        <v>335</v>
      </c>
    </row>
    <row r="166" spans="1:10">
      <c r="A166" s="227" t="s">
        <v>216</v>
      </c>
      <c r="B166" s="227"/>
      <c r="C166" s="227"/>
      <c r="D166" s="227"/>
      <c r="E166" s="227"/>
      <c r="F166" s="226">
        <v>15000</v>
      </c>
      <c r="G166" s="226"/>
      <c r="H166" s="226"/>
    </row>
    <row r="167" spans="1:10">
      <c r="A167" s="227" t="s">
        <v>114</v>
      </c>
      <c r="B167" s="227"/>
      <c r="C167" s="227"/>
      <c r="D167" s="227"/>
      <c r="E167" s="227"/>
      <c r="F167" s="226">
        <v>15000</v>
      </c>
      <c r="G167" s="226"/>
      <c r="H167" s="226"/>
    </row>
    <row r="168" spans="1:10" s="12" customFormat="1" hidden="1">
      <c r="A168" s="227" t="s">
        <v>130</v>
      </c>
      <c r="B168" s="227"/>
      <c r="C168" s="227"/>
      <c r="D168" s="227"/>
      <c r="E168" s="227"/>
      <c r="F168" s="226" t="s">
        <v>29</v>
      </c>
      <c r="G168" s="226"/>
      <c r="H168" s="226"/>
    </row>
    <row r="169" spans="1:10" s="12" customFormat="1">
      <c r="A169" s="227" t="s">
        <v>336</v>
      </c>
      <c r="B169" s="227"/>
      <c r="C169" s="227"/>
      <c r="D169" s="227"/>
      <c r="E169" s="227"/>
      <c r="F169" s="226">
        <v>250000</v>
      </c>
      <c r="G169" s="226"/>
      <c r="H169" s="226"/>
    </row>
    <row r="170" spans="1:10" s="12" customFormat="1" hidden="1">
      <c r="A170" s="227" t="s">
        <v>131</v>
      </c>
      <c r="B170" s="227"/>
      <c r="C170" s="227"/>
      <c r="D170" s="227"/>
      <c r="E170" s="227"/>
      <c r="F170" s="226" t="s">
        <v>29</v>
      </c>
      <c r="G170" s="226"/>
      <c r="H170" s="226"/>
    </row>
    <row r="171" spans="1:10" s="12" customFormat="1" hidden="1">
      <c r="A171" s="227" t="s">
        <v>132</v>
      </c>
      <c r="B171" s="227"/>
      <c r="C171" s="227"/>
      <c r="D171" s="227"/>
      <c r="E171" s="227"/>
      <c r="F171" s="226" t="s">
        <v>29</v>
      </c>
      <c r="G171" s="226"/>
      <c r="H171" s="226"/>
    </row>
    <row r="172" spans="1:10" s="12" customFormat="1" hidden="1">
      <c r="A172" s="227" t="s">
        <v>133</v>
      </c>
      <c r="B172" s="227"/>
      <c r="C172" s="227"/>
      <c r="D172" s="227"/>
      <c r="E172" s="227"/>
      <c r="F172" s="226" t="s">
        <v>29</v>
      </c>
      <c r="G172" s="226"/>
      <c r="H172" s="226"/>
    </row>
    <row r="173" spans="1:10" s="12" customFormat="1" hidden="1">
      <c r="A173" s="227" t="s">
        <v>134</v>
      </c>
      <c r="B173" s="227"/>
      <c r="C173" s="227"/>
      <c r="D173" s="227"/>
      <c r="E173" s="227"/>
      <c r="F173" s="226" t="s">
        <v>29</v>
      </c>
      <c r="G173" s="226"/>
      <c r="H173" s="226"/>
    </row>
    <row r="174" spans="1:10" s="12" customFormat="1" hidden="1">
      <c r="A174" s="227" t="s">
        <v>135</v>
      </c>
      <c r="B174" s="227"/>
      <c r="C174" s="227"/>
      <c r="D174" s="227"/>
      <c r="E174" s="227"/>
      <c r="F174" s="226" t="s">
        <v>29</v>
      </c>
      <c r="G174" s="226"/>
      <c r="H174" s="226"/>
    </row>
    <row r="175" spans="1:10" s="12" customFormat="1" hidden="1">
      <c r="A175" s="227" t="s">
        <v>136</v>
      </c>
      <c r="B175" s="227"/>
      <c r="C175" s="227"/>
      <c r="D175" s="227"/>
      <c r="E175" s="227"/>
      <c r="F175" s="226" t="s">
        <v>29</v>
      </c>
      <c r="G175" s="226"/>
      <c r="H175" s="226"/>
    </row>
    <row r="176" spans="1:10" s="12" customFormat="1" hidden="1">
      <c r="A176" s="227" t="s">
        <v>137</v>
      </c>
      <c r="B176" s="227"/>
      <c r="C176" s="227"/>
      <c r="D176" s="227"/>
      <c r="E176" s="227"/>
      <c r="F176" s="226" t="s">
        <v>29</v>
      </c>
      <c r="G176" s="226"/>
      <c r="H176" s="226"/>
    </row>
    <row r="177" spans="1:11">
      <c r="A177" s="227" t="s">
        <v>56</v>
      </c>
      <c r="B177" s="227"/>
      <c r="C177" s="227"/>
      <c r="D177" s="227"/>
      <c r="E177" s="227"/>
      <c r="F177" s="285">
        <v>450000</v>
      </c>
      <c r="G177" s="262"/>
      <c r="H177" s="262"/>
      <c r="I177" s="142" t="s">
        <v>305</v>
      </c>
    </row>
    <row r="178" spans="1:11" s="9" customFormat="1">
      <c r="A178" s="241" t="s">
        <v>57</v>
      </c>
      <c r="B178" s="241"/>
      <c r="C178" s="241"/>
      <c r="D178" s="241"/>
      <c r="E178" s="241"/>
      <c r="F178" s="226">
        <f>F164*0.8</f>
        <v>6000</v>
      </c>
      <c r="G178" s="226"/>
      <c r="H178" s="226"/>
      <c r="J178" s="113">
        <f>5500000/F407</f>
        <v>7396.6772942126036</v>
      </c>
      <c r="K178" s="111">
        <f>4700000/F406</f>
        <v>6503.8228972825082</v>
      </c>
    </row>
    <row r="179" spans="1:11" s="1" customFormat="1" ht="15.75" customHeight="1">
      <c r="A179" s="284" t="s">
        <v>107</v>
      </c>
      <c r="B179" s="284"/>
      <c r="C179" s="284"/>
      <c r="D179" s="284"/>
      <c r="E179" s="284"/>
      <c r="F179" s="284"/>
      <c r="G179" s="284"/>
      <c r="H179" s="284"/>
      <c r="J179" s="114">
        <f>8000000/F373</f>
        <v>8143.6068386492207</v>
      </c>
      <c r="K179" s="112">
        <f>5400000/F447</f>
        <v>6644.3134244897701</v>
      </c>
    </row>
    <row r="180" spans="1:11" s="1" customFormat="1" ht="15.75" customHeight="1">
      <c r="A180" s="245" t="s">
        <v>58</v>
      </c>
      <c r="B180" s="245"/>
      <c r="C180" s="244" t="s">
        <v>110</v>
      </c>
      <c r="D180" s="244"/>
      <c r="E180" s="246" t="s">
        <v>59</v>
      </c>
      <c r="F180" s="246"/>
      <c r="G180" s="245" t="s">
        <v>60</v>
      </c>
      <c r="H180" s="245"/>
      <c r="J180" s="114">
        <f>9500000/F389</f>
        <v>7290.1236928025482</v>
      </c>
      <c r="K180" s="112">
        <f>6800000/F512</f>
        <v>7755.5418182099538</v>
      </c>
    </row>
    <row r="181" spans="1:11" s="1" customFormat="1">
      <c r="A181" s="313" t="s">
        <v>250</v>
      </c>
      <c r="B181" s="121" t="s">
        <v>251</v>
      </c>
      <c r="C181" s="157">
        <f>COUNT(D203:D218)</f>
        <v>16</v>
      </c>
      <c r="D181" s="243"/>
      <c r="E181" s="157">
        <f>SUM(D203:D218)</f>
        <v>8953.6028399999977</v>
      </c>
      <c r="F181" s="243"/>
      <c r="G181" s="157">
        <f>SUM(F203:F218)</f>
        <v>14325.764544000001</v>
      </c>
      <c r="H181" s="243"/>
      <c r="K181" s="112">
        <f>7500000/F530</f>
        <v>7418.7287171510552</v>
      </c>
    </row>
    <row r="182" spans="1:11" s="1" customFormat="1">
      <c r="A182" s="314"/>
      <c r="B182" s="121" t="s">
        <v>252</v>
      </c>
      <c r="C182" s="157">
        <f>COUNT(D219:D221)</f>
        <v>3</v>
      </c>
      <c r="D182" s="243"/>
      <c r="E182" s="157">
        <f>SUM(D219:D221)</f>
        <v>622.15919999999994</v>
      </c>
      <c r="F182" s="243"/>
      <c r="G182" s="157">
        <f>SUM(F219:F221)</f>
        <v>995.45471999999995</v>
      </c>
      <c r="H182" s="243"/>
      <c r="K182" s="112">
        <f>8500000/F554</f>
        <v>6885.849912191642</v>
      </c>
    </row>
    <row r="183" spans="1:11" s="1" customFormat="1">
      <c r="A183" s="315"/>
      <c r="B183" s="121" t="s">
        <v>253</v>
      </c>
      <c r="C183" s="157">
        <f>COUNT(D223:D249)*2</f>
        <v>54</v>
      </c>
      <c r="D183" s="243"/>
      <c r="E183" s="157">
        <f>SUM(D223:D249)*2</f>
        <v>15080.902200000002</v>
      </c>
      <c r="F183" s="243"/>
      <c r="G183" s="157">
        <f>SUM(F223:F249)*2</f>
        <v>24129.443520000001</v>
      </c>
      <c r="H183" s="243"/>
      <c r="K183" s="112" t="e">
        <f>9200000/#REF!</f>
        <v>#REF!</v>
      </c>
    </row>
    <row r="184" spans="1:11" s="1" customFormat="1">
      <c r="A184" s="313" t="s">
        <v>249</v>
      </c>
      <c r="B184" s="121" t="s">
        <v>251</v>
      </c>
      <c r="C184" s="157">
        <f>COUNT(D253:D275)</f>
        <v>23</v>
      </c>
      <c r="D184" s="243"/>
      <c r="E184" s="157">
        <f>SUM(D253:D275)</f>
        <v>11093.163119999999</v>
      </c>
      <c r="F184" s="243"/>
      <c r="G184" s="157">
        <f>SUM(F253:F275)</f>
        <v>17749.060992000002</v>
      </c>
      <c r="H184" s="243"/>
      <c r="K184" s="117" t="e">
        <f>AVERAGE(K178:K183)</f>
        <v>#REF!</v>
      </c>
    </row>
    <row r="185" spans="1:11" s="1" customFormat="1">
      <c r="A185" s="315"/>
      <c r="B185" s="121" t="s">
        <v>253</v>
      </c>
      <c r="C185" s="157">
        <f>COUNT(D277:D315)+COUNT(D317:D355)</f>
        <v>78</v>
      </c>
      <c r="D185" s="243"/>
      <c r="E185" s="157">
        <f>SUM(D277:D315)+SUM(D317:D355)</f>
        <v>16971.598799999996</v>
      </c>
      <c r="F185" s="243"/>
      <c r="G185" s="157">
        <f>SUM(F277:F315)+SUM(F317:F355)</f>
        <v>27154.558080000003</v>
      </c>
      <c r="H185" s="243"/>
    </row>
    <row r="186" spans="1:11" s="1" customFormat="1">
      <c r="A186" s="284" t="s">
        <v>62</v>
      </c>
      <c r="B186" s="284"/>
      <c r="C186" s="303">
        <f>SUM(C181:C185)</f>
        <v>174</v>
      </c>
      <c r="D186" s="244"/>
      <c r="E186" s="303">
        <f>SUM(E181:E185)</f>
        <v>52721.426159999988</v>
      </c>
      <c r="F186" s="244"/>
      <c r="G186" s="303">
        <f>SUM(G181:G185)</f>
        <v>84354.281856000001</v>
      </c>
      <c r="H186" s="244"/>
    </row>
    <row r="187" spans="1:11" s="1" customFormat="1">
      <c r="A187" s="284" t="s">
        <v>99</v>
      </c>
      <c r="B187" s="284"/>
      <c r="C187" s="284"/>
      <c r="D187" s="284"/>
      <c r="E187" s="284"/>
      <c r="F187" s="284"/>
      <c r="G187" s="284"/>
      <c r="H187" s="284"/>
    </row>
    <row r="188" spans="1:11" s="1" customFormat="1" ht="15.75" customHeight="1">
      <c r="A188" s="245" t="s">
        <v>58</v>
      </c>
      <c r="B188" s="245"/>
      <c r="C188" s="244" t="s">
        <v>110</v>
      </c>
      <c r="D188" s="244"/>
      <c r="E188" s="246" t="s">
        <v>59</v>
      </c>
      <c r="F188" s="246"/>
      <c r="G188" s="245" t="s">
        <v>60</v>
      </c>
      <c r="H188" s="245"/>
    </row>
    <row r="189" spans="1:11" s="1" customFormat="1">
      <c r="A189" s="176" t="s">
        <v>268</v>
      </c>
      <c r="B189" s="176"/>
      <c r="C189" s="157">
        <f>COUNT(D362:D370)+COUNT(D372:D380)+COUNT(D382:D390)+COUNT(D392:D400)+COUNT(D402:D410)+COUNT(D412:D420)+COUNT(D422:D430)+COUNT(D432:D440)+COUNT(D442:D450)+COUNT(D452:D460)+COUNT(D462:D468)+COUNT(D470:D476)*9+COUNT(D478:D484)*2</f>
        <v>174</v>
      </c>
      <c r="D189" s="157"/>
      <c r="E189" s="157">
        <f>SUM(D362:D370)+SUM(D372:D380)+SUM(D382:D390)+SUM(D392:D400)+SUM(D402:D410)+SUM(D412:D420)+SUM(D422:D430)+SUM(D432:D440)+SUM(D442:D450)+SUM(D452:D460)+SUM(D462:D468)+SUM(D470:D476)*9+SUM(D478:D484)*2</f>
        <v>124097.0569956</v>
      </c>
      <c r="F189" s="157"/>
      <c r="G189" s="157">
        <f>SUM(F362:F370)+SUM(F372:F380)+SUM(F382:F390)+SUM(F392:F400)+SUM(F402:F410)+SUM(F412:F420)+SUM(F422:F430)+SUM(F432:F440)+SUM(F442:F450)+SUM(F452:F460)+SUM(F462:F468)+SUM(F470:F476)*9+SUM(F478:F484)*2</f>
        <v>200362.49144496</v>
      </c>
      <c r="H189" s="157"/>
    </row>
    <row r="190" spans="1:11" s="1" customFormat="1">
      <c r="A190" s="176" t="s">
        <v>255</v>
      </c>
      <c r="B190" s="176"/>
      <c r="C190" s="157">
        <f>COUNT(D489:D494)*20+COUNT(D496:D498,D500:D501)*5</f>
        <v>145</v>
      </c>
      <c r="D190" s="157"/>
      <c r="E190" s="157">
        <f>SUM(D489:D494)*20+SUM(D496:D498,D500:D501)*5</f>
        <v>86587.634250000003</v>
      </c>
      <c r="F190" s="157"/>
      <c r="G190" s="157">
        <f>SUM(F489:F494)*20+SUM(F496:F498,F500:F501)*5</f>
        <v>138540.21480000002</v>
      </c>
      <c r="H190" s="157"/>
    </row>
    <row r="191" spans="1:11" s="1" customFormat="1">
      <c r="A191" s="176" t="s">
        <v>256</v>
      </c>
      <c r="B191" s="176"/>
      <c r="C191" s="157">
        <f>COUNT(D506:D513)*4+COUNT(D515:D522)*7+COUNT(D524:D531)*2+COUNT(D533:D540)+COUNT(D542:D549)*4+COUNT(D551:D558)*5+COUNT(D560:D567)*2</f>
        <v>200</v>
      </c>
      <c r="D191" s="157"/>
      <c r="E191" s="157">
        <f>SUM(D506:D513)*4+SUM(D515:D522)*7+SUM(D524:D531)*2+SUM(D533:D540)+SUM(D542:D549)*4+SUM(D551:D558)*5+SUM(D560:D567)*2</f>
        <v>132044.08697999999</v>
      </c>
      <c r="F191" s="157"/>
      <c r="G191" s="157">
        <f>SUM(F506:F513)*4+SUM(F515:F522)*7+SUM(F524:F531)*2+SUM(F533:F540)+SUM(F542:F549)*4+SUM(F551:F558)*5+SUM(F560:F567)*2</f>
        <v>212630.678208</v>
      </c>
      <c r="H191" s="157"/>
    </row>
    <row r="192" spans="1:11" s="1" customFormat="1">
      <c r="A192" s="176" t="s">
        <v>269</v>
      </c>
      <c r="B192" s="176"/>
      <c r="C192" s="157">
        <f>COUNT(D571:D580)+COUNT(D582:D591)*2+COUNT(D593:D602)*4+COUNT(D604:D608,D610:D613)*2+COUNT(D615:D624)+COUNT(D626:D635)*6+COUNT(D637:D641,D643:D646)+COUNT(D648:D657)+COUNT(D659:D663,D665:D668)*2+COUNT(D670:D679)*7</f>
        <v>265</v>
      </c>
      <c r="D192" s="157"/>
      <c r="E192" s="157">
        <f>SUM(D571:D580)+SUM(D582:D591)*2+SUM(D593:D602)*4+SUM(D604:D608,D610:D613)*2+SUM(D615:D624)+SUM(D626:D635)*6+SUM(D637:D641,D643:D646)+SUM(D648:D657)+SUM(D659:D663,D665:D668)*2+SUM(D670:D679)*7</f>
        <v>164163.51315000001</v>
      </c>
      <c r="F192" s="157"/>
      <c r="G192" s="157">
        <f>SUM(F571:F580)+SUM(F582:F591)*2+SUM(F593:F602)*4+SUM(F604:F608,F610:F613)*2+SUM(F615:F624)+SUM(F626:F635)*6+SUM(F637:F641,F643:F646)+SUM(F648:F657)+SUM(F659:F663,F665:F668)*2+SUM(F670:F679)*7</f>
        <v>266779.74445199996</v>
      </c>
      <c r="H192" s="157"/>
    </row>
    <row r="193" spans="1:14" s="1" customFormat="1">
      <c r="A193" s="176" t="s">
        <v>317</v>
      </c>
      <c r="B193" s="176"/>
      <c r="C193" s="157">
        <f>COUNT(D684:D688)+COUNT(D690:D694)+COUNT(D696:D700)*4+COUNT(D702:D706)+COUNT(D708:D709,D711:D712)*3+COUNT(D714:D718)*7+COUNT(D720:D724)*3+COUNT(D726:D727,D729:D730)*2+COUNT(D732:D736)*3</f>
        <v>120</v>
      </c>
      <c r="D193" s="157"/>
      <c r="E193" s="157">
        <f>SUM(D684:D688)+SUM(D690:D694)+SUM(D696:D700)*4+SUM(D702:D706)+SUM(D708:D709,D711:D712)*3+SUM(D714:D718)*7+SUM(D720:D724)*3+SUM(D726:D727,D729:D730)*2+SUM(D732:D736)*3</f>
        <v>79252.72172999999</v>
      </c>
      <c r="F193" s="157"/>
      <c r="G193" s="157">
        <f>SUM(F684:F688)+SUM(F690:F694)+SUM(F696:F700)*4+SUM(F702:F706)+SUM(F708:F709,F711:F712)*3+SUM(F714:F718)*7+SUM(F720:F724)*3+SUM(F726:F727,F729:F730)*2+SUM(F732:F736)*3</f>
        <v>127797.82675920002</v>
      </c>
      <c r="H193" s="157"/>
    </row>
    <row r="194" spans="1:14" s="1" customFormat="1">
      <c r="A194" s="176" t="s">
        <v>293</v>
      </c>
      <c r="B194" s="176"/>
      <c r="C194" s="157">
        <f>COUNT(D741:D750)*2+COUNT(D752:D761)*8+COUNT(D763:D766,D768:D772)*2+COUNT(D774:D777,D779:D783)+COUNT(D785:D794)+COUNT(D796:D805)*3+COUNT(D807:D810,D812:D816)+COUNT(D818:D827)*4+COUNT(D829:D832,D834:D838)+COUNT(D840,D843:D845)</f>
        <v>229</v>
      </c>
      <c r="D194" s="157"/>
      <c r="E194" s="157">
        <f>SUM(D741:D750)*2+SUM(D752:D761)*8+SUM(D763:D766,D768:D772)*2+SUM(D774:D777,D779:D783)+SUM(D785:D794)+SUM(D796:D805)*3+SUM(D807:D810,D812:D816)+SUM(D818:D827)*4+SUM(D829:D832,D834:D838)+SUM(D840,D843:D845)</f>
        <v>138902.82704999999</v>
      </c>
      <c r="F194" s="157"/>
      <c r="G194" s="157">
        <f>SUM(F741:F750)*2+SUM(F752:F761)*8+SUM(F763:F766,F768:F772)*2+SUM(F774:F777,F779:F783)+SUM(F785:F794)+SUM(F796:F805)*3+SUM(F807:F810,F812:F816)+SUM(F818:F827)*4+SUM(F829:F832,F834:F838)+SUM(F840,F843:F845)</f>
        <v>222244.52328000002</v>
      </c>
      <c r="H194" s="157"/>
    </row>
    <row r="195" spans="1:14" s="1" customFormat="1">
      <c r="A195" s="284" t="s">
        <v>62</v>
      </c>
      <c r="B195" s="284"/>
      <c r="C195" s="303">
        <f>SUM(C189:C194)</f>
        <v>1133</v>
      </c>
      <c r="D195" s="244"/>
      <c r="E195" s="303">
        <f>SUM(E189:E194)</f>
        <v>725047.84015559999</v>
      </c>
      <c r="F195" s="244"/>
      <c r="G195" s="303">
        <f>SUM(G189:G194)</f>
        <v>1168355.47894416</v>
      </c>
      <c r="H195" s="244"/>
      <c r="J195" s="123">
        <f>E186+E195</f>
        <v>777769.26631560002</v>
      </c>
    </row>
    <row r="196" spans="1:14" s="9" customFormat="1">
      <c r="A196" s="247" t="s">
        <v>63</v>
      </c>
      <c r="B196" s="247"/>
      <c r="C196" s="247"/>
      <c r="D196" s="247"/>
      <c r="E196" s="247"/>
      <c r="F196" s="247"/>
      <c r="G196" s="247"/>
      <c r="H196" s="247"/>
    </row>
    <row r="197" spans="1:14">
      <c r="A197" s="247" t="s">
        <v>64</v>
      </c>
      <c r="B197" s="247"/>
      <c r="C197" s="247"/>
      <c r="D197" s="247"/>
      <c r="E197" s="247"/>
      <c r="F197" s="247"/>
      <c r="G197" s="247"/>
      <c r="H197" s="247"/>
    </row>
    <row r="198" spans="1:14" ht="47.25" customHeight="1">
      <c r="A198" s="228" t="s">
        <v>162</v>
      </c>
      <c r="B198" s="228" t="s">
        <v>161</v>
      </c>
      <c r="C198" s="228" t="s">
        <v>65</v>
      </c>
      <c r="D198" s="228" t="s">
        <v>66</v>
      </c>
      <c r="E198" s="235" t="s">
        <v>67</v>
      </c>
      <c r="F198" s="41" t="s">
        <v>160</v>
      </c>
      <c r="G198" s="230" t="s">
        <v>68</v>
      </c>
      <c r="H198" s="237"/>
    </row>
    <row r="199" spans="1:14" s="2" customFormat="1">
      <c r="A199" s="229"/>
      <c r="B199" s="229"/>
      <c r="C199" s="229"/>
      <c r="D199" s="229"/>
      <c r="E199" s="236"/>
      <c r="F199" s="42">
        <v>0.6</v>
      </c>
      <c r="G199" s="231"/>
      <c r="H199" s="238"/>
    </row>
    <row r="200" spans="1:14" s="88" customFormat="1">
      <c r="A200" s="162" t="s">
        <v>236</v>
      </c>
      <c r="B200" s="162"/>
      <c r="C200" s="162"/>
      <c r="D200" s="162"/>
      <c r="E200" s="162"/>
      <c r="F200" s="162"/>
      <c r="G200" s="162"/>
      <c r="H200" s="162"/>
      <c r="I200" s="44"/>
      <c r="L200" s="163"/>
      <c r="M200" s="163"/>
    </row>
    <row r="201" spans="1:14" s="88" customFormat="1">
      <c r="A201" s="188" t="s">
        <v>272</v>
      </c>
      <c r="B201" s="189"/>
      <c r="C201" s="189"/>
      <c r="D201" s="189"/>
      <c r="E201" s="189"/>
      <c r="F201" s="189"/>
      <c r="G201" s="189"/>
      <c r="H201" s="190"/>
    </row>
    <row r="202" spans="1:14" s="2" customFormat="1">
      <c r="A202" s="188" t="s">
        <v>229</v>
      </c>
      <c r="B202" s="189"/>
      <c r="C202" s="189"/>
      <c r="D202" s="189"/>
      <c r="E202" s="189"/>
      <c r="F202" s="189"/>
      <c r="G202" s="189"/>
      <c r="H202" s="190"/>
    </row>
    <row r="203" spans="1:14" s="2" customFormat="1">
      <c r="A203" s="185">
        <v>1</v>
      </c>
      <c r="B203" s="187"/>
      <c r="C203" s="43" t="s">
        <v>200</v>
      </c>
      <c r="D203" s="43">
        <f>70.11*10.764</f>
        <v>754.66404</v>
      </c>
      <c r="E203" s="43">
        <v>0</v>
      </c>
      <c r="F203" s="43">
        <f>D203*(($F$199)+1)+E203</f>
        <v>1207.462464</v>
      </c>
      <c r="G203" s="185" t="str">
        <f>A202</f>
        <v>Ground Floor For Commercial</v>
      </c>
      <c r="H203" s="187"/>
      <c r="I203" s="44"/>
      <c r="J203" s="2">
        <f>3.94*17.87</f>
        <v>70.407800000000009</v>
      </c>
      <c r="L203" s="163"/>
      <c r="M203" s="163"/>
      <c r="N203" s="44"/>
    </row>
    <row r="204" spans="1:14" s="2" customFormat="1">
      <c r="A204" s="185">
        <f>A203+1</f>
        <v>2</v>
      </c>
      <c r="B204" s="187"/>
      <c r="C204" s="74" t="s">
        <v>200</v>
      </c>
      <c r="D204" s="43">
        <f>69.4*10.764</f>
        <v>747.02160000000003</v>
      </c>
      <c r="E204" s="58">
        <v>0</v>
      </c>
      <c r="F204" s="43">
        <f t="shared" ref="F204:F205" si="0">D204*(($F$199)+1)+E204</f>
        <v>1195.2345600000001</v>
      </c>
      <c r="G204" s="185" t="str">
        <f t="shared" ref="G204:G221" si="1">G203</f>
        <v>Ground Floor For Commercial</v>
      </c>
      <c r="H204" s="187"/>
      <c r="I204" s="44"/>
      <c r="L204" s="163"/>
      <c r="M204" s="163"/>
      <c r="N204" s="44"/>
    </row>
    <row r="205" spans="1:14" s="2" customFormat="1">
      <c r="A205" s="185">
        <f t="shared" ref="A205:A207" si="2">A204+1</f>
        <v>3</v>
      </c>
      <c r="B205" s="187"/>
      <c r="C205" s="74" t="s">
        <v>200</v>
      </c>
      <c r="D205" s="43">
        <f>64.44*10.764</f>
        <v>693.63215999999989</v>
      </c>
      <c r="E205" s="58">
        <v>0</v>
      </c>
      <c r="F205" s="43">
        <f t="shared" si="0"/>
        <v>1109.8114559999999</v>
      </c>
      <c r="G205" s="185" t="str">
        <f t="shared" si="1"/>
        <v>Ground Floor For Commercial</v>
      </c>
      <c r="H205" s="187"/>
      <c r="I205" s="44"/>
      <c r="L205" s="163"/>
      <c r="M205" s="163"/>
      <c r="N205" s="44"/>
    </row>
    <row r="206" spans="1:14" s="2" customFormat="1">
      <c r="A206" s="185">
        <f t="shared" si="2"/>
        <v>4</v>
      </c>
      <c r="B206" s="187"/>
      <c r="C206" s="74" t="s">
        <v>200</v>
      </c>
      <c r="D206" s="43">
        <f>64.95*10.764</f>
        <v>699.12180000000001</v>
      </c>
      <c r="E206" s="58">
        <v>0</v>
      </c>
      <c r="F206" s="43">
        <f t="shared" ref="F206:F207" si="3">D206*(($F$199)+1)+E206</f>
        <v>1118.5948800000001</v>
      </c>
      <c r="G206" s="185" t="str">
        <f t="shared" si="1"/>
        <v>Ground Floor For Commercial</v>
      </c>
      <c r="H206" s="187"/>
      <c r="I206" s="44"/>
      <c r="L206" s="163"/>
      <c r="M206" s="163"/>
      <c r="N206" s="44"/>
    </row>
    <row r="207" spans="1:14" s="2" customFormat="1">
      <c r="A207" s="185">
        <f t="shared" si="2"/>
        <v>5</v>
      </c>
      <c r="B207" s="187"/>
      <c r="C207" s="74" t="s">
        <v>200</v>
      </c>
      <c r="D207" s="43">
        <f>35.8*10.764</f>
        <v>385.35119999999995</v>
      </c>
      <c r="E207" s="58">
        <v>0</v>
      </c>
      <c r="F207" s="43">
        <f t="shared" si="3"/>
        <v>616.56191999999999</v>
      </c>
      <c r="G207" s="185" t="str">
        <f t="shared" si="1"/>
        <v>Ground Floor For Commercial</v>
      </c>
      <c r="H207" s="187"/>
      <c r="I207" s="44"/>
      <c r="L207" s="163"/>
      <c r="M207" s="163"/>
      <c r="N207" s="44"/>
    </row>
    <row r="208" spans="1:14" s="2" customFormat="1">
      <c r="A208" s="185">
        <f t="shared" ref="A208:A209" si="4">A207+1</f>
        <v>6</v>
      </c>
      <c r="B208" s="187"/>
      <c r="C208" s="74" t="s">
        <v>200</v>
      </c>
      <c r="D208" s="43">
        <f>35.06*10.764</f>
        <v>377.38583999999997</v>
      </c>
      <c r="E208" s="58">
        <v>0</v>
      </c>
      <c r="F208" s="43">
        <f t="shared" ref="F208:F213" si="5">D208*(($F$199)+1)+E208</f>
        <v>603.81734399999993</v>
      </c>
      <c r="G208" s="185" t="str">
        <f t="shared" si="1"/>
        <v>Ground Floor For Commercial</v>
      </c>
      <c r="H208" s="187"/>
      <c r="I208" s="44"/>
      <c r="L208" s="163"/>
      <c r="M208" s="163"/>
      <c r="N208" s="44"/>
    </row>
    <row r="209" spans="1:14" s="2" customFormat="1">
      <c r="A209" s="185">
        <f t="shared" si="4"/>
        <v>7</v>
      </c>
      <c r="B209" s="187"/>
      <c r="C209" s="74" t="s">
        <v>200</v>
      </c>
      <c r="D209" s="43">
        <f>34.51*10.764</f>
        <v>371.46563999999995</v>
      </c>
      <c r="E209" s="58">
        <v>0</v>
      </c>
      <c r="F209" s="43">
        <f t="shared" si="5"/>
        <v>594.34502399999997</v>
      </c>
      <c r="G209" s="185" t="str">
        <f t="shared" si="1"/>
        <v>Ground Floor For Commercial</v>
      </c>
      <c r="H209" s="187"/>
      <c r="I209" s="44"/>
      <c r="L209" s="163"/>
      <c r="M209" s="163"/>
      <c r="N209" s="44"/>
    </row>
    <row r="210" spans="1:14" s="75" customFormat="1">
      <c r="A210" s="185">
        <f>A209+1</f>
        <v>8</v>
      </c>
      <c r="B210" s="187"/>
      <c r="C210" s="74" t="s">
        <v>200</v>
      </c>
      <c r="D210" s="74">
        <f>35.28*10.764</f>
        <v>379.75391999999999</v>
      </c>
      <c r="E210" s="74">
        <v>0</v>
      </c>
      <c r="F210" s="74">
        <f t="shared" si="5"/>
        <v>607.60627199999999</v>
      </c>
      <c r="G210" s="185" t="str">
        <f t="shared" si="1"/>
        <v>Ground Floor For Commercial</v>
      </c>
      <c r="H210" s="187"/>
      <c r="I210" s="44"/>
      <c r="L210" s="163"/>
      <c r="M210" s="163"/>
      <c r="N210" s="44"/>
    </row>
    <row r="211" spans="1:14" s="75" customFormat="1">
      <c r="A211" s="185">
        <f t="shared" ref="A211:A218" si="6">A210+1</f>
        <v>9</v>
      </c>
      <c r="B211" s="187"/>
      <c r="C211" s="74" t="s">
        <v>200</v>
      </c>
      <c r="D211" s="74">
        <f>64.07*10.764</f>
        <v>689.64947999999993</v>
      </c>
      <c r="E211" s="74">
        <v>0</v>
      </c>
      <c r="F211" s="74">
        <f t="shared" si="5"/>
        <v>1103.4391679999999</v>
      </c>
      <c r="G211" s="185" t="str">
        <f t="shared" si="1"/>
        <v>Ground Floor For Commercial</v>
      </c>
      <c r="H211" s="187"/>
      <c r="I211" s="44"/>
      <c r="K211" s="75" t="s">
        <v>270</v>
      </c>
      <c r="L211" s="163"/>
      <c r="M211" s="163"/>
      <c r="N211" s="44"/>
    </row>
    <row r="212" spans="1:14" s="75" customFormat="1">
      <c r="A212" s="185">
        <f t="shared" si="6"/>
        <v>10</v>
      </c>
      <c r="B212" s="187"/>
      <c r="C212" s="74" t="s">
        <v>200</v>
      </c>
      <c r="D212" s="74">
        <f>71.55*10.764</f>
        <v>770.16419999999994</v>
      </c>
      <c r="E212" s="74">
        <v>0</v>
      </c>
      <c r="F212" s="74">
        <f t="shared" si="5"/>
        <v>1232.2627199999999</v>
      </c>
      <c r="G212" s="185" t="str">
        <f t="shared" si="1"/>
        <v>Ground Floor For Commercial</v>
      </c>
      <c r="H212" s="187"/>
      <c r="I212" s="44"/>
      <c r="L212" s="163"/>
      <c r="M212" s="163"/>
      <c r="N212" s="44"/>
    </row>
    <row r="213" spans="1:14" s="75" customFormat="1">
      <c r="A213" s="185">
        <f t="shared" si="6"/>
        <v>11</v>
      </c>
      <c r="B213" s="187"/>
      <c r="C213" s="74" t="s">
        <v>200</v>
      </c>
      <c r="D213" s="74">
        <f>49*10.764</f>
        <v>527.43599999999992</v>
      </c>
      <c r="E213" s="74">
        <v>0</v>
      </c>
      <c r="F213" s="74">
        <f t="shared" si="5"/>
        <v>843.8975999999999</v>
      </c>
      <c r="G213" s="185" t="str">
        <f t="shared" si="1"/>
        <v>Ground Floor For Commercial</v>
      </c>
      <c r="H213" s="187"/>
      <c r="I213" s="44"/>
      <c r="L213" s="163"/>
      <c r="M213" s="163"/>
      <c r="N213" s="44"/>
    </row>
    <row r="214" spans="1:14" s="75" customFormat="1">
      <c r="A214" s="185">
        <f t="shared" si="6"/>
        <v>12</v>
      </c>
      <c r="B214" s="187"/>
      <c r="C214" s="74" t="s">
        <v>200</v>
      </c>
      <c r="D214" s="74">
        <f>38.39*10.764</f>
        <v>413.22996000000001</v>
      </c>
      <c r="E214" s="74">
        <v>0</v>
      </c>
      <c r="F214" s="74">
        <f t="shared" ref="F214:F215" si="7">D214*(($F$199)+1)+E214</f>
        <v>661.16793600000005</v>
      </c>
      <c r="G214" s="185" t="str">
        <f t="shared" si="1"/>
        <v>Ground Floor For Commercial</v>
      </c>
      <c r="H214" s="187"/>
      <c r="I214" s="44"/>
      <c r="L214" s="163"/>
      <c r="M214" s="163"/>
      <c r="N214" s="44"/>
    </row>
    <row r="215" spans="1:14" s="75" customFormat="1">
      <c r="A215" s="185">
        <f t="shared" si="6"/>
        <v>13</v>
      </c>
      <c r="B215" s="187"/>
      <c r="C215" s="74" t="s">
        <v>200</v>
      </c>
      <c r="D215" s="74">
        <f>38.39*10.764</f>
        <v>413.22996000000001</v>
      </c>
      <c r="E215" s="74">
        <v>0</v>
      </c>
      <c r="F215" s="74">
        <f t="shared" si="7"/>
        <v>661.16793600000005</v>
      </c>
      <c r="G215" s="185" t="str">
        <f t="shared" si="1"/>
        <v>Ground Floor For Commercial</v>
      </c>
      <c r="H215" s="187"/>
      <c r="I215" s="44"/>
      <c r="L215" s="163"/>
      <c r="M215" s="163"/>
      <c r="N215" s="44"/>
    </row>
    <row r="216" spans="1:14" s="75" customFormat="1">
      <c r="A216" s="185">
        <f t="shared" si="6"/>
        <v>14</v>
      </c>
      <c r="B216" s="187"/>
      <c r="C216" s="74" t="s">
        <v>200</v>
      </c>
      <c r="D216" s="74">
        <f>56*10.764</f>
        <v>602.78399999999999</v>
      </c>
      <c r="E216" s="74">
        <v>0</v>
      </c>
      <c r="F216" s="74">
        <f t="shared" ref="F216:F217" si="8">D216*(($F$199)+1)+E216</f>
        <v>964.45440000000008</v>
      </c>
      <c r="G216" s="185" t="str">
        <f t="shared" si="1"/>
        <v>Ground Floor For Commercial</v>
      </c>
      <c r="H216" s="187"/>
      <c r="I216" s="44"/>
      <c r="L216" s="163"/>
      <c r="M216" s="163"/>
      <c r="N216" s="44"/>
    </row>
    <row r="217" spans="1:14" s="75" customFormat="1">
      <c r="A217" s="185">
        <f t="shared" si="6"/>
        <v>15</v>
      </c>
      <c r="B217" s="187"/>
      <c r="C217" s="74" t="s">
        <v>200</v>
      </c>
      <c r="D217" s="74">
        <f>46.93*10.764</f>
        <v>505.15451999999999</v>
      </c>
      <c r="E217" s="74">
        <v>0</v>
      </c>
      <c r="F217" s="74">
        <f t="shared" si="8"/>
        <v>808.24723200000005</v>
      </c>
      <c r="G217" s="185" t="str">
        <f t="shared" si="1"/>
        <v>Ground Floor For Commercial</v>
      </c>
      <c r="H217" s="187"/>
      <c r="I217" s="44"/>
      <c r="L217" s="163"/>
      <c r="M217" s="163"/>
      <c r="N217" s="44"/>
    </row>
    <row r="218" spans="1:14" s="75" customFormat="1">
      <c r="A218" s="185">
        <f t="shared" si="6"/>
        <v>16</v>
      </c>
      <c r="B218" s="187"/>
      <c r="C218" s="74" t="s">
        <v>200</v>
      </c>
      <c r="D218" s="74">
        <f>57.93*10.764</f>
        <v>623.55851999999993</v>
      </c>
      <c r="E218" s="74">
        <v>0</v>
      </c>
      <c r="F218" s="74">
        <f t="shared" ref="F218" si="9">D218*(($F$199)+1)+E218</f>
        <v>997.69363199999998</v>
      </c>
      <c r="G218" s="185" t="str">
        <f t="shared" si="1"/>
        <v>Ground Floor For Commercial</v>
      </c>
      <c r="H218" s="187"/>
      <c r="I218" s="44"/>
      <c r="J218" s="75">
        <f>3.9*5.78</f>
        <v>22.542000000000002</v>
      </c>
      <c r="L218" s="163"/>
      <c r="M218" s="163"/>
      <c r="N218" s="44"/>
    </row>
    <row r="219" spans="1:14" s="75" customFormat="1">
      <c r="A219" s="185">
        <v>1</v>
      </c>
      <c r="B219" s="187"/>
      <c r="C219" s="74" t="s">
        <v>201</v>
      </c>
      <c r="D219" s="74">
        <f>22.54*10.764</f>
        <v>242.62055999999998</v>
      </c>
      <c r="E219" s="74">
        <v>0</v>
      </c>
      <c r="F219" s="74">
        <f>D219*(($F$199)+1)+E219</f>
        <v>388.19289600000002</v>
      </c>
      <c r="G219" s="185" t="str">
        <f>G218</f>
        <v>Ground Floor For Commercial</v>
      </c>
      <c r="H219" s="187"/>
      <c r="I219" s="44"/>
      <c r="L219" s="163"/>
      <c r="M219" s="163"/>
      <c r="N219" s="44"/>
    </row>
    <row r="220" spans="1:14" s="75" customFormat="1">
      <c r="A220" s="185">
        <f>A219+1</f>
        <v>2</v>
      </c>
      <c r="B220" s="187"/>
      <c r="C220" s="74" t="s">
        <v>201</v>
      </c>
      <c r="D220" s="74">
        <f>17.63*10.764</f>
        <v>189.76931999999996</v>
      </c>
      <c r="E220" s="74">
        <v>0</v>
      </c>
      <c r="F220" s="74">
        <f t="shared" ref="F220:F221" si="10">D220*(($F$199)+1)+E220</f>
        <v>303.63091199999997</v>
      </c>
      <c r="G220" s="185" t="str">
        <f t="shared" si="1"/>
        <v>Ground Floor For Commercial</v>
      </c>
      <c r="H220" s="187"/>
      <c r="I220" s="44"/>
      <c r="L220" s="163"/>
      <c r="M220" s="163"/>
      <c r="N220" s="44"/>
    </row>
    <row r="221" spans="1:14" s="75" customFormat="1">
      <c r="A221" s="185">
        <f t="shared" ref="A221" si="11">A220+1</f>
        <v>3</v>
      </c>
      <c r="B221" s="187"/>
      <c r="C221" s="74" t="s">
        <v>201</v>
      </c>
      <c r="D221" s="74">
        <f>17.63*10.764</f>
        <v>189.76931999999996</v>
      </c>
      <c r="E221" s="74">
        <v>0</v>
      </c>
      <c r="F221" s="74">
        <f t="shared" si="10"/>
        <v>303.63091199999997</v>
      </c>
      <c r="G221" s="185" t="str">
        <f t="shared" si="1"/>
        <v>Ground Floor For Commercial</v>
      </c>
      <c r="H221" s="187"/>
      <c r="I221" s="44"/>
      <c r="L221" s="163"/>
      <c r="M221" s="163"/>
      <c r="N221" s="44"/>
    </row>
    <row r="222" spans="1:14" s="75" customFormat="1">
      <c r="A222" s="188" t="s">
        <v>202</v>
      </c>
      <c r="B222" s="189"/>
      <c r="C222" s="189"/>
      <c r="D222" s="189"/>
      <c r="E222" s="189"/>
      <c r="F222" s="189"/>
      <c r="G222" s="189"/>
      <c r="H222" s="190"/>
    </row>
    <row r="223" spans="1:14" s="75" customFormat="1">
      <c r="A223" s="185">
        <v>1</v>
      </c>
      <c r="B223" s="187"/>
      <c r="C223" s="74" t="s">
        <v>203</v>
      </c>
      <c r="D223" s="74">
        <f>(29.81+0.75*(3.94))*10.764</f>
        <v>352.68245999999999</v>
      </c>
      <c r="E223" s="74">
        <v>0</v>
      </c>
      <c r="F223" s="74">
        <f>D223*(($F$199)+1)+E223</f>
        <v>564.29193599999996</v>
      </c>
      <c r="G223" s="185" t="str">
        <f>A222</f>
        <v>1st &amp; 2nd Floor</v>
      </c>
      <c r="H223" s="187"/>
      <c r="I223" s="93"/>
      <c r="J223" s="75">
        <f>3.62*5.75</f>
        <v>20.815000000000001</v>
      </c>
      <c r="L223" s="163"/>
      <c r="M223" s="163"/>
      <c r="N223" s="44"/>
    </row>
    <row r="224" spans="1:14" s="75" customFormat="1">
      <c r="A224" s="185">
        <f>A223+1</f>
        <v>2</v>
      </c>
      <c r="B224" s="187"/>
      <c r="C224" s="74" t="s">
        <v>203</v>
      </c>
      <c r="D224" s="74">
        <f>(29.51+0.75*(3.9))*10.764</f>
        <v>349.13033999999999</v>
      </c>
      <c r="E224" s="74">
        <v>0</v>
      </c>
      <c r="F224" s="74">
        <f t="shared" ref="F224:F238" si="12">D224*(($F$199)+1)+E224</f>
        <v>558.60854400000005</v>
      </c>
      <c r="G224" s="185" t="str">
        <f t="shared" ref="G224:G249" si="13">G223</f>
        <v>1st &amp; 2nd Floor</v>
      </c>
      <c r="H224" s="187"/>
      <c r="I224" s="44"/>
      <c r="J224" s="75">
        <f>3.62*0.7</f>
        <v>2.5339999999999998</v>
      </c>
      <c r="L224" s="163"/>
      <c r="M224" s="163"/>
      <c r="N224" s="44"/>
    </row>
    <row r="225" spans="1:14" s="75" customFormat="1">
      <c r="A225" s="185">
        <f t="shared" ref="A225:A229" si="14">A224+1</f>
        <v>3</v>
      </c>
      <c r="B225" s="187"/>
      <c r="C225" s="74" t="s">
        <v>203</v>
      </c>
      <c r="D225" s="74">
        <f>(27.42+0.75*(3.62))*10.764</f>
        <v>324.37313999999998</v>
      </c>
      <c r="E225" s="74">
        <v>0</v>
      </c>
      <c r="F225" s="74">
        <f t="shared" si="12"/>
        <v>518.99702400000001</v>
      </c>
      <c r="G225" s="185" t="str">
        <f t="shared" si="13"/>
        <v>1st &amp; 2nd Floor</v>
      </c>
      <c r="H225" s="187"/>
      <c r="I225" s="44"/>
      <c r="L225" s="163"/>
      <c r="M225" s="163"/>
      <c r="N225" s="44"/>
    </row>
    <row r="226" spans="1:14" s="75" customFormat="1">
      <c r="A226" s="185">
        <f t="shared" si="14"/>
        <v>4</v>
      </c>
      <c r="B226" s="187"/>
      <c r="C226" s="74" t="s">
        <v>203</v>
      </c>
      <c r="D226" s="87">
        <f>(27.42+0.75*(3.62))*10.764</f>
        <v>324.37313999999998</v>
      </c>
      <c r="E226" s="74">
        <v>0</v>
      </c>
      <c r="F226" s="74">
        <f t="shared" si="12"/>
        <v>518.99702400000001</v>
      </c>
      <c r="G226" s="185" t="str">
        <f t="shared" si="13"/>
        <v>1st &amp; 2nd Floor</v>
      </c>
      <c r="H226" s="187"/>
      <c r="I226" s="44"/>
      <c r="J226" s="75">
        <f>3.62*7.49</f>
        <v>27.113800000000001</v>
      </c>
      <c r="L226" s="163"/>
      <c r="M226" s="163"/>
      <c r="N226" s="44"/>
    </row>
    <row r="227" spans="1:14" s="75" customFormat="1">
      <c r="A227" s="185">
        <f t="shared" si="14"/>
        <v>5</v>
      </c>
      <c r="B227" s="187"/>
      <c r="C227" s="74" t="s">
        <v>203</v>
      </c>
      <c r="D227" s="74">
        <f>(24.37+0.75*(3.15))*10.764</f>
        <v>287.74862999999999</v>
      </c>
      <c r="E227" s="74">
        <v>0</v>
      </c>
      <c r="F227" s="74">
        <f t="shared" si="12"/>
        <v>460.397808</v>
      </c>
      <c r="G227" s="185" t="str">
        <f t="shared" si="13"/>
        <v>1st &amp; 2nd Floor</v>
      </c>
      <c r="H227" s="187"/>
      <c r="I227" s="44"/>
      <c r="L227" s="163"/>
      <c r="M227" s="163"/>
      <c r="N227" s="44"/>
    </row>
    <row r="228" spans="1:14" s="75" customFormat="1">
      <c r="A228" s="185">
        <f t="shared" si="14"/>
        <v>6</v>
      </c>
      <c r="B228" s="187"/>
      <c r="C228" s="74" t="s">
        <v>203</v>
      </c>
      <c r="D228" s="74">
        <f>(23+0.75*(2.97))*10.764</f>
        <v>271.54880999999995</v>
      </c>
      <c r="E228" s="74">
        <v>0</v>
      </c>
      <c r="F228" s="74">
        <f t="shared" si="12"/>
        <v>434.47809599999994</v>
      </c>
      <c r="G228" s="185" t="str">
        <f t="shared" si="13"/>
        <v>1st &amp; 2nd Floor</v>
      </c>
      <c r="H228" s="187"/>
      <c r="I228" s="44"/>
      <c r="L228" s="163"/>
      <c r="M228" s="163"/>
      <c r="N228" s="44"/>
    </row>
    <row r="229" spans="1:14" s="75" customFormat="1">
      <c r="A229" s="185">
        <f t="shared" si="14"/>
        <v>7</v>
      </c>
      <c r="B229" s="187"/>
      <c r="C229" s="74" t="s">
        <v>203</v>
      </c>
      <c r="D229" s="74">
        <f>(23.82+0.75*(3.14))*10.764</f>
        <v>281.74770000000001</v>
      </c>
      <c r="E229" s="74">
        <v>0</v>
      </c>
      <c r="F229" s="74">
        <f t="shared" si="12"/>
        <v>450.79632000000004</v>
      </c>
      <c r="G229" s="185" t="str">
        <f t="shared" si="13"/>
        <v>1st &amp; 2nd Floor</v>
      </c>
      <c r="H229" s="187"/>
      <c r="I229" s="44"/>
      <c r="L229" s="163"/>
      <c r="M229" s="163"/>
      <c r="N229" s="44"/>
    </row>
    <row r="230" spans="1:14" s="75" customFormat="1">
      <c r="A230" s="185">
        <f>A229+1</f>
        <v>8</v>
      </c>
      <c r="B230" s="187"/>
      <c r="C230" s="74" t="s">
        <v>203</v>
      </c>
      <c r="D230" s="74">
        <f>(23.45+0.75*(3.09))*10.764</f>
        <v>277.36136999999997</v>
      </c>
      <c r="E230" s="74">
        <v>0</v>
      </c>
      <c r="F230" s="74">
        <f t="shared" si="12"/>
        <v>443.77819199999999</v>
      </c>
      <c r="G230" s="185" t="str">
        <f t="shared" si="13"/>
        <v>1st &amp; 2nd Floor</v>
      </c>
      <c r="H230" s="187"/>
      <c r="I230" s="44"/>
      <c r="L230" s="163"/>
      <c r="M230" s="163"/>
      <c r="N230" s="44"/>
    </row>
    <row r="231" spans="1:14" s="75" customFormat="1">
      <c r="A231" s="185">
        <f t="shared" ref="A231:A249" si="15">A230+1</f>
        <v>9</v>
      </c>
      <c r="B231" s="187"/>
      <c r="C231" s="74" t="s">
        <v>203</v>
      </c>
      <c r="D231" s="74">
        <f>(23.97+0.75*(3.16))*10.764</f>
        <v>283.52375999999998</v>
      </c>
      <c r="E231" s="74">
        <v>0</v>
      </c>
      <c r="F231" s="74">
        <f t="shared" si="12"/>
        <v>453.63801599999999</v>
      </c>
      <c r="G231" s="185" t="str">
        <f t="shared" si="13"/>
        <v>1st &amp; 2nd Floor</v>
      </c>
      <c r="H231" s="187"/>
      <c r="I231" s="44"/>
      <c r="L231" s="163"/>
      <c r="M231" s="163"/>
      <c r="N231" s="44"/>
    </row>
    <row r="232" spans="1:14" s="75" customFormat="1">
      <c r="A232" s="185">
        <f t="shared" si="15"/>
        <v>10</v>
      </c>
      <c r="B232" s="187"/>
      <c r="C232" s="74" t="s">
        <v>203</v>
      </c>
      <c r="D232" s="74">
        <f>(28.84+0.75*(3.91))*10.764</f>
        <v>341.99919</v>
      </c>
      <c r="E232" s="74">
        <v>0</v>
      </c>
      <c r="F232" s="74">
        <f t="shared" si="12"/>
        <v>547.19870400000002</v>
      </c>
      <c r="G232" s="185" t="str">
        <f t="shared" si="13"/>
        <v>1st &amp; 2nd Floor</v>
      </c>
      <c r="H232" s="187"/>
      <c r="I232" s="44"/>
      <c r="L232" s="163"/>
      <c r="M232" s="163"/>
      <c r="N232" s="44"/>
    </row>
    <row r="233" spans="1:14" s="75" customFormat="1">
      <c r="A233" s="185">
        <f t="shared" si="15"/>
        <v>11</v>
      </c>
      <c r="B233" s="187"/>
      <c r="C233" s="74" t="s">
        <v>203</v>
      </c>
      <c r="D233" s="74">
        <f>(29.51+0.75*(3.9))*10.764</f>
        <v>349.13033999999999</v>
      </c>
      <c r="E233" s="74">
        <v>0</v>
      </c>
      <c r="F233" s="74">
        <f t="shared" si="12"/>
        <v>558.60854400000005</v>
      </c>
      <c r="G233" s="185" t="str">
        <f t="shared" si="13"/>
        <v>1st &amp; 2nd Floor</v>
      </c>
      <c r="H233" s="187"/>
      <c r="I233" s="44"/>
      <c r="L233" s="163"/>
      <c r="M233" s="163"/>
      <c r="N233" s="44"/>
    </row>
    <row r="234" spans="1:14" s="75" customFormat="1">
      <c r="A234" s="185">
        <f t="shared" si="15"/>
        <v>12</v>
      </c>
      <c r="B234" s="187"/>
      <c r="C234" s="74" t="s">
        <v>203</v>
      </c>
      <c r="D234" s="74">
        <f>(29.51+0.75*(3.9))*10.764</f>
        <v>349.13033999999999</v>
      </c>
      <c r="E234" s="74">
        <v>0</v>
      </c>
      <c r="F234" s="74">
        <f t="shared" si="12"/>
        <v>558.60854400000005</v>
      </c>
      <c r="G234" s="185" t="str">
        <f t="shared" si="13"/>
        <v>1st &amp; 2nd Floor</v>
      </c>
      <c r="H234" s="187"/>
      <c r="I234" s="44"/>
      <c r="L234" s="163"/>
      <c r="M234" s="163"/>
      <c r="N234" s="44"/>
    </row>
    <row r="235" spans="1:14" s="75" customFormat="1">
      <c r="A235" s="185">
        <f t="shared" si="15"/>
        <v>13</v>
      </c>
      <c r="B235" s="187"/>
      <c r="C235" s="74" t="s">
        <v>203</v>
      </c>
      <c r="D235" s="74">
        <f>(23.61+0.75*(3.05))*10.764</f>
        <v>278.76069000000001</v>
      </c>
      <c r="E235" s="74">
        <v>0</v>
      </c>
      <c r="F235" s="74">
        <f t="shared" si="12"/>
        <v>446.01710400000002</v>
      </c>
      <c r="G235" s="185" t="str">
        <f t="shared" si="13"/>
        <v>1st &amp; 2nd Floor</v>
      </c>
      <c r="H235" s="187"/>
      <c r="I235" s="44"/>
      <c r="L235" s="163"/>
      <c r="M235" s="163"/>
      <c r="N235" s="44"/>
    </row>
    <row r="236" spans="1:14" s="75" customFormat="1">
      <c r="A236" s="185">
        <f t="shared" si="15"/>
        <v>14</v>
      </c>
      <c r="B236" s="187"/>
      <c r="C236" s="74" t="s">
        <v>203</v>
      </c>
      <c r="D236" s="74">
        <f>(23.61+0.75*(3.05))*10.764</f>
        <v>278.76069000000001</v>
      </c>
      <c r="E236" s="74">
        <v>0</v>
      </c>
      <c r="F236" s="74">
        <f t="shared" si="12"/>
        <v>446.01710400000002</v>
      </c>
      <c r="G236" s="185" t="str">
        <f t="shared" si="13"/>
        <v>1st &amp; 2nd Floor</v>
      </c>
      <c r="H236" s="187"/>
      <c r="I236" s="44"/>
      <c r="L236" s="163"/>
      <c r="M236" s="163"/>
      <c r="N236" s="44"/>
    </row>
    <row r="237" spans="1:14" s="75" customFormat="1">
      <c r="A237" s="185">
        <f t="shared" si="15"/>
        <v>15</v>
      </c>
      <c r="B237" s="187"/>
      <c r="C237" s="74" t="s">
        <v>203</v>
      </c>
      <c r="D237" s="74">
        <f>(23.61+0.75*(3.05))*10.764</f>
        <v>278.76069000000001</v>
      </c>
      <c r="E237" s="74">
        <v>0</v>
      </c>
      <c r="F237" s="74">
        <f t="shared" si="12"/>
        <v>446.01710400000002</v>
      </c>
      <c r="G237" s="185" t="str">
        <f t="shared" si="13"/>
        <v>1st &amp; 2nd Floor</v>
      </c>
      <c r="H237" s="187"/>
      <c r="I237" s="44"/>
      <c r="L237" s="163"/>
      <c r="M237" s="163"/>
      <c r="N237" s="44"/>
    </row>
    <row r="238" spans="1:14" s="75" customFormat="1">
      <c r="A238" s="185">
        <f t="shared" si="15"/>
        <v>16</v>
      </c>
      <c r="B238" s="187"/>
      <c r="C238" s="74" t="s">
        <v>203</v>
      </c>
      <c r="D238" s="74">
        <f>(15.36+0.75*(3))*10.764</f>
        <v>189.55403999999999</v>
      </c>
      <c r="E238" s="74">
        <v>0</v>
      </c>
      <c r="F238" s="74">
        <f t="shared" si="12"/>
        <v>303.28646399999997</v>
      </c>
      <c r="G238" s="185" t="str">
        <f t="shared" si="13"/>
        <v>1st &amp; 2nd Floor</v>
      </c>
      <c r="H238" s="187"/>
      <c r="I238" s="44"/>
      <c r="L238" s="163"/>
      <c r="M238" s="163"/>
      <c r="N238" s="44"/>
    </row>
    <row r="239" spans="1:14" s="75" customFormat="1">
      <c r="A239" s="185">
        <f t="shared" si="15"/>
        <v>17</v>
      </c>
      <c r="B239" s="187"/>
      <c r="C239" s="74" t="s">
        <v>203</v>
      </c>
      <c r="D239" s="74">
        <f>(19.21+0.75*(3))*10.764</f>
        <v>230.99544</v>
      </c>
      <c r="E239" s="74">
        <v>0</v>
      </c>
      <c r="F239" s="74">
        <f t="shared" ref="F239:F244" si="16">D239*(($F$199)+1)+E239</f>
        <v>369.59270400000003</v>
      </c>
      <c r="G239" s="185" t="str">
        <f t="shared" si="13"/>
        <v>1st &amp; 2nd Floor</v>
      </c>
      <c r="H239" s="187"/>
      <c r="I239" s="44"/>
      <c r="L239" s="163"/>
      <c r="M239" s="163"/>
      <c r="N239" s="44"/>
    </row>
    <row r="240" spans="1:14" s="75" customFormat="1">
      <c r="A240" s="185">
        <f t="shared" si="15"/>
        <v>18</v>
      </c>
      <c r="B240" s="187"/>
      <c r="C240" s="74" t="s">
        <v>203</v>
      </c>
      <c r="D240" s="74">
        <f>(19.53+0.75*(3.05))*10.764</f>
        <v>234.84357</v>
      </c>
      <c r="E240" s="74">
        <v>0</v>
      </c>
      <c r="F240" s="74">
        <f t="shared" si="16"/>
        <v>375.74971200000005</v>
      </c>
      <c r="G240" s="185" t="str">
        <f t="shared" si="13"/>
        <v>1st &amp; 2nd Floor</v>
      </c>
      <c r="H240" s="187"/>
      <c r="I240" s="44"/>
      <c r="L240" s="163"/>
      <c r="M240" s="163"/>
      <c r="N240" s="44"/>
    </row>
    <row r="241" spans="1:14" s="75" customFormat="1">
      <c r="A241" s="185">
        <f t="shared" si="15"/>
        <v>19</v>
      </c>
      <c r="B241" s="187"/>
      <c r="C241" s="74" t="s">
        <v>203</v>
      </c>
      <c r="D241" s="74">
        <f>(17.13+0.75*(2.93))*10.764</f>
        <v>208.04121000000001</v>
      </c>
      <c r="E241" s="74">
        <v>0</v>
      </c>
      <c r="F241" s="74">
        <f t="shared" si="16"/>
        <v>332.86593600000003</v>
      </c>
      <c r="G241" s="185" t="str">
        <f t="shared" si="13"/>
        <v>1st &amp; 2nd Floor</v>
      </c>
      <c r="H241" s="187"/>
      <c r="I241" s="44"/>
      <c r="L241" s="163"/>
      <c r="M241" s="163"/>
      <c r="N241" s="44"/>
    </row>
    <row r="242" spans="1:14" s="75" customFormat="1">
      <c r="A242" s="185">
        <f t="shared" si="15"/>
        <v>20</v>
      </c>
      <c r="B242" s="187"/>
      <c r="C242" s="74" t="s">
        <v>203</v>
      </c>
      <c r="D242" s="74">
        <f>(17.13+0.75*(2.93))*10.764</f>
        <v>208.04121000000001</v>
      </c>
      <c r="E242" s="74">
        <v>0</v>
      </c>
      <c r="F242" s="74">
        <f t="shared" si="16"/>
        <v>332.86593600000003</v>
      </c>
      <c r="G242" s="185" t="str">
        <f t="shared" si="13"/>
        <v>1st &amp; 2nd Floor</v>
      </c>
      <c r="H242" s="187"/>
      <c r="I242" s="44"/>
      <c r="L242" s="163"/>
      <c r="M242" s="163"/>
      <c r="N242" s="44"/>
    </row>
    <row r="243" spans="1:14" s="75" customFormat="1">
      <c r="A243" s="185">
        <f t="shared" si="15"/>
        <v>21</v>
      </c>
      <c r="B243" s="187"/>
      <c r="C243" s="74" t="s">
        <v>203</v>
      </c>
      <c r="D243" s="74">
        <f>(17.54+0.75*(3))*10.764</f>
        <v>213.01955999999998</v>
      </c>
      <c r="E243" s="74">
        <v>0</v>
      </c>
      <c r="F243" s="74">
        <f t="shared" si="16"/>
        <v>340.83129600000001</v>
      </c>
      <c r="G243" s="185" t="str">
        <f t="shared" si="13"/>
        <v>1st &amp; 2nd Floor</v>
      </c>
      <c r="H243" s="187"/>
      <c r="I243" s="44"/>
      <c r="L243" s="163"/>
      <c r="M243" s="163"/>
      <c r="N243" s="44"/>
    </row>
    <row r="244" spans="1:14" s="75" customFormat="1">
      <c r="A244" s="185">
        <f t="shared" si="15"/>
        <v>22</v>
      </c>
      <c r="B244" s="187"/>
      <c r="C244" s="74" t="s">
        <v>203</v>
      </c>
      <c r="D244" s="74">
        <f>(21.59+0.75*(3.62))*10.764</f>
        <v>261.61901999999998</v>
      </c>
      <c r="E244" s="74">
        <v>0</v>
      </c>
      <c r="F244" s="74">
        <f t="shared" si="16"/>
        <v>418.59043199999996</v>
      </c>
      <c r="G244" s="185" t="str">
        <f t="shared" si="13"/>
        <v>1st &amp; 2nd Floor</v>
      </c>
      <c r="H244" s="187"/>
      <c r="I244" s="44"/>
      <c r="L244" s="163"/>
      <c r="M244" s="163"/>
      <c r="N244" s="44"/>
    </row>
    <row r="245" spans="1:14" s="75" customFormat="1">
      <c r="A245" s="185">
        <f t="shared" si="15"/>
        <v>23</v>
      </c>
      <c r="B245" s="187"/>
      <c r="C245" s="74" t="s">
        <v>203</v>
      </c>
      <c r="D245" s="74">
        <f>(21.13+0.75*(3.62))*10.764</f>
        <v>256.66757999999999</v>
      </c>
      <c r="E245" s="74">
        <v>0</v>
      </c>
      <c r="F245" s="74">
        <f t="shared" ref="F245:F249" si="17">D245*(($F$199)+1)+E245</f>
        <v>410.66812800000002</v>
      </c>
      <c r="G245" s="185" t="str">
        <f t="shared" si="13"/>
        <v>1st &amp; 2nd Floor</v>
      </c>
      <c r="H245" s="187"/>
      <c r="I245" s="44"/>
      <c r="L245" s="163"/>
      <c r="M245" s="163"/>
      <c r="N245" s="44"/>
    </row>
    <row r="246" spans="1:14" s="75" customFormat="1">
      <c r="A246" s="185">
        <f t="shared" si="15"/>
        <v>24</v>
      </c>
      <c r="B246" s="187"/>
      <c r="C246" s="74" t="s">
        <v>203</v>
      </c>
      <c r="D246" s="74">
        <f>(22.74+0.75*(3.9))*10.764</f>
        <v>276.25806</v>
      </c>
      <c r="E246" s="74">
        <v>0</v>
      </c>
      <c r="F246" s="74">
        <f t="shared" si="17"/>
        <v>442.01289600000001</v>
      </c>
      <c r="G246" s="185" t="str">
        <f t="shared" si="13"/>
        <v>1st &amp; 2nd Floor</v>
      </c>
      <c r="H246" s="187"/>
      <c r="I246" s="44"/>
      <c r="L246" s="163"/>
      <c r="M246" s="163"/>
      <c r="N246" s="44"/>
    </row>
    <row r="247" spans="1:14" s="75" customFormat="1">
      <c r="A247" s="185">
        <f t="shared" si="15"/>
        <v>25</v>
      </c>
      <c r="B247" s="187"/>
      <c r="C247" s="74" t="s">
        <v>203</v>
      </c>
      <c r="D247" s="74">
        <f>(22.97+0.75*(3.94))*10.764</f>
        <v>279.05669999999998</v>
      </c>
      <c r="E247" s="74">
        <v>0</v>
      </c>
      <c r="F247" s="74">
        <f t="shared" si="17"/>
        <v>446.49072000000001</v>
      </c>
      <c r="G247" s="185" t="str">
        <f t="shared" si="13"/>
        <v>1st &amp; 2nd Floor</v>
      </c>
      <c r="H247" s="187"/>
      <c r="I247" s="44"/>
      <c r="L247" s="163"/>
      <c r="M247" s="163"/>
      <c r="N247" s="44"/>
    </row>
    <row r="248" spans="1:14" s="75" customFormat="1">
      <c r="A248" s="185">
        <f t="shared" si="15"/>
        <v>26</v>
      </c>
      <c r="B248" s="187"/>
      <c r="C248" s="74" t="s">
        <v>203</v>
      </c>
      <c r="D248" s="74">
        <f>(22.77+0.75*(3.91))*10.764</f>
        <v>276.66170999999997</v>
      </c>
      <c r="E248" s="74">
        <v>0</v>
      </c>
      <c r="F248" s="74">
        <f t="shared" si="17"/>
        <v>442.65873599999998</v>
      </c>
      <c r="G248" s="185" t="str">
        <f t="shared" si="13"/>
        <v>1st &amp; 2nd Floor</v>
      </c>
      <c r="H248" s="187"/>
      <c r="I248" s="44"/>
      <c r="L248" s="163"/>
      <c r="M248" s="163"/>
      <c r="N248" s="44"/>
    </row>
    <row r="249" spans="1:14" s="75" customFormat="1">
      <c r="A249" s="185">
        <f t="shared" si="15"/>
        <v>27</v>
      </c>
      <c r="B249" s="187"/>
      <c r="C249" s="74" t="s">
        <v>203</v>
      </c>
      <c r="D249" s="74">
        <f>(22.77+0.75*(3.91))*10.764</f>
        <v>276.66170999999997</v>
      </c>
      <c r="E249" s="74">
        <v>0</v>
      </c>
      <c r="F249" s="74">
        <f t="shared" si="17"/>
        <v>442.65873599999998</v>
      </c>
      <c r="G249" s="185" t="str">
        <f t="shared" si="13"/>
        <v>1st &amp; 2nd Floor</v>
      </c>
      <c r="H249" s="187"/>
      <c r="I249" s="44"/>
      <c r="L249" s="163"/>
      <c r="M249" s="163"/>
      <c r="N249" s="44"/>
    </row>
    <row r="250" spans="1:14" s="88" customFormat="1">
      <c r="A250" s="162" t="s">
        <v>246</v>
      </c>
      <c r="B250" s="162"/>
      <c r="C250" s="162"/>
      <c r="D250" s="162"/>
      <c r="E250" s="162"/>
      <c r="F250" s="162"/>
      <c r="G250" s="162"/>
      <c r="H250" s="162"/>
      <c r="I250" s="44"/>
      <c r="L250" s="163"/>
      <c r="M250" s="163"/>
    </row>
    <row r="251" spans="1:14" s="88" customFormat="1">
      <c r="A251" s="188" t="s">
        <v>273</v>
      </c>
      <c r="B251" s="189"/>
      <c r="C251" s="189"/>
      <c r="D251" s="189"/>
      <c r="E251" s="189"/>
      <c r="F251" s="189"/>
      <c r="G251" s="189"/>
      <c r="H251" s="190"/>
    </row>
    <row r="252" spans="1:14" s="88" customFormat="1">
      <c r="A252" s="188" t="s">
        <v>229</v>
      </c>
      <c r="B252" s="189"/>
      <c r="C252" s="189"/>
      <c r="D252" s="189"/>
      <c r="E252" s="189"/>
      <c r="F252" s="189"/>
      <c r="G252" s="189"/>
      <c r="H252" s="190"/>
    </row>
    <row r="253" spans="1:14" s="88" customFormat="1">
      <c r="A253" s="185">
        <v>1</v>
      </c>
      <c r="B253" s="187"/>
      <c r="C253" s="87" t="s">
        <v>200</v>
      </c>
      <c r="D253" s="87">
        <f>30.09*10.764</f>
        <v>323.88875999999999</v>
      </c>
      <c r="E253" s="87">
        <v>0</v>
      </c>
      <c r="F253" s="87">
        <f>D253*(($F$199)+1)+E253</f>
        <v>518.22201600000005</v>
      </c>
      <c r="G253" s="185" t="str">
        <f>A252</f>
        <v>Ground Floor For Commercial</v>
      </c>
      <c r="H253" s="187"/>
      <c r="I253" s="44"/>
      <c r="L253" s="163"/>
      <c r="M253" s="163"/>
      <c r="N253" s="44"/>
    </row>
    <row r="254" spans="1:14" s="88" customFormat="1">
      <c r="A254" s="185">
        <f>A253+1</f>
        <v>2</v>
      </c>
      <c r="B254" s="187"/>
      <c r="C254" s="87" t="s">
        <v>200</v>
      </c>
      <c r="D254" s="87">
        <f>39.83*10.764</f>
        <v>428.73011999999994</v>
      </c>
      <c r="E254" s="87">
        <v>0</v>
      </c>
      <c r="F254" s="87">
        <f t="shared" ref="F254:F268" si="18">D254*(($F$199)+1)+E254</f>
        <v>685.96819199999993</v>
      </c>
      <c r="G254" s="185" t="str">
        <f t="shared" ref="G254:G275" si="19">G253</f>
        <v>Ground Floor For Commercial</v>
      </c>
      <c r="H254" s="187"/>
      <c r="I254" s="44"/>
      <c r="L254" s="163"/>
      <c r="M254" s="163"/>
      <c r="N254" s="44"/>
    </row>
    <row r="255" spans="1:14" s="88" customFormat="1">
      <c r="A255" s="185">
        <f t="shared" ref="A255:A259" si="20">A254+1</f>
        <v>3</v>
      </c>
      <c r="B255" s="187"/>
      <c r="C255" s="87" t="s">
        <v>200</v>
      </c>
      <c r="D255" s="87">
        <f>40.05*10.764</f>
        <v>431.09819999999996</v>
      </c>
      <c r="E255" s="87">
        <v>0</v>
      </c>
      <c r="F255" s="87">
        <f t="shared" si="18"/>
        <v>689.75711999999999</v>
      </c>
      <c r="G255" s="185" t="str">
        <f t="shared" si="19"/>
        <v>Ground Floor For Commercial</v>
      </c>
      <c r="H255" s="187"/>
      <c r="I255" s="44"/>
      <c r="L255" s="163"/>
      <c r="M255" s="163"/>
      <c r="N255" s="44"/>
    </row>
    <row r="256" spans="1:14" s="88" customFormat="1">
      <c r="A256" s="185">
        <f t="shared" si="20"/>
        <v>4</v>
      </c>
      <c r="B256" s="187"/>
      <c r="C256" s="87" t="s">
        <v>200</v>
      </c>
      <c r="D256" s="87">
        <f t="shared" ref="D256:D257" si="21">40.05*10.764</f>
        <v>431.09819999999996</v>
      </c>
      <c r="E256" s="87">
        <v>0</v>
      </c>
      <c r="F256" s="87">
        <f t="shared" si="18"/>
        <v>689.75711999999999</v>
      </c>
      <c r="G256" s="185" t="str">
        <f t="shared" si="19"/>
        <v>Ground Floor For Commercial</v>
      </c>
      <c r="H256" s="187"/>
      <c r="I256" s="44"/>
      <c r="L256" s="163"/>
      <c r="M256" s="163"/>
      <c r="N256" s="44"/>
    </row>
    <row r="257" spans="1:14" s="88" customFormat="1">
      <c r="A257" s="185">
        <f t="shared" si="20"/>
        <v>5</v>
      </c>
      <c r="B257" s="187"/>
      <c r="C257" s="87" t="s">
        <v>200</v>
      </c>
      <c r="D257" s="87">
        <f t="shared" si="21"/>
        <v>431.09819999999996</v>
      </c>
      <c r="E257" s="87">
        <v>0</v>
      </c>
      <c r="F257" s="87">
        <f t="shared" si="18"/>
        <v>689.75711999999999</v>
      </c>
      <c r="G257" s="185" t="str">
        <f t="shared" si="19"/>
        <v>Ground Floor For Commercial</v>
      </c>
      <c r="H257" s="187"/>
      <c r="I257" s="44"/>
      <c r="L257" s="163"/>
      <c r="M257" s="163"/>
      <c r="N257" s="44"/>
    </row>
    <row r="258" spans="1:14" s="88" customFormat="1">
      <c r="A258" s="185">
        <f t="shared" si="20"/>
        <v>6</v>
      </c>
      <c r="B258" s="187"/>
      <c r="C258" s="87" t="s">
        <v>200</v>
      </c>
      <c r="D258" s="87">
        <f>55.46*10.764</f>
        <v>596.97144000000003</v>
      </c>
      <c r="E258" s="87">
        <v>0</v>
      </c>
      <c r="F258" s="87">
        <f t="shared" si="18"/>
        <v>955.15430400000014</v>
      </c>
      <c r="G258" s="185" t="str">
        <f t="shared" si="19"/>
        <v>Ground Floor For Commercial</v>
      </c>
      <c r="H258" s="187"/>
      <c r="I258" s="44"/>
      <c r="L258" s="163"/>
      <c r="M258" s="163"/>
      <c r="N258" s="44"/>
    </row>
    <row r="259" spans="1:14" s="88" customFormat="1">
      <c r="A259" s="185">
        <f t="shared" si="20"/>
        <v>7</v>
      </c>
      <c r="B259" s="187"/>
      <c r="C259" s="87" t="s">
        <v>200</v>
      </c>
      <c r="D259" s="87">
        <f>52.39*10.764</f>
        <v>563.92595999999992</v>
      </c>
      <c r="E259" s="87">
        <v>0</v>
      </c>
      <c r="F259" s="87">
        <f t="shared" si="18"/>
        <v>902.28153599999996</v>
      </c>
      <c r="G259" s="185" t="str">
        <f t="shared" si="19"/>
        <v>Ground Floor For Commercial</v>
      </c>
      <c r="H259" s="187"/>
      <c r="I259" s="44"/>
      <c r="L259" s="163"/>
      <c r="M259" s="163"/>
      <c r="N259" s="44"/>
    </row>
    <row r="260" spans="1:14" s="88" customFormat="1">
      <c r="A260" s="185">
        <f>A259+1</f>
        <v>8</v>
      </c>
      <c r="B260" s="187"/>
      <c r="C260" s="87" t="s">
        <v>200</v>
      </c>
      <c r="D260" s="87">
        <f t="shared" ref="D260:D261" si="22">40.05*10.764</f>
        <v>431.09819999999996</v>
      </c>
      <c r="E260" s="87">
        <v>0</v>
      </c>
      <c r="F260" s="87">
        <f t="shared" si="18"/>
        <v>689.75711999999999</v>
      </c>
      <c r="G260" s="185" t="str">
        <f t="shared" si="19"/>
        <v>Ground Floor For Commercial</v>
      </c>
      <c r="H260" s="187"/>
      <c r="I260" s="44"/>
      <c r="L260" s="163"/>
      <c r="M260" s="163"/>
      <c r="N260" s="44"/>
    </row>
    <row r="261" spans="1:14" s="88" customFormat="1">
      <c r="A261" s="185">
        <f t="shared" ref="A261:A275" si="23">A260+1</f>
        <v>9</v>
      </c>
      <c r="B261" s="187"/>
      <c r="C261" s="87" t="s">
        <v>200</v>
      </c>
      <c r="D261" s="87">
        <f t="shared" si="22"/>
        <v>431.09819999999996</v>
      </c>
      <c r="E261" s="87">
        <v>0</v>
      </c>
      <c r="F261" s="87">
        <f t="shared" si="18"/>
        <v>689.75711999999999</v>
      </c>
      <c r="G261" s="185" t="str">
        <f t="shared" si="19"/>
        <v>Ground Floor For Commercial</v>
      </c>
      <c r="H261" s="187"/>
      <c r="I261" s="44"/>
      <c r="L261" s="163"/>
      <c r="M261" s="163"/>
      <c r="N261" s="44"/>
    </row>
    <row r="262" spans="1:14" s="88" customFormat="1">
      <c r="A262" s="185">
        <f t="shared" si="23"/>
        <v>10</v>
      </c>
      <c r="B262" s="187"/>
      <c r="C262" s="87" t="s">
        <v>200</v>
      </c>
      <c r="D262" s="87">
        <f>62.9*10.764</f>
        <v>677.05559999999991</v>
      </c>
      <c r="E262" s="87">
        <v>0</v>
      </c>
      <c r="F262" s="87">
        <f t="shared" si="18"/>
        <v>1083.2889599999999</v>
      </c>
      <c r="G262" s="185" t="str">
        <f t="shared" si="19"/>
        <v>Ground Floor For Commercial</v>
      </c>
      <c r="H262" s="187"/>
      <c r="I262" s="44"/>
      <c r="L262" s="163"/>
      <c r="M262" s="163"/>
      <c r="N262" s="44"/>
    </row>
    <row r="263" spans="1:14" s="88" customFormat="1">
      <c r="A263" s="185">
        <f t="shared" si="23"/>
        <v>11</v>
      </c>
      <c r="B263" s="187"/>
      <c r="C263" s="87" t="s">
        <v>200</v>
      </c>
      <c r="D263" s="87">
        <f>38.15*10.764</f>
        <v>410.64659999999998</v>
      </c>
      <c r="E263" s="87">
        <v>0</v>
      </c>
      <c r="F263" s="87">
        <f t="shared" si="18"/>
        <v>657.03456000000006</v>
      </c>
      <c r="G263" s="185" t="str">
        <f t="shared" si="19"/>
        <v>Ground Floor For Commercial</v>
      </c>
      <c r="H263" s="187"/>
      <c r="I263" s="44"/>
      <c r="L263" s="163"/>
      <c r="M263" s="163"/>
      <c r="N263" s="44"/>
    </row>
    <row r="264" spans="1:14" s="88" customFormat="1">
      <c r="A264" s="185">
        <f t="shared" si="23"/>
        <v>12</v>
      </c>
      <c r="B264" s="187"/>
      <c r="C264" s="87" t="s">
        <v>200</v>
      </c>
      <c r="D264" s="87">
        <f>36.92*10.764</f>
        <v>397.40688</v>
      </c>
      <c r="E264" s="87">
        <v>0</v>
      </c>
      <c r="F264" s="87">
        <f t="shared" si="18"/>
        <v>635.85100800000009</v>
      </c>
      <c r="G264" s="185" t="str">
        <f t="shared" si="19"/>
        <v>Ground Floor For Commercial</v>
      </c>
      <c r="H264" s="187"/>
      <c r="I264" s="44"/>
      <c r="L264" s="163"/>
      <c r="M264" s="163"/>
      <c r="N264" s="44"/>
    </row>
    <row r="265" spans="1:14" s="88" customFormat="1">
      <c r="A265" s="185">
        <f t="shared" si="23"/>
        <v>13</v>
      </c>
      <c r="B265" s="187"/>
      <c r="C265" s="87" t="s">
        <v>200</v>
      </c>
      <c r="D265" s="87">
        <f>36.57*10.764</f>
        <v>393.63947999999999</v>
      </c>
      <c r="E265" s="87">
        <v>0</v>
      </c>
      <c r="F265" s="87">
        <f t="shared" si="18"/>
        <v>629.82316800000001</v>
      </c>
      <c r="G265" s="185" t="str">
        <f t="shared" si="19"/>
        <v>Ground Floor For Commercial</v>
      </c>
      <c r="H265" s="187"/>
      <c r="I265" s="44"/>
      <c r="L265" s="163"/>
      <c r="M265" s="163"/>
      <c r="N265" s="44"/>
    </row>
    <row r="266" spans="1:14" s="88" customFormat="1">
      <c r="A266" s="185">
        <f t="shared" si="23"/>
        <v>14</v>
      </c>
      <c r="B266" s="187"/>
      <c r="C266" s="87" t="s">
        <v>200</v>
      </c>
      <c r="D266" s="87">
        <f>36.36*10.764</f>
        <v>391.37903999999997</v>
      </c>
      <c r="E266" s="87">
        <v>0</v>
      </c>
      <c r="F266" s="87">
        <f t="shared" si="18"/>
        <v>626.20646399999998</v>
      </c>
      <c r="G266" s="185" t="str">
        <f t="shared" si="19"/>
        <v>Ground Floor For Commercial</v>
      </c>
      <c r="H266" s="187"/>
      <c r="I266" s="44"/>
      <c r="L266" s="163"/>
      <c r="M266" s="163"/>
      <c r="N266" s="44"/>
    </row>
    <row r="267" spans="1:14" s="88" customFormat="1">
      <c r="A267" s="185">
        <f t="shared" si="23"/>
        <v>15</v>
      </c>
      <c r="B267" s="187"/>
      <c r="C267" s="87" t="s">
        <v>200</v>
      </c>
      <c r="D267" s="87">
        <f>47.86*10.764</f>
        <v>515.16503999999998</v>
      </c>
      <c r="E267" s="87">
        <v>0</v>
      </c>
      <c r="F267" s="87">
        <f t="shared" si="18"/>
        <v>824.26406399999996</v>
      </c>
      <c r="G267" s="185" t="str">
        <f t="shared" si="19"/>
        <v>Ground Floor For Commercial</v>
      </c>
      <c r="H267" s="187"/>
      <c r="I267" s="44"/>
      <c r="L267" s="163"/>
      <c r="M267" s="163"/>
      <c r="N267" s="44"/>
    </row>
    <row r="268" spans="1:14" s="88" customFormat="1">
      <c r="A268" s="185">
        <f t="shared" si="23"/>
        <v>16</v>
      </c>
      <c r="B268" s="187"/>
      <c r="C268" s="87" t="s">
        <v>200</v>
      </c>
      <c r="D268" s="87">
        <f>45.42*10.764</f>
        <v>488.90087999999997</v>
      </c>
      <c r="E268" s="87">
        <v>0</v>
      </c>
      <c r="F268" s="87">
        <f t="shared" si="18"/>
        <v>782.24140799999998</v>
      </c>
      <c r="G268" s="185" t="str">
        <f t="shared" si="19"/>
        <v>Ground Floor For Commercial</v>
      </c>
      <c r="H268" s="187"/>
      <c r="I268" s="44"/>
      <c r="L268" s="163"/>
      <c r="M268" s="163"/>
      <c r="N268" s="44"/>
    </row>
    <row r="269" spans="1:14" s="88" customFormat="1">
      <c r="A269" s="185">
        <f t="shared" si="23"/>
        <v>17</v>
      </c>
      <c r="B269" s="187"/>
      <c r="C269" s="87" t="s">
        <v>200</v>
      </c>
      <c r="D269" s="87">
        <f>46.58*10.764</f>
        <v>501.38711999999992</v>
      </c>
      <c r="E269" s="87">
        <v>0</v>
      </c>
      <c r="F269" s="87">
        <f t="shared" ref="F269:F275" si="24">D269*(($F$199)+1)+E269</f>
        <v>802.21939199999997</v>
      </c>
      <c r="G269" s="185" t="str">
        <f t="shared" si="19"/>
        <v>Ground Floor For Commercial</v>
      </c>
      <c r="H269" s="187"/>
      <c r="I269" s="44"/>
      <c r="L269" s="163"/>
      <c r="M269" s="163"/>
      <c r="N269" s="44"/>
    </row>
    <row r="270" spans="1:14" s="88" customFormat="1">
      <c r="A270" s="185">
        <f t="shared" si="23"/>
        <v>18</v>
      </c>
      <c r="B270" s="187"/>
      <c r="C270" s="87" t="s">
        <v>200</v>
      </c>
      <c r="D270" s="87">
        <f>62.68*10.764</f>
        <v>674.68751999999995</v>
      </c>
      <c r="E270" s="87">
        <v>0</v>
      </c>
      <c r="F270" s="87">
        <f t="shared" si="24"/>
        <v>1079.5000319999999</v>
      </c>
      <c r="G270" s="185" t="str">
        <f t="shared" si="19"/>
        <v>Ground Floor For Commercial</v>
      </c>
      <c r="H270" s="187"/>
      <c r="I270" s="44"/>
      <c r="L270" s="163"/>
      <c r="M270" s="163"/>
      <c r="N270" s="44"/>
    </row>
    <row r="271" spans="1:14" s="88" customFormat="1">
      <c r="A271" s="185">
        <f t="shared" si="23"/>
        <v>19</v>
      </c>
      <c r="B271" s="187"/>
      <c r="C271" s="87" t="s">
        <v>200</v>
      </c>
      <c r="D271" s="87">
        <f>54.9*10.764</f>
        <v>590.94359999999995</v>
      </c>
      <c r="E271" s="87">
        <v>0</v>
      </c>
      <c r="F271" s="87">
        <f t="shared" si="24"/>
        <v>945.50975999999991</v>
      </c>
      <c r="G271" s="185" t="str">
        <f t="shared" si="19"/>
        <v>Ground Floor For Commercial</v>
      </c>
      <c r="H271" s="187"/>
      <c r="I271" s="44"/>
      <c r="L271" s="163"/>
      <c r="M271" s="163"/>
      <c r="N271" s="44"/>
    </row>
    <row r="272" spans="1:14" s="88" customFormat="1">
      <c r="A272" s="185">
        <f t="shared" si="23"/>
        <v>20</v>
      </c>
      <c r="B272" s="187"/>
      <c r="C272" s="87" t="s">
        <v>200</v>
      </c>
      <c r="D272" s="87">
        <f>54.9*10.764</f>
        <v>590.94359999999995</v>
      </c>
      <c r="E272" s="87">
        <v>0</v>
      </c>
      <c r="F272" s="87">
        <f t="shared" si="24"/>
        <v>945.50975999999991</v>
      </c>
      <c r="G272" s="185" t="str">
        <f t="shared" si="19"/>
        <v>Ground Floor For Commercial</v>
      </c>
      <c r="H272" s="187"/>
      <c r="I272" s="44"/>
      <c r="L272" s="163"/>
      <c r="M272" s="163"/>
      <c r="N272" s="44"/>
    </row>
    <row r="273" spans="1:14" s="88" customFormat="1">
      <c r="A273" s="185">
        <f t="shared" si="23"/>
        <v>21</v>
      </c>
      <c r="B273" s="187"/>
      <c r="C273" s="87" t="s">
        <v>200</v>
      </c>
      <c r="D273" s="87">
        <f>42*10.764</f>
        <v>452.08799999999997</v>
      </c>
      <c r="E273" s="87">
        <v>0</v>
      </c>
      <c r="F273" s="87">
        <f t="shared" si="24"/>
        <v>723.34079999999994</v>
      </c>
      <c r="G273" s="185" t="str">
        <f t="shared" si="19"/>
        <v>Ground Floor For Commercial</v>
      </c>
      <c r="H273" s="187"/>
      <c r="I273" s="44"/>
      <c r="L273" s="163"/>
      <c r="M273" s="163"/>
      <c r="N273" s="44"/>
    </row>
    <row r="274" spans="1:14" s="88" customFormat="1">
      <c r="A274" s="185">
        <f t="shared" si="23"/>
        <v>22</v>
      </c>
      <c r="B274" s="187"/>
      <c r="C274" s="87" t="s">
        <v>200</v>
      </c>
      <c r="D274" s="87">
        <f>42*10.764</f>
        <v>452.08799999999997</v>
      </c>
      <c r="E274" s="87">
        <v>0</v>
      </c>
      <c r="F274" s="87">
        <f t="shared" si="24"/>
        <v>723.34079999999994</v>
      </c>
      <c r="G274" s="185" t="str">
        <f t="shared" si="19"/>
        <v>Ground Floor For Commercial</v>
      </c>
      <c r="H274" s="187"/>
      <c r="I274" s="44"/>
      <c r="L274" s="163"/>
      <c r="M274" s="163"/>
      <c r="N274" s="44"/>
    </row>
    <row r="275" spans="1:14" s="88" customFormat="1">
      <c r="A275" s="185">
        <f t="shared" si="23"/>
        <v>23</v>
      </c>
      <c r="B275" s="187"/>
      <c r="C275" s="87" t="s">
        <v>200</v>
      </c>
      <c r="D275" s="87">
        <f>45.32*10.764</f>
        <v>487.82447999999999</v>
      </c>
      <c r="E275" s="87">
        <v>0</v>
      </c>
      <c r="F275" s="87">
        <f t="shared" si="24"/>
        <v>780.51916800000004</v>
      </c>
      <c r="G275" s="185" t="str">
        <f t="shared" si="19"/>
        <v>Ground Floor For Commercial</v>
      </c>
      <c r="H275" s="187"/>
      <c r="I275" s="44"/>
      <c r="L275" s="163"/>
      <c r="M275" s="163"/>
      <c r="N275" s="44"/>
    </row>
    <row r="276" spans="1:14" s="88" customFormat="1">
      <c r="A276" s="188" t="s">
        <v>247</v>
      </c>
      <c r="B276" s="189"/>
      <c r="C276" s="189"/>
      <c r="D276" s="189"/>
      <c r="E276" s="189"/>
      <c r="F276" s="189"/>
      <c r="G276" s="189"/>
      <c r="H276" s="190"/>
    </row>
    <row r="277" spans="1:14" s="88" customFormat="1">
      <c r="A277" s="185">
        <v>1</v>
      </c>
      <c r="B277" s="187"/>
      <c r="C277" s="87" t="s">
        <v>203</v>
      </c>
      <c r="D277" s="94">
        <f>12.84*(10.764)</f>
        <v>138.20975999999999</v>
      </c>
      <c r="E277" s="87">
        <v>0</v>
      </c>
      <c r="F277" s="87">
        <f>D277*(($F$199)+1)+E277</f>
        <v>221.135616</v>
      </c>
      <c r="G277" s="185" t="str">
        <f>A276</f>
        <v>1st Floor</v>
      </c>
      <c r="H277" s="187"/>
      <c r="I277" s="93"/>
      <c r="J277" s="94">
        <f>10.764</f>
        <v>10.763999999999999</v>
      </c>
      <c r="L277" s="163"/>
      <c r="M277" s="163"/>
      <c r="N277" s="44"/>
    </row>
    <row r="278" spans="1:14" s="88" customFormat="1">
      <c r="A278" s="185">
        <f>A277+1</f>
        <v>2</v>
      </c>
      <c r="B278" s="187"/>
      <c r="C278" s="87" t="s">
        <v>203</v>
      </c>
      <c r="D278" s="94">
        <f>13.17*(10.764)</f>
        <v>141.76187999999999</v>
      </c>
      <c r="E278" s="87">
        <v>0</v>
      </c>
      <c r="F278" s="87">
        <f t="shared" ref="F278:F303" si="25">D278*(($F$199)+1)+E278</f>
        <v>226.819008</v>
      </c>
      <c r="G278" s="185" t="str">
        <f t="shared" ref="G278:G315" si="26">G277</f>
        <v>1st Floor</v>
      </c>
      <c r="H278" s="187"/>
      <c r="I278" s="44"/>
      <c r="L278" s="163"/>
      <c r="M278" s="163"/>
      <c r="N278" s="44"/>
    </row>
    <row r="279" spans="1:14" s="88" customFormat="1">
      <c r="A279" s="185">
        <f t="shared" ref="A279:A283" si="27">A278+1</f>
        <v>3</v>
      </c>
      <c r="B279" s="187"/>
      <c r="C279" s="87" t="s">
        <v>203</v>
      </c>
      <c r="D279" s="94">
        <f>17.71*(10.764)</f>
        <v>190.63043999999999</v>
      </c>
      <c r="E279" s="87">
        <v>0</v>
      </c>
      <c r="F279" s="87">
        <f t="shared" si="25"/>
        <v>305.00870400000002</v>
      </c>
      <c r="G279" s="185" t="str">
        <f t="shared" si="26"/>
        <v>1st Floor</v>
      </c>
      <c r="H279" s="187"/>
      <c r="I279" s="44"/>
      <c r="L279" s="163"/>
      <c r="M279" s="163"/>
      <c r="N279" s="44"/>
    </row>
    <row r="280" spans="1:14" s="88" customFormat="1">
      <c r="A280" s="185">
        <f t="shared" si="27"/>
        <v>4</v>
      </c>
      <c r="B280" s="187"/>
      <c r="C280" s="87" t="s">
        <v>203</v>
      </c>
      <c r="D280" s="94">
        <f>15.48*(10.764)</f>
        <v>166.62672000000001</v>
      </c>
      <c r="E280" s="87">
        <v>0</v>
      </c>
      <c r="F280" s="87">
        <f t="shared" si="25"/>
        <v>266.60275200000001</v>
      </c>
      <c r="G280" s="185" t="str">
        <f t="shared" si="26"/>
        <v>1st Floor</v>
      </c>
      <c r="H280" s="187"/>
      <c r="I280" s="44"/>
      <c r="L280" s="163"/>
      <c r="M280" s="163"/>
      <c r="N280" s="44"/>
    </row>
    <row r="281" spans="1:14" s="88" customFormat="1">
      <c r="A281" s="185">
        <f t="shared" si="27"/>
        <v>5</v>
      </c>
      <c r="B281" s="187"/>
      <c r="C281" s="87" t="s">
        <v>203</v>
      </c>
      <c r="D281" s="94">
        <f>15.48*(10.764)</f>
        <v>166.62672000000001</v>
      </c>
      <c r="E281" s="87">
        <v>0</v>
      </c>
      <c r="F281" s="87">
        <f t="shared" si="25"/>
        <v>266.60275200000001</v>
      </c>
      <c r="G281" s="185" t="str">
        <f t="shared" si="26"/>
        <v>1st Floor</v>
      </c>
      <c r="H281" s="187"/>
      <c r="I281" s="44"/>
      <c r="L281" s="163"/>
      <c r="M281" s="163"/>
      <c r="N281" s="44"/>
    </row>
    <row r="282" spans="1:14" s="88" customFormat="1">
      <c r="A282" s="185">
        <f t="shared" si="27"/>
        <v>6</v>
      </c>
      <c r="B282" s="187"/>
      <c r="C282" s="87" t="s">
        <v>203</v>
      </c>
      <c r="D282" s="94">
        <f>11.88*(10.764)</f>
        <v>127.87632000000001</v>
      </c>
      <c r="E282" s="87">
        <v>0</v>
      </c>
      <c r="F282" s="87">
        <f t="shared" si="25"/>
        <v>204.60211200000003</v>
      </c>
      <c r="G282" s="185" t="str">
        <f t="shared" si="26"/>
        <v>1st Floor</v>
      </c>
      <c r="H282" s="187"/>
      <c r="I282" s="44"/>
      <c r="L282" s="163"/>
      <c r="M282" s="163"/>
      <c r="N282" s="44"/>
    </row>
    <row r="283" spans="1:14" s="88" customFormat="1">
      <c r="A283" s="185">
        <f t="shared" si="27"/>
        <v>7</v>
      </c>
      <c r="B283" s="187"/>
      <c r="C283" s="87" t="s">
        <v>203</v>
      </c>
      <c r="D283" s="94">
        <f>11.88*(10.764)</f>
        <v>127.87632000000001</v>
      </c>
      <c r="E283" s="87">
        <v>0</v>
      </c>
      <c r="F283" s="87">
        <f t="shared" si="25"/>
        <v>204.60211200000003</v>
      </c>
      <c r="G283" s="185" t="str">
        <f t="shared" si="26"/>
        <v>1st Floor</v>
      </c>
      <c r="H283" s="187"/>
      <c r="I283" s="44"/>
      <c r="L283" s="163"/>
      <c r="M283" s="163"/>
      <c r="N283" s="44"/>
    </row>
    <row r="284" spans="1:14" s="88" customFormat="1">
      <c r="A284" s="185">
        <f>A283+1</f>
        <v>8</v>
      </c>
      <c r="B284" s="187"/>
      <c r="C284" s="87" t="s">
        <v>203</v>
      </c>
      <c r="D284" s="94">
        <f>12.8*(10.764)</f>
        <v>137.7792</v>
      </c>
      <c r="E284" s="87">
        <v>0</v>
      </c>
      <c r="F284" s="87">
        <f t="shared" si="25"/>
        <v>220.44672000000003</v>
      </c>
      <c r="G284" s="185" t="str">
        <f t="shared" si="26"/>
        <v>1st Floor</v>
      </c>
      <c r="H284" s="187"/>
      <c r="I284" s="44"/>
      <c r="L284" s="163"/>
      <c r="M284" s="163"/>
      <c r="N284" s="44"/>
    </row>
    <row r="285" spans="1:14" s="88" customFormat="1">
      <c r="A285" s="185">
        <f t="shared" ref="A285:A315" si="28">A284+1</f>
        <v>9</v>
      </c>
      <c r="B285" s="187"/>
      <c r="C285" s="87" t="s">
        <v>203</v>
      </c>
      <c r="D285" s="94">
        <f>21.66*(10.764)</f>
        <v>233.14823999999999</v>
      </c>
      <c r="E285" s="87">
        <v>0</v>
      </c>
      <c r="F285" s="87">
        <f t="shared" si="25"/>
        <v>373.03718400000002</v>
      </c>
      <c r="G285" s="185" t="str">
        <f t="shared" si="26"/>
        <v>1st Floor</v>
      </c>
      <c r="H285" s="187"/>
      <c r="I285" s="44"/>
      <c r="L285" s="163"/>
      <c r="M285" s="163"/>
      <c r="N285" s="44"/>
    </row>
    <row r="286" spans="1:14" s="88" customFormat="1">
      <c r="A286" s="185">
        <f t="shared" si="28"/>
        <v>10</v>
      </c>
      <c r="B286" s="187"/>
      <c r="C286" s="87" t="s">
        <v>203</v>
      </c>
      <c r="D286" s="94">
        <f>20.08*(10.764)</f>
        <v>216.14111999999997</v>
      </c>
      <c r="E286" s="87">
        <v>0</v>
      </c>
      <c r="F286" s="87">
        <f t="shared" si="25"/>
        <v>345.82579199999998</v>
      </c>
      <c r="G286" s="185" t="str">
        <f t="shared" si="26"/>
        <v>1st Floor</v>
      </c>
      <c r="H286" s="187"/>
      <c r="I286" s="44"/>
      <c r="L286" s="163"/>
      <c r="M286" s="163"/>
      <c r="N286" s="44"/>
    </row>
    <row r="287" spans="1:14" s="88" customFormat="1">
      <c r="A287" s="185">
        <f t="shared" si="28"/>
        <v>11</v>
      </c>
      <c r="B287" s="187"/>
      <c r="C287" s="87" t="s">
        <v>203</v>
      </c>
      <c r="D287" s="94">
        <f>20.08*(10.764)</f>
        <v>216.14111999999997</v>
      </c>
      <c r="E287" s="87">
        <v>0</v>
      </c>
      <c r="F287" s="87">
        <f t="shared" si="25"/>
        <v>345.82579199999998</v>
      </c>
      <c r="G287" s="185" t="str">
        <f t="shared" si="26"/>
        <v>1st Floor</v>
      </c>
      <c r="H287" s="187"/>
      <c r="I287" s="44"/>
      <c r="L287" s="163"/>
      <c r="M287" s="163"/>
      <c r="N287" s="44"/>
    </row>
    <row r="288" spans="1:14" s="88" customFormat="1">
      <c r="A288" s="185">
        <f t="shared" si="28"/>
        <v>12</v>
      </c>
      <c r="B288" s="187"/>
      <c r="C288" s="87" t="s">
        <v>203</v>
      </c>
      <c r="D288" s="94">
        <f>26.17*(10.764)</f>
        <v>281.69387999999998</v>
      </c>
      <c r="E288" s="87">
        <v>0</v>
      </c>
      <c r="F288" s="87">
        <f t="shared" si="25"/>
        <v>450.71020799999997</v>
      </c>
      <c r="G288" s="185" t="str">
        <f t="shared" si="26"/>
        <v>1st Floor</v>
      </c>
      <c r="H288" s="187"/>
      <c r="I288" s="44"/>
      <c r="L288" s="163"/>
      <c r="M288" s="163"/>
      <c r="N288" s="44"/>
    </row>
    <row r="289" spans="1:14" s="88" customFormat="1">
      <c r="A289" s="185">
        <f t="shared" si="28"/>
        <v>13</v>
      </c>
      <c r="B289" s="187"/>
      <c r="C289" s="87" t="s">
        <v>203</v>
      </c>
      <c r="D289" s="94">
        <f>26.17*(10.764)</f>
        <v>281.69387999999998</v>
      </c>
      <c r="E289" s="87">
        <v>0</v>
      </c>
      <c r="F289" s="87">
        <f t="shared" si="25"/>
        <v>450.71020799999997</v>
      </c>
      <c r="G289" s="185" t="str">
        <f t="shared" si="26"/>
        <v>1st Floor</v>
      </c>
      <c r="H289" s="187"/>
      <c r="I289" s="44"/>
      <c r="L289" s="163"/>
      <c r="M289" s="163"/>
      <c r="N289" s="44"/>
    </row>
    <row r="290" spans="1:14" s="88" customFormat="1">
      <c r="A290" s="185">
        <f t="shared" si="28"/>
        <v>14</v>
      </c>
      <c r="B290" s="187"/>
      <c r="C290" s="87" t="s">
        <v>203</v>
      </c>
      <c r="D290" s="94">
        <f>29.98*(10.764)</f>
        <v>322.70472000000001</v>
      </c>
      <c r="E290" s="87">
        <v>0</v>
      </c>
      <c r="F290" s="87">
        <f t="shared" si="25"/>
        <v>516.32755200000008</v>
      </c>
      <c r="G290" s="185" t="str">
        <f t="shared" si="26"/>
        <v>1st Floor</v>
      </c>
      <c r="H290" s="187"/>
      <c r="I290" s="44"/>
      <c r="L290" s="163"/>
      <c r="M290" s="163"/>
      <c r="N290" s="44"/>
    </row>
    <row r="291" spans="1:14" s="88" customFormat="1">
      <c r="A291" s="185">
        <f t="shared" si="28"/>
        <v>15</v>
      </c>
      <c r="B291" s="187"/>
      <c r="C291" s="87" t="s">
        <v>203</v>
      </c>
      <c r="D291" s="94">
        <f>22.26*(10.764)</f>
        <v>239.60664</v>
      </c>
      <c r="E291" s="87">
        <v>0</v>
      </c>
      <c r="F291" s="87">
        <f t="shared" si="25"/>
        <v>383.37062400000002</v>
      </c>
      <c r="G291" s="185" t="str">
        <f t="shared" si="26"/>
        <v>1st Floor</v>
      </c>
      <c r="H291" s="187"/>
      <c r="I291" s="44"/>
      <c r="L291" s="163"/>
      <c r="M291" s="163"/>
      <c r="N291" s="44"/>
    </row>
    <row r="292" spans="1:14" s="88" customFormat="1">
      <c r="A292" s="185">
        <f t="shared" si="28"/>
        <v>16</v>
      </c>
      <c r="B292" s="187"/>
      <c r="C292" s="87" t="s">
        <v>203</v>
      </c>
      <c r="D292" s="94">
        <f>21.7*(10.764)</f>
        <v>233.57879999999997</v>
      </c>
      <c r="E292" s="87">
        <v>0</v>
      </c>
      <c r="F292" s="87">
        <f t="shared" si="25"/>
        <v>373.72607999999997</v>
      </c>
      <c r="G292" s="185" t="str">
        <f t="shared" si="26"/>
        <v>1st Floor</v>
      </c>
      <c r="H292" s="187"/>
      <c r="I292" s="44"/>
      <c r="L292" s="163"/>
      <c r="M292" s="163"/>
      <c r="N292" s="44"/>
    </row>
    <row r="293" spans="1:14" s="88" customFormat="1">
      <c r="A293" s="185">
        <f t="shared" si="28"/>
        <v>17</v>
      </c>
      <c r="B293" s="187"/>
      <c r="C293" s="87" t="s">
        <v>203</v>
      </c>
      <c r="D293" s="94">
        <f>28*(10.764)</f>
        <v>301.392</v>
      </c>
      <c r="E293" s="87">
        <v>0</v>
      </c>
      <c r="F293" s="87">
        <f t="shared" si="25"/>
        <v>482.22720000000004</v>
      </c>
      <c r="G293" s="185" t="str">
        <f t="shared" si="26"/>
        <v>1st Floor</v>
      </c>
      <c r="H293" s="187"/>
      <c r="I293" s="44"/>
      <c r="L293" s="163"/>
      <c r="M293" s="163"/>
      <c r="N293" s="44"/>
    </row>
    <row r="294" spans="1:14" s="88" customFormat="1">
      <c r="A294" s="185">
        <f t="shared" si="28"/>
        <v>18</v>
      </c>
      <c r="B294" s="187"/>
      <c r="C294" s="87" t="s">
        <v>203</v>
      </c>
      <c r="D294" s="94">
        <f>21.33*(10.764)</f>
        <v>229.59611999999996</v>
      </c>
      <c r="E294" s="87">
        <v>0</v>
      </c>
      <c r="F294" s="87">
        <f t="shared" si="25"/>
        <v>367.35379199999994</v>
      </c>
      <c r="G294" s="185" t="str">
        <f t="shared" si="26"/>
        <v>1st Floor</v>
      </c>
      <c r="H294" s="187"/>
      <c r="I294" s="44"/>
      <c r="L294" s="163"/>
      <c r="M294" s="163"/>
      <c r="N294" s="44"/>
    </row>
    <row r="295" spans="1:14" s="88" customFormat="1">
      <c r="A295" s="185">
        <f t="shared" si="28"/>
        <v>19</v>
      </c>
      <c r="B295" s="187"/>
      <c r="C295" s="87" t="s">
        <v>203</v>
      </c>
      <c r="D295" s="94">
        <f>20.95*(10.764)</f>
        <v>225.50579999999997</v>
      </c>
      <c r="E295" s="87">
        <v>0</v>
      </c>
      <c r="F295" s="87">
        <f t="shared" si="25"/>
        <v>360.80927999999994</v>
      </c>
      <c r="G295" s="185" t="str">
        <f t="shared" si="26"/>
        <v>1st Floor</v>
      </c>
      <c r="H295" s="187"/>
      <c r="I295" s="44"/>
      <c r="L295" s="163"/>
      <c r="M295" s="163"/>
      <c r="N295" s="44"/>
    </row>
    <row r="296" spans="1:14" s="88" customFormat="1">
      <c r="A296" s="185">
        <f t="shared" si="28"/>
        <v>20</v>
      </c>
      <c r="B296" s="187"/>
      <c r="C296" s="87" t="s">
        <v>203</v>
      </c>
      <c r="D296" s="94">
        <f>22.14*(10.764)</f>
        <v>238.31495999999999</v>
      </c>
      <c r="E296" s="87">
        <v>0</v>
      </c>
      <c r="F296" s="87">
        <f t="shared" si="25"/>
        <v>381.30393600000002</v>
      </c>
      <c r="G296" s="185" t="str">
        <f t="shared" si="26"/>
        <v>1st Floor</v>
      </c>
      <c r="H296" s="187"/>
      <c r="I296" s="44"/>
      <c r="L296" s="163"/>
      <c r="M296" s="163"/>
      <c r="N296" s="44"/>
    </row>
    <row r="297" spans="1:14" s="88" customFormat="1">
      <c r="A297" s="185">
        <f t="shared" si="28"/>
        <v>21</v>
      </c>
      <c r="B297" s="187"/>
      <c r="C297" s="87" t="s">
        <v>203</v>
      </c>
      <c r="D297" s="94">
        <f>17.43*(10.764)</f>
        <v>187.61651999999998</v>
      </c>
      <c r="E297" s="87">
        <v>0</v>
      </c>
      <c r="F297" s="87">
        <f t="shared" si="25"/>
        <v>300.18643199999997</v>
      </c>
      <c r="G297" s="185" t="str">
        <f t="shared" si="26"/>
        <v>1st Floor</v>
      </c>
      <c r="H297" s="187"/>
      <c r="I297" s="44"/>
      <c r="L297" s="163"/>
      <c r="M297" s="163"/>
      <c r="N297" s="44"/>
    </row>
    <row r="298" spans="1:14" s="88" customFormat="1">
      <c r="A298" s="185">
        <f t="shared" si="28"/>
        <v>22</v>
      </c>
      <c r="B298" s="187"/>
      <c r="C298" s="87" t="s">
        <v>203</v>
      </c>
      <c r="D298" s="94">
        <f>21.66*(10.764)</f>
        <v>233.14823999999999</v>
      </c>
      <c r="E298" s="87">
        <v>0</v>
      </c>
      <c r="F298" s="87">
        <f t="shared" si="25"/>
        <v>373.03718400000002</v>
      </c>
      <c r="G298" s="185" t="str">
        <f t="shared" si="26"/>
        <v>1st Floor</v>
      </c>
      <c r="H298" s="187"/>
      <c r="I298" s="44"/>
      <c r="L298" s="163"/>
      <c r="M298" s="163"/>
      <c r="N298" s="44"/>
    </row>
    <row r="299" spans="1:14" s="88" customFormat="1">
      <c r="A299" s="185">
        <f t="shared" si="28"/>
        <v>23</v>
      </c>
      <c r="B299" s="187"/>
      <c r="C299" s="87" t="s">
        <v>203</v>
      </c>
      <c r="D299" s="94">
        <f>35.58*(10.764)</f>
        <v>382.98311999999999</v>
      </c>
      <c r="E299" s="87">
        <v>0</v>
      </c>
      <c r="F299" s="87">
        <f t="shared" si="25"/>
        <v>612.77299200000004</v>
      </c>
      <c r="G299" s="185" t="str">
        <f t="shared" si="26"/>
        <v>1st Floor</v>
      </c>
      <c r="H299" s="187"/>
      <c r="I299" s="44"/>
      <c r="L299" s="163"/>
      <c r="M299" s="163"/>
      <c r="N299" s="44"/>
    </row>
    <row r="300" spans="1:14" s="88" customFormat="1">
      <c r="A300" s="185">
        <f t="shared" si="28"/>
        <v>24</v>
      </c>
      <c r="B300" s="187"/>
      <c r="C300" s="87" t="s">
        <v>203</v>
      </c>
      <c r="D300" s="94">
        <f>21.3*(10.764)</f>
        <v>229.2732</v>
      </c>
      <c r="E300" s="87">
        <v>0</v>
      </c>
      <c r="F300" s="87">
        <f t="shared" si="25"/>
        <v>366.83712000000003</v>
      </c>
      <c r="G300" s="185" t="str">
        <f t="shared" si="26"/>
        <v>1st Floor</v>
      </c>
      <c r="H300" s="187"/>
      <c r="I300" s="44"/>
      <c r="L300" s="163"/>
      <c r="M300" s="163"/>
      <c r="N300" s="44"/>
    </row>
    <row r="301" spans="1:14" s="88" customFormat="1">
      <c r="A301" s="185">
        <f t="shared" si="28"/>
        <v>25</v>
      </c>
      <c r="B301" s="187"/>
      <c r="C301" s="87" t="s">
        <v>203</v>
      </c>
      <c r="D301" s="94">
        <f>21.66*(10.764)</f>
        <v>233.14823999999999</v>
      </c>
      <c r="E301" s="87">
        <v>0</v>
      </c>
      <c r="F301" s="87">
        <f t="shared" si="25"/>
        <v>373.03718400000002</v>
      </c>
      <c r="G301" s="185" t="str">
        <f t="shared" si="26"/>
        <v>1st Floor</v>
      </c>
      <c r="H301" s="187"/>
      <c r="I301" s="44"/>
      <c r="L301" s="163"/>
      <c r="M301" s="163"/>
      <c r="N301" s="44"/>
    </row>
    <row r="302" spans="1:14" s="88" customFormat="1">
      <c r="A302" s="185">
        <f t="shared" si="28"/>
        <v>26</v>
      </c>
      <c r="B302" s="187"/>
      <c r="C302" s="87" t="s">
        <v>203</v>
      </c>
      <c r="D302" s="94">
        <f>28.29*(10.764)</f>
        <v>304.51355999999998</v>
      </c>
      <c r="E302" s="87">
        <v>0</v>
      </c>
      <c r="F302" s="87">
        <f t="shared" si="25"/>
        <v>487.22169600000001</v>
      </c>
      <c r="G302" s="185" t="str">
        <f t="shared" si="26"/>
        <v>1st Floor</v>
      </c>
      <c r="H302" s="187"/>
      <c r="I302" s="44"/>
      <c r="L302" s="163"/>
      <c r="M302" s="163"/>
      <c r="N302" s="44"/>
    </row>
    <row r="303" spans="1:14" s="88" customFormat="1">
      <c r="A303" s="185">
        <f t="shared" si="28"/>
        <v>27</v>
      </c>
      <c r="B303" s="187"/>
      <c r="C303" s="87" t="s">
        <v>203</v>
      </c>
      <c r="D303" s="94">
        <f>29.94*(10.764)</f>
        <v>322.27415999999999</v>
      </c>
      <c r="E303" s="87">
        <v>0</v>
      </c>
      <c r="F303" s="87">
        <f t="shared" si="25"/>
        <v>515.63865599999997</v>
      </c>
      <c r="G303" s="185" t="str">
        <f t="shared" si="26"/>
        <v>1st Floor</v>
      </c>
      <c r="H303" s="187"/>
      <c r="I303" s="44"/>
      <c r="L303" s="163"/>
      <c r="M303" s="163"/>
      <c r="N303" s="44"/>
    </row>
    <row r="304" spans="1:14" s="88" customFormat="1">
      <c r="A304" s="185">
        <f t="shared" si="28"/>
        <v>28</v>
      </c>
      <c r="B304" s="187"/>
      <c r="C304" s="87" t="s">
        <v>203</v>
      </c>
      <c r="D304" s="94">
        <f>21.66*(10.764)</f>
        <v>233.14823999999999</v>
      </c>
      <c r="E304" s="87">
        <v>0</v>
      </c>
      <c r="F304" s="87">
        <f t="shared" ref="F304:F314" si="29">D304*(($F$199)+1)+E304</f>
        <v>373.03718400000002</v>
      </c>
      <c r="G304" s="185" t="str">
        <f t="shared" si="26"/>
        <v>1st Floor</v>
      </c>
      <c r="H304" s="187"/>
      <c r="I304" s="44"/>
      <c r="L304" s="163"/>
      <c r="M304" s="163"/>
      <c r="N304" s="44"/>
    </row>
    <row r="305" spans="1:14" s="88" customFormat="1">
      <c r="A305" s="185">
        <f t="shared" si="28"/>
        <v>29</v>
      </c>
      <c r="B305" s="187"/>
      <c r="C305" s="87" t="s">
        <v>203</v>
      </c>
      <c r="D305" s="94">
        <f>21.66*(10.764)</f>
        <v>233.14823999999999</v>
      </c>
      <c r="E305" s="87">
        <v>0</v>
      </c>
      <c r="F305" s="87">
        <f t="shared" si="29"/>
        <v>373.03718400000002</v>
      </c>
      <c r="G305" s="185" t="str">
        <f t="shared" si="26"/>
        <v>1st Floor</v>
      </c>
      <c r="H305" s="187"/>
      <c r="I305" s="44"/>
      <c r="L305" s="163"/>
      <c r="M305" s="163"/>
      <c r="N305" s="44"/>
    </row>
    <row r="306" spans="1:14" s="88" customFormat="1">
      <c r="A306" s="185">
        <f t="shared" si="28"/>
        <v>30</v>
      </c>
      <c r="B306" s="187"/>
      <c r="C306" s="87" t="s">
        <v>203</v>
      </c>
      <c r="D306" s="94">
        <f>21.66*(10.764)</f>
        <v>233.14823999999999</v>
      </c>
      <c r="E306" s="87">
        <v>0</v>
      </c>
      <c r="F306" s="87">
        <f t="shared" si="29"/>
        <v>373.03718400000002</v>
      </c>
      <c r="G306" s="185" t="str">
        <f t="shared" si="26"/>
        <v>1st Floor</v>
      </c>
      <c r="H306" s="187"/>
      <c r="I306" s="44"/>
      <c r="L306" s="163"/>
      <c r="M306" s="163"/>
      <c r="N306" s="44"/>
    </row>
    <row r="307" spans="1:14" s="88" customFormat="1">
      <c r="A307" s="185">
        <f t="shared" si="28"/>
        <v>31</v>
      </c>
      <c r="B307" s="187"/>
      <c r="C307" s="87" t="s">
        <v>203</v>
      </c>
      <c r="D307" s="94">
        <f>21.66*(10.764)</f>
        <v>233.14823999999999</v>
      </c>
      <c r="E307" s="87">
        <v>0</v>
      </c>
      <c r="F307" s="87">
        <f t="shared" si="29"/>
        <v>373.03718400000002</v>
      </c>
      <c r="G307" s="185" t="str">
        <f t="shared" si="26"/>
        <v>1st Floor</v>
      </c>
      <c r="H307" s="187"/>
      <c r="I307" s="44"/>
      <c r="L307" s="163"/>
      <c r="M307" s="163"/>
      <c r="N307" s="44"/>
    </row>
    <row r="308" spans="1:14" s="88" customFormat="1">
      <c r="A308" s="185">
        <f t="shared" si="28"/>
        <v>32</v>
      </c>
      <c r="B308" s="187"/>
      <c r="C308" s="87" t="s">
        <v>203</v>
      </c>
      <c r="D308" s="94">
        <f>18.6*(10.764)</f>
        <v>200.21039999999999</v>
      </c>
      <c r="E308" s="87">
        <v>0</v>
      </c>
      <c r="F308" s="87">
        <f t="shared" si="29"/>
        <v>320.33663999999999</v>
      </c>
      <c r="G308" s="185" t="str">
        <f t="shared" si="26"/>
        <v>1st Floor</v>
      </c>
      <c r="H308" s="187"/>
      <c r="I308" s="44"/>
      <c r="L308" s="163"/>
      <c r="M308" s="163"/>
      <c r="N308" s="44"/>
    </row>
    <row r="309" spans="1:14" s="88" customFormat="1">
      <c r="A309" s="185">
        <f t="shared" si="28"/>
        <v>33</v>
      </c>
      <c r="B309" s="187"/>
      <c r="C309" s="87" t="s">
        <v>203</v>
      </c>
      <c r="D309" s="94">
        <f>19.26*(10.764)</f>
        <v>207.31464</v>
      </c>
      <c r="E309" s="87">
        <v>0</v>
      </c>
      <c r="F309" s="87">
        <f t="shared" si="29"/>
        <v>331.70342400000004</v>
      </c>
      <c r="G309" s="185" t="str">
        <f t="shared" si="26"/>
        <v>1st Floor</v>
      </c>
      <c r="H309" s="187"/>
      <c r="I309" s="44"/>
      <c r="L309" s="163"/>
      <c r="M309" s="163"/>
      <c r="N309" s="44"/>
    </row>
    <row r="310" spans="1:14" s="88" customFormat="1">
      <c r="A310" s="185">
        <f t="shared" si="28"/>
        <v>34</v>
      </c>
      <c r="B310" s="187"/>
      <c r="C310" s="87" t="s">
        <v>203</v>
      </c>
      <c r="D310" s="94">
        <f>12.81*(10.764)</f>
        <v>137.88684000000001</v>
      </c>
      <c r="E310" s="87">
        <v>0</v>
      </c>
      <c r="F310" s="87">
        <f t="shared" si="29"/>
        <v>220.61894400000003</v>
      </c>
      <c r="G310" s="185" t="str">
        <f t="shared" si="26"/>
        <v>1st Floor</v>
      </c>
      <c r="H310" s="187"/>
      <c r="I310" s="44"/>
      <c r="L310" s="163"/>
      <c r="M310" s="163"/>
      <c r="N310" s="44"/>
    </row>
    <row r="311" spans="1:14" s="88" customFormat="1">
      <c r="A311" s="185">
        <f t="shared" si="28"/>
        <v>35</v>
      </c>
      <c r="B311" s="187"/>
      <c r="C311" s="87" t="s">
        <v>203</v>
      </c>
      <c r="D311" s="94">
        <f>12.81*(10.764)</f>
        <v>137.88684000000001</v>
      </c>
      <c r="E311" s="87">
        <v>0</v>
      </c>
      <c r="F311" s="87">
        <f t="shared" si="29"/>
        <v>220.61894400000003</v>
      </c>
      <c r="G311" s="185" t="str">
        <f t="shared" si="26"/>
        <v>1st Floor</v>
      </c>
      <c r="H311" s="187"/>
      <c r="I311" s="44"/>
      <c r="L311" s="163"/>
      <c r="M311" s="163"/>
      <c r="N311" s="44"/>
    </row>
    <row r="312" spans="1:14" s="88" customFormat="1">
      <c r="A312" s="185">
        <f t="shared" si="28"/>
        <v>36</v>
      </c>
      <c r="B312" s="187"/>
      <c r="C312" s="87" t="s">
        <v>203</v>
      </c>
      <c r="D312" s="94">
        <f>17.69*(10.764)</f>
        <v>190.41516000000001</v>
      </c>
      <c r="E312" s="87">
        <v>0</v>
      </c>
      <c r="F312" s="87">
        <f t="shared" si="29"/>
        <v>304.66425600000002</v>
      </c>
      <c r="G312" s="185" t="str">
        <f t="shared" si="26"/>
        <v>1st Floor</v>
      </c>
      <c r="H312" s="187"/>
      <c r="I312" s="44"/>
      <c r="L312" s="163"/>
      <c r="M312" s="163"/>
      <c r="N312" s="44"/>
    </row>
    <row r="313" spans="1:14" s="88" customFormat="1">
      <c r="A313" s="185">
        <f t="shared" si="28"/>
        <v>37</v>
      </c>
      <c r="B313" s="187"/>
      <c r="C313" s="87" t="s">
        <v>203</v>
      </c>
      <c r="D313" s="94">
        <f>16.72*(10.764)</f>
        <v>179.97407999999999</v>
      </c>
      <c r="E313" s="87">
        <v>0</v>
      </c>
      <c r="F313" s="87">
        <f t="shared" si="29"/>
        <v>287.958528</v>
      </c>
      <c r="G313" s="185" t="str">
        <f t="shared" si="26"/>
        <v>1st Floor</v>
      </c>
      <c r="H313" s="187"/>
      <c r="I313" s="44"/>
      <c r="L313" s="163"/>
      <c r="M313" s="163"/>
      <c r="N313" s="44"/>
    </row>
    <row r="314" spans="1:14" s="88" customFormat="1">
      <c r="A314" s="185">
        <f t="shared" si="28"/>
        <v>38</v>
      </c>
      <c r="B314" s="187"/>
      <c r="C314" s="87" t="s">
        <v>203</v>
      </c>
      <c r="D314" s="94">
        <f>12.81*(10.764)</f>
        <v>137.88684000000001</v>
      </c>
      <c r="E314" s="87">
        <v>0</v>
      </c>
      <c r="F314" s="87">
        <f t="shared" si="29"/>
        <v>220.61894400000003</v>
      </c>
      <c r="G314" s="185" t="str">
        <f t="shared" si="26"/>
        <v>1st Floor</v>
      </c>
      <c r="H314" s="187"/>
      <c r="I314" s="44"/>
      <c r="L314" s="163"/>
      <c r="M314" s="163"/>
      <c r="N314" s="44"/>
    </row>
    <row r="315" spans="1:14" s="88" customFormat="1">
      <c r="A315" s="185">
        <f t="shared" si="28"/>
        <v>39</v>
      </c>
      <c r="B315" s="187"/>
      <c r="C315" s="87" t="s">
        <v>203</v>
      </c>
      <c r="D315" s="94">
        <f>23.16*(10.764)</f>
        <v>249.29423999999997</v>
      </c>
      <c r="E315" s="87">
        <v>0</v>
      </c>
      <c r="F315" s="87">
        <f t="shared" ref="F315" si="30">D315*(($F$199)+1)+E315</f>
        <v>398.87078399999996</v>
      </c>
      <c r="G315" s="185" t="str">
        <f t="shared" si="26"/>
        <v>1st Floor</v>
      </c>
      <c r="H315" s="187"/>
      <c r="I315" s="44"/>
      <c r="J315" s="88">
        <f>4.57*4.15+2.45*1.66</f>
        <v>23.032500000000002</v>
      </c>
      <c r="L315" s="163"/>
      <c r="M315" s="163"/>
      <c r="N315" s="44"/>
    </row>
    <row r="316" spans="1:14" s="88" customFormat="1">
      <c r="A316" s="188" t="s">
        <v>248</v>
      </c>
      <c r="B316" s="189"/>
      <c r="C316" s="189"/>
      <c r="D316" s="189"/>
      <c r="E316" s="189"/>
      <c r="F316" s="189"/>
      <c r="G316" s="189"/>
      <c r="H316" s="190"/>
    </row>
    <row r="317" spans="1:14" s="88" customFormat="1">
      <c r="A317" s="185">
        <v>1</v>
      </c>
      <c r="B317" s="187"/>
      <c r="C317" s="87" t="s">
        <v>203</v>
      </c>
      <c r="D317" s="94">
        <f>12.84*(10.764)</f>
        <v>138.20975999999999</v>
      </c>
      <c r="E317" s="87">
        <v>0</v>
      </c>
      <c r="F317" s="87">
        <f>D317*(($F$199)+1)+E317</f>
        <v>221.135616</v>
      </c>
      <c r="G317" s="185" t="str">
        <f>A316</f>
        <v>2nd Floor</v>
      </c>
      <c r="H317" s="187"/>
      <c r="I317" s="93"/>
      <c r="J317" s="94">
        <f>10.764</f>
        <v>10.763999999999999</v>
      </c>
      <c r="L317" s="163"/>
      <c r="M317" s="163"/>
      <c r="N317" s="44"/>
    </row>
    <row r="318" spans="1:14" s="88" customFormat="1">
      <c r="A318" s="185">
        <f>A317+1</f>
        <v>2</v>
      </c>
      <c r="B318" s="187"/>
      <c r="C318" s="87" t="s">
        <v>203</v>
      </c>
      <c r="D318" s="94">
        <f>13.17*(10.764)</f>
        <v>141.76187999999999</v>
      </c>
      <c r="E318" s="87">
        <v>0</v>
      </c>
      <c r="F318" s="87">
        <f t="shared" ref="F318:F355" si="31">D318*(($F$199)+1)+E318</f>
        <v>226.819008</v>
      </c>
      <c r="G318" s="185" t="str">
        <f t="shared" ref="G318:G355" si="32">G317</f>
        <v>2nd Floor</v>
      </c>
      <c r="H318" s="187"/>
      <c r="I318" s="44"/>
      <c r="L318" s="163"/>
      <c r="M318" s="163"/>
      <c r="N318" s="44"/>
    </row>
    <row r="319" spans="1:14" s="88" customFormat="1">
      <c r="A319" s="185">
        <f t="shared" ref="A319:A323" si="33">A318+1</f>
        <v>3</v>
      </c>
      <c r="B319" s="187"/>
      <c r="C319" s="87" t="s">
        <v>203</v>
      </c>
      <c r="D319" s="94">
        <f>17.71*(10.764)</f>
        <v>190.63043999999999</v>
      </c>
      <c r="E319" s="87">
        <v>0</v>
      </c>
      <c r="F319" s="87">
        <f t="shared" si="31"/>
        <v>305.00870400000002</v>
      </c>
      <c r="G319" s="185" t="str">
        <f t="shared" si="32"/>
        <v>2nd Floor</v>
      </c>
      <c r="H319" s="187"/>
      <c r="I319" s="44"/>
      <c r="L319" s="163"/>
      <c r="M319" s="163"/>
      <c r="N319" s="44"/>
    </row>
    <row r="320" spans="1:14" s="88" customFormat="1">
      <c r="A320" s="185">
        <f t="shared" si="33"/>
        <v>4</v>
      </c>
      <c r="B320" s="187"/>
      <c r="C320" s="87" t="s">
        <v>203</v>
      </c>
      <c r="D320" s="94">
        <f>15.48*(10.764)</f>
        <v>166.62672000000001</v>
      </c>
      <c r="E320" s="87">
        <v>0</v>
      </c>
      <c r="F320" s="87">
        <f t="shared" si="31"/>
        <v>266.60275200000001</v>
      </c>
      <c r="G320" s="185" t="str">
        <f t="shared" si="32"/>
        <v>2nd Floor</v>
      </c>
      <c r="H320" s="187"/>
      <c r="I320" s="44"/>
      <c r="L320" s="163"/>
      <c r="M320" s="163"/>
      <c r="N320" s="44"/>
    </row>
    <row r="321" spans="1:14" s="88" customFormat="1">
      <c r="A321" s="185">
        <f t="shared" si="33"/>
        <v>5</v>
      </c>
      <c r="B321" s="187"/>
      <c r="C321" s="87" t="s">
        <v>203</v>
      </c>
      <c r="D321" s="94">
        <f>15.48*(10.764)</f>
        <v>166.62672000000001</v>
      </c>
      <c r="E321" s="87">
        <v>0</v>
      </c>
      <c r="F321" s="87">
        <f t="shared" si="31"/>
        <v>266.60275200000001</v>
      </c>
      <c r="G321" s="185" t="str">
        <f t="shared" si="32"/>
        <v>2nd Floor</v>
      </c>
      <c r="H321" s="187"/>
      <c r="I321" s="44"/>
      <c r="L321" s="163"/>
      <c r="M321" s="163"/>
      <c r="N321" s="44"/>
    </row>
    <row r="322" spans="1:14" s="88" customFormat="1">
      <c r="A322" s="185">
        <f t="shared" si="33"/>
        <v>6</v>
      </c>
      <c r="B322" s="187"/>
      <c r="C322" s="87" t="s">
        <v>203</v>
      </c>
      <c r="D322" s="94">
        <f>11.88*(10.764)</f>
        <v>127.87632000000001</v>
      </c>
      <c r="E322" s="87">
        <v>0</v>
      </c>
      <c r="F322" s="87">
        <f t="shared" si="31"/>
        <v>204.60211200000003</v>
      </c>
      <c r="G322" s="185" t="str">
        <f t="shared" si="32"/>
        <v>2nd Floor</v>
      </c>
      <c r="H322" s="187"/>
      <c r="I322" s="44"/>
      <c r="L322" s="163"/>
      <c r="M322" s="163"/>
      <c r="N322" s="44"/>
    </row>
    <row r="323" spans="1:14" s="88" customFormat="1">
      <c r="A323" s="185">
        <f t="shared" si="33"/>
        <v>7</v>
      </c>
      <c r="B323" s="187"/>
      <c r="C323" s="87" t="s">
        <v>203</v>
      </c>
      <c r="D323" s="94">
        <f>11.88*(10.764)</f>
        <v>127.87632000000001</v>
      </c>
      <c r="E323" s="87">
        <v>0</v>
      </c>
      <c r="F323" s="87">
        <f t="shared" si="31"/>
        <v>204.60211200000003</v>
      </c>
      <c r="G323" s="185" t="str">
        <f t="shared" si="32"/>
        <v>2nd Floor</v>
      </c>
      <c r="H323" s="187"/>
      <c r="I323" s="44"/>
      <c r="L323" s="163"/>
      <c r="M323" s="163"/>
      <c r="N323" s="44"/>
    </row>
    <row r="324" spans="1:14" s="88" customFormat="1">
      <c r="A324" s="185">
        <f>A323+1</f>
        <v>8</v>
      </c>
      <c r="B324" s="187"/>
      <c r="C324" s="87" t="s">
        <v>203</v>
      </c>
      <c r="D324" s="94">
        <f>12.8*(10.764)</f>
        <v>137.7792</v>
      </c>
      <c r="E324" s="87">
        <v>0</v>
      </c>
      <c r="F324" s="87">
        <f t="shared" si="31"/>
        <v>220.44672000000003</v>
      </c>
      <c r="G324" s="185" t="str">
        <f t="shared" si="32"/>
        <v>2nd Floor</v>
      </c>
      <c r="H324" s="187"/>
      <c r="I324" s="44"/>
      <c r="L324" s="163"/>
      <c r="M324" s="163"/>
      <c r="N324" s="44"/>
    </row>
    <row r="325" spans="1:14" s="88" customFormat="1">
      <c r="A325" s="185">
        <f t="shared" ref="A325:A355" si="34">A324+1</f>
        <v>9</v>
      </c>
      <c r="B325" s="187"/>
      <c r="C325" s="87" t="s">
        <v>203</v>
      </c>
      <c r="D325" s="94">
        <f>21.66*(10.764)</f>
        <v>233.14823999999999</v>
      </c>
      <c r="E325" s="87">
        <v>0</v>
      </c>
      <c r="F325" s="87">
        <f t="shared" si="31"/>
        <v>373.03718400000002</v>
      </c>
      <c r="G325" s="185" t="str">
        <f t="shared" si="32"/>
        <v>2nd Floor</v>
      </c>
      <c r="H325" s="187"/>
      <c r="I325" s="44"/>
      <c r="L325" s="163"/>
      <c r="M325" s="163"/>
      <c r="N325" s="44"/>
    </row>
    <row r="326" spans="1:14" s="88" customFormat="1">
      <c r="A326" s="185">
        <f t="shared" si="34"/>
        <v>10</v>
      </c>
      <c r="B326" s="187"/>
      <c r="C326" s="87" t="s">
        <v>203</v>
      </c>
      <c r="D326" s="94">
        <f>20.08*(10.764)</f>
        <v>216.14111999999997</v>
      </c>
      <c r="E326" s="87">
        <v>0</v>
      </c>
      <c r="F326" s="87">
        <f t="shared" si="31"/>
        <v>345.82579199999998</v>
      </c>
      <c r="G326" s="185" t="str">
        <f t="shared" si="32"/>
        <v>2nd Floor</v>
      </c>
      <c r="H326" s="187"/>
      <c r="I326" s="44"/>
      <c r="L326" s="163"/>
      <c r="M326" s="163"/>
      <c r="N326" s="44"/>
    </row>
    <row r="327" spans="1:14" s="88" customFormat="1">
      <c r="A327" s="185">
        <f t="shared" si="34"/>
        <v>11</v>
      </c>
      <c r="B327" s="187"/>
      <c r="C327" s="87" t="s">
        <v>203</v>
      </c>
      <c r="D327" s="94">
        <f>20.08*(10.764)</f>
        <v>216.14111999999997</v>
      </c>
      <c r="E327" s="87">
        <v>0</v>
      </c>
      <c r="F327" s="87">
        <f t="shared" si="31"/>
        <v>345.82579199999998</v>
      </c>
      <c r="G327" s="185" t="str">
        <f t="shared" si="32"/>
        <v>2nd Floor</v>
      </c>
      <c r="H327" s="187"/>
      <c r="I327" s="44"/>
      <c r="L327" s="163"/>
      <c r="M327" s="163"/>
      <c r="N327" s="44"/>
    </row>
    <row r="328" spans="1:14" s="88" customFormat="1">
      <c r="A328" s="185">
        <f t="shared" si="34"/>
        <v>12</v>
      </c>
      <c r="B328" s="187"/>
      <c r="C328" s="87" t="s">
        <v>203</v>
      </c>
      <c r="D328" s="94">
        <f>26.17*(10.764)</f>
        <v>281.69387999999998</v>
      </c>
      <c r="E328" s="87">
        <v>0</v>
      </c>
      <c r="F328" s="87">
        <f t="shared" si="31"/>
        <v>450.71020799999997</v>
      </c>
      <c r="G328" s="185" t="str">
        <f t="shared" si="32"/>
        <v>2nd Floor</v>
      </c>
      <c r="H328" s="187"/>
      <c r="I328" s="44"/>
      <c r="L328" s="163"/>
      <c r="M328" s="163"/>
      <c r="N328" s="44"/>
    </row>
    <row r="329" spans="1:14" s="88" customFormat="1">
      <c r="A329" s="185">
        <f t="shared" si="34"/>
        <v>13</v>
      </c>
      <c r="B329" s="187"/>
      <c r="C329" s="87" t="s">
        <v>203</v>
      </c>
      <c r="D329" s="94">
        <f>26.17*(10.764)</f>
        <v>281.69387999999998</v>
      </c>
      <c r="E329" s="87">
        <v>0</v>
      </c>
      <c r="F329" s="87">
        <f t="shared" si="31"/>
        <v>450.71020799999997</v>
      </c>
      <c r="G329" s="185" t="str">
        <f t="shared" si="32"/>
        <v>2nd Floor</v>
      </c>
      <c r="H329" s="187"/>
      <c r="I329" s="44"/>
      <c r="L329" s="163"/>
      <c r="M329" s="163"/>
      <c r="N329" s="44"/>
    </row>
    <row r="330" spans="1:14" s="88" customFormat="1">
      <c r="A330" s="185">
        <f t="shared" si="34"/>
        <v>14</v>
      </c>
      <c r="B330" s="187"/>
      <c r="C330" s="87" t="s">
        <v>203</v>
      </c>
      <c r="D330" s="94">
        <f>29.98*(10.764)</f>
        <v>322.70472000000001</v>
      </c>
      <c r="E330" s="87">
        <v>0</v>
      </c>
      <c r="F330" s="87">
        <f t="shared" si="31"/>
        <v>516.32755200000008</v>
      </c>
      <c r="G330" s="185" t="str">
        <f t="shared" si="32"/>
        <v>2nd Floor</v>
      </c>
      <c r="H330" s="187"/>
      <c r="I330" s="44"/>
      <c r="L330" s="163"/>
      <c r="M330" s="163"/>
      <c r="N330" s="44"/>
    </row>
    <row r="331" spans="1:14" s="88" customFormat="1">
      <c r="A331" s="185">
        <f t="shared" si="34"/>
        <v>15</v>
      </c>
      <c r="B331" s="187"/>
      <c r="C331" s="87" t="s">
        <v>203</v>
      </c>
      <c r="D331" s="94">
        <f>22.26*(10.764)</f>
        <v>239.60664</v>
      </c>
      <c r="E331" s="87">
        <v>0</v>
      </c>
      <c r="F331" s="87">
        <f t="shared" si="31"/>
        <v>383.37062400000002</v>
      </c>
      <c r="G331" s="185" t="str">
        <f t="shared" si="32"/>
        <v>2nd Floor</v>
      </c>
      <c r="H331" s="187"/>
      <c r="I331" s="44"/>
      <c r="L331" s="163"/>
      <c r="M331" s="163"/>
      <c r="N331" s="44"/>
    </row>
    <row r="332" spans="1:14" s="88" customFormat="1">
      <c r="A332" s="185">
        <f t="shared" si="34"/>
        <v>16</v>
      </c>
      <c r="B332" s="187"/>
      <c r="C332" s="87" t="s">
        <v>203</v>
      </c>
      <c r="D332" s="94">
        <f>21.7*(10.764)</f>
        <v>233.57879999999997</v>
      </c>
      <c r="E332" s="87">
        <v>0</v>
      </c>
      <c r="F332" s="87">
        <f t="shared" si="31"/>
        <v>373.72607999999997</v>
      </c>
      <c r="G332" s="185" t="str">
        <f t="shared" si="32"/>
        <v>2nd Floor</v>
      </c>
      <c r="H332" s="187"/>
      <c r="I332" s="44" t="s">
        <v>254</v>
      </c>
      <c r="L332" s="163"/>
      <c r="M332" s="163"/>
      <c r="N332" s="44"/>
    </row>
    <row r="333" spans="1:14" s="88" customFormat="1">
      <c r="A333" s="185">
        <f t="shared" si="34"/>
        <v>17</v>
      </c>
      <c r="B333" s="187"/>
      <c r="C333" s="87" t="s">
        <v>203</v>
      </c>
      <c r="D333" s="94">
        <f>28*(10.764)</f>
        <v>301.392</v>
      </c>
      <c r="E333" s="87">
        <v>0</v>
      </c>
      <c r="F333" s="87">
        <f t="shared" si="31"/>
        <v>482.22720000000004</v>
      </c>
      <c r="G333" s="185" t="str">
        <f t="shared" si="32"/>
        <v>2nd Floor</v>
      </c>
      <c r="H333" s="187"/>
      <c r="I333" s="44"/>
      <c r="L333" s="163"/>
      <c r="M333" s="163"/>
      <c r="N333" s="44"/>
    </row>
    <row r="334" spans="1:14" s="88" customFormat="1">
      <c r="A334" s="185">
        <f t="shared" si="34"/>
        <v>18</v>
      </c>
      <c r="B334" s="187"/>
      <c r="C334" s="87" t="s">
        <v>203</v>
      </c>
      <c r="D334" s="94">
        <f>21.33*(10.764)</f>
        <v>229.59611999999996</v>
      </c>
      <c r="E334" s="87">
        <v>0</v>
      </c>
      <c r="F334" s="87">
        <f t="shared" si="31"/>
        <v>367.35379199999994</v>
      </c>
      <c r="G334" s="185" t="str">
        <f t="shared" si="32"/>
        <v>2nd Floor</v>
      </c>
      <c r="H334" s="187"/>
      <c r="I334" s="44"/>
      <c r="L334" s="163"/>
      <c r="M334" s="163"/>
      <c r="N334" s="44"/>
    </row>
    <row r="335" spans="1:14" s="88" customFormat="1">
      <c r="A335" s="185">
        <f t="shared" si="34"/>
        <v>19</v>
      </c>
      <c r="B335" s="187"/>
      <c r="C335" s="87" t="s">
        <v>203</v>
      </c>
      <c r="D335" s="94">
        <f>20.95*(10.764)</f>
        <v>225.50579999999997</v>
      </c>
      <c r="E335" s="87">
        <v>0</v>
      </c>
      <c r="F335" s="87">
        <f t="shared" si="31"/>
        <v>360.80927999999994</v>
      </c>
      <c r="G335" s="185" t="str">
        <f t="shared" si="32"/>
        <v>2nd Floor</v>
      </c>
      <c r="H335" s="187"/>
      <c r="I335" s="44"/>
      <c r="L335" s="163"/>
      <c r="M335" s="163"/>
      <c r="N335" s="44"/>
    </row>
    <row r="336" spans="1:14" s="88" customFormat="1">
      <c r="A336" s="185">
        <f t="shared" si="34"/>
        <v>20</v>
      </c>
      <c r="B336" s="187"/>
      <c r="C336" s="87" t="s">
        <v>203</v>
      </c>
      <c r="D336" s="94">
        <f>22.14*(10.764)</f>
        <v>238.31495999999999</v>
      </c>
      <c r="E336" s="87">
        <v>0</v>
      </c>
      <c r="F336" s="87">
        <f t="shared" si="31"/>
        <v>381.30393600000002</v>
      </c>
      <c r="G336" s="185" t="str">
        <f t="shared" si="32"/>
        <v>2nd Floor</v>
      </c>
      <c r="H336" s="187"/>
      <c r="I336" s="44"/>
      <c r="L336" s="163"/>
      <c r="M336" s="163"/>
      <c r="N336" s="44"/>
    </row>
    <row r="337" spans="1:14" s="88" customFormat="1">
      <c r="A337" s="185">
        <f t="shared" si="34"/>
        <v>21</v>
      </c>
      <c r="B337" s="187"/>
      <c r="C337" s="87" t="s">
        <v>203</v>
      </c>
      <c r="D337" s="94">
        <f>17.43*(10.764)</f>
        <v>187.61651999999998</v>
      </c>
      <c r="E337" s="87">
        <v>0</v>
      </c>
      <c r="F337" s="87">
        <f t="shared" si="31"/>
        <v>300.18643199999997</v>
      </c>
      <c r="G337" s="185" t="str">
        <f t="shared" si="32"/>
        <v>2nd Floor</v>
      </c>
      <c r="H337" s="187"/>
      <c r="I337" s="44"/>
      <c r="L337" s="163"/>
      <c r="M337" s="163"/>
      <c r="N337" s="44"/>
    </row>
    <row r="338" spans="1:14" s="88" customFormat="1">
      <c r="A338" s="185">
        <f t="shared" si="34"/>
        <v>22</v>
      </c>
      <c r="B338" s="187"/>
      <c r="C338" s="87" t="s">
        <v>203</v>
      </c>
      <c r="D338" s="94">
        <f>21.66*(10.764)</f>
        <v>233.14823999999999</v>
      </c>
      <c r="E338" s="87">
        <v>0</v>
      </c>
      <c r="F338" s="87">
        <f t="shared" si="31"/>
        <v>373.03718400000002</v>
      </c>
      <c r="G338" s="185" t="str">
        <f t="shared" si="32"/>
        <v>2nd Floor</v>
      </c>
      <c r="H338" s="187"/>
      <c r="I338" s="44"/>
      <c r="L338" s="163"/>
      <c r="M338" s="163"/>
      <c r="N338" s="44"/>
    </row>
    <row r="339" spans="1:14" s="88" customFormat="1">
      <c r="A339" s="185">
        <f t="shared" si="34"/>
        <v>23</v>
      </c>
      <c r="B339" s="187"/>
      <c r="C339" s="87" t="s">
        <v>203</v>
      </c>
      <c r="D339" s="94">
        <f>35.58*(10.764)</f>
        <v>382.98311999999999</v>
      </c>
      <c r="E339" s="87">
        <v>0</v>
      </c>
      <c r="F339" s="87">
        <f t="shared" si="31"/>
        <v>612.77299200000004</v>
      </c>
      <c r="G339" s="185" t="str">
        <f t="shared" si="32"/>
        <v>2nd Floor</v>
      </c>
      <c r="H339" s="187"/>
      <c r="I339" s="44"/>
      <c r="L339" s="163"/>
      <c r="M339" s="163"/>
      <c r="N339" s="44"/>
    </row>
    <row r="340" spans="1:14" s="88" customFormat="1">
      <c r="A340" s="185">
        <f t="shared" si="34"/>
        <v>24</v>
      </c>
      <c r="B340" s="187"/>
      <c r="C340" s="87" t="s">
        <v>203</v>
      </c>
      <c r="D340" s="94">
        <f>21.3*(10.764)</f>
        <v>229.2732</v>
      </c>
      <c r="E340" s="87">
        <v>0</v>
      </c>
      <c r="F340" s="87">
        <f t="shared" si="31"/>
        <v>366.83712000000003</v>
      </c>
      <c r="G340" s="185" t="str">
        <f t="shared" si="32"/>
        <v>2nd Floor</v>
      </c>
      <c r="H340" s="187"/>
      <c r="I340" s="44"/>
      <c r="L340" s="163"/>
      <c r="M340" s="163"/>
      <c r="N340" s="44"/>
    </row>
    <row r="341" spans="1:14" s="88" customFormat="1">
      <c r="A341" s="185">
        <f t="shared" si="34"/>
        <v>25</v>
      </c>
      <c r="B341" s="187"/>
      <c r="C341" s="87" t="s">
        <v>203</v>
      </c>
      <c r="D341" s="94">
        <f>21.66*(10.764)</f>
        <v>233.14823999999999</v>
      </c>
      <c r="E341" s="87">
        <v>0</v>
      </c>
      <c r="F341" s="87">
        <f t="shared" si="31"/>
        <v>373.03718400000002</v>
      </c>
      <c r="G341" s="185" t="str">
        <f t="shared" si="32"/>
        <v>2nd Floor</v>
      </c>
      <c r="H341" s="187"/>
      <c r="I341" s="44"/>
      <c r="L341" s="163"/>
      <c r="M341" s="163"/>
      <c r="N341" s="44"/>
    </row>
    <row r="342" spans="1:14" s="88" customFormat="1">
      <c r="A342" s="185">
        <f t="shared" si="34"/>
        <v>26</v>
      </c>
      <c r="B342" s="187"/>
      <c r="C342" s="87" t="s">
        <v>203</v>
      </c>
      <c r="D342" s="94">
        <f>28.29*(10.764)</f>
        <v>304.51355999999998</v>
      </c>
      <c r="E342" s="87">
        <v>0</v>
      </c>
      <c r="F342" s="87">
        <f t="shared" si="31"/>
        <v>487.22169600000001</v>
      </c>
      <c r="G342" s="185" t="str">
        <f t="shared" si="32"/>
        <v>2nd Floor</v>
      </c>
      <c r="H342" s="187"/>
      <c r="I342" s="44"/>
      <c r="L342" s="163"/>
      <c r="M342" s="163"/>
      <c r="N342" s="44"/>
    </row>
    <row r="343" spans="1:14" s="88" customFormat="1">
      <c r="A343" s="185">
        <f t="shared" si="34"/>
        <v>27</v>
      </c>
      <c r="B343" s="187"/>
      <c r="C343" s="87" t="s">
        <v>203</v>
      </c>
      <c r="D343" s="94">
        <f>29.94*(10.764)</f>
        <v>322.27415999999999</v>
      </c>
      <c r="E343" s="87">
        <v>0</v>
      </c>
      <c r="F343" s="87">
        <f t="shared" si="31"/>
        <v>515.63865599999997</v>
      </c>
      <c r="G343" s="185" t="str">
        <f t="shared" si="32"/>
        <v>2nd Floor</v>
      </c>
      <c r="H343" s="187"/>
      <c r="I343" s="44"/>
      <c r="L343" s="163"/>
      <c r="M343" s="163"/>
      <c r="N343" s="44"/>
    </row>
    <row r="344" spans="1:14" s="88" customFormat="1">
      <c r="A344" s="185">
        <f t="shared" si="34"/>
        <v>28</v>
      </c>
      <c r="B344" s="187"/>
      <c r="C344" s="87" t="s">
        <v>203</v>
      </c>
      <c r="D344" s="94">
        <f>21.66*(10.764)</f>
        <v>233.14823999999999</v>
      </c>
      <c r="E344" s="87">
        <v>0</v>
      </c>
      <c r="F344" s="87">
        <f t="shared" si="31"/>
        <v>373.03718400000002</v>
      </c>
      <c r="G344" s="185" t="str">
        <f t="shared" si="32"/>
        <v>2nd Floor</v>
      </c>
      <c r="H344" s="187"/>
      <c r="I344" s="44"/>
      <c r="L344" s="163"/>
      <c r="M344" s="163"/>
      <c r="N344" s="44"/>
    </row>
    <row r="345" spans="1:14" s="88" customFormat="1">
      <c r="A345" s="185">
        <f t="shared" si="34"/>
        <v>29</v>
      </c>
      <c r="B345" s="187"/>
      <c r="C345" s="87" t="s">
        <v>203</v>
      </c>
      <c r="D345" s="94">
        <f>21.66*(10.764)</f>
        <v>233.14823999999999</v>
      </c>
      <c r="E345" s="87">
        <v>0</v>
      </c>
      <c r="F345" s="87">
        <f t="shared" si="31"/>
        <v>373.03718400000002</v>
      </c>
      <c r="G345" s="185" t="str">
        <f t="shared" si="32"/>
        <v>2nd Floor</v>
      </c>
      <c r="H345" s="187"/>
      <c r="I345" s="44"/>
      <c r="L345" s="163"/>
      <c r="M345" s="163"/>
      <c r="N345" s="44"/>
    </row>
    <row r="346" spans="1:14" s="88" customFormat="1">
      <c r="A346" s="185">
        <f t="shared" si="34"/>
        <v>30</v>
      </c>
      <c r="B346" s="187"/>
      <c r="C346" s="87" t="s">
        <v>203</v>
      </c>
      <c r="D346" s="94">
        <f>21.66*(10.764)</f>
        <v>233.14823999999999</v>
      </c>
      <c r="E346" s="87">
        <v>0</v>
      </c>
      <c r="F346" s="87">
        <f t="shared" si="31"/>
        <v>373.03718400000002</v>
      </c>
      <c r="G346" s="185" t="str">
        <f t="shared" si="32"/>
        <v>2nd Floor</v>
      </c>
      <c r="H346" s="187"/>
      <c r="I346" s="44"/>
      <c r="L346" s="163"/>
      <c r="M346" s="163"/>
      <c r="N346" s="44"/>
    </row>
    <row r="347" spans="1:14" s="88" customFormat="1">
      <c r="A347" s="185">
        <f t="shared" si="34"/>
        <v>31</v>
      </c>
      <c r="B347" s="187"/>
      <c r="C347" s="87" t="s">
        <v>203</v>
      </c>
      <c r="D347" s="94">
        <f>21.66*(10.764)</f>
        <v>233.14823999999999</v>
      </c>
      <c r="E347" s="87">
        <v>0</v>
      </c>
      <c r="F347" s="87">
        <f t="shared" si="31"/>
        <v>373.03718400000002</v>
      </c>
      <c r="G347" s="185" t="str">
        <f t="shared" si="32"/>
        <v>2nd Floor</v>
      </c>
      <c r="H347" s="187"/>
      <c r="I347" s="44"/>
      <c r="L347" s="163"/>
      <c r="M347" s="163"/>
      <c r="N347" s="44"/>
    </row>
    <row r="348" spans="1:14" s="88" customFormat="1">
      <c r="A348" s="185">
        <f t="shared" si="34"/>
        <v>32</v>
      </c>
      <c r="B348" s="187"/>
      <c r="C348" s="87" t="s">
        <v>203</v>
      </c>
      <c r="D348" s="94">
        <f>18.6*(10.764)</f>
        <v>200.21039999999999</v>
      </c>
      <c r="E348" s="87">
        <v>0</v>
      </c>
      <c r="F348" s="87">
        <f t="shared" si="31"/>
        <v>320.33663999999999</v>
      </c>
      <c r="G348" s="185" t="str">
        <f t="shared" si="32"/>
        <v>2nd Floor</v>
      </c>
      <c r="H348" s="187"/>
      <c r="I348" s="44"/>
      <c r="L348" s="163"/>
      <c r="M348" s="163"/>
      <c r="N348" s="44"/>
    </row>
    <row r="349" spans="1:14" s="88" customFormat="1">
      <c r="A349" s="185">
        <f t="shared" si="34"/>
        <v>33</v>
      </c>
      <c r="B349" s="187"/>
      <c r="C349" s="87" t="s">
        <v>203</v>
      </c>
      <c r="D349" s="94">
        <f>19.72*(10.764)</f>
        <v>212.26607999999999</v>
      </c>
      <c r="E349" s="87">
        <v>0</v>
      </c>
      <c r="F349" s="87">
        <f t="shared" si="31"/>
        <v>339.62572799999998</v>
      </c>
      <c r="G349" s="185" t="str">
        <f t="shared" si="32"/>
        <v>2nd Floor</v>
      </c>
      <c r="H349" s="187"/>
      <c r="I349" s="44"/>
      <c r="L349" s="163"/>
      <c r="M349" s="163"/>
      <c r="N349" s="44"/>
    </row>
    <row r="350" spans="1:14" s="88" customFormat="1">
      <c r="A350" s="185">
        <f t="shared" si="34"/>
        <v>34</v>
      </c>
      <c r="B350" s="187"/>
      <c r="C350" s="87" t="s">
        <v>203</v>
      </c>
      <c r="D350" s="94">
        <f>12.81*(10.764)</f>
        <v>137.88684000000001</v>
      </c>
      <c r="E350" s="87">
        <v>0</v>
      </c>
      <c r="F350" s="87">
        <f t="shared" si="31"/>
        <v>220.61894400000003</v>
      </c>
      <c r="G350" s="185" t="str">
        <f t="shared" si="32"/>
        <v>2nd Floor</v>
      </c>
      <c r="H350" s="187"/>
      <c r="I350" s="44"/>
      <c r="L350" s="163"/>
      <c r="M350" s="163"/>
      <c r="N350" s="44"/>
    </row>
    <row r="351" spans="1:14" s="88" customFormat="1">
      <c r="A351" s="185">
        <f t="shared" si="34"/>
        <v>35</v>
      </c>
      <c r="B351" s="187"/>
      <c r="C351" s="87" t="s">
        <v>203</v>
      </c>
      <c r="D351" s="94">
        <f>12.81*(10.764)</f>
        <v>137.88684000000001</v>
      </c>
      <c r="E351" s="87">
        <v>0</v>
      </c>
      <c r="F351" s="87">
        <f t="shared" si="31"/>
        <v>220.61894400000003</v>
      </c>
      <c r="G351" s="185" t="str">
        <f t="shared" si="32"/>
        <v>2nd Floor</v>
      </c>
      <c r="H351" s="187"/>
      <c r="I351" s="44"/>
      <c r="L351" s="163"/>
      <c r="M351" s="163"/>
      <c r="N351" s="44"/>
    </row>
    <row r="352" spans="1:14" s="88" customFormat="1">
      <c r="A352" s="185">
        <f t="shared" si="34"/>
        <v>36</v>
      </c>
      <c r="B352" s="187"/>
      <c r="C352" s="87" t="s">
        <v>203</v>
      </c>
      <c r="D352" s="94">
        <f>17.69*(10.764)</f>
        <v>190.41516000000001</v>
      </c>
      <c r="E352" s="87">
        <v>0</v>
      </c>
      <c r="F352" s="87">
        <f t="shared" si="31"/>
        <v>304.66425600000002</v>
      </c>
      <c r="G352" s="185" t="str">
        <f t="shared" si="32"/>
        <v>2nd Floor</v>
      </c>
      <c r="H352" s="187"/>
      <c r="I352" s="44"/>
      <c r="L352" s="163"/>
      <c r="M352" s="163"/>
      <c r="N352" s="44"/>
    </row>
    <row r="353" spans="1:14" s="88" customFormat="1">
      <c r="A353" s="185">
        <f t="shared" si="34"/>
        <v>37</v>
      </c>
      <c r="B353" s="187"/>
      <c r="C353" s="87" t="s">
        <v>203</v>
      </c>
      <c r="D353" s="94">
        <f>16.72*(10.764)</f>
        <v>179.97407999999999</v>
      </c>
      <c r="E353" s="87">
        <v>0</v>
      </c>
      <c r="F353" s="87">
        <f t="shared" si="31"/>
        <v>287.958528</v>
      </c>
      <c r="G353" s="185" t="str">
        <f t="shared" si="32"/>
        <v>2nd Floor</v>
      </c>
      <c r="H353" s="187"/>
      <c r="I353" s="44"/>
      <c r="L353" s="163"/>
      <c r="M353" s="163"/>
      <c r="N353" s="44"/>
    </row>
    <row r="354" spans="1:14" s="88" customFormat="1">
      <c r="A354" s="185">
        <f t="shared" si="34"/>
        <v>38</v>
      </c>
      <c r="B354" s="187"/>
      <c r="C354" s="87" t="s">
        <v>203</v>
      </c>
      <c r="D354" s="94">
        <f>12.81*(10.764)</f>
        <v>137.88684000000001</v>
      </c>
      <c r="E354" s="87">
        <v>0</v>
      </c>
      <c r="F354" s="87">
        <f t="shared" si="31"/>
        <v>220.61894400000003</v>
      </c>
      <c r="G354" s="185" t="str">
        <f t="shared" si="32"/>
        <v>2nd Floor</v>
      </c>
      <c r="H354" s="187"/>
      <c r="I354" s="44"/>
      <c r="L354" s="163"/>
      <c r="M354" s="163"/>
      <c r="N354" s="44"/>
    </row>
    <row r="355" spans="1:14" s="88" customFormat="1">
      <c r="A355" s="185">
        <f t="shared" si="34"/>
        <v>39</v>
      </c>
      <c r="B355" s="187"/>
      <c r="C355" s="87" t="s">
        <v>203</v>
      </c>
      <c r="D355" s="94">
        <f>23.16*(10.764)</f>
        <v>249.29423999999997</v>
      </c>
      <c r="E355" s="87">
        <v>0</v>
      </c>
      <c r="F355" s="87">
        <f t="shared" si="31"/>
        <v>398.87078399999996</v>
      </c>
      <c r="G355" s="185" t="str">
        <f t="shared" si="32"/>
        <v>2nd Floor</v>
      </c>
      <c r="H355" s="187"/>
      <c r="I355" s="44"/>
      <c r="J355" s="88">
        <f>4.57*4.15+2.45*1.66</f>
        <v>23.032500000000002</v>
      </c>
      <c r="L355" s="163"/>
      <c r="M355" s="163"/>
      <c r="N355" s="44"/>
    </row>
    <row r="356" spans="1:14" s="46" customFormat="1">
      <c r="A356" s="185"/>
      <c r="B356" s="186"/>
      <c r="C356" s="186"/>
      <c r="D356" s="186"/>
      <c r="E356" s="186"/>
      <c r="F356" s="186"/>
      <c r="G356" s="186"/>
      <c r="H356" s="187"/>
      <c r="I356" s="44"/>
      <c r="N356" s="44"/>
    </row>
    <row r="357" spans="1:14" ht="47.25" customHeight="1">
      <c r="A357" s="230" t="s">
        <v>163</v>
      </c>
      <c r="B357" s="230" t="s">
        <v>164</v>
      </c>
      <c r="C357" s="228" t="s">
        <v>65</v>
      </c>
      <c r="D357" s="228" t="s">
        <v>66</v>
      </c>
      <c r="E357" s="235" t="s">
        <v>67</v>
      </c>
      <c r="F357" s="47" t="s">
        <v>160</v>
      </c>
      <c r="G357" s="230" t="s">
        <v>68</v>
      </c>
      <c r="H357" s="237"/>
      <c r="I357" s="44"/>
    </row>
    <row r="358" spans="1:14" s="46" customFormat="1">
      <c r="A358" s="231"/>
      <c r="B358" s="231"/>
      <c r="C358" s="229"/>
      <c r="D358" s="229"/>
      <c r="E358" s="236"/>
      <c r="F358" s="42">
        <v>0.6</v>
      </c>
      <c r="G358" s="231"/>
      <c r="H358" s="238"/>
      <c r="I358" s="44"/>
    </row>
    <row r="359" spans="1:14" s="116" customFormat="1">
      <c r="A359" s="294" t="s">
        <v>236</v>
      </c>
      <c r="B359" s="294"/>
      <c r="C359" s="294"/>
      <c r="D359" s="294"/>
      <c r="E359" s="294"/>
      <c r="F359" s="294"/>
      <c r="G359" s="294"/>
      <c r="H359" s="294"/>
      <c r="I359" s="115"/>
      <c r="L359" s="295"/>
      <c r="M359" s="295"/>
    </row>
    <row r="360" spans="1:14" s="88" customFormat="1">
      <c r="A360" s="162" t="s">
        <v>272</v>
      </c>
      <c r="B360" s="162"/>
      <c r="C360" s="162"/>
      <c r="D360" s="162"/>
      <c r="E360" s="162"/>
      <c r="F360" s="162"/>
      <c r="G360" s="162"/>
      <c r="H360" s="162"/>
      <c r="I360" s="44"/>
      <c r="L360" s="163"/>
      <c r="M360" s="163"/>
    </row>
    <row r="361" spans="1:14" s="2" customFormat="1">
      <c r="A361" s="162" t="s">
        <v>222</v>
      </c>
      <c r="B361" s="162"/>
      <c r="C361" s="162"/>
      <c r="D361" s="162"/>
      <c r="E361" s="162"/>
      <c r="F361" s="162"/>
      <c r="G361" s="162"/>
      <c r="H361" s="162"/>
      <c r="I361" s="44"/>
      <c r="L361" s="163"/>
      <c r="M361" s="163"/>
    </row>
    <row r="362" spans="1:14" s="2" customFormat="1" ht="15.75" customHeight="1">
      <c r="A362" s="164">
        <f>LEFT(A361,SUM(LEN(A361)-LEN(SUBSTITUTE(A361,{"0","1","3","4","5","6","7","8","9"},""))))*100+1</f>
        <v>301</v>
      </c>
      <c r="B362" s="164"/>
      <c r="C362" s="19" t="s">
        <v>204</v>
      </c>
      <c r="D362" s="19">
        <f>54.59*10.764</f>
        <v>587.60676000000001</v>
      </c>
      <c r="E362" s="19">
        <f>(2.85*4.3+2.6*0.6+2.9*0.9+1.2*1.3+1.75*1.9+2.9*8.2)*10.764</f>
        <v>485.34875999999991</v>
      </c>
      <c r="F362" s="48">
        <f>D362*(($F$358)+1)+E362/5</f>
        <v>1037.2405679999999</v>
      </c>
      <c r="G362" s="165" t="str">
        <f>A361</f>
        <v>3rd Floor For Residential</v>
      </c>
      <c r="H362" s="166"/>
      <c r="I362" s="93" t="s">
        <v>221</v>
      </c>
      <c r="J362" s="2">
        <f>3*4+2.1*3.65+2.75*3.35+2.85*3.35+1*0.5+1.99*1.2+1.2*2.1+1.35*2.25+5.2*0.9</f>
        <v>51.5505</v>
      </c>
      <c r="K362" s="2">
        <f>2.85*4.3+2.6*0.6+2.9*0.9+1.2*1.3+1.75*1.9+2.9*8.2</f>
        <v>45.089999999999996</v>
      </c>
      <c r="L362" s="55">
        <f>7200*F362</f>
        <v>7468132.0895999996</v>
      </c>
      <c r="M362" s="55"/>
      <c r="N362" s="44"/>
    </row>
    <row r="363" spans="1:14" s="2" customFormat="1" ht="15.75" customHeight="1">
      <c r="A363" s="164">
        <f>A362+1</f>
        <v>302</v>
      </c>
      <c r="B363" s="164"/>
      <c r="C363" s="74" t="s">
        <v>204</v>
      </c>
      <c r="D363" s="19">
        <f>(54.06+0.75*(2.1+2.8+2.8))*10.764</f>
        <v>644.06394</v>
      </c>
      <c r="E363" s="74">
        <f>(3.2*3.9+5.3*1.2+3.9*2.9+1*1.4+6.4*0.4+3*3.1)*10.764</f>
        <v>467.26523999999995</v>
      </c>
      <c r="F363" s="48">
        <f>D363*(($F$358)+1)+E363/4</f>
        <v>1147.318614</v>
      </c>
      <c r="G363" s="167" t="str">
        <f t="shared" ref="G363:G370" si="35">G362</f>
        <v>3rd Floor For Residential</v>
      </c>
      <c r="H363" s="168"/>
      <c r="I363" s="44"/>
      <c r="J363" s="2">
        <f>3*4.8+3.88*2.1+3.88*3.27+4.18*2.65+1.2*1.8+1.95*1.2+3*0.9</f>
        <v>53.512600000000006</v>
      </c>
      <c r="L363" s="55"/>
      <c r="M363" s="55"/>
      <c r="N363" s="44"/>
    </row>
    <row r="364" spans="1:14" s="2" customFormat="1" ht="15.75" customHeight="1">
      <c r="A364" s="164">
        <f>A363+1</f>
        <v>303</v>
      </c>
      <c r="B364" s="164"/>
      <c r="C364" s="74" t="s">
        <v>152</v>
      </c>
      <c r="D364" s="19">
        <f>63.36*10.764</f>
        <v>682.00703999999996</v>
      </c>
      <c r="E364" s="56">
        <f>(3*4.1+5.7*2+3.9*4.35+2.8*1.9)*10.764</f>
        <v>494.98253999999997</v>
      </c>
      <c r="F364" s="48">
        <f t="shared" ref="F364:F367" si="36">D364*(($F$358)+1)+E364</f>
        <v>1586.193804</v>
      </c>
      <c r="G364" s="167" t="str">
        <f t="shared" si="35"/>
        <v>3rd Floor For Residential</v>
      </c>
      <c r="H364" s="168"/>
      <c r="I364" s="44">
        <f>7800000/F364</f>
        <v>4917.4318928306693</v>
      </c>
      <c r="L364" s="55"/>
      <c r="M364" s="55"/>
      <c r="N364" s="44"/>
    </row>
    <row r="365" spans="1:14" s="2" customFormat="1" ht="15.75" customHeight="1">
      <c r="A365" s="164">
        <f t="shared" ref="A365:A370" si="37">A364+1</f>
        <v>304</v>
      </c>
      <c r="B365" s="164"/>
      <c r="C365" s="74" t="s">
        <v>205</v>
      </c>
      <c r="D365" s="43">
        <f>41.19*10.764</f>
        <v>443.36915999999997</v>
      </c>
      <c r="E365" s="56">
        <f>(2.9*4.3+2.5*0.6+2.9*0.9)*10.764</f>
        <v>178.46711999999997</v>
      </c>
      <c r="F365" s="48">
        <f t="shared" si="36"/>
        <v>887.85777600000006</v>
      </c>
      <c r="G365" s="167" t="str">
        <f t="shared" si="35"/>
        <v>3rd Floor For Residential</v>
      </c>
      <c r="H365" s="168"/>
      <c r="I365" s="44">
        <f>5000000/F365</f>
        <v>5631.5325890663817</v>
      </c>
      <c r="L365" s="55"/>
      <c r="M365" s="55"/>
      <c r="N365" s="44"/>
    </row>
    <row r="366" spans="1:14" s="2" customFormat="1" ht="15.75" customHeight="1">
      <c r="A366" s="164">
        <f t="shared" si="37"/>
        <v>305</v>
      </c>
      <c r="B366" s="164"/>
      <c r="C366" s="74" t="s">
        <v>204</v>
      </c>
      <c r="D366" s="43">
        <f>54.64*10.764</f>
        <v>588.14495999999997</v>
      </c>
      <c r="E366" s="56">
        <f>(1.68*4+2.5*1.6+3.3*1.9+3*2.9)*10.764</f>
        <v>276.52715999999998</v>
      </c>
      <c r="F366" s="48">
        <f t="shared" si="36"/>
        <v>1217.559096</v>
      </c>
      <c r="G366" s="167" t="str">
        <f t="shared" si="35"/>
        <v>3rd Floor For Residential</v>
      </c>
      <c r="H366" s="168"/>
      <c r="I366" s="44">
        <f>6800000/F366</f>
        <v>5584.9445191939994</v>
      </c>
      <c r="L366" s="55"/>
      <c r="M366" s="55"/>
      <c r="N366" s="44"/>
    </row>
    <row r="367" spans="1:14" s="2" customFormat="1" ht="15.75" customHeight="1">
      <c r="A367" s="164">
        <f t="shared" si="37"/>
        <v>306</v>
      </c>
      <c r="B367" s="164"/>
      <c r="C367" s="74" t="s">
        <v>204</v>
      </c>
      <c r="D367" s="43">
        <f>54.37*10.764</f>
        <v>585.23867999999993</v>
      </c>
      <c r="E367" s="56">
        <f>(2.9*2.9+3.4*1.9+2.5*1.6+2*4.6)*10.764</f>
        <v>302.14547999999996</v>
      </c>
      <c r="F367" s="48">
        <f t="shared" si="36"/>
        <v>1238.5273679999998</v>
      </c>
      <c r="G367" s="167" t="str">
        <f t="shared" si="35"/>
        <v>3rd Floor For Residential</v>
      </c>
      <c r="H367" s="168"/>
      <c r="I367" s="44"/>
      <c r="L367" s="55"/>
      <c r="M367" s="55"/>
      <c r="N367" s="44"/>
    </row>
    <row r="368" spans="1:14" s="75" customFormat="1" ht="15.75" customHeight="1">
      <c r="A368" s="164">
        <f t="shared" si="37"/>
        <v>307</v>
      </c>
      <c r="B368" s="164"/>
      <c r="C368" s="74" t="s">
        <v>152</v>
      </c>
      <c r="D368" s="74">
        <f>(67.73+1.8*0.75)*10.764</f>
        <v>743.57711999999992</v>
      </c>
      <c r="E368" s="74">
        <f>(3*3.3+2.5*1.6+2.9*0.9+2.9*1.9)*10.764</f>
        <v>237.02327999999994</v>
      </c>
      <c r="F368" s="48">
        <f>D368*(($F$358)+1)+E368/2</f>
        <v>1308.2350319999998</v>
      </c>
      <c r="G368" s="167" t="str">
        <f t="shared" si="35"/>
        <v>3rd Floor For Residential</v>
      </c>
      <c r="H368" s="168"/>
      <c r="I368" s="44"/>
      <c r="N368" s="44"/>
    </row>
    <row r="369" spans="1:14" s="75" customFormat="1" ht="15.75" customHeight="1">
      <c r="A369" s="164">
        <f t="shared" si="37"/>
        <v>308</v>
      </c>
      <c r="B369" s="164"/>
      <c r="C369" s="74" t="s">
        <v>152</v>
      </c>
      <c r="D369" s="87">
        <f>(67.73+1.8*0.75)*10.764</f>
        <v>743.57711999999992</v>
      </c>
      <c r="E369" s="87">
        <f>(3*3.3+2.5*1.6+2.9*0.9+2.9*1.9)*10.764</f>
        <v>237.02327999999994</v>
      </c>
      <c r="F369" s="48">
        <f>D369*(($F$358)+1)+E369/2</f>
        <v>1308.2350319999998</v>
      </c>
      <c r="G369" s="167" t="str">
        <f t="shared" si="35"/>
        <v>3rd Floor For Residential</v>
      </c>
      <c r="H369" s="168"/>
      <c r="I369" s="44"/>
      <c r="N369" s="44"/>
    </row>
    <row r="370" spans="1:14" s="75" customFormat="1" ht="15.75" customHeight="1">
      <c r="A370" s="164">
        <f t="shared" si="37"/>
        <v>309</v>
      </c>
      <c r="B370" s="164"/>
      <c r="C370" s="74" t="s">
        <v>204</v>
      </c>
      <c r="D370" s="74">
        <f>54.83*10.764</f>
        <v>590.19011999999998</v>
      </c>
      <c r="E370" s="74">
        <f>(4.3*2+2.4*1.5+3.5*1.9+4.2*3.8+2.1*1+1.5*1.2)*10.764</f>
        <v>416.67443999999989</v>
      </c>
      <c r="F370" s="48">
        <f>D370*(($F$358)+1)+E370/4</f>
        <v>1048.472802</v>
      </c>
      <c r="G370" s="169" t="str">
        <f t="shared" si="35"/>
        <v>3rd Floor For Residential</v>
      </c>
      <c r="H370" s="170"/>
      <c r="I370" s="44"/>
      <c r="N370" s="44"/>
    </row>
    <row r="371" spans="1:14" s="75" customFormat="1">
      <c r="A371" s="162" t="s">
        <v>206</v>
      </c>
      <c r="B371" s="162"/>
      <c r="C371" s="162"/>
      <c r="D371" s="162"/>
      <c r="E371" s="162"/>
      <c r="F371" s="162"/>
      <c r="G371" s="162"/>
      <c r="H371" s="162"/>
      <c r="I371" s="44"/>
      <c r="L371" s="163"/>
      <c r="M371" s="163"/>
    </row>
    <row r="372" spans="1:14" s="75" customFormat="1">
      <c r="A372" s="164">
        <f>LEFT(A371,SUM(LEN(A371)-LEN(SUBSTITUTE(A371,{"0","1","3","4","5","6","7","8","9"},""))))*100+1</f>
        <v>401</v>
      </c>
      <c r="B372" s="164"/>
      <c r="C372" s="74" t="s">
        <v>204</v>
      </c>
      <c r="D372" s="74">
        <f>(57.37+0.75*(3+2.1+2.75+2.87))*10.764</f>
        <v>704.07323999999994</v>
      </c>
      <c r="E372" s="74">
        <v>0</v>
      </c>
      <c r="F372" s="48">
        <f t="shared" ref="F372:F380" si="38">D372*(($F$358)+1)+E372</f>
        <v>1126.517184</v>
      </c>
      <c r="G372" s="165" t="str">
        <f>A371</f>
        <v>4th Floor</v>
      </c>
      <c r="H372" s="166"/>
      <c r="I372" s="93" t="s">
        <v>220</v>
      </c>
      <c r="L372" s="75">
        <f>7200*F372</f>
        <v>8110923.7248</v>
      </c>
      <c r="N372" s="44"/>
    </row>
    <row r="373" spans="1:14" s="75" customFormat="1">
      <c r="A373" s="164">
        <f>A372+1</f>
        <v>402</v>
      </c>
      <c r="B373" s="164"/>
      <c r="C373" s="74" t="s">
        <v>204</v>
      </c>
      <c r="D373" s="98">
        <f>(49.69+0.75*(2.1+2.1+2.8+2.8))*10.764</f>
        <v>613.9785599999999</v>
      </c>
      <c r="E373" s="74">
        <v>0</v>
      </c>
      <c r="F373" s="48">
        <f t="shared" si="38"/>
        <v>982.36569599999984</v>
      </c>
      <c r="G373" s="167" t="str">
        <f t="shared" ref="G373:G380" si="39">G372</f>
        <v>4th Floor</v>
      </c>
      <c r="H373" s="168"/>
      <c r="I373" s="44"/>
      <c r="L373" s="97">
        <f t="shared" ref="L373:L380" si="40">7200*F373</f>
        <v>7073033.0111999987</v>
      </c>
      <c r="N373" s="44"/>
    </row>
    <row r="374" spans="1:14" s="75" customFormat="1">
      <c r="A374" s="164">
        <f>A373+1</f>
        <v>403</v>
      </c>
      <c r="B374" s="164"/>
      <c r="C374" s="74" t="s">
        <v>204</v>
      </c>
      <c r="D374" s="98">
        <f>(54.86+0.75*(3.8+5.8+3))*10.764</f>
        <v>692.23284000000001</v>
      </c>
      <c r="E374" s="74">
        <v>0</v>
      </c>
      <c r="F374" s="48">
        <f t="shared" si="38"/>
        <v>1107.5725440000001</v>
      </c>
      <c r="G374" s="167" t="str">
        <f t="shared" si="39"/>
        <v>4th Floor</v>
      </c>
      <c r="H374" s="168"/>
      <c r="I374" s="44"/>
      <c r="J374" s="75">
        <f>4.75*3+2.87*3.75+3*3.75+3*3.5+1.8*1.2+1.2*1.95+4.8*0.75</f>
        <v>54.862500000000004</v>
      </c>
      <c r="L374" s="97">
        <f t="shared" si="40"/>
        <v>7974522.3168000011</v>
      </c>
      <c r="N374" s="44"/>
    </row>
    <row r="375" spans="1:14" s="75" customFormat="1">
      <c r="A375" s="164">
        <f t="shared" ref="A375:A380" si="41">A374+1</f>
        <v>404</v>
      </c>
      <c r="B375" s="164"/>
      <c r="C375" s="74" t="s">
        <v>204</v>
      </c>
      <c r="D375" s="98">
        <f>(59.06+0.75*(3+2.1+2.76+2.8))*10.764</f>
        <v>721.78002000000004</v>
      </c>
      <c r="E375" s="74">
        <v>0</v>
      </c>
      <c r="F375" s="48">
        <f t="shared" si="38"/>
        <v>1154.8480320000001</v>
      </c>
      <c r="G375" s="167" t="str">
        <f t="shared" si="39"/>
        <v>4th Floor</v>
      </c>
      <c r="H375" s="168"/>
      <c r="I375" s="44"/>
      <c r="L375" s="97">
        <f t="shared" si="40"/>
        <v>8314905.8304000003</v>
      </c>
      <c r="N375" s="44"/>
    </row>
    <row r="376" spans="1:14" s="75" customFormat="1">
      <c r="A376" s="164">
        <f t="shared" si="41"/>
        <v>405</v>
      </c>
      <c r="B376" s="164"/>
      <c r="C376" s="74" t="s">
        <v>204</v>
      </c>
      <c r="D376" s="74">
        <f>(56+0.75*(2+5.7+3))*10.764</f>
        <v>689.16510000000005</v>
      </c>
      <c r="E376" s="74">
        <v>0</v>
      </c>
      <c r="F376" s="48">
        <f t="shared" si="38"/>
        <v>1102.66416</v>
      </c>
      <c r="G376" s="167" t="str">
        <f t="shared" si="39"/>
        <v>4th Floor</v>
      </c>
      <c r="H376" s="168"/>
      <c r="I376" s="44"/>
      <c r="L376" s="97">
        <f t="shared" si="40"/>
        <v>7939181.9520000005</v>
      </c>
      <c r="N376" s="44"/>
    </row>
    <row r="377" spans="1:14" s="75" customFormat="1">
      <c r="A377" s="164">
        <f t="shared" si="41"/>
        <v>406</v>
      </c>
      <c r="B377" s="164"/>
      <c r="C377" s="74" t="s">
        <v>204</v>
      </c>
      <c r="D377" s="74">
        <f>(52.32+0.75*(2+9))*10.764</f>
        <v>651.97547999999995</v>
      </c>
      <c r="E377" s="74">
        <v>0</v>
      </c>
      <c r="F377" s="48">
        <f t="shared" si="38"/>
        <v>1043.160768</v>
      </c>
      <c r="G377" s="167" t="str">
        <f t="shared" si="39"/>
        <v>4th Floor</v>
      </c>
      <c r="H377" s="168"/>
      <c r="I377" s="44"/>
      <c r="L377" s="97">
        <f t="shared" si="40"/>
        <v>7510757.5296</v>
      </c>
      <c r="N377" s="44"/>
    </row>
    <row r="378" spans="1:14" s="75" customFormat="1">
      <c r="A378" s="164">
        <f t="shared" si="41"/>
        <v>407</v>
      </c>
      <c r="B378" s="164"/>
      <c r="C378" s="74" t="s">
        <v>152</v>
      </c>
      <c r="D378" s="74">
        <f>(73.69+0.75*(3+5.5+3+3))*10.764</f>
        <v>910.25765999999987</v>
      </c>
      <c r="E378" s="74">
        <v>0</v>
      </c>
      <c r="F378" s="48">
        <f t="shared" si="38"/>
        <v>1456.4122559999998</v>
      </c>
      <c r="G378" s="167" t="str">
        <f t="shared" si="39"/>
        <v>4th Floor</v>
      </c>
      <c r="H378" s="168"/>
      <c r="I378" s="44"/>
      <c r="L378" s="97">
        <f t="shared" si="40"/>
        <v>10486168.243199999</v>
      </c>
      <c r="N378" s="44"/>
    </row>
    <row r="379" spans="1:14" s="75" customFormat="1">
      <c r="A379" s="164">
        <f t="shared" si="41"/>
        <v>408</v>
      </c>
      <c r="B379" s="164"/>
      <c r="C379" s="74" t="s">
        <v>152</v>
      </c>
      <c r="D379" s="74">
        <f>(67.04+0.75*(3+2.5+2.9+3+3))*10.764</f>
        <v>837.86976000000004</v>
      </c>
      <c r="E379" s="74">
        <v>0</v>
      </c>
      <c r="F379" s="48">
        <f t="shared" si="38"/>
        <v>1340.5916160000002</v>
      </c>
      <c r="G379" s="167" t="str">
        <f t="shared" si="39"/>
        <v>4th Floor</v>
      </c>
      <c r="H379" s="168"/>
      <c r="I379" s="44"/>
      <c r="L379" s="97">
        <f t="shared" si="40"/>
        <v>9652259.6352000013</v>
      </c>
      <c r="N379" s="44"/>
    </row>
    <row r="380" spans="1:14" s="75" customFormat="1">
      <c r="A380" s="164">
        <f t="shared" si="41"/>
        <v>409</v>
      </c>
      <c r="B380" s="164"/>
      <c r="C380" s="74" t="s">
        <v>204</v>
      </c>
      <c r="D380" s="74">
        <f>(58.18+0.75*(2+5.9+3))*10.764</f>
        <v>714.24522000000002</v>
      </c>
      <c r="E380" s="74">
        <v>0</v>
      </c>
      <c r="F380" s="48">
        <f t="shared" si="38"/>
        <v>1142.7923520000002</v>
      </c>
      <c r="G380" s="169" t="str">
        <f t="shared" si="39"/>
        <v>4th Floor</v>
      </c>
      <c r="H380" s="170"/>
      <c r="I380" s="44"/>
      <c r="L380" s="97">
        <f t="shared" si="40"/>
        <v>8228104.9344000015</v>
      </c>
      <c r="N380" s="44"/>
    </row>
    <row r="381" spans="1:14" s="75" customFormat="1">
      <c r="A381" s="162" t="s">
        <v>207</v>
      </c>
      <c r="B381" s="162"/>
      <c r="C381" s="162"/>
      <c r="D381" s="162"/>
      <c r="E381" s="162"/>
      <c r="F381" s="162"/>
      <c r="G381" s="162"/>
      <c r="H381" s="162"/>
      <c r="I381" s="44"/>
      <c r="L381" s="163"/>
      <c r="M381" s="163"/>
    </row>
    <row r="382" spans="1:14" s="75" customFormat="1">
      <c r="A382" s="164">
        <f>LEFT(A381,SUM(LEN(A381)-LEN(SUBSTITUTE(A381,{"0","1","3","4","5","6","7","8","9"},""))))*100+1</f>
        <v>501</v>
      </c>
      <c r="B382" s="164"/>
      <c r="C382" s="74" t="s">
        <v>204</v>
      </c>
      <c r="D382" s="74">
        <f>(59.46+0.75*(3+5.5+3))*10.764</f>
        <v>732.86694</v>
      </c>
      <c r="E382" s="74">
        <v>0</v>
      </c>
      <c r="F382" s="48">
        <f t="shared" ref="F382:F390" si="42">D382*(($F$358)+1)+E382</f>
        <v>1172.587104</v>
      </c>
      <c r="G382" s="165" t="str">
        <f>A381</f>
        <v>5th Floor</v>
      </c>
      <c r="H382" s="166"/>
      <c r="I382" s="44" t="s">
        <v>223</v>
      </c>
      <c r="N382" s="44"/>
    </row>
    <row r="383" spans="1:14" s="75" customFormat="1">
      <c r="A383" s="164">
        <f>A382+1</f>
        <v>502</v>
      </c>
      <c r="B383" s="164"/>
      <c r="C383" s="74" t="s">
        <v>204</v>
      </c>
      <c r="D383" s="74">
        <f>(58.55+0.75*(2.2+2.1+2.7+2.05))*10.764</f>
        <v>703.29284999999982</v>
      </c>
      <c r="E383" s="74">
        <v>0</v>
      </c>
      <c r="F383" s="48">
        <f t="shared" si="42"/>
        <v>1125.2685599999998</v>
      </c>
      <c r="G383" s="167" t="str">
        <f t="shared" ref="G383:G390" si="43">G382</f>
        <v>5th Floor</v>
      </c>
      <c r="H383" s="168"/>
      <c r="I383" s="44"/>
      <c r="N383" s="44"/>
    </row>
    <row r="384" spans="1:14" s="75" customFormat="1">
      <c r="A384" s="164">
        <f>A383+1</f>
        <v>503</v>
      </c>
      <c r="B384" s="164"/>
      <c r="C384" s="74" t="s">
        <v>204</v>
      </c>
      <c r="D384" s="74">
        <f>(59.91+0.75*(3.8+5.8+3.1))*10.764</f>
        <v>747.39833999999996</v>
      </c>
      <c r="E384" s="74">
        <v>0</v>
      </c>
      <c r="F384" s="48">
        <f t="shared" si="42"/>
        <v>1195.837344</v>
      </c>
      <c r="G384" s="167" t="str">
        <f t="shared" si="43"/>
        <v>5th Floor</v>
      </c>
      <c r="H384" s="168"/>
      <c r="I384" s="44"/>
      <c r="J384" s="75">
        <f>4.75*3.05+2.87*3.75+3*3.75+3*3.5+1.8*1.2+1.2*2.3+4.9*0.9</f>
        <v>56.33</v>
      </c>
      <c r="N384" s="44"/>
    </row>
    <row r="385" spans="1:14" s="75" customFormat="1">
      <c r="A385" s="164">
        <f t="shared" ref="A385:A390" si="44">A384+1</f>
        <v>504</v>
      </c>
      <c r="B385" s="164"/>
      <c r="C385" s="74" t="s">
        <v>204</v>
      </c>
      <c r="D385" s="74">
        <f>(53.98+0.75*(2.9+2.5+2.9+3))*10.764</f>
        <v>672.2656199999999</v>
      </c>
      <c r="E385" s="74">
        <v>0</v>
      </c>
      <c r="F385" s="48">
        <f t="shared" si="42"/>
        <v>1075.6249919999998</v>
      </c>
      <c r="G385" s="167" t="str">
        <f t="shared" si="43"/>
        <v>5th Floor</v>
      </c>
      <c r="H385" s="168"/>
      <c r="I385" s="44"/>
      <c r="N385" s="44"/>
    </row>
    <row r="386" spans="1:14" s="75" customFormat="1">
      <c r="A386" s="164">
        <f t="shared" si="44"/>
        <v>505</v>
      </c>
      <c r="B386" s="164"/>
      <c r="C386" s="74" t="s">
        <v>204</v>
      </c>
      <c r="D386" s="74">
        <f>(56.19+0.75*(1.7+2.7+3.2+3))*10.764</f>
        <v>690.40296000000001</v>
      </c>
      <c r="E386" s="74">
        <v>0</v>
      </c>
      <c r="F386" s="48">
        <f t="shared" si="42"/>
        <v>1104.644736</v>
      </c>
      <c r="G386" s="167" t="str">
        <f t="shared" si="43"/>
        <v>5th Floor</v>
      </c>
      <c r="H386" s="168"/>
      <c r="I386" s="44"/>
      <c r="J386" s="124">
        <f>F386/D386</f>
        <v>1.5999999999999999</v>
      </c>
      <c r="N386" s="44"/>
    </row>
    <row r="387" spans="1:14" s="75" customFormat="1">
      <c r="A387" s="164">
        <f t="shared" si="44"/>
        <v>506</v>
      </c>
      <c r="B387" s="164"/>
      <c r="C387" s="74" t="s">
        <v>204</v>
      </c>
      <c r="D387" s="74">
        <f>(54.36+0.75*(2+2.1+3.14+3))*10.764</f>
        <v>667.79855999999995</v>
      </c>
      <c r="E387" s="74">
        <v>0</v>
      </c>
      <c r="F387" s="48">
        <f t="shared" si="42"/>
        <v>1068.4776959999999</v>
      </c>
      <c r="G387" s="167" t="str">
        <f t="shared" si="43"/>
        <v>5th Floor</v>
      </c>
      <c r="H387" s="168"/>
      <c r="I387" s="44"/>
      <c r="N387" s="44"/>
    </row>
    <row r="388" spans="1:14" s="75" customFormat="1">
      <c r="A388" s="164">
        <f t="shared" si="44"/>
        <v>507</v>
      </c>
      <c r="B388" s="164"/>
      <c r="C388" s="74" t="s">
        <v>152</v>
      </c>
      <c r="D388" s="74">
        <f>(72.75+0.75*(3+5.5+3))*10.764</f>
        <v>875.92049999999995</v>
      </c>
      <c r="E388" s="74">
        <v>0</v>
      </c>
      <c r="F388" s="48">
        <f t="shared" si="42"/>
        <v>1401.4728</v>
      </c>
      <c r="G388" s="167" t="str">
        <f t="shared" si="43"/>
        <v>5th Floor</v>
      </c>
      <c r="H388" s="168"/>
      <c r="I388" s="44"/>
      <c r="N388" s="44"/>
    </row>
    <row r="389" spans="1:14" s="75" customFormat="1">
      <c r="A389" s="164">
        <f t="shared" si="44"/>
        <v>508</v>
      </c>
      <c r="B389" s="164"/>
      <c r="C389" s="74" t="s">
        <v>152</v>
      </c>
      <c r="D389" s="74">
        <f>(67.04+0.75*(3+5.5+3))*10.764</f>
        <v>814.45806000000005</v>
      </c>
      <c r="E389" s="74">
        <v>0</v>
      </c>
      <c r="F389" s="48">
        <f t="shared" si="42"/>
        <v>1303.1328960000001</v>
      </c>
      <c r="G389" s="167" t="str">
        <f t="shared" si="43"/>
        <v>5th Floor</v>
      </c>
      <c r="H389" s="168"/>
      <c r="I389" s="44"/>
      <c r="N389" s="44"/>
    </row>
    <row r="390" spans="1:14" s="75" customFormat="1">
      <c r="A390" s="164">
        <f t="shared" si="44"/>
        <v>509</v>
      </c>
      <c r="B390" s="164"/>
      <c r="C390" s="74" t="s">
        <v>204</v>
      </c>
      <c r="D390" s="74">
        <f>(55.89+0.75*(2+5.8+3))*10.764</f>
        <v>688.78836000000001</v>
      </c>
      <c r="E390" s="74">
        <v>0</v>
      </c>
      <c r="F390" s="48">
        <f t="shared" si="42"/>
        <v>1102.0613760000001</v>
      </c>
      <c r="G390" s="169" t="str">
        <f t="shared" si="43"/>
        <v>5th Floor</v>
      </c>
      <c r="H390" s="170"/>
      <c r="I390" s="44"/>
      <c r="N390" s="44"/>
    </row>
    <row r="391" spans="1:14" s="75" customFormat="1">
      <c r="A391" s="162" t="s">
        <v>208</v>
      </c>
      <c r="B391" s="162"/>
      <c r="C391" s="162"/>
      <c r="D391" s="162"/>
      <c r="E391" s="162"/>
      <c r="F391" s="162"/>
      <c r="G391" s="162"/>
      <c r="H391" s="162"/>
      <c r="I391" s="44"/>
      <c r="L391" s="163"/>
      <c r="M391" s="163"/>
    </row>
    <row r="392" spans="1:14" s="75" customFormat="1">
      <c r="A392" s="164">
        <f>LEFT(A391,SUM(LEN(A391)-LEN(SUBSTITUTE(A391,{"0","1","3","4","5","6","7","8","9"},""))))*100+1</f>
        <v>601</v>
      </c>
      <c r="B392" s="164"/>
      <c r="C392" s="74" t="s">
        <v>204</v>
      </c>
      <c r="D392" s="74">
        <f>(57.37+0.75*(3+2.1+2.75+2.87))*10.764</f>
        <v>704.07323999999994</v>
      </c>
      <c r="E392" s="74">
        <v>0</v>
      </c>
      <c r="F392" s="48">
        <f t="shared" ref="F392:F400" si="45">D392*(($F$358)+1)+E392</f>
        <v>1126.517184</v>
      </c>
      <c r="G392" s="165" t="str">
        <f>A391</f>
        <v>6th Floor</v>
      </c>
      <c r="H392" s="166"/>
      <c r="I392" s="44"/>
      <c r="N392" s="44"/>
    </row>
    <row r="393" spans="1:14" s="75" customFormat="1">
      <c r="A393" s="164">
        <f>A392+1</f>
        <v>602</v>
      </c>
      <c r="B393" s="164"/>
      <c r="C393" s="74" t="s">
        <v>204</v>
      </c>
      <c r="D393" s="74">
        <f>(57.37+0.75*(2.1+2.1+2.8+2.85))*10.764</f>
        <v>697.04972999999984</v>
      </c>
      <c r="E393" s="74">
        <v>0</v>
      </c>
      <c r="F393" s="48">
        <f t="shared" si="45"/>
        <v>1115.2795679999997</v>
      </c>
      <c r="G393" s="167" t="str">
        <f t="shared" ref="G393:G400" si="46">G392</f>
        <v>6th Floor</v>
      </c>
      <c r="H393" s="168"/>
      <c r="I393" s="44"/>
      <c r="N393" s="44"/>
    </row>
    <row r="394" spans="1:14" s="75" customFormat="1">
      <c r="A394" s="164">
        <f>A393+1</f>
        <v>603</v>
      </c>
      <c r="B394" s="164"/>
      <c r="C394" s="74" t="s">
        <v>204</v>
      </c>
      <c r="D394" s="87">
        <f>(59.91+0.75*(3.9+5.7+3))*10.764</f>
        <v>746.59103999999991</v>
      </c>
      <c r="E394" s="74">
        <v>0</v>
      </c>
      <c r="F394" s="48">
        <f t="shared" si="45"/>
        <v>1194.545664</v>
      </c>
      <c r="G394" s="167" t="str">
        <f t="shared" si="46"/>
        <v>6th Floor</v>
      </c>
      <c r="H394" s="168"/>
      <c r="I394" s="44"/>
      <c r="N394" s="44"/>
    </row>
    <row r="395" spans="1:14" s="75" customFormat="1">
      <c r="A395" s="164">
        <f t="shared" ref="A395:A400" si="47">A394+1</f>
        <v>604</v>
      </c>
      <c r="B395" s="164"/>
      <c r="C395" s="74" t="s">
        <v>204</v>
      </c>
      <c r="D395" s="74">
        <f>(57.35+0.75*(3+2.1+2.75+2.8))*10.764</f>
        <v>703.29285000000004</v>
      </c>
      <c r="E395" s="74">
        <v>0</v>
      </c>
      <c r="F395" s="48">
        <f t="shared" si="45"/>
        <v>1125.2685600000002</v>
      </c>
      <c r="G395" s="167" t="str">
        <f t="shared" si="46"/>
        <v>6th Floor</v>
      </c>
      <c r="H395" s="168"/>
      <c r="I395" s="44"/>
      <c r="N395" s="44"/>
    </row>
    <row r="396" spans="1:14" s="75" customFormat="1">
      <c r="A396" s="164">
        <f t="shared" si="47"/>
        <v>605</v>
      </c>
      <c r="B396" s="164"/>
      <c r="C396" s="74" t="s">
        <v>204</v>
      </c>
      <c r="D396" s="74">
        <f>(56.19+0.76*(1.69+2.1+3.01+2.99))*10.764</f>
        <v>684.91762559999995</v>
      </c>
      <c r="E396" s="74">
        <v>0</v>
      </c>
      <c r="F396" s="48">
        <f t="shared" si="45"/>
        <v>1095.86820096</v>
      </c>
      <c r="G396" s="167" t="str">
        <f t="shared" si="46"/>
        <v>6th Floor</v>
      </c>
      <c r="H396" s="168"/>
      <c r="I396" s="44"/>
      <c r="N396" s="44"/>
    </row>
    <row r="397" spans="1:14" s="75" customFormat="1">
      <c r="A397" s="164">
        <f t="shared" si="47"/>
        <v>606</v>
      </c>
      <c r="B397" s="164"/>
      <c r="C397" s="74" t="s">
        <v>204</v>
      </c>
      <c r="D397" s="74">
        <f>(57.57+0.75*(2.1+2.1+3.14+2.89))*10.764</f>
        <v>702.27026999999998</v>
      </c>
      <c r="E397" s="74">
        <v>0</v>
      </c>
      <c r="F397" s="48">
        <f t="shared" si="45"/>
        <v>1123.6324320000001</v>
      </c>
      <c r="G397" s="167" t="str">
        <f t="shared" si="46"/>
        <v>6th Floor</v>
      </c>
      <c r="H397" s="168"/>
      <c r="I397" s="44"/>
      <c r="N397" s="44"/>
    </row>
    <row r="398" spans="1:14" s="75" customFormat="1">
      <c r="A398" s="164">
        <f t="shared" si="47"/>
        <v>607</v>
      </c>
      <c r="B398" s="164"/>
      <c r="C398" s="74" t="s">
        <v>152</v>
      </c>
      <c r="D398" s="74">
        <f>(67.1+0.75*(3+2.1+2.75+2.87+3))*10.764</f>
        <v>833.02595999999983</v>
      </c>
      <c r="E398" s="74">
        <v>0</v>
      </c>
      <c r="F398" s="48">
        <f t="shared" si="45"/>
        <v>1332.8415359999999</v>
      </c>
      <c r="G398" s="167" t="str">
        <f t="shared" si="46"/>
        <v>6th Floor</v>
      </c>
      <c r="H398" s="168"/>
      <c r="I398" s="44"/>
      <c r="N398" s="44"/>
    </row>
    <row r="399" spans="1:14" s="75" customFormat="1">
      <c r="A399" s="164">
        <f t="shared" si="47"/>
        <v>608</v>
      </c>
      <c r="B399" s="164"/>
      <c r="C399" s="74" t="s">
        <v>152</v>
      </c>
      <c r="D399" s="74">
        <f>(59.41+0.75*(3+2.1+2.75+2.87+3))*10.764</f>
        <v>750.2507999999998</v>
      </c>
      <c r="E399" s="74">
        <v>0</v>
      </c>
      <c r="F399" s="48">
        <f t="shared" si="45"/>
        <v>1200.4012799999998</v>
      </c>
      <c r="G399" s="167" t="str">
        <f t="shared" si="46"/>
        <v>6th Floor</v>
      </c>
      <c r="H399" s="168"/>
      <c r="I399" s="44"/>
      <c r="N399" s="44"/>
    </row>
    <row r="400" spans="1:14" s="75" customFormat="1">
      <c r="A400" s="164">
        <f t="shared" si="47"/>
        <v>609</v>
      </c>
      <c r="B400" s="164"/>
      <c r="C400" s="74" t="s">
        <v>204</v>
      </c>
      <c r="D400" s="74">
        <f>(58.18+0.75*(2+2.1+3.14+3))*10.764</f>
        <v>708.91703999999993</v>
      </c>
      <c r="E400" s="74">
        <v>0</v>
      </c>
      <c r="F400" s="48">
        <f t="shared" si="45"/>
        <v>1134.2672639999998</v>
      </c>
      <c r="G400" s="169" t="str">
        <f t="shared" si="46"/>
        <v>6th Floor</v>
      </c>
      <c r="H400" s="170"/>
      <c r="I400" s="44"/>
      <c r="N400" s="44"/>
    </row>
    <row r="401" spans="1:14" s="75" customFormat="1">
      <c r="A401" s="162" t="s">
        <v>224</v>
      </c>
      <c r="B401" s="162"/>
      <c r="C401" s="162"/>
      <c r="D401" s="162"/>
      <c r="E401" s="162"/>
      <c r="F401" s="162"/>
      <c r="G401" s="162"/>
      <c r="H401" s="162"/>
      <c r="I401" s="44"/>
      <c r="L401" s="163"/>
      <c r="M401" s="163"/>
    </row>
    <row r="402" spans="1:14" s="75" customFormat="1" ht="15.75" customHeight="1">
      <c r="A402" s="164">
        <f>LEFT(A401,SUM(LEN(A401)-LEN(SUBSTITUTE(A401,{"0","1","3","4","5","6","7","8","9"},""))))*100+1</f>
        <v>701</v>
      </c>
      <c r="B402" s="164"/>
      <c r="C402" s="98" t="s">
        <v>204</v>
      </c>
      <c r="D402" s="98">
        <f>(57.37+0.75*(3+2.1+6))*10.764</f>
        <v>707.1409799999999</v>
      </c>
      <c r="E402" s="98">
        <v>0</v>
      </c>
      <c r="F402" s="99">
        <f t="shared" ref="F402:F410" si="48">D402*(($F$358)+1)+E402</f>
        <v>1131.4255679999999</v>
      </c>
      <c r="G402" s="296" t="str">
        <f>A401</f>
        <v>7th Floor (Part Refuge Area)</v>
      </c>
      <c r="H402" s="297"/>
      <c r="I402" s="44"/>
      <c r="N402" s="44"/>
    </row>
    <row r="403" spans="1:14" s="75" customFormat="1" ht="15.75" customHeight="1">
      <c r="A403" s="164">
        <f>A402+1</f>
        <v>702</v>
      </c>
      <c r="B403" s="164"/>
      <c r="C403" s="98" t="s">
        <v>204</v>
      </c>
      <c r="D403" s="98">
        <f>(57.37+0.75*(2.1+2.1+2.8+2.85))*10.764</f>
        <v>697.04972999999984</v>
      </c>
      <c r="E403" s="98">
        <v>0</v>
      </c>
      <c r="F403" s="99">
        <f t="shared" si="48"/>
        <v>1115.2795679999997</v>
      </c>
      <c r="G403" s="298" t="str">
        <f t="shared" ref="G403:G410" si="49">G402</f>
        <v>7th Floor (Part Refuge Area)</v>
      </c>
      <c r="H403" s="299"/>
      <c r="I403" s="44"/>
      <c r="N403" s="44"/>
    </row>
    <row r="404" spans="1:14" s="75" customFormat="1" ht="15.75" customHeight="1">
      <c r="A404" s="164">
        <f>A403+1</f>
        <v>703</v>
      </c>
      <c r="B404" s="164"/>
      <c r="C404" s="98" t="s">
        <v>204</v>
      </c>
      <c r="D404" s="98">
        <f>(57.97+0.75*(3.9+5.7+3))*10.764</f>
        <v>725.70888000000002</v>
      </c>
      <c r="E404" s="98">
        <v>0</v>
      </c>
      <c r="F404" s="99">
        <f t="shared" si="48"/>
        <v>1161.1342080000002</v>
      </c>
      <c r="G404" s="298" t="str">
        <f t="shared" si="49"/>
        <v>7th Floor (Part Refuge Area)</v>
      </c>
      <c r="H404" s="299"/>
      <c r="I404" s="44"/>
      <c r="N404" s="44"/>
    </row>
    <row r="405" spans="1:14" s="75" customFormat="1" ht="15.75" customHeight="1">
      <c r="A405" s="164">
        <f t="shared" ref="A405:A410" si="50">A404+1</f>
        <v>704</v>
      </c>
      <c r="B405" s="164"/>
      <c r="C405" s="98" t="s">
        <v>204</v>
      </c>
      <c r="D405" s="98">
        <f>(57.35+0.75*(3+2.1+2.75+2.8))*10.764</f>
        <v>703.29285000000004</v>
      </c>
      <c r="E405" s="98">
        <v>0</v>
      </c>
      <c r="F405" s="99">
        <f t="shared" si="48"/>
        <v>1125.2685600000002</v>
      </c>
      <c r="G405" s="298" t="str">
        <f t="shared" si="49"/>
        <v>7th Floor (Part Refuge Area)</v>
      </c>
      <c r="H405" s="299"/>
      <c r="I405" s="44"/>
      <c r="N405" s="44"/>
    </row>
    <row r="406" spans="1:14" s="75" customFormat="1" ht="15.75" customHeight="1">
      <c r="A406" s="164">
        <f t="shared" si="50"/>
        <v>705</v>
      </c>
      <c r="B406" s="164"/>
      <c r="C406" s="98" t="s">
        <v>205</v>
      </c>
      <c r="D406" s="98">
        <f>(36.41+0.75*(1.7+5.7))*10.764</f>
        <v>451.65743999999989</v>
      </c>
      <c r="E406" s="98">
        <v>0</v>
      </c>
      <c r="F406" s="99">
        <f t="shared" si="48"/>
        <v>722.65190399999983</v>
      </c>
      <c r="G406" s="298" t="str">
        <f t="shared" si="49"/>
        <v>7th Floor (Part Refuge Area)</v>
      </c>
      <c r="H406" s="299"/>
      <c r="I406" s="44"/>
      <c r="N406" s="44"/>
    </row>
    <row r="407" spans="1:14" s="75" customFormat="1" ht="15.75" customHeight="1">
      <c r="A407" s="164">
        <f t="shared" si="50"/>
        <v>706</v>
      </c>
      <c r="B407" s="164"/>
      <c r="C407" s="98" t="s">
        <v>205</v>
      </c>
      <c r="D407" s="98">
        <f>(37.4+0.75*(2+5.7))*10.764</f>
        <v>464.73569999999995</v>
      </c>
      <c r="E407" s="98">
        <v>0</v>
      </c>
      <c r="F407" s="99">
        <f t="shared" si="48"/>
        <v>743.57711999999992</v>
      </c>
      <c r="G407" s="298" t="str">
        <f t="shared" si="49"/>
        <v>7th Floor (Part Refuge Area)</v>
      </c>
      <c r="H407" s="299"/>
      <c r="I407" s="44"/>
      <c r="N407" s="44"/>
    </row>
    <row r="408" spans="1:14" s="75" customFormat="1" ht="15.75" customHeight="1">
      <c r="A408" s="164">
        <f t="shared" si="50"/>
        <v>707</v>
      </c>
      <c r="B408" s="164"/>
      <c r="C408" s="98" t="s">
        <v>152</v>
      </c>
      <c r="D408" s="98">
        <f>(59.55+0.75*(3+2.1+2.75+2.87+3))*10.764</f>
        <v>751.75775999999996</v>
      </c>
      <c r="E408" s="98">
        <v>0</v>
      </c>
      <c r="F408" s="99">
        <f t="shared" si="48"/>
        <v>1202.812416</v>
      </c>
      <c r="G408" s="298" t="str">
        <f t="shared" si="49"/>
        <v>7th Floor (Part Refuge Area)</v>
      </c>
      <c r="H408" s="299"/>
      <c r="I408" s="44"/>
      <c r="J408" s="75">
        <f>3*4.26+2.1*2.95+2.75*2.95+2.87*3.25+3.2*3+2*(1.2*2.1)+5.5*0.9</f>
        <v>56.00500000000001</v>
      </c>
      <c r="N408" s="44"/>
    </row>
    <row r="409" spans="1:14" s="75" customFormat="1" ht="15.75" customHeight="1">
      <c r="A409" s="164">
        <f t="shared" si="50"/>
        <v>708</v>
      </c>
      <c r="B409" s="164"/>
      <c r="C409" s="98" t="s">
        <v>152</v>
      </c>
      <c r="D409" s="98">
        <f>(59.41+0.75*(3+2.1+2.75+2.87+3))*10.764</f>
        <v>750.2507999999998</v>
      </c>
      <c r="E409" s="98">
        <v>0</v>
      </c>
      <c r="F409" s="99">
        <f t="shared" si="48"/>
        <v>1200.4012799999998</v>
      </c>
      <c r="G409" s="298" t="str">
        <f t="shared" si="49"/>
        <v>7th Floor (Part Refuge Area)</v>
      </c>
      <c r="H409" s="299"/>
      <c r="I409" s="44"/>
      <c r="N409" s="44"/>
    </row>
    <row r="410" spans="1:14" s="75" customFormat="1" ht="15.75" customHeight="1">
      <c r="A410" s="164">
        <f t="shared" si="50"/>
        <v>709</v>
      </c>
      <c r="B410" s="164"/>
      <c r="C410" s="98" t="s">
        <v>204</v>
      </c>
      <c r="D410" s="98">
        <f>(58.18+0.75*(2+5.8+3))*10.764</f>
        <v>713.43791999999996</v>
      </c>
      <c r="E410" s="98">
        <v>0</v>
      </c>
      <c r="F410" s="99">
        <f t="shared" si="48"/>
        <v>1141.5006719999999</v>
      </c>
      <c r="G410" s="300" t="str">
        <f t="shared" si="49"/>
        <v>7th Floor (Part Refuge Area)</v>
      </c>
      <c r="H410" s="301"/>
      <c r="I410" s="44"/>
      <c r="N410" s="44"/>
    </row>
    <row r="411" spans="1:14" s="75" customFormat="1">
      <c r="A411" s="162" t="s">
        <v>209</v>
      </c>
      <c r="B411" s="162"/>
      <c r="C411" s="162"/>
      <c r="D411" s="162"/>
      <c r="E411" s="162"/>
      <c r="F411" s="162"/>
      <c r="G411" s="162"/>
      <c r="H411" s="162"/>
      <c r="I411" s="44"/>
      <c r="L411" s="163"/>
      <c r="M411" s="163"/>
    </row>
    <row r="412" spans="1:14" s="75" customFormat="1">
      <c r="A412" s="164">
        <f>LEFT(A411,SUM(LEN(A411)-LEN(SUBSTITUTE(A411,{"0","1","3","4","5","6","7","8","9"},""))))*100+1</f>
        <v>801</v>
      </c>
      <c r="B412" s="164"/>
      <c r="C412" s="98" t="s">
        <v>204</v>
      </c>
      <c r="D412" s="98">
        <f>(57.37+0.75*(3+2.1+6))*10.764</f>
        <v>707.1409799999999</v>
      </c>
      <c r="E412" s="98">
        <v>0</v>
      </c>
      <c r="F412" s="99">
        <f t="shared" ref="F412:F420" si="51">D412*(($F$358)+1)+E412</f>
        <v>1131.4255679999999</v>
      </c>
      <c r="G412" s="165" t="str">
        <f>A411</f>
        <v>8th Floor</v>
      </c>
      <c r="H412" s="166"/>
      <c r="I412" s="44"/>
      <c r="N412" s="44"/>
    </row>
    <row r="413" spans="1:14" s="75" customFormat="1">
      <c r="A413" s="164">
        <f>A412+1</f>
        <v>802</v>
      </c>
      <c r="B413" s="164"/>
      <c r="C413" s="98" t="s">
        <v>204</v>
      </c>
      <c r="D413" s="98">
        <f>(57.37+0.75*(2.1+2.1+2.8+2.85))*10.764</f>
        <v>697.04972999999984</v>
      </c>
      <c r="E413" s="98">
        <v>0</v>
      </c>
      <c r="F413" s="99">
        <f t="shared" si="51"/>
        <v>1115.2795679999997</v>
      </c>
      <c r="G413" s="167" t="str">
        <f t="shared" ref="G413:G420" si="52">G412</f>
        <v>8th Floor</v>
      </c>
      <c r="H413" s="168"/>
      <c r="I413" s="44"/>
      <c r="N413" s="44"/>
    </row>
    <row r="414" spans="1:14" s="75" customFormat="1">
      <c r="A414" s="164">
        <f>A413+1</f>
        <v>803</v>
      </c>
      <c r="B414" s="164"/>
      <c r="C414" s="98" t="s">
        <v>204</v>
      </c>
      <c r="D414" s="98">
        <f>(57.97+0.75*(3.9+5.7+3))*10.764</f>
        <v>725.70888000000002</v>
      </c>
      <c r="E414" s="98">
        <v>0</v>
      </c>
      <c r="F414" s="99">
        <f t="shared" si="51"/>
        <v>1161.1342080000002</v>
      </c>
      <c r="G414" s="167" t="str">
        <f t="shared" si="52"/>
        <v>8th Floor</v>
      </c>
      <c r="H414" s="168"/>
      <c r="I414" s="44"/>
      <c r="N414" s="44"/>
    </row>
    <row r="415" spans="1:14" s="75" customFormat="1">
      <c r="A415" s="164">
        <f t="shared" ref="A415:A420" si="53">A414+1</f>
        <v>804</v>
      </c>
      <c r="B415" s="164"/>
      <c r="C415" s="98" t="s">
        <v>204</v>
      </c>
      <c r="D415" s="98">
        <f>(57.36+0.75*(3+2.1+2.75+2.8))*10.764</f>
        <v>703.40048999999988</v>
      </c>
      <c r="E415" s="98">
        <v>0</v>
      </c>
      <c r="F415" s="99">
        <f t="shared" si="51"/>
        <v>1125.4407839999999</v>
      </c>
      <c r="G415" s="167" t="str">
        <f t="shared" si="52"/>
        <v>8th Floor</v>
      </c>
      <c r="H415" s="168"/>
      <c r="I415" s="44"/>
      <c r="N415" s="44"/>
    </row>
    <row r="416" spans="1:14" s="75" customFormat="1">
      <c r="A416" s="164">
        <f t="shared" si="53"/>
        <v>805</v>
      </c>
      <c r="B416" s="164"/>
      <c r="C416" s="98" t="s">
        <v>204</v>
      </c>
      <c r="D416" s="98">
        <f>(49.63+0.75*(1.7+5.7+3))*10.764</f>
        <v>618.17651999999998</v>
      </c>
      <c r="E416" s="98">
        <v>0</v>
      </c>
      <c r="F416" s="99">
        <f t="shared" si="51"/>
        <v>989.08243200000004</v>
      </c>
      <c r="G416" s="167" t="str">
        <f t="shared" si="52"/>
        <v>8th Floor</v>
      </c>
      <c r="H416" s="168"/>
      <c r="I416" s="44"/>
      <c r="N416" s="44"/>
    </row>
    <row r="417" spans="1:14" s="75" customFormat="1">
      <c r="A417" s="164">
        <f t="shared" si="53"/>
        <v>806</v>
      </c>
      <c r="B417" s="164"/>
      <c r="C417" s="98" t="s">
        <v>204</v>
      </c>
      <c r="D417" s="98">
        <f>(50.16+0.75*(2+5.7+3))*10.764</f>
        <v>626.30333999999993</v>
      </c>
      <c r="E417" s="98">
        <v>0</v>
      </c>
      <c r="F417" s="99">
        <f t="shared" si="51"/>
        <v>1002.085344</v>
      </c>
      <c r="G417" s="167" t="str">
        <f t="shared" si="52"/>
        <v>8th Floor</v>
      </c>
      <c r="H417" s="168"/>
      <c r="I417" s="44"/>
      <c r="N417" s="44"/>
    </row>
    <row r="418" spans="1:14" s="75" customFormat="1">
      <c r="A418" s="164">
        <f t="shared" si="53"/>
        <v>807</v>
      </c>
      <c r="B418" s="164"/>
      <c r="C418" s="98" t="s">
        <v>152</v>
      </c>
      <c r="D418" s="98">
        <f>(59.55+0.75*(3+2.1+2.75+2.87+3))*10.764</f>
        <v>751.75775999999996</v>
      </c>
      <c r="E418" s="98">
        <v>0</v>
      </c>
      <c r="F418" s="99">
        <f t="shared" si="51"/>
        <v>1202.812416</v>
      </c>
      <c r="G418" s="167" t="str">
        <f t="shared" si="52"/>
        <v>8th Floor</v>
      </c>
      <c r="H418" s="168"/>
      <c r="I418" s="44"/>
      <c r="N418" s="44"/>
    </row>
    <row r="419" spans="1:14" s="75" customFormat="1">
      <c r="A419" s="164">
        <f t="shared" si="53"/>
        <v>808</v>
      </c>
      <c r="B419" s="164"/>
      <c r="C419" s="98" t="s">
        <v>152</v>
      </c>
      <c r="D419" s="98">
        <f>(59.41+0.75*(3+2.1+2.75+2.87+3))*10.764</f>
        <v>750.2507999999998</v>
      </c>
      <c r="E419" s="98">
        <v>0</v>
      </c>
      <c r="F419" s="99">
        <f t="shared" si="51"/>
        <v>1200.4012799999998</v>
      </c>
      <c r="G419" s="167" t="str">
        <f t="shared" si="52"/>
        <v>8th Floor</v>
      </c>
      <c r="H419" s="168"/>
      <c r="I419" s="44"/>
      <c r="N419" s="44"/>
    </row>
    <row r="420" spans="1:14" s="75" customFormat="1">
      <c r="A420" s="164">
        <f t="shared" si="53"/>
        <v>809</v>
      </c>
      <c r="B420" s="164"/>
      <c r="C420" s="98" t="s">
        <v>204</v>
      </c>
      <c r="D420" s="98">
        <f>(49.25+0.75*(2+5.8+3))*10.764</f>
        <v>617.31539999999995</v>
      </c>
      <c r="E420" s="98">
        <v>0</v>
      </c>
      <c r="F420" s="99">
        <f t="shared" si="51"/>
        <v>987.70463999999993</v>
      </c>
      <c r="G420" s="169" t="str">
        <f t="shared" si="52"/>
        <v>8th Floor</v>
      </c>
      <c r="H420" s="170"/>
      <c r="I420" s="44"/>
      <c r="N420" s="44"/>
    </row>
    <row r="421" spans="1:14" s="75" customFormat="1">
      <c r="A421" s="162" t="s">
        <v>210</v>
      </c>
      <c r="B421" s="162"/>
      <c r="C421" s="162"/>
      <c r="D421" s="162"/>
      <c r="E421" s="162"/>
      <c r="F421" s="162"/>
      <c r="G421" s="162"/>
      <c r="H421" s="162"/>
      <c r="I421" s="44"/>
      <c r="L421" s="163"/>
      <c r="M421" s="163"/>
    </row>
    <row r="422" spans="1:14" s="75" customFormat="1">
      <c r="A422" s="164">
        <f>LEFT(A421,SUM(LEN(A421)-LEN(SUBSTITUTE(A421,{"0","1","3","4","5","6","7","8","9"},""))))*100+1</f>
        <v>901</v>
      </c>
      <c r="B422" s="164"/>
      <c r="C422" s="74" t="s">
        <v>204</v>
      </c>
      <c r="D422" s="87">
        <f>(42.02+0.75*(3+2.1+2.75+2.87))*10.764</f>
        <v>538.84583999999995</v>
      </c>
      <c r="E422" s="74">
        <v>0</v>
      </c>
      <c r="F422" s="48">
        <f t="shared" ref="F422:F430" si="54">D422*(($F$358)+1)+E422</f>
        <v>862.15334399999995</v>
      </c>
      <c r="G422" s="165" t="str">
        <f>A421</f>
        <v>9th Floor</v>
      </c>
      <c r="H422" s="166"/>
      <c r="I422" s="44" t="s">
        <v>225</v>
      </c>
      <c r="N422" s="44"/>
    </row>
    <row r="423" spans="1:14" s="75" customFormat="1">
      <c r="A423" s="164">
        <f>A422+1</f>
        <v>902</v>
      </c>
      <c r="B423" s="164"/>
      <c r="C423" s="74" t="s">
        <v>204</v>
      </c>
      <c r="D423" s="87">
        <f>(49.69+0.75*(2.1+2.1+3.27+2.65))*10.764</f>
        <v>616.56191999999999</v>
      </c>
      <c r="E423" s="74">
        <v>0</v>
      </c>
      <c r="F423" s="48">
        <f t="shared" si="54"/>
        <v>986.49907200000007</v>
      </c>
      <c r="G423" s="167" t="str">
        <f t="shared" ref="G423:G430" si="55">G422</f>
        <v>9th Floor</v>
      </c>
      <c r="H423" s="168"/>
      <c r="I423" s="44"/>
      <c r="N423" s="44"/>
    </row>
    <row r="424" spans="1:14" s="75" customFormat="1">
      <c r="A424" s="164">
        <f>A423+1</f>
        <v>903</v>
      </c>
      <c r="B424" s="164"/>
      <c r="C424" s="74" t="s">
        <v>204</v>
      </c>
      <c r="D424" s="87">
        <f>(50.68+0.75*(3.9+5.7+3))*10.764</f>
        <v>647.23931999999991</v>
      </c>
      <c r="E424" s="74">
        <v>0</v>
      </c>
      <c r="F424" s="48">
        <f t="shared" si="54"/>
        <v>1035.5829119999999</v>
      </c>
      <c r="G424" s="167" t="str">
        <f t="shared" si="55"/>
        <v>9th Floor</v>
      </c>
      <c r="H424" s="168"/>
      <c r="I424" s="44"/>
      <c r="J424" s="75">
        <f>4.75*3+2.1*3+3*3+3*3.35+1.8*1.2+1.2*1.95+4.7*0.9</f>
        <v>48.330000000000013</v>
      </c>
      <c r="N424" s="44"/>
    </row>
    <row r="425" spans="1:14" s="75" customFormat="1">
      <c r="A425" s="164">
        <f t="shared" ref="A425:A430" si="56">A424+1</f>
        <v>904</v>
      </c>
      <c r="B425" s="164"/>
      <c r="C425" s="74" t="s">
        <v>204</v>
      </c>
      <c r="D425" s="87">
        <f>(49.37+0.75*(3+2.1+2.75+2.8))*10.764</f>
        <v>617.39612999999986</v>
      </c>
      <c r="E425" s="74">
        <v>0</v>
      </c>
      <c r="F425" s="48">
        <f t="shared" si="54"/>
        <v>987.83380799999986</v>
      </c>
      <c r="G425" s="167" t="str">
        <f t="shared" si="55"/>
        <v>9th Floor</v>
      </c>
      <c r="H425" s="168"/>
      <c r="I425" s="44"/>
      <c r="N425" s="44"/>
    </row>
    <row r="426" spans="1:14" s="75" customFormat="1">
      <c r="A426" s="164">
        <f t="shared" si="56"/>
        <v>905</v>
      </c>
      <c r="B426" s="164"/>
      <c r="C426" s="74" t="s">
        <v>204</v>
      </c>
      <c r="D426" s="87">
        <f>(49.63+0.75*(1.7+5.7+3))*10.764</f>
        <v>618.17651999999998</v>
      </c>
      <c r="E426" s="74">
        <v>0</v>
      </c>
      <c r="F426" s="48">
        <f t="shared" si="54"/>
        <v>989.08243200000004</v>
      </c>
      <c r="G426" s="167" t="str">
        <f t="shared" si="55"/>
        <v>9th Floor</v>
      </c>
      <c r="H426" s="168"/>
      <c r="I426" s="44"/>
      <c r="N426" s="44"/>
    </row>
    <row r="427" spans="1:14" s="75" customFormat="1">
      <c r="A427" s="164">
        <f t="shared" si="56"/>
        <v>906</v>
      </c>
      <c r="B427" s="164"/>
      <c r="C427" s="74" t="s">
        <v>204</v>
      </c>
      <c r="D427" s="87">
        <f>(50.16+0.75*(2+5.7+3))*10.764</f>
        <v>626.30333999999993</v>
      </c>
      <c r="E427" s="74">
        <v>0</v>
      </c>
      <c r="F427" s="48">
        <f t="shared" si="54"/>
        <v>1002.085344</v>
      </c>
      <c r="G427" s="167" t="str">
        <f t="shared" si="55"/>
        <v>9th Floor</v>
      </c>
      <c r="H427" s="168"/>
      <c r="I427" s="44"/>
      <c r="N427" s="44"/>
    </row>
    <row r="428" spans="1:14" s="75" customFormat="1">
      <c r="A428" s="164">
        <f t="shared" si="56"/>
        <v>907</v>
      </c>
      <c r="B428" s="164"/>
      <c r="C428" s="74" t="s">
        <v>152</v>
      </c>
      <c r="D428" s="87">
        <f>(59.55+0.75*(3+2.1+2.75+2.87+3))*10.764</f>
        <v>751.75775999999996</v>
      </c>
      <c r="E428" s="74">
        <v>0</v>
      </c>
      <c r="F428" s="48">
        <f t="shared" si="54"/>
        <v>1202.812416</v>
      </c>
      <c r="G428" s="167" t="str">
        <f t="shared" si="55"/>
        <v>9th Floor</v>
      </c>
      <c r="H428" s="168"/>
      <c r="I428" s="44"/>
      <c r="N428" s="44"/>
    </row>
    <row r="429" spans="1:14" s="75" customFormat="1">
      <c r="A429" s="164">
        <f t="shared" si="56"/>
        <v>908</v>
      </c>
      <c r="B429" s="164"/>
      <c r="C429" s="74" t="s">
        <v>152</v>
      </c>
      <c r="D429" s="87">
        <f>(73.72+0.75*(3+2.1+2.75+2.87+3))*10.764</f>
        <v>904.28363999999988</v>
      </c>
      <c r="E429" s="74">
        <v>0</v>
      </c>
      <c r="F429" s="48">
        <f t="shared" si="54"/>
        <v>1446.8538239999998</v>
      </c>
      <c r="G429" s="167" t="str">
        <f t="shared" si="55"/>
        <v>9th Floor</v>
      </c>
      <c r="H429" s="168"/>
      <c r="I429" s="44"/>
      <c r="N429" s="44"/>
    </row>
    <row r="430" spans="1:14" s="75" customFormat="1">
      <c r="A430" s="164">
        <f t="shared" si="56"/>
        <v>909</v>
      </c>
      <c r="B430" s="164"/>
      <c r="C430" s="74" t="s">
        <v>204</v>
      </c>
      <c r="D430" s="87">
        <f>(49.52+0.75*(2+5.8+3))*10.764</f>
        <v>620.22167999999999</v>
      </c>
      <c r="E430" s="74">
        <v>0</v>
      </c>
      <c r="F430" s="48">
        <f t="shared" si="54"/>
        <v>992.35468800000001</v>
      </c>
      <c r="G430" s="169" t="str">
        <f t="shared" si="55"/>
        <v>9th Floor</v>
      </c>
      <c r="H430" s="170"/>
      <c r="I430" s="44"/>
      <c r="N430" s="44"/>
    </row>
    <row r="431" spans="1:14" s="75" customFormat="1">
      <c r="A431" s="162" t="s">
        <v>211</v>
      </c>
      <c r="B431" s="162"/>
      <c r="C431" s="162"/>
      <c r="D431" s="162"/>
      <c r="E431" s="162"/>
      <c r="F431" s="162"/>
      <c r="G431" s="162"/>
      <c r="H431" s="162"/>
      <c r="I431" s="44"/>
      <c r="L431" s="163"/>
      <c r="M431" s="163"/>
    </row>
    <row r="432" spans="1:14" s="75" customFormat="1">
      <c r="A432" s="164">
        <f>LEFT(A431,SUM(LEN(A431)-LEN(SUBSTITUTE(A431,{"0","1","3","4","5","6","7","8","9"},""))))*100+1</f>
        <v>1001</v>
      </c>
      <c r="B432" s="164"/>
      <c r="C432" s="74" t="s">
        <v>204</v>
      </c>
      <c r="D432" s="87">
        <f>(42.02+0.75*(3+2.1+2.75+2.87))*10.764</f>
        <v>538.84583999999995</v>
      </c>
      <c r="E432" s="74">
        <v>0</v>
      </c>
      <c r="F432" s="48">
        <f t="shared" ref="F432:F440" si="57">D432*(($F$358)+1)+E432</f>
        <v>862.15334399999995</v>
      </c>
      <c r="G432" s="165" t="str">
        <f>A431</f>
        <v>10th Floor</v>
      </c>
      <c r="H432" s="166"/>
      <c r="I432" s="44" t="s">
        <v>225</v>
      </c>
      <c r="N432" s="44"/>
    </row>
    <row r="433" spans="1:14" s="75" customFormat="1">
      <c r="A433" s="164">
        <f>A432+1</f>
        <v>1002</v>
      </c>
      <c r="B433" s="164"/>
      <c r="C433" s="74" t="s">
        <v>204</v>
      </c>
      <c r="D433" s="87">
        <f>(53.99+0.75*(2.1+2.1+3.27+2.65))*10.764</f>
        <v>662.84712000000002</v>
      </c>
      <c r="E433" s="74">
        <v>0</v>
      </c>
      <c r="F433" s="48">
        <f t="shared" si="57"/>
        <v>1060.555392</v>
      </c>
      <c r="G433" s="167" t="str">
        <f t="shared" ref="G433:G440" si="58">G432</f>
        <v>10th Floor</v>
      </c>
      <c r="H433" s="168"/>
      <c r="I433" s="44"/>
      <c r="N433" s="44"/>
    </row>
    <row r="434" spans="1:14" s="75" customFormat="1">
      <c r="A434" s="164">
        <f>A433+1</f>
        <v>1003</v>
      </c>
      <c r="B434" s="164"/>
      <c r="C434" s="74" t="s">
        <v>204</v>
      </c>
      <c r="D434" s="87">
        <f>(54.19+0.75*(3.9+5.7+3))*10.764</f>
        <v>685.02095999999995</v>
      </c>
      <c r="E434" s="74">
        <v>0</v>
      </c>
      <c r="F434" s="48">
        <f t="shared" si="57"/>
        <v>1096.0335359999999</v>
      </c>
      <c r="G434" s="167" t="str">
        <f t="shared" si="58"/>
        <v>10th Floor</v>
      </c>
      <c r="H434" s="168"/>
      <c r="I434" s="44"/>
      <c r="N434" s="44"/>
    </row>
    <row r="435" spans="1:14" s="75" customFormat="1">
      <c r="A435" s="164">
        <f t="shared" ref="A435:A440" si="59">A434+1</f>
        <v>1004</v>
      </c>
      <c r="B435" s="164"/>
      <c r="C435" s="74" t="s">
        <v>204</v>
      </c>
      <c r="D435" s="87">
        <f>(53.98+0.75*(3+2.1+2.75+2.8))*10.764</f>
        <v>667.01816999999994</v>
      </c>
      <c r="E435" s="74">
        <v>0</v>
      </c>
      <c r="F435" s="48">
        <f t="shared" si="57"/>
        <v>1067.2290719999999</v>
      </c>
      <c r="G435" s="167" t="str">
        <f t="shared" si="58"/>
        <v>10th Floor</v>
      </c>
      <c r="H435" s="168"/>
      <c r="I435" s="44"/>
      <c r="N435" s="44"/>
    </row>
    <row r="436" spans="1:14" s="75" customFormat="1">
      <c r="A436" s="164">
        <f t="shared" si="59"/>
        <v>1005</v>
      </c>
      <c r="B436" s="164"/>
      <c r="C436" s="74" t="s">
        <v>204</v>
      </c>
      <c r="D436" s="87">
        <f>(54.63+0.75*(1.7+2.1+3.01+3))*10.764</f>
        <v>667.23345000000006</v>
      </c>
      <c r="E436" s="74">
        <v>0</v>
      </c>
      <c r="F436" s="48">
        <f t="shared" si="57"/>
        <v>1067.5735200000001</v>
      </c>
      <c r="G436" s="167" t="str">
        <f t="shared" si="58"/>
        <v>10th Floor</v>
      </c>
      <c r="H436" s="168"/>
      <c r="I436" s="44"/>
      <c r="N436" s="44"/>
    </row>
    <row r="437" spans="1:14" s="75" customFormat="1">
      <c r="A437" s="164">
        <f t="shared" si="59"/>
        <v>1006</v>
      </c>
      <c r="B437" s="164"/>
      <c r="C437" s="74" t="s">
        <v>204</v>
      </c>
      <c r="D437" s="87">
        <f>(50.16+0.75*(2+5.7+3))*10.764</f>
        <v>626.30333999999993</v>
      </c>
      <c r="E437" s="74">
        <v>0</v>
      </c>
      <c r="F437" s="48">
        <f t="shared" si="57"/>
        <v>1002.085344</v>
      </c>
      <c r="G437" s="167" t="str">
        <f t="shared" si="58"/>
        <v>10th Floor</v>
      </c>
      <c r="H437" s="168"/>
      <c r="I437" s="44"/>
      <c r="N437" s="44"/>
    </row>
    <row r="438" spans="1:14" s="75" customFormat="1">
      <c r="A438" s="164">
        <f t="shared" si="59"/>
        <v>1007</v>
      </c>
      <c r="B438" s="164"/>
      <c r="C438" s="74" t="s">
        <v>152</v>
      </c>
      <c r="D438" s="87">
        <f>(59.55+0.75*(3+2.1+2.75+2.87+3))*10.764</f>
        <v>751.75775999999996</v>
      </c>
      <c r="E438" s="74">
        <v>0</v>
      </c>
      <c r="F438" s="48">
        <f t="shared" si="57"/>
        <v>1202.812416</v>
      </c>
      <c r="G438" s="167" t="str">
        <f t="shared" si="58"/>
        <v>10th Floor</v>
      </c>
      <c r="H438" s="168"/>
      <c r="I438" s="44"/>
      <c r="N438" s="44"/>
    </row>
    <row r="439" spans="1:14" s="75" customFormat="1">
      <c r="A439" s="164">
        <f t="shared" si="59"/>
        <v>1008</v>
      </c>
      <c r="B439" s="164"/>
      <c r="C439" s="74" t="s">
        <v>152</v>
      </c>
      <c r="D439" s="87">
        <f>(59.41+0.75*(3+2.1+2.75+2.87+3))*10.764</f>
        <v>750.2507999999998</v>
      </c>
      <c r="E439" s="74">
        <v>0</v>
      </c>
      <c r="F439" s="48">
        <f t="shared" si="57"/>
        <v>1200.4012799999998</v>
      </c>
      <c r="G439" s="167" t="str">
        <f t="shared" si="58"/>
        <v>10th Floor</v>
      </c>
      <c r="H439" s="168"/>
      <c r="I439" s="44"/>
      <c r="N439" s="44"/>
    </row>
    <row r="440" spans="1:14" s="75" customFormat="1">
      <c r="A440" s="164">
        <f t="shared" si="59"/>
        <v>1009</v>
      </c>
      <c r="B440" s="164"/>
      <c r="C440" s="74" t="s">
        <v>204</v>
      </c>
      <c r="D440" s="87">
        <f>(49.52+0.75*(2+5.8+3))*10.764</f>
        <v>620.22167999999999</v>
      </c>
      <c r="E440" s="74">
        <v>0</v>
      </c>
      <c r="F440" s="48">
        <f t="shared" si="57"/>
        <v>992.35468800000001</v>
      </c>
      <c r="G440" s="169" t="str">
        <f t="shared" si="58"/>
        <v>10th Floor</v>
      </c>
      <c r="H440" s="170"/>
      <c r="I440" s="44"/>
      <c r="N440" s="44"/>
    </row>
    <row r="441" spans="1:14" s="75" customFormat="1">
      <c r="A441" s="162" t="s">
        <v>271</v>
      </c>
      <c r="B441" s="162"/>
      <c r="C441" s="162"/>
      <c r="D441" s="162"/>
      <c r="E441" s="162"/>
      <c r="F441" s="162"/>
      <c r="G441" s="162"/>
      <c r="H441" s="162"/>
      <c r="I441" s="44"/>
      <c r="L441" s="163"/>
      <c r="M441" s="163"/>
    </row>
    <row r="442" spans="1:14" s="75" customFormat="1">
      <c r="A442" s="164">
        <f>LEFT(A441,SUM(LEN(A441)-LEN(SUBSTITUTE(A441,{"0","1","3","4","5","6","7","8","9"},""))))*100+1</f>
        <v>1101</v>
      </c>
      <c r="B442" s="164"/>
      <c r="C442" s="98" t="s">
        <v>204</v>
      </c>
      <c r="D442" s="98">
        <f>(42.02+0.75*(3+2.1+2.75+2.87))*10.764</f>
        <v>538.84583999999995</v>
      </c>
      <c r="E442" s="98">
        <v>0</v>
      </c>
      <c r="F442" s="99">
        <f t="shared" ref="F442:F450" si="60">D442*(($F$358)+1)+E442</f>
        <v>862.15334399999995</v>
      </c>
      <c r="G442" s="165" t="str">
        <f>A441</f>
        <v>11th Floor (Part Refuge Area)</v>
      </c>
      <c r="H442" s="166"/>
      <c r="I442" s="44" t="s">
        <v>225</v>
      </c>
      <c r="N442" s="44"/>
    </row>
    <row r="443" spans="1:14" s="75" customFormat="1">
      <c r="A443" s="164">
        <f>A442+1</f>
        <v>1102</v>
      </c>
      <c r="B443" s="164"/>
      <c r="C443" s="98" t="s">
        <v>204</v>
      </c>
      <c r="D443" s="98">
        <f>(53.99+0.75*(2.1+2.1+3.27+2.65))*10.764</f>
        <v>662.84712000000002</v>
      </c>
      <c r="E443" s="98">
        <v>0</v>
      </c>
      <c r="F443" s="99">
        <f t="shared" si="60"/>
        <v>1060.555392</v>
      </c>
      <c r="G443" s="167" t="str">
        <f t="shared" ref="G443:G450" si="61">G442</f>
        <v>11th Floor (Part Refuge Area)</v>
      </c>
      <c r="H443" s="168"/>
      <c r="I443" s="44"/>
      <c r="N443" s="44"/>
    </row>
    <row r="444" spans="1:14" s="75" customFormat="1">
      <c r="A444" s="164">
        <f>A443+1</f>
        <v>1103</v>
      </c>
      <c r="B444" s="164"/>
      <c r="C444" s="98" t="s">
        <v>204</v>
      </c>
      <c r="D444" s="98">
        <f>(54.19+0.75*(3.9+5.7+3))*10.764</f>
        <v>685.02095999999995</v>
      </c>
      <c r="E444" s="98">
        <v>0</v>
      </c>
      <c r="F444" s="99">
        <f t="shared" si="60"/>
        <v>1096.0335359999999</v>
      </c>
      <c r="G444" s="167" t="str">
        <f t="shared" si="61"/>
        <v>11th Floor (Part Refuge Area)</v>
      </c>
      <c r="H444" s="168"/>
      <c r="I444" s="44"/>
      <c r="N444" s="44"/>
    </row>
    <row r="445" spans="1:14" s="75" customFormat="1">
      <c r="A445" s="164">
        <f t="shared" ref="A445:A450" si="62">A444+1</f>
        <v>1104</v>
      </c>
      <c r="B445" s="164"/>
      <c r="C445" s="98" t="s">
        <v>204</v>
      </c>
      <c r="D445" s="98">
        <f>(53.98+0.75*(3+2.1+2.75+2.8))*10.764</f>
        <v>667.01816999999994</v>
      </c>
      <c r="E445" s="98">
        <v>0</v>
      </c>
      <c r="F445" s="99">
        <f t="shared" si="60"/>
        <v>1067.2290719999999</v>
      </c>
      <c r="G445" s="167" t="str">
        <f t="shared" si="61"/>
        <v>11th Floor (Part Refuge Area)</v>
      </c>
      <c r="H445" s="168"/>
      <c r="I445" s="44"/>
      <c r="N445" s="44"/>
    </row>
    <row r="446" spans="1:14" s="75" customFormat="1">
      <c r="A446" s="164">
        <f t="shared" si="62"/>
        <v>1105</v>
      </c>
      <c r="B446" s="164"/>
      <c r="C446" s="98" t="s">
        <v>205</v>
      </c>
      <c r="D446" s="98">
        <f>(41.42+0.75*(1.7+2.1+3))*10.764</f>
        <v>500.74128000000002</v>
      </c>
      <c r="E446" s="98">
        <v>0</v>
      </c>
      <c r="F446" s="99">
        <f t="shared" si="60"/>
        <v>801.18604800000003</v>
      </c>
      <c r="G446" s="167" t="str">
        <f t="shared" si="61"/>
        <v>11th Floor (Part Refuge Area)</v>
      </c>
      <c r="H446" s="168"/>
      <c r="I446" s="44"/>
      <c r="N446" s="44"/>
    </row>
    <row r="447" spans="1:14" s="75" customFormat="1">
      <c r="A447" s="164">
        <f t="shared" si="62"/>
        <v>1106</v>
      </c>
      <c r="B447" s="164"/>
      <c r="C447" s="98" t="s">
        <v>205</v>
      </c>
      <c r="D447" s="98">
        <f>(41.76+0.75*(2+2.1+3.14))*10.764</f>
        <v>507.95315999999997</v>
      </c>
      <c r="E447" s="98">
        <v>0</v>
      </c>
      <c r="F447" s="99">
        <f t="shared" si="60"/>
        <v>812.725056</v>
      </c>
      <c r="G447" s="167" t="str">
        <f t="shared" si="61"/>
        <v>11th Floor (Part Refuge Area)</v>
      </c>
      <c r="H447" s="168"/>
      <c r="I447" s="44"/>
      <c r="N447" s="44"/>
    </row>
    <row r="448" spans="1:14" s="75" customFormat="1">
      <c r="A448" s="164">
        <f t="shared" si="62"/>
        <v>1107</v>
      </c>
      <c r="B448" s="164"/>
      <c r="C448" s="98" t="s">
        <v>152</v>
      </c>
      <c r="D448" s="98">
        <f>(59.55+0.75*(3+2.1+2.75+2.87+3))*10.764</f>
        <v>751.75775999999996</v>
      </c>
      <c r="E448" s="98">
        <v>0</v>
      </c>
      <c r="F448" s="99">
        <f t="shared" si="60"/>
        <v>1202.812416</v>
      </c>
      <c r="G448" s="167" t="str">
        <f t="shared" si="61"/>
        <v>11th Floor (Part Refuge Area)</v>
      </c>
      <c r="H448" s="168"/>
      <c r="I448" s="44"/>
      <c r="N448" s="44"/>
    </row>
    <row r="449" spans="1:14" s="75" customFormat="1">
      <c r="A449" s="164">
        <f t="shared" si="62"/>
        <v>1108</v>
      </c>
      <c r="B449" s="164"/>
      <c r="C449" s="98" t="s">
        <v>152</v>
      </c>
      <c r="D449" s="98">
        <f>(59.41+0.75*(3+2.1+2.75+2.87+3))*10.764</f>
        <v>750.2507999999998</v>
      </c>
      <c r="E449" s="98">
        <v>0</v>
      </c>
      <c r="F449" s="99">
        <f t="shared" si="60"/>
        <v>1200.4012799999998</v>
      </c>
      <c r="G449" s="167" t="str">
        <f t="shared" si="61"/>
        <v>11th Floor (Part Refuge Area)</v>
      </c>
      <c r="H449" s="168"/>
      <c r="I449" s="44"/>
      <c r="N449" s="44"/>
    </row>
    <row r="450" spans="1:14" s="75" customFormat="1">
      <c r="A450" s="164">
        <f t="shared" si="62"/>
        <v>1109</v>
      </c>
      <c r="B450" s="164"/>
      <c r="C450" s="98" t="s">
        <v>204</v>
      </c>
      <c r="D450" s="98">
        <f>(54.83+0.75*(2+2.1+3.14+2.83))*10.764</f>
        <v>671.48523</v>
      </c>
      <c r="E450" s="98">
        <v>0</v>
      </c>
      <c r="F450" s="99">
        <f t="shared" si="60"/>
        <v>1074.376368</v>
      </c>
      <c r="G450" s="169" t="str">
        <f t="shared" si="61"/>
        <v>11th Floor (Part Refuge Area)</v>
      </c>
      <c r="H450" s="170"/>
      <c r="I450" s="44"/>
      <c r="N450" s="44"/>
    </row>
    <row r="451" spans="1:14" s="76" customFormat="1">
      <c r="A451" s="162" t="s">
        <v>213</v>
      </c>
      <c r="B451" s="162"/>
      <c r="C451" s="162"/>
      <c r="D451" s="162"/>
      <c r="E451" s="162"/>
      <c r="F451" s="162"/>
      <c r="G451" s="162"/>
      <c r="H451" s="162"/>
      <c r="I451" s="44"/>
      <c r="L451" s="163"/>
      <c r="M451" s="163"/>
    </row>
    <row r="452" spans="1:14" s="76" customFormat="1">
      <c r="A452" s="164">
        <v>1201</v>
      </c>
      <c r="B452" s="164"/>
      <c r="C452" s="77" t="s">
        <v>204</v>
      </c>
      <c r="D452" s="87">
        <f>(42.02+0.75*(3+2.1+2.75+2.85))*10.764</f>
        <v>538.68438000000003</v>
      </c>
      <c r="E452" s="77">
        <v>0</v>
      </c>
      <c r="F452" s="48">
        <f t="shared" ref="F452:F460" si="63">D452*(($F$358)+1)+E452</f>
        <v>861.89500800000008</v>
      </c>
      <c r="G452" s="165" t="str">
        <f>A451</f>
        <v>12th Floor</v>
      </c>
      <c r="H452" s="166"/>
      <c r="I452" s="44" t="s">
        <v>225</v>
      </c>
      <c r="N452" s="44"/>
    </row>
    <row r="453" spans="1:14" s="76" customFormat="1">
      <c r="A453" s="164">
        <f>A452+1</f>
        <v>1202</v>
      </c>
      <c r="B453" s="164"/>
      <c r="C453" s="77" t="s">
        <v>204</v>
      </c>
      <c r="D453" s="87">
        <f>(53.99+0.75*(2.1+2.1+3.27+2.65))*10.764</f>
        <v>662.84712000000002</v>
      </c>
      <c r="E453" s="77">
        <v>0</v>
      </c>
      <c r="F453" s="48">
        <f t="shared" si="63"/>
        <v>1060.555392</v>
      </c>
      <c r="G453" s="167"/>
      <c r="H453" s="168"/>
      <c r="I453" s="44"/>
      <c r="N453" s="44"/>
    </row>
    <row r="454" spans="1:14" s="76" customFormat="1">
      <c r="A454" s="164">
        <f>A453+1</f>
        <v>1203</v>
      </c>
      <c r="B454" s="164"/>
      <c r="C454" s="77" t="s">
        <v>204</v>
      </c>
      <c r="D454" s="87">
        <f>(54.19+0.75*(3.9+5.7+3))*10.764</f>
        <v>685.02095999999995</v>
      </c>
      <c r="E454" s="77">
        <v>0</v>
      </c>
      <c r="F454" s="48">
        <f t="shared" si="63"/>
        <v>1096.0335359999999</v>
      </c>
      <c r="G454" s="167"/>
      <c r="H454" s="168"/>
      <c r="I454" s="44"/>
      <c r="N454" s="44"/>
    </row>
    <row r="455" spans="1:14" s="76" customFormat="1">
      <c r="A455" s="164">
        <f t="shared" ref="A455:A460" si="64">A454+1</f>
        <v>1204</v>
      </c>
      <c r="B455" s="164"/>
      <c r="C455" s="77" t="s">
        <v>204</v>
      </c>
      <c r="D455" s="87">
        <f>(53.98+0.75*(3+2.1+2.75+2.8))*10.764</f>
        <v>667.01816999999994</v>
      </c>
      <c r="E455" s="77">
        <v>0</v>
      </c>
      <c r="F455" s="48">
        <f t="shared" si="63"/>
        <v>1067.2290719999999</v>
      </c>
      <c r="G455" s="167"/>
      <c r="H455" s="168"/>
      <c r="I455" s="44"/>
      <c r="N455" s="44"/>
    </row>
    <row r="456" spans="1:14" s="76" customFormat="1">
      <c r="A456" s="164">
        <f t="shared" si="64"/>
        <v>1205</v>
      </c>
      <c r="B456" s="164"/>
      <c r="C456" s="77" t="s">
        <v>204</v>
      </c>
      <c r="D456" s="87">
        <f>(54.63+0.75*(1.7+2.1+3.01+3))*10.764</f>
        <v>667.23345000000006</v>
      </c>
      <c r="E456" s="77">
        <v>0</v>
      </c>
      <c r="F456" s="48">
        <f t="shared" si="63"/>
        <v>1067.5735200000001</v>
      </c>
      <c r="G456" s="167"/>
      <c r="H456" s="168"/>
      <c r="I456" s="44"/>
      <c r="N456" s="44"/>
    </row>
    <row r="457" spans="1:14" s="76" customFormat="1">
      <c r="A457" s="164">
        <f t="shared" si="64"/>
        <v>1206</v>
      </c>
      <c r="B457" s="164"/>
      <c r="C457" s="77" t="s">
        <v>204</v>
      </c>
      <c r="D457" s="87">
        <f>(54.37+0.75*(2+2.1+3.14+3))*10.764</f>
        <v>667.9061999999999</v>
      </c>
      <c r="E457" s="77">
        <v>0</v>
      </c>
      <c r="F457" s="48">
        <f t="shared" si="63"/>
        <v>1068.6499199999998</v>
      </c>
      <c r="G457" s="167"/>
      <c r="H457" s="168"/>
      <c r="I457" s="44"/>
      <c r="N457" s="44"/>
    </row>
    <row r="458" spans="1:14" s="76" customFormat="1">
      <c r="A458" s="164">
        <f t="shared" si="64"/>
        <v>1207</v>
      </c>
      <c r="B458" s="164"/>
      <c r="C458" s="77" t="s">
        <v>152</v>
      </c>
      <c r="D458" s="87">
        <f>(59.55+0.75*(3+2.1+2.75+2.87+3))*10.764</f>
        <v>751.75775999999996</v>
      </c>
      <c r="E458" s="77">
        <v>0</v>
      </c>
      <c r="F458" s="48">
        <f t="shared" si="63"/>
        <v>1202.812416</v>
      </c>
      <c r="G458" s="167"/>
      <c r="H458" s="168"/>
      <c r="I458" s="44"/>
      <c r="N458" s="44"/>
    </row>
    <row r="459" spans="1:14" s="76" customFormat="1">
      <c r="A459" s="164">
        <f t="shared" si="64"/>
        <v>1208</v>
      </c>
      <c r="B459" s="164"/>
      <c r="C459" s="77" t="s">
        <v>152</v>
      </c>
      <c r="D459" s="87">
        <f>(59.41+0.75*(3+2.1+2.75+2.87+3))*10.764</f>
        <v>750.2507999999998</v>
      </c>
      <c r="E459" s="77">
        <v>0</v>
      </c>
      <c r="F459" s="48">
        <f t="shared" si="63"/>
        <v>1200.4012799999998</v>
      </c>
      <c r="G459" s="167"/>
      <c r="H459" s="168"/>
      <c r="I459" s="44"/>
      <c r="N459" s="44"/>
    </row>
    <row r="460" spans="1:14" s="76" customFormat="1">
      <c r="A460" s="164">
        <f t="shared" si="64"/>
        <v>1209</v>
      </c>
      <c r="B460" s="164"/>
      <c r="C460" s="77" t="s">
        <v>204</v>
      </c>
      <c r="D460" s="87">
        <f>(54.83+0.75*(2+2.1+3.14+3))*10.764</f>
        <v>672.85763999999995</v>
      </c>
      <c r="E460" s="77">
        <v>0</v>
      </c>
      <c r="F460" s="48">
        <f t="shared" si="63"/>
        <v>1076.572224</v>
      </c>
      <c r="G460" s="169"/>
      <c r="H460" s="170"/>
      <c r="I460" s="44"/>
      <c r="N460" s="44"/>
    </row>
    <row r="461" spans="1:14" s="82" customFormat="1">
      <c r="A461" s="162" t="s">
        <v>227</v>
      </c>
      <c r="B461" s="162"/>
      <c r="C461" s="162"/>
      <c r="D461" s="162"/>
      <c r="E461" s="162"/>
      <c r="F461" s="162"/>
      <c r="G461" s="162"/>
      <c r="H461" s="162"/>
      <c r="I461" s="44"/>
      <c r="L461" s="163"/>
      <c r="M461" s="163"/>
    </row>
    <row r="462" spans="1:14" s="82" customFormat="1" ht="15.75" customHeight="1">
      <c r="A462" s="164">
        <f>LEFT(A461,SUM(LEN(A461)-LEN(SUBSTITUTE(A461,{"0","1","3","4","5","6","7","8","9"},""))))*100+1</f>
        <v>1301</v>
      </c>
      <c r="B462" s="164"/>
      <c r="C462" s="81" t="s">
        <v>204</v>
      </c>
      <c r="D462" s="87">
        <f>(54.71+0.75*(3+2.1+2.75+1.8))*10.764</f>
        <v>666.80289000000005</v>
      </c>
      <c r="E462" s="81">
        <v>0</v>
      </c>
      <c r="F462" s="48">
        <f t="shared" ref="F462:F468" si="65">D462*(($F$358)+1)+E462</f>
        <v>1066.884624</v>
      </c>
      <c r="G462" s="165" t="str">
        <f>A461</f>
        <v>13th Floor (Part Terrace Area)</v>
      </c>
      <c r="H462" s="166"/>
      <c r="I462" s="44" t="s">
        <v>226</v>
      </c>
      <c r="N462" s="44"/>
    </row>
    <row r="463" spans="1:14" s="82" customFormat="1" ht="15.75" customHeight="1">
      <c r="A463" s="164">
        <f>A462+1</f>
        <v>1302</v>
      </c>
      <c r="B463" s="164"/>
      <c r="C463" s="81" t="s">
        <v>204</v>
      </c>
      <c r="D463" s="87">
        <f>(53.92+0.75*(3+2.1+2.75+2.8))*10.764</f>
        <v>666.37232999999992</v>
      </c>
      <c r="E463" s="81">
        <v>0</v>
      </c>
      <c r="F463" s="48">
        <f t="shared" si="65"/>
        <v>1066.1957279999999</v>
      </c>
      <c r="G463" s="167" t="str">
        <f t="shared" ref="G463:G468" si="66">G462</f>
        <v>13th Floor (Part Terrace Area)</v>
      </c>
      <c r="H463" s="168"/>
      <c r="I463" s="44"/>
      <c r="N463" s="44"/>
    </row>
    <row r="464" spans="1:14" s="82" customFormat="1" ht="15.75" customHeight="1">
      <c r="A464" s="164">
        <f>A463+1</f>
        <v>1303</v>
      </c>
      <c r="B464" s="164"/>
      <c r="C464" s="81" t="s">
        <v>204</v>
      </c>
      <c r="D464" s="87">
        <f>(54.63+0.75*(1.7+2.1+3.01+3))*10.764</f>
        <v>667.23345000000006</v>
      </c>
      <c r="E464" s="81">
        <v>0</v>
      </c>
      <c r="F464" s="48">
        <f t="shared" si="65"/>
        <v>1067.5735200000001</v>
      </c>
      <c r="G464" s="167" t="str">
        <f t="shared" si="66"/>
        <v>13th Floor (Part Terrace Area)</v>
      </c>
      <c r="H464" s="168"/>
      <c r="I464" s="44"/>
      <c r="N464" s="44"/>
    </row>
    <row r="465" spans="1:16" s="82" customFormat="1" ht="15.75" customHeight="1">
      <c r="A465" s="164">
        <f t="shared" ref="A465:A468" si="67">A464+1</f>
        <v>1304</v>
      </c>
      <c r="B465" s="164"/>
      <c r="C465" s="81" t="s">
        <v>204</v>
      </c>
      <c r="D465" s="87">
        <f>(54.37+0.75*(2+2.1+3.14+3))*10.764</f>
        <v>667.9061999999999</v>
      </c>
      <c r="E465" s="81">
        <v>0</v>
      </c>
      <c r="F465" s="48">
        <f t="shared" si="65"/>
        <v>1068.6499199999998</v>
      </c>
      <c r="G465" s="167" t="str">
        <f t="shared" si="66"/>
        <v>13th Floor (Part Terrace Area)</v>
      </c>
      <c r="H465" s="168"/>
      <c r="I465" s="44"/>
      <c r="N465" s="44"/>
    </row>
    <row r="466" spans="1:16" s="82" customFormat="1" ht="15.75" customHeight="1">
      <c r="A466" s="164">
        <f t="shared" si="67"/>
        <v>1305</v>
      </c>
      <c r="B466" s="164"/>
      <c r="C466" s="81" t="s">
        <v>152</v>
      </c>
      <c r="D466" s="87">
        <f>(59.41+0.75*(3+2.1+2.75+2.87+3))*10.764</f>
        <v>750.2507999999998</v>
      </c>
      <c r="E466" s="81">
        <v>0</v>
      </c>
      <c r="F466" s="48">
        <f t="shared" si="65"/>
        <v>1200.4012799999998</v>
      </c>
      <c r="G466" s="167" t="str">
        <f t="shared" si="66"/>
        <v>13th Floor (Part Terrace Area)</v>
      </c>
      <c r="H466" s="168"/>
      <c r="I466" s="44"/>
      <c r="N466" s="44"/>
    </row>
    <row r="467" spans="1:16" s="82" customFormat="1" ht="15.75" customHeight="1">
      <c r="A467" s="164">
        <f t="shared" si="67"/>
        <v>1306</v>
      </c>
      <c r="B467" s="164"/>
      <c r="C467" s="81" t="s">
        <v>152</v>
      </c>
      <c r="D467" s="87">
        <f>(59.41+0.75*(3+2.1+2.75+2.87+3))*10.764</f>
        <v>750.2507999999998</v>
      </c>
      <c r="E467" s="81">
        <v>0</v>
      </c>
      <c r="F467" s="48">
        <f t="shared" si="65"/>
        <v>1200.4012799999998</v>
      </c>
      <c r="G467" s="167" t="str">
        <f t="shared" si="66"/>
        <v>13th Floor (Part Terrace Area)</v>
      </c>
      <c r="H467" s="168"/>
      <c r="I467" s="44"/>
      <c r="N467" s="44"/>
    </row>
    <row r="468" spans="1:16" s="82" customFormat="1" ht="15.75" customHeight="1">
      <c r="A468" s="164">
        <f t="shared" si="67"/>
        <v>1307</v>
      </c>
      <c r="B468" s="164"/>
      <c r="C468" s="81" t="s">
        <v>204</v>
      </c>
      <c r="D468" s="87">
        <f>(54.83+0.75*(2+2.1+3.14+3))*10.764</f>
        <v>672.85763999999995</v>
      </c>
      <c r="E468" s="81">
        <v>0</v>
      </c>
      <c r="F468" s="48">
        <f t="shared" si="65"/>
        <v>1076.572224</v>
      </c>
      <c r="G468" s="169" t="str">
        <f t="shared" si="66"/>
        <v>13th Floor (Part Terrace Area)</v>
      </c>
      <c r="H468" s="170"/>
      <c r="I468" s="44"/>
      <c r="N468" s="44"/>
    </row>
    <row r="469" spans="1:16" s="2" customFormat="1" ht="15.75" customHeight="1">
      <c r="A469" s="188" t="s">
        <v>214</v>
      </c>
      <c r="B469" s="189"/>
      <c r="C469" s="189"/>
      <c r="D469" s="189"/>
      <c r="E469" s="189"/>
      <c r="F469" s="189"/>
      <c r="G469" s="189"/>
      <c r="H469" s="190"/>
      <c r="I469" s="44"/>
      <c r="L469" s="55"/>
      <c r="M469" s="55"/>
      <c r="P469" s="45"/>
    </row>
    <row r="470" spans="1:16" s="2" customFormat="1" ht="15.75" customHeight="1">
      <c r="A470" s="185" t="str">
        <f t="shared" ref="A470:A475" ca="1" si="68">N470</f>
        <v>1401,..,2401</v>
      </c>
      <c r="B470" s="187"/>
      <c r="C470" s="81" t="s">
        <v>152</v>
      </c>
      <c r="D470" s="87">
        <f>(67.59+0.75*(3+2.1+2.75+1.8+1.8))*10.764</f>
        <v>819.9746100000001</v>
      </c>
      <c r="E470" s="56">
        <v>0</v>
      </c>
      <c r="F470" s="48">
        <f t="shared" ref="F470:F474" si="69">D470*(($F$358)+1)+E470</f>
        <v>1311.9593760000002</v>
      </c>
      <c r="G470" s="165" t="str">
        <f>A469</f>
        <v>14th, 15th, 17th to 20th, 22nd to 24th Floor</v>
      </c>
      <c r="H470" s="166"/>
      <c r="I470" s="44"/>
      <c r="M470" s="55"/>
      <c r="N470" s="55" t="str">
        <f t="shared" ref="N470:N475" ca="1" si="70">O470&amp;""&amp;",..,"&amp;""&amp;P470</f>
        <v>1401,..,2401</v>
      </c>
      <c r="O470" s="2">
        <f ca="1">(SUMPRODUCT(MID(0&amp;(LEFT(A469,SUM(LEN(A469)-LEN(SUBSTITUTE(A469,{"0","1"},""))))), LARGE(INDEX(ISNUMBER(--MID((LEFT(A469,SUM(LEN(A469)-LEN(SUBSTITUTE(A469,{"0","1"},""))))), ROW(INDIRECT("1:"&amp;LEN((LEFT(A469,SUM(LEN(A469)-LEN(SUBSTITUTE(A469,{"0","1"},"")))))))), 1)) * ROW(INDIRECT("1:"&amp;LEN((LEFT(A469,SUM(LEN(A469)-LEN(SUBSTITUTE(A469,{"0","1"},"")))))))), 0), ROW(INDIRECT("1:"&amp;LEN((LEFT(A469,SUM(LEN(A469)-LEN(SUBSTITUTE(A469,{"0","1"},"")))))))))+1, 1) * 10^ROW(INDIRECT("1:"&amp;LEN((LEFT(A469,SUM(LEN(A469)-LEN(SUBSTITUTE(A469,{"0","1"},""))))))))/10))*100+1</f>
        <v>1401</v>
      </c>
      <c r="P470" s="2">
        <f ca="1">(SUMPRODUCT(MID(0&amp;(--TRIM(RIGHT(SUBSTITUTE(LEFT(A469,_xlfn.AGGREGATE(16,6,FIND({0,1,2,3,4,5,6,7,8,9},A469,ROW(INDIRECT("1:"&amp;LEN(A469)))),1))," ",REPT(" ",LEN(A469))),LEN(A469)))), LARGE(INDEX(ISNUMBER(--MID((--TRIM(RIGHT(SUBSTITUTE(LEFT(A469,_xlfn.AGGREGATE(16,6,FIND({0,1,2,3,4,5,6,7,8,9},A469,ROW(INDIRECT("1:"&amp;LEN(A469)))),1))," ",REPT(" ",LEN(A469))),LEN(A469)))), ROW(INDIRECT("1:"&amp;LEN((--TRIM(RIGHT(SUBSTITUTE(LEFT(A469,_xlfn.AGGREGATE(16,6,FIND({0,1,2,3,4,5,6,7,8,9},A469,ROW(INDIRECT("1:"&amp;LEN(A469)))),1))," ",REPT(" ",LEN(A469))),LEN(A469))))))), 1)) * ROW(INDIRECT("1:"&amp;LEN((--TRIM(RIGHT(SUBSTITUTE(LEFT(A469,_xlfn.AGGREGATE(16,6,FIND({0,1,2,3,4,5,6,7,8,9},A469,ROW(INDIRECT("1:"&amp;LEN(A469)))),1))," ",REPT(" ",LEN(A469))),LEN(A469))))))), 0), ROW(INDIRECT("1:"&amp;LEN((--TRIM(RIGHT(SUBSTITUTE(LEFT(A469,_xlfn.AGGREGATE(16,6,FIND({0,1,2,3,4,5,6,7,8,9},A469,ROW(INDIRECT("1:"&amp;LEN(A469)))),1))," ",REPT(" ",LEN(A469))),LEN(A469))))))))+1, 1) * 10^ROW(INDIRECT("1:"&amp;LEN((--TRIM(RIGHT(SUBSTITUTE(LEFT(A469,_xlfn.AGGREGATE(16,6,FIND({0,1,2,3,4,5,6,7,8,9},A469,ROW(INDIRECT("1:"&amp;LEN(A469)))),1))," ",REPT(" ",LEN(A469))),LEN(A469)))))))/10))*100+1</f>
        <v>2401</v>
      </c>
    </row>
    <row r="471" spans="1:16" s="2" customFormat="1" ht="15.75" customHeight="1">
      <c r="A471" s="185" t="str">
        <f t="shared" ca="1" si="68"/>
        <v>1402,..,2402</v>
      </c>
      <c r="B471" s="187"/>
      <c r="C471" s="81" t="s">
        <v>152</v>
      </c>
      <c r="D471" s="87">
        <f>(67.35+0.75*(3+2.1+2.75+2.8+1.8))*10.764</f>
        <v>825.46424999999999</v>
      </c>
      <c r="E471" s="56">
        <v>0</v>
      </c>
      <c r="F471" s="48">
        <f t="shared" si="69"/>
        <v>1320.7428</v>
      </c>
      <c r="G471" s="167"/>
      <c r="H471" s="168"/>
      <c r="I471" s="44"/>
      <c r="M471" s="55"/>
      <c r="N471" s="72" t="str">
        <f t="shared" ca="1" si="70"/>
        <v>1402,..,2402</v>
      </c>
      <c r="O471" s="2">
        <f t="shared" ref="O471:P474" ca="1" si="71">O470+1</f>
        <v>1402</v>
      </c>
      <c r="P471" s="2">
        <f t="shared" ca="1" si="71"/>
        <v>2402</v>
      </c>
    </row>
    <row r="472" spans="1:16" s="2" customFormat="1" ht="15.75" customHeight="1">
      <c r="A472" s="185" t="str">
        <f t="shared" ca="1" si="68"/>
        <v>1403,..,2403</v>
      </c>
      <c r="B472" s="187"/>
      <c r="C472" s="81" t="s">
        <v>204</v>
      </c>
      <c r="D472" s="87">
        <f>(54.63+0.75*(1.7+2.1+3.01+3))*10.764</f>
        <v>667.23345000000006</v>
      </c>
      <c r="E472" s="56">
        <v>0</v>
      </c>
      <c r="F472" s="48">
        <f t="shared" si="69"/>
        <v>1067.5735200000001</v>
      </c>
      <c r="G472" s="167"/>
      <c r="H472" s="168"/>
      <c r="I472" s="44"/>
      <c r="M472" s="55"/>
      <c r="N472" s="72" t="str">
        <f t="shared" ca="1" si="70"/>
        <v>1403,..,2403</v>
      </c>
      <c r="O472" s="2">
        <f t="shared" ca="1" si="71"/>
        <v>1403</v>
      </c>
      <c r="P472" s="2">
        <f t="shared" ca="1" si="71"/>
        <v>2403</v>
      </c>
    </row>
    <row r="473" spans="1:16" s="2" customFormat="1" ht="15.75" customHeight="1">
      <c r="A473" s="185" t="str">
        <f t="shared" ca="1" si="68"/>
        <v>1404,..,2404</v>
      </c>
      <c r="B473" s="187"/>
      <c r="C473" s="81" t="s">
        <v>204</v>
      </c>
      <c r="D473" s="87">
        <f>(54.25+0.75*(2+2.1+3.14+3))*10.764</f>
        <v>666.61451999999997</v>
      </c>
      <c r="E473" s="56">
        <v>0</v>
      </c>
      <c r="F473" s="48">
        <f t="shared" si="69"/>
        <v>1066.583232</v>
      </c>
      <c r="G473" s="167"/>
      <c r="H473" s="168"/>
      <c r="I473" s="44"/>
      <c r="M473" s="55"/>
      <c r="N473" s="72" t="str">
        <f t="shared" ca="1" si="70"/>
        <v>1404,..,2404</v>
      </c>
      <c r="O473" s="2">
        <f t="shared" ca="1" si="71"/>
        <v>1404</v>
      </c>
      <c r="P473" s="2">
        <f t="shared" ca="1" si="71"/>
        <v>2404</v>
      </c>
    </row>
    <row r="474" spans="1:16" s="2" customFormat="1" ht="15.75" customHeight="1">
      <c r="A474" s="185" t="str">
        <f t="shared" ca="1" si="68"/>
        <v>1405,..,2405</v>
      </c>
      <c r="B474" s="187"/>
      <c r="C474" s="81" t="s">
        <v>152</v>
      </c>
      <c r="D474" s="87">
        <f>(67.72+0.75*(3+2.1+2.75+2.87+1.8))*10.764</f>
        <v>830.01203999999996</v>
      </c>
      <c r="E474" s="56">
        <v>0</v>
      </c>
      <c r="F474" s="48">
        <f t="shared" si="69"/>
        <v>1328.019264</v>
      </c>
      <c r="G474" s="167"/>
      <c r="H474" s="168"/>
      <c r="I474" s="44"/>
      <c r="M474" s="55"/>
      <c r="N474" s="72" t="str">
        <f t="shared" ca="1" si="70"/>
        <v>1405,..,2405</v>
      </c>
      <c r="O474" s="2">
        <f t="shared" ca="1" si="71"/>
        <v>1405</v>
      </c>
      <c r="P474" s="2">
        <f t="shared" ca="1" si="71"/>
        <v>2405</v>
      </c>
    </row>
    <row r="475" spans="1:16" s="49" customFormat="1" ht="15.75" customHeight="1">
      <c r="A475" s="185" t="str">
        <f t="shared" ca="1" si="68"/>
        <v>1406,..,2406</v>
      </c>
      <c r="B475" s="187"/>
      <c r="C475" s="81" t="s">
        <v>152</v>
      </c>
      <c r="D475" s="87">
        <f>(67.72+0.75*(3+2.1+2.75+2.87+1.8))*10.764</f>
        <v>830.01203999999996</v>
      </c>
      <c r="E475" s="56">
        <v>0</v>
      </c>
      <c r="F475" s="48">
        <f t="shared" ref="F475" si="72">D475*(($F$358)+1)+E475</f>
        <v>1328.019264</v>
      </c>
      <c r="G475" s="167"/>
      <c r="H475" s="168"/>
      <c r="I475" s="44"/>
      <c r="M475" s="55"/>
      <c r="N475" s="72" t="str">
        <f t="shared" ca="1" si="70"/>
        <v>1406,..,2406</v>
      </c>
      <c r="O475" s="49">
        <f t="shared" ref="O475:P476" ca="1" si="73">O474+1</f>
        <v>1406</v>
      </c>
      <c r="P475" s="49">
        <f t="shared" ca="1" si="73"/>
        <v>2406</v>
      </c>
    </row>
    <row r="476" spans="1:16" s="82" customFormat="1" ht="15.75" customHeight="1">
      <c r="A476" s="185" t="str">
        <f t="shared" ref="A476" ca="1" si="74">N476</f>
        <v>1407,..,2407</v>
      </c>
      <c r="B476" s="187"/>
      <c r="C476" s="81" t="s">
        <v>204</v>
      </c>
      <c r="D476" s="87">
        <f>(54.83+0.75*(2+2.1+3.14+3))*10.764</f>
        <v>672.85763999999995</v>
      </c>
      <c r="E476" s="81">
        <v>0</v>
      </c>
      <c r="F476" s="48">
        <f t="shared" ref="F476" si="75">D476*(($F$358)+1)+E476</f>
        <v>1076.572224</v>
      </c>
      <c r="G476" s="169"/>
      <c r="H476" s="170"/>
      <c r="I476" s="44"/>
      <c r="N476" s="82" t="str">
        <f t="shared" ref="N476" ca="1" si="76">O476&amp;""&amp;",..,"&amp;""&amp;P476</f>
        <v>1407,..,2407</v>
      </c>
      <c r="O476" s="82">
        <f t="shared" ca="1" si="73"/>
        <v>1407</v>
      </c>
      <c r="P476" s="82">
        <f t="shared" ca="1" si="73"/>
        <v>2407</v>
      </c>
    </row>
    <row r="477" spans="1:16" s="49" customFormat="1">
      <c r="A477" s="188" t="s">
        <v>228</v>
      </c>
      <c r="B477" s="189"/>
      <c r="C477" s="189"/>
      <c r="D477" s="189"/>
      <c r="E477" s="189"/>
      <c r="F477" s="189"/>
      <c r="G477" s="189"/>
      <c r="H477" s="190"/>
      <c r="I477" s="44"/>
      <c r="M477" s="55"/>
      <c r="N477" s="55"/>
      <c r="P477" s="45"/>
    </row>
    <row r="478" spans="1:16" s="49" customFormat="1" ht="15.75" customHeight="1">
      <c r="A478" s="185" t="str">
        <f t="shared" ref="A478:A483" ca="1" si="77">N478</f>
        <v>1601 &amp; 2101</v>
      </c>
      <c r="B478" s="187"/>
      <c r="C478" s="81" t="s">
        <v>152</v>
      </c>
      <c r="D478" s="87">
        <f>(67.59+0.75*(3+2.1+2.75+1.8+1.8))*10.764</f>
        <v>819.9746100000001</v>
      </c>
      <c r="E478" s="56">
        <v>0</v>
      </c>
      <c r="F478" s="48">
        <f t="shared" ref="F478:F483" si="78">D478*(($F$358)+1)+E478</f>
        <v>1311.9593760000002</v>
      </c>
      <c r="G478" s="165" t="str">
        <f>A477</f>
        <v>16th &amp; 21st Floor (Part Refuge Area)</v>
      </c>
      <c r="H478" s="166"/>
      <c r="I478" s="44"/>
      <c r="M478" s="55"/>
      <c r="N478" s="55" t="str">
        <f t="shared" ref="N478:N483" ca="1" si="79">O478&amp;""&amp;" &amp; "&amp;""&amp;P478</f>
        <v>1601 &amp; 2101</v>
      </c>
      <c r="O478" s="72">
        <f ca="1">(SUMPRODUCT(MID(0&amp;(LEFT(A477,SUM(LEN(A477)-LEN(SUBSTITUTE(A477,{"0","1"},""))))), LARGE(INDEX(ISNUMBER(--MID((LEFT(A477,SUM(LEN(A477)-LEN(SUBSTITUTE(A477,{"0","1"},""))))), ROW(INDIRECT("1:"&amp;LEN((LEFT(A477,SUM(LEN(A477)-LEN(SUBSTITUTE(A477,{"0","1"},"")))))))), 1)) * ROW(INDIRECT("1:"&amp;LEN((LEFT(A477,SUM(LEN(A477)-LEN(SUBSTITUTE(A477,{"0","1"},"")))))))), 0), ROW(INDIRECT("1:"&amp;LEN((LEFT(A477,SUM(LEN(A477)-LEN(SUBSTITUTE(A477,{"0","1"},"")))))))))+1, 1) * 10^ROW(INDIRECT("1:"&amp;LEN((LEFT(A477,SUM(LEN(A477)-LEN(SUBSTITUTE(A477,{"0","1"},""))))))))/10))*100+1</f>
        <v>1601</v>
      </c>
      <c r="P478" s="72">
        <f ca="1">(SUMPRODUCT(MID(0&amp;(--TRIM(RIGHT(SUBSTITUTE(LEFT(A477,_xlfn.AGGREGATE(16,6,FIND({0,1,2,3,4,5,6,7,8,9},A477,ROW(INDIRECT("1:"&amp;LEN(A477)))),1))," ",REPT(" ",LEN(A477))),LEN(A477)))), LARGE(INDEX(ISNUMBER(--MID((--TRIM(RIGHT(SUBSTITUTE(LEFT(A477,_xlfn.AGGREGATE(16,6,FIND({0,1,2,3,4,5,6,7,8,9},A477,ROW(INDIRECT("1:"&amp;LEN(A477)))),1))," ",REPT(" ",LEN(A477))),LEN(A477)))), ROW(INDIRECT("1:"&amp;LEN((--TRIM(RIGHT(SUBSTITUTE(LEFT(A477,_xlfn.AGGREGATE(16,6,FIND({0,1,2,3,4,5,6,7,8,9},A477,ROW(INDIRECT("1:"&amp;LEN(A477)))),1))," ",REPT(" ",LEN(A477))),LEN(A477))))))), 1)) * ROW(INDIRECT("1:"&amp;LEN((--TRIM(RIGHT(SUBSTITUTE(LEFT(A477,_xlfn.AGGREGATE(16,6,FIND({0,1,2,3,4,5,6,7,8,9},A477,ROW(INDIRECT("1:"&amp;LEN(A477)))),1))," ",REPT(" ",LEN(A477))),LEN(A477))))))), 0), ROW(INDIRECT("1:"&amp;LEN((--TRIM(RIGHT(SUBSTITUTE(LEFT(A477,_xlfn.AGGREGATE(16,6,FIND({0,1,2,3,4,5,6,7,8,9},A477,ROW(INDIRECT("1:"&amp;LEN(A477)))),1))," ",REPT(" ",LEN(A477))),LEN(A477))))))))+1, 1) * 10^ROW(INDIRECT("1:"&amp;LEN((--TRIM(RIGHT(SUBSTITUTE(LEFT(A477,_xlfn.AGGREGATE(16,6,FIND({0,1,2,3,4,5,6,7,8,9},A477,ROW(INDIRECT("1:"&amp;LEN(A477)))),1))," ",REPT(" ",LEN(A477))),LEN(A477)))))))/10))*100+1</f>
        <v>2101</v>
      </c>
    </row>
    <row r="479" spans="1:16" s="49" customFormat="1" ht="15.75" customHeight="1">
      <c r="A479" s="185" t="str">
        <f t="shared" ca="1" si="77"/>
        <v>1602 &amp; 2102</v>
      </c>
      <c r="B479" s="187"/>
      <c r="C479" s="81" t="s">
        <v>152</v>
      </c>
      <c r="D479" s="87">
        <f>(67.35+0.75*(3+2.1+2.75+2.8+1.8))*10.764</f>
        <v>825.46424999999999</v>
      </c>
      <c r="E479" s="56">
        <v>0</v>
      </c>
      <c r="F479" s="48">
        <f t="shared" si="78"/>
        <v>1320.7428</v>
      </c>
      <c r="G479" s="167"/>
      <c r="H479" s="168"/>
      <c r="I479" s="44"/>
      <c r="M479" s="55"/>
      <c r="N479" s="72" t="str">
        <f t="shared" ca="1" si="79"/>
        <v>1602 &amp; 2102</v>
      </c>
      <c r="O479" s="49">
        <f t="shared" ref="O479:P479" ca="1" si="80">O478+1</f>
        <v>1602</v>
      </c>
      <c r="P479" s="49">
        <f t="shared" ca="1" si="80"/>
        <v>2102</v>
      </c>
    </row>
    <row r="480" spans="1:16" s="49" customFormat="1" ht="15.75" customHeight="1">
      <c r="A480" s="185" t="str">
        <f t="shared" ca="1" si="77"/>
        <v>1603 &amp; 2103</v>
      </c>
      <c r="B480" s="187"/>
      <c r="C480" s="81" t="s">
        <v>204</v>
      </c>
      <c r="D480" s="87">
        <f>(54.63+0.75*(1.7+2.1+3.01+3))*10.764</f>
        <v>667.23345000000006</v>
      </c>
      <c r="E480" s="56">
        <v>0</v>
      </c>
      <c r="F480" s="48">
        <f t="shared" si="78"/>
        <v>1067.5735200000001</v>
      </c>
      <c r="G480" s="167"/>
      <c r="H480" s="168"/>
      <c r="I480" s="44"/>
      <c r="M480" s="55"/>
      <c r="N480" s="72" t="str">
        <f t="shared" ca="1" si="79"/>
        <v>1603 &amp; 2103</v>
      </c>
      <c r="O480" s="49">
        <f t="shared" ref="O480:P480" ca="1" si="81">O479+1</f>
        <v>1603</v>
      </c>
      <c r="P480" s="49">
        <f t="shared" ca="1" si="81"/>
        <v>2103</v>
      </c>
    </row>
    <row r="481" spans="1:16" s="49" customFormat="1" ht="15.75" customHeight="1">
      <c r="A481" s="185" t="str">
        <f t="shared" ca="1" si="77"/>
        <v>1604 &amp; 2104</v>
      </c>
      <c r="B481" s="187"/>
      <c r="C481" s="81" t="s">
        <v>205</v>
      </c>
      <c r="D481" s="87">
        <f>(41.76+0.75*(2+2.1+3.14))*10.764</f>
        <v>507.95315999999997</v>
      </c>
      <c r="E481" s="56">
        <v>0</v>
      </c>
      <c r="F481" s="48">
        <f t="shared" si="78"/>
        <v>812.725056</v>
      </c>
      <c r="G481" s="167"/>
      <c r="H481" s="168"/>
      <c r="I481" s="44"/>
      <c r="M481" s="55"/>
      <c r="N481" s="72" t="str">
        <f t="shared" ca="1" si="79"/>
        <v>1604 &amp; 2104</v>
      </c>
      <c r="O481" s="49">
        <f t="shared" ref="O481:P481" ca="1" si="82">O480+1</f>
        <v>1604</v>
      </c>
      <c r="P481" s="49">
        <f t="shared" ca="1" si="82"/>
        <v>2104</v>
      </c>
    </row>
    <row r="482" spans="1:16" s="49" customFormat="1" ht="15.75" customHeight="1">
      <c r="A482" s="185" t="str">
        <f t="shared" ca="1" si="77"/>
        <v>1605 &amp; 2105</v>
      </c>
      <c r="B482" s="187"/>
      <c r="C482" s="81" t="s">
        <v>152</v>
      </c>
      <c r="D482" s="87">
        <f>(67.72+0.75*(3+2.1+2.75+2.87+1.8))*10.764</f>
        <v>830.01203999999996</v>
      </c>
      <c r="E482" s="56">
        <v>0</v>
      </c>
      <c r="F482" s="48">
        <f t="shared" si="78"/>
        <v>1328.019264</v>
      </c>
      <c r="G482" s="167"/>
      <c r="H482" s="168"/>
      <c r="I482" s="44"/>
      <c r="M482" s="55"/>
      <c r="N482" s="72" t="str">
        <f t="shared" ca="1" si="79"/>
        <v>1605 &amp; 2105</v>
      </c>
      <c r="O482" s="49">
        <f t="shared" ref="O482:P482" ca="1" si="83">O481+1</f>
        <v>1605</v>
      </c>
      <c r="P482" s="49">
        <f t="shared" ca="1" si="83"/>
        <v>2105</v>
      </c>
    </row>
    <row r="483" spans="1:16" s="49" customFormat="1" ht="15.75" customHeight="1">
      <c r="A483" s="185" t="str">
        <f t="shared" ca="1" si="77"/>
        <v>1606 &amp; 2106</v>
      </c>
      <c r="B483" s="187"/>
      <c r="C483" s="81" t="s">
        <v>152</v>
      </c>
      <c r="D483" s="87">
        <f>(67.72+0.75*(3+2.1+2.75+2.87+1.8))*10.764</f>
        <v>830.01203999999996</v>
      </c>
      <c r="E483" s="56">
        <v>0</v>
      </c>
      <c r="F483" s="48">
        <f t="shared" si="78"/>
        <v>1328.019264</v>
      </c>
      <c r="G483" s="167"/>
      <c r="H483" s="168"/>
      <c r="I483" s="44"/>
      <c r="M483" s="55"/>
      <c r="N483" s="72" t="str">
        <f t="shared" ca="1" si="79"/>
        <v>1606 &amp; 2106</v>
      </c>
      <c r="O483" s="49">
        <f t="shared" ref="O483:P484" ca="1" si="84">O482+1</f>
        <v>1606</v>
      </c>
      <c r="P483" s="49">
        <f t="shared" ca="1" si="84"/>
        <v>2106</v>
      </c>
    </row>
    <row r="484" spans="1:16" s="82" customFormat="1" ht="15.75" customHeight="1">
      <c r="A484" s="185" t="str">
        <f t="shared" ref="A484" ca="1" si="85">N484</f>
        <v>1607 &amp; 2107</v>
      </c>
      <c r="B484" s="187"/>
      <c r="C484" s="81" t="s">
        <v>204</v>
      </c>
      <c r="D484" s="87">
        <f>(54.83+0.75*(2+2.1+3.14+3))*10.764</f>
        <v>672.85763999999995</v>
      </c>
      <c r="E484" s="81">
        <v>0</v>
      </c>
      <c r="F484" s="48">
        <f t="shared" ref="F484" si="86">D484*(($F$358)+1)+E484</f>
        <v>1076.572224</v>
      </c>
      <c r="G484" s="169"/>
      <c r="H484" s="170"/>
      <c r="I484" s="44"/>
      <c r="N484" s="82" t="str">
        <f t="shared" ref="N484" ca="1" si="87">O484&amp;""&amp;" &amp; "&amp;""&amp;P484</f>
        <v>1607 &amp; 2107</v>
      </c>
      <c r="O484" s="82">
        <f t="shared" ca="1" si="84"/>
        <v>1607</v>
      </c>
      <c r="P484" s="82">
        <f t="shared" ca="1" si="84"/>
        <v>2107</v>
      </c>
    </row>
    <row r="485" spans="1:16" s="88" customFormat="1">
      <c r="A485" s="162" t="s">
        <v>274</v>
      </c>
      <c r="B485" s="162"/>
      <c r="C485" s="162"/>
      <c r="D485" s="162"/>
      <c r="E485" s="162"/>
      <c r="F485" s="162"/>
      <c r="G485" s="162"/>
      <c r="H485" s="162"/>
      <c r="I485" s="44"/>
      <c r="L485" s="163"/>
      <c r="M485" s="163"/>
    </row>
    <row r="486" spans="1:16" s="88" customFormat="1">
      <c r="A486" s="162" t="s">
        <v>234</v>
      </c>
      <c r="B486" s="162"/>
      <c r="C486" s="162"/>
      <c r="D486" s="162"/>
      <c r="E486" s="162"/>
      <c r="F486" s="162"/>
      <c r="G486" s="162"/>
      <c r="H486" s="162"/>
      <c r="I486" s="44"/>
      <c r="L486" s="163"/>
      <c r="M486" s="163"/>
    </row>
    <row r="487" spans="1:16" s="88" customFormat="1">
      <c r="A487" s="162" t="s">
        <v>235</v>
      </c>
      <c r="B487" s="162"/>
      <c r="C487" s="162"/>
      <c r="D487" s="162"/>
      <c r="E487" s="162"/>
      <c r="F487" s="162"/>
      <c r="G487" s="162"/>
      <c r="H487" s="162"/>
      <c r="I487" s="44"/>
      <c r="L487" s="163"/>
      <c r="M487" s="163"/>
    </row>
    <row r="488" spans="1:16" s="88" customFormat="1">
      <c r="A488" s="162" t="s">
        <v>230</v>
      </c>
      <c r="B488" s="162"/>
      <c r="C488" s="162"/>
      <c r="D488" s="162"/>
      <c r="E488" s="162"/>
      <c r="F488" s="162"/>
      <c r="G488" s="162"/>
      <c r="H488" s="162"/>
      <c r="I488" s="44"/>
      <c r="L488" s="163"/>
      <c r="M488" s="163"/>
    </row>
    <row r="489" spans="1:16" s="88" customFormat="1" ht="15.75" customHeight="1">
      <c r="A489" s="164">
        <v>1</v>
      </c>
      <c r="B489" s="164"/>
      <c r="C489" s="87" t="s">
        <v>205</v>
      </c>
      <c r="D489" s="87">
        <f>(37.9+0.75*(3+2.1+2.75))*10.764</f>
        <v>471.32864999999993</v>
      </c>
      <c r="E489" s="87">
        <v>0</v>
      </c>
      <c r="F489" s="48">
        <f>D489*(($F$358)+1)+E489/5</f>
        <v>754.12583999999993</v>
      </c>
      <c r="G489" s="165" t="str">
        <f>A488</f>
        <v>3rd to 6th, 8th to 10th, 12th to 15th, 17th to 20th, 22nd to 24th, 25th &amp; 27th Floor For Residential</v>
      </c>
      <c r="H489" s="166"/>
      <c r="I489" s="93"/>
      <c r="J489" s="88">
        <f>4.42*3+3.01*2.1+3.35*2.75+1.22*1.8+1.8*1.22+2.1*0.9+1.22*0.5</f>
        <v>35.685500000000005</v>
      </c>
      <c r="L489" s="163"/>
      <c r="M489" s="163"/>
      <c r="N489" s="44"/>
    </row>
    <row r="490" spans="1:16" s="88" customFormat="1" ht="15.75" customHeight="1">
      <c r="A490" s="164">
        <f>A489+1</f>
        <v>2</v>
      </c>
      <c r="B490" s="164"/>
      <c r="C490" s="87" t="s">
        <v>205</v>
      </c>
      <c r="D490" s="87">
        <f>(36.58+0.75*(3+2.1+2.75))*10.764</f>
        <v>457.12016999999997</v>
      </c>
      <c r="E490" s="87">
        <v>0</v>
      </c>
      <c r="F490" s="48">
        <f>D490*(($F$358)+1)+E490/4</f>
        <v>731.39227200000005</v>
      </c>
      <c r="G490" s="167"/>
      <c r="H490" s="168"/>
      <c r="I490" s="44"/>
      <c r="L490" s="163"/>
      <c r="M490" s="163"/>
      <c r="N490" s="44"/>
    </row>
    <row r="491" spans="1:16" s="88" customFormat="1" ht="15.75" customHeight="1">
      <c r="A491" s="164">
        <f>A490+1</f>
        <v>3</v>
      </c>
      <c r="B491" s="164"/>
      <c r="C491" s="87" t="s">
        <v>152</v>
      </c>
      <c r="D491" s="87">
        <f>(64.19+0.75*(3.05+2.1+3.2+2.75+3))*10.764</f>
        <v>804.77045999999996</v>
      </c>
      <c r="E491" s="87">
        <v>0</v>
      </c>
      <c r="F491" s="48">
        <f t="shared" ref="F491:F494" si="88">D491*(($F$358)+1)+E491</f>
        <v>1287.632736</v>
      </c>
      <c r="G491" s="167"/>
      <c r="H491" s="168"/>
      <c r="I491" s="44"/>
      <c r="L491" s="163"/>
      <c r="M491" s="163"/>
      <c r="N491" s="44"/>
    </row>
    <row r="492" spans="1:16" s="88" customFormat="1" ht="15.75" customHeight="1">
      <c r="A492" s="164">
        <f t="shared" ref="A492:A494" si="89">A491+1</f>
        <v>4</v>
      </c>
      <c r="B492" s="164"/>
      <c r="C492" s="87" t="s">
        <v>204</v>
      </c>
      <c r="D492" s="87">
        <f>(49.61+0.75*(3+2.1+3.2+2.75))*10.764</f>
        <v>623.20868999999993</v>
      </c>
      <c r="E492" s="87">
        <v>0</v>
      </c>
      <c r="F492" s="48">
        <f t="shared" si="88"/>
        <v>997.13390399999992</v>
      </c>
      <c r="G492" s="167"/>
      <c r="H492" s="168"/>
      <c r="I492" s="44"/>
      <c r="L492" s="163"/>
      <c r="M492" s="163"/>
      <c r="N492" s="44"/>
    </row>
    <row r="493" spans="1:16" s="88" customFormat="1" ht="15.75" customHeight="1">
      <c r="A493" s="164">
        <f t="shared" si="89"/>
        <v>5</v>
      </c>
      <c r="B493" s="164"/>
      <c r="C493" s="87" t="s">
        <v>204</v>
      </c>
      <c r="D493" s="87">
        <f>(48.05+0.75*(2.3+2.1+3.2+2.75))*10.764</f>
        <v>600.76574999999991</v>
      </c>
      <c r="E493" s="87">
        <v>0</v>
      </c>
      <c r="F493" s="48">
        <f t="shared" si="88"/>
        <v>961.22519999999986</v>
      </c>
      <c r="G493" s="167"/>
      <c r="H493" s="168"/>
      <c r="I493" s="44"/>
      <c r="L493" s="163"/>
      <c r="M493" s="163"/>
      <c r="N493" s="44"/>
    </row>
    <row r="494" spans="1:16" s="88" customFormat="1" ht="15.75" customHeight="1">
      <c r="A494" s="164">
        <f t="shared" si="89"/>
        <v>6</v>
      </c>
      <c r="B494" s="164"/>
      <c r="C494" s="87" t="s">
        <v>204</v>
      </c>
      <c r="D494" s="87">
        <f>(48.05+0.75*(2.3+2.1+3.2+2.75))*10.764</f>
        <v>600.76574999999991</v>
      </c>
      <c r="E494" s="87">
        <v>0</v>
      </c>
      <c r="F494" s="48">
        <f t="shared" si="88"/>
        <v>961.22519999999986</v>
      </c>
      <c r="G494" s="169"/>
      <c r="H494" s="170"/>
      <c r="I494" s="44"/>
      <c r="L494" s="163"/>
      <c r="M494" s="163"/>
      <c r="N494" s="44"/>
    </row>
    <row r="495" spans="1:16" s="88" customFormat="1">
      <c r="A495" s="162" t="s">
        <v>233</v>
      </c>
      <c r="B495" s="162"/>
      <c r="C495" s="162"/>
      <c r="D495" s="162"/>
      <c r="E495" s="162"/>
      <c r="F495" s="162"/>
      <c r="G495" s="162"/>
      <c r="H495" s="162"/>
      <c r="I495" s="44"/>
      <c r="L495" s="163"/>
      <c r="M495" s="163"/>
    </row>
    <row r="496" spans="1:16" s="88" customFormat="1" ht="15.75" customHeight="1">
      <c r="A496" s="164">
        <v>1</v>
      </c>
      <c r="B496" s="164"/>
      <c r="C496" s="87" t="s">
        <v>205</v>
      </c>
      <c r="D496" s="87">
        <f>(37.9+0.75*(3+2.1+2.75))*10.764</f>
        <v>471.32864999999993</v>
      </c>
      <c r="E496" s="87">
        <v>0</v>
      </c>
      <c r="F496" s="48">
        <f>D496*(($F$358)+1)+E496/5</f>
        <v>754.12583999999993</v>
      </c>
      <c r="G496" s="165" t="str">
        <f>A495</f>
        <v>7th, 11th, 16th &amp; 21st &amp; 26th Floor (Part Refuge Area)</v>
      </c>
      <c r="H496" s="166"/>
      <c r="I496" s="93"/>
      <c r="J496" s="88">
        <f>4.42*3+3.01*2.1+3.35*2.75+1.22*1.8+1.8*1.22+2.1*0.9+1.22*0.5</f>
        <v>35.685500000000005</v>
      </c>
      <c r="L496" s="163"/>
      <c r="M496" s="163"/>
      <c r="N496" s="44"/>
    </row>
    <row r="497" spans="1:14" s="88" customFormat="1" ht="15.75" customHeight="1">
      <c r="A497" s="164">
        <f>A496+1</f>
        <v>2</v>
      </c>
      <c r="B497" s="164"/>
      <c r="C497" s="87" t="s">
        <v>205</v>
      </c>
      <c r="D497" s="87">
        <f>(36.58+0.75*(3+2.1+2.75))*10.764</f>
        <v>457.12016999999997</v>
      </c>
      <c r="E497" s="87">
        <v>0</v>
      </c>
      <c r="F497" s="48">
        <f>D497*(($F$358)+1)+E497/4</f>
        <v>731.39227200000005</v>
      </c>
      <c r="G497" s="167"/>
      <c r="H497" s="168"/>
      <c r="I497" s="44"/>
      <c r="L497" s="163"/>
      <c r="M497" s="163"/>
      <c r="N497" s="44"/>
    </row>
    <row r="498" spans="1:14" s="88" customFormat="1" ht="15.75" customHeight="1">
      <c r="A498" s="164">
        <f>A497+1</f>
        <v>3</v>
      </c>
      <c r="B498" s="164"/>
      <c r="C498" s="87" t="s">
        <v>231</v>
      </c>
      <c r="D498" s="87">
        <f>(76.15+0.75*(3.05+2.1+3.2+2.75+3+2.75))*10.764</f>
        <v>955.70865000000003</v>
      </c>
      <c r="E498" s="87">
        <v>0</v>
      </c>
      <c r="F498" s="48">
        <f>D498*(($F$358)+1)+E498</f>
        <v>1529.1338400000002</v>
      </c>
      <c r="G498" s="167"/>
      <c r="H498" s="168"/>
      <c r="I498" s="44"/>
      <c r="L498" s="163"/>
      <c r="M498" s="163"/>
      <c r="N498" s="44"/>
    </row>
    <row r="499" spans="1:14" s="88" customFormat="1" ht="15.75" customHeight="1">
      <c r="A499" s="164">
        <f t="shared" ref="A499:A501" si="90">A498+1</f>
        <v>4</v>
      </c>
      <c r="B499" s="164"/>
      <c r="C499" s="185" t="s">
        <v>232</v>
      </c>
      <c r="D499" s="186"/>
      <c r="E499" s="186"/>
      <c r="F499" s="187"/>
      <c r="G499" s="167"/>
      <c r="H499" s="168"/>
      <c r="I499" s="44"/>
      <c r="L499" s="163"/>
      <c r="M499" s="163"/>
      <c r="N499" s="44"/>
    </row>
    <row r="500" spans="1:14" s="88" customFormat="1" ht="15.75" customHeight="1">
      <c r="A500" s="164">
        <f t="shared" si="90"/>
        <v>5</v>
      </c>
      <c r="B500" s="164"/>
      <c r="C500" s="87" t="s">
        <v>204</v>
      </c>
      <c r="D500" s="87">
        <f>(48.05+0.75*(2.3+2.1+3.2+2.75))*10.764</f>
        <v>600.76574999999991</v>
      </c>
      <c r="E500" s="87">
        <v>0</v>
      </c>
      <c r="F500" s="48">
        <f>D500*(($F$358)+1)+E500</f>
        <v>961.22519999999986</v>
      </c>
      <c r="G500" s="167"/>
      <c r="H500" s="168"/>
      <c r="I500" s="44"/>
      <c r="L500" s="163"/>
      <c r="M500" s="163"/>
      <c r="N500" s="44"/>
    </row>
    <row r="501" spans="1:14" s="88" customFormat="1" ht="15.75" customHeight="1">
      <c r="A501" s="164">
        <f t="shared" si="90"/>
        <v>6</v>
      </c>
      <c r="B501" s="164"/>
      <c r="C501" s="87" t="s">
        <v>204</v>
      </c>
      <c r="D501" s="87">
        <f>(48.05+0.75*(2.3+2.1+3.2+2.75))*10.764</f>
        <v>600.76574999999991</v>
      </c>
      <c r="E501" s="87">
        <v>0</v>
      </c>
      <c r="F501" s="48">
        <f>D501*(($F$358)+1)+E501</f>
        <v>961.22519999999986</v>
      </c>
      <c r="G501" s="169"/>
      <c r="H501" s="170"/>
      <c r="I501" s="44"/>
      <c r="L501" s="163"/>
      <c r="M501" s="163"/>
      <c r="N501" s="44"/>
    </row>
    <row r="502" spans="1:14" s="88" customFormat="1">
      <c r="A502" s="162" t="s">
        <v>275</v>
      </c>
      <c r="B502" s="162"/>
      <c r="C502" s="162"/>
      <c r="D502" s="162"/>
      <c r="E502" s="162"/>
      <c r="F502" s="162"/>
      <c r="G502" s="162"/>
      <c r="H502" s="162"/>
      <c r="I502" s="44"/>
      <c r="L502" s="163"/>
      <c r="M502" s="163"/>
    </row>
    <row r="503" spans="1:14" s="88" customFormat="1">
      <c r="A503" s="162" t="s">
        <v>234</v>
      </c>
      <c r="B503" s="162"/>
      <c r="C503" s="162"/>
      <c r="D503" s="162"/>
      <c r="E503" s="162"/>
      <c r="F503" s="162"/>
      <c r="G503" s="162"/>
      <c r="H503" s="162"/>
      <c r="I503" s="44"/>
      <c r="L503" s="163"/>
      <c r="M503" s="163"/>
    </row>
    <row r="504" spans="1:14" s="88" customFormat="1">
      <c r="A504" s="162" t="s">
        <v>235</v>
      </c>
      <c r="B504" s="162"/>
      <c r="C504" s="162"/>
      <c r="D504" s="162"/>
      <c r="E504" s="162"/>
      <c r="F504" s="162"/>
      <c r="G504" s="162"/>
      <c r="H504" s="162"/>
      <c r="I504" s="44"/>
      <c r="L504" s="163"/>
      <c r="M504" s="163"/>
    </row>
    <row r="505" spans="1:14" s="88" customFormat="1">
      <c r="A505" s="162" t="s">
        <v>238</v>
      </c>
      <c r="B505" s="162"/>
      <c r="C505" s="162"/>
      <c r="D505" s="162"/>
      <c r="E505" s="162"/>
      <c r="F505" s="162"/>
      <c r="G505" s="162"/>
      <c r="H505" s="162"/>
      <c r="I505" s="44"/>
      <c r="J505" s="96"/>
      <c r="L505" s="163"/>
      <c r="M505" s="163"/>
    </row>
    <row r="506" spans="1:14" s="88" customFormat="1" ht="15.75" customHeight="1">
      <c r="A506" s="164">
        <v>1</v>
      </c>
      <c r="B506" s="164"/>
      <c r="C506" s="98" t="s">
        <v>204</v>
      </c>
      <c r="D506" s="98">
        <f>(51.73+0.75*(2.1+2.75+2.75))*10.764</f>
        <v>618.17651999999987</v>
      </c>
      <c r="E506" s="120">
        <f>(3*1.2+3*0.75)*(10.764)</f>
        <v>62.969399999999993</v>
      </c>
      <c r="F506" s="99">
        <f>D506*(($F$358)+1)+E506/5</f>
        <v>1001.6763119999998</v>
      </c>
      <c r="G506" s="165" t="str">
        <f>A505</f>
        <v>3rd to 6th Floor For Residential</v>
      </c>
      <c r="H506" s="166"/>
      <c r="I506" s="93"/>
      <c r="J506" s="88">
        <f>4.42*3+3.01*2.1+3.35*2.75+1.22*1.8+1.8*1.22+2.1*0.9+1.22*0.5</f>
        <v>35.685500000000005</v>
      </c>
      <c r="L506" s="163"/>
      <c r="M506" s="163"/>
      <c r="N506" s="44"/>
    </row>
    <row r="507" spans="1:14" s="88" customFormat="1" ht="15.75" customHeight="1">
      <c r="A507" s="164">
        <f>A506+1</f>
        <v>2</v>
      </c>
      <c r="B507" s="164"/>
      <c r="C507" s="98" t="s">
        <v>239</v>
      </c>
      <c r="D507" s="98">
        <f>(43.61+0.75*(2.4+2.1+2.75+2.75))*10.764</f>
        <v>550.14803999999992</v>
      </c>
      <c r="E507" s="98">
        <v>0</v>
      </c>
      <c r="F507" s="99">
        <f>D507*(($F$358)+1)+E507/4</f>
        <v>880.23686399999997</v>
      </c>
      <c r="G507" s="167"/>
      <c r="H507" s="168"/>
      <c r="I507" s="44"/>
      <c r="L507" s="163"/>
      <c r="M507" s="163"/>
      <c r="N507" s="44"/>
    </row>
    <row r="508" spans="1:14" s="88" customFormat="1" ht="15.75" customHeight="1">
      <c r="A508" s="164">
        <f>A507+1</f>
        <v>3</v>
      </c>
      <c r="B508" s="164"/>
      <c r="C508" s="98" t="s">
        <v>204</v>
      </c>
      <c r="D508" s="98">
        <f>(50.28+0.75*(2.4+2.1+2.75+2.75))*10.764</f>
        <v>621.94391999999993</v>
      </c>
      <c r="E508" s="98">
        <v>0</v>
      </c>
      <c r="F508" s="99">
        <f t="shared" ref="F508:F511" si="91">D508*(($F$358)+1)+E508</f>
        <v>995.1102719999999</v>
      </c>
      <c r="G508" s="167"/>
      <c r="H508" s="168"/>
      <c r="I508" s="44"/>
      <c r="L508" s="163"/>
      <c r="M508" s="163"/>
      <c r="N508" s="44"/>
    </row>
    <row r="509" spans="1:14" s="88" customFormat="1" ht="15.75" customHeight="1">
      <c r="A509" s="164">
        <f t="shared" ref="A509:A513" si="92">A508+1</f>
        <v>4</v>
      </c>
      <c r="B509" s="164"/>
      <c r="C509" s="98" t="s">
        <v>152</v>
      </c>
      <c r="D509" s="98">
        <f>(60.3+0.75*(3+2.1+2.75+2.75+1.5))*10.764</f>
        <v>746.75249999999994</v>
      </c>
      <c r="E509" s="98">
        <v>0</v>
      </c>
      <c r="F509" s="99">
        <f t="shared" si="91"/>
        <v>1194.8039999999999</v>
      </c>
      <c r="G509" s="167"/>
      <c r="H509" s="168"/>
      <c r="I509" s="44"/>
      <c r="L509" s="163"/>
      <c r="M509" s="163"/>
      <c r="N509" s="44"/>
    </row>
    <row r="510" spans="1:14" s="88" customFormat="1" ht="15.75" customHeight="1">
      <c r="A510" s="164">
        <f t="shared" si="92"/>
        <v>5</v>
      </c>
      <c r="B510" s="164"/>
      <c r="C510" s="98" t="s">
        <v>152</v>
      </c>
      <c r="D510" s="98">
        <f>(60.3+0.75*(3+2.1+2.75+2.75+1.5))*10.764</f>
        <v>746.75249999999994</v>
      </c>
      <c r="E510" s="98">
        <v>0</v>
      </c>
      <c r="F510" s="99">
        <f t="shared" si="91"/>
        <v>1194.8039999999999</v>
      </c>
      <c r="G510" s="167"/>
      <c r="H510" s="168"/>
      <c r="I510" s="44"/>
      <c r="L510" s="163"/>
      <c r="M510" s="163"/>
      <c r="N510" s="44"/>
    </row>
    <row r="511" spans="1:14" s="88" customFormat="1" ht="15.75" customHeight="1">
      <c r="A511" s="164">
        <f t="shared" si="92"/>
        <v>6</v>
      </c>
      <c r="B511" s="164"/>
      <c r="C511" s="98" t="s">
        <v>204</v>
      </c>
      <c r="D511" s="98">
        <f>(50.77+0.75*(2.4+2.1+2.75+2.75))*10.764</f>
        <v>627.21828000000005</v>
      </c>
      <c r="E511" s="98">
        <v>0</v>
      </c>
      <c r="F511" s="99">
        <f t="shared" si="91"/>
        <v>1003.5492480000001</v>
      </c>
      <c r="G511" s="167"/>
      <c r="H511" s="168"/>
      <c r="I511" s="44"/>
      <c r="L511" s="163"/>
      <c r="M511" s="163"/>
      <c r="N511" s="44"/>
    </row>
    <row r="512" spans="1:14" s="88" customFormat="1" ht="15.75" customHeight="1">
      <c r="A512" s="164">
        <f t="shared" si="92"/>
        <v>7</v>
      </c>
      <c r="B512" s="164"/>
      <c r="C512" s="98" t="s">
        <v>239</v>
      </c>
      <c r="D512" s="98">
        <f>(43.41+0.75*(2.4+2.1+2.75+2.75))*10.764</f>
        <v>547.99523999999997</v>
      </c>
      <c r="E512" s="98">
        <v>0</v>
      </c>
      <c r="F512" s="99">
        <f t="shared" ref="F512:F513" si="93">D512*(($F$358)+1)+E512</f>
        <v>876.79238399999997</v>
      </c>
      <c r="G512" s="167"/>
      <c r="H512" s="168"/>
      <c r="I512" s="44"/>
      <c r="L512" s="163"/>
      <c r="M512" s="163"/>
      <c r="N512" s="44"/>
    </row>
    <row r="513" spans="1:14" s="88" customFormat="1" ht="15.75" customHeight="1">
      <c r="A513" s="164">
        <f t="shared" si="92"/>
        <v>8</v>
      </c>
      <c r="B513" s="164"/>
      <c r="C513" s="98" t="s">
        <v>204</v>
      </c>
      <c r="D513" s="98">
        <f>(51.73+0.75*(2.1+2.75+2.75))*10.764</f>
        <v>618.17651999999987</v>
      </c>
      <c r="E513" s="120">
        <f>(3*1.2+3*0.75)*(10.764)</f>
        <v>62.969399999999993</v>
      </c>
      <c r="F513" s="99">
        <f t="shared" si="93"/>
        <v>1052.0518319999999</v>
      </c>
      <c r="G513" s="169"/>
      <c r="H513" s="170"/>
      <c r="I513" s="44"/>
      <c r="J513" s="95"/>
      <c r="K513" s="95"/>
      <c r="L513" s="163"/>
      <c r="M513" s="163"/>
      <c r="N513" s="44"/>
    </row>
    <row r="514" spans="1:14" s="88" customFormat="1">
      <c r="A514" s="162" t="s">
        <v>240</v>
      </c>
      <c r="B514" s="162"/>
      <c r="C514" s="162"/>
      <c r="D514" s="162"/>
      <c r="E514" s="162"/>
      <c r="F514" s="162"/>
      <c r="G514" s="162"/>
      <c r="H514" s="162"/>
      <c r="I514" s="44"/>
      <c r="J514" s="96"/>
      <c r="K514" s="95"/>
      <c r="L514" s="163"/>
      <c r="M514" s="163"/>
    </row>
    <row r="515" spans="1:14" s="88" customFormat="1" ht="15.75" customHeight="1">
      <c r="A515" s="164">
        <v>1</v>
      </c>
      <c r="B515" s="164"/>
      <c r="C515" s="87" t="s">
        <v>204</v>
      </c>
      <c r="D515" s="87">
        <f>(51.73+0.75*(2.1+2.75+2.75))*10.764</f>
        <v>618.17651999999987</v>
      </c>
      <c r="E515" s="94">
        <f>(3*1.2+3*0.75)*(10.764)</f>
        <v>62.969399999999993</v>
      </c>
      <c r="F515" s="48">
        <f>D515*(($F$358)+1)+E515/5</f>
        <v>1001.6763119999998</v>
      </c>
      <c r="G515" s="165" t="str">
        <f>A514</f>
        <v>8th to 10th, 12th, 13th, 14th &amp; 15th Floor</v>
      </c>
      <c r="H515" s="166"/>
      <c r="I515" s="93"/>
      <c r="J515" s="95"/>
      <c r="K515" s="95"/>
      <c r="L515" s="163"/>
      <c r="M515" s="163"/>
      <c r="N515" s="44"/>
    </row>
    <row r="516" spans="1:14" s="88" customFormat="1" ht="15.75" customHeight="1">
      <c r="A516" s="164">
        <f>A515+1</f>
        <v>2</v>
      </c>
      <c r="B516" s="164"/>
      <c r="C516" s="87" t="s">
        <v>204</v>
      </c>
      <c r="D516" s="87">
        <f>(51.41+0.75*(2.4+2.1+2.75+2.75))*10.764</f>
        <v>634.10723999999993</v>
      </c>
      <c r="E516" s="87">
        <v>0</v>
      </c>
      <c r="F516" s="48">
        <f>D516*(($F$358)+1)+E516/4</f>
        <v>1014.5715839999999</v>
      </c>
      <c r="G516" s="167"/>
      <c r="H516" s="168"/>
      <c r="I516" s="44"/>
      <c r="J516" s="95"/>
      <c r="K516" s="95"/>
      <c r="L516" s="163"/>
      <c r="M516" s="163"/>
      <c r="N516" s="44"/>
    </row>
    <row r="517" spans="1:14" s="88" customFormat="1" ht="15.75" customHeight="1">
      <c r="A517" s="164">
        <f>A516+1</f>
        <v>3</v>
      </c>
      <c r="B517" s="164"/>
      <c r="C517" s="87" t="s">
        <v>204</v>
      </c>
      <c r="D517" s="87">
        <f>(50.28+0.75*(2.4+2.1+2.75+2.75))*10.764</f>
        <v>621.94391999999993</v>
      </c>
      <c r="E517" s="87">
        <v>0</v>
      </c>
      <c r="F517" s="48">
        <f t="shared" ref="F517:F522" si="94">D517*(($F$358)+1)+E517</f>
        <v>995.1102719999999</v>
      </c>
      <c r="G517" s="167"/>
      <c r="H517" s="168"/>
      <c r="I517" s="44"/>
      <c r="J517" s="95"/>
      <c r="K517" s="95"/>
      <c r="L517" s="163"/>
      <c r="M517" s="163"/>
      <c r="N517" s="44"/>
    </row>
    <row r="518" spans="1:14" s="88" customFormat="1" ht="15.75" customHeight="1">
      <c r="A518" s="164">
        <f t="shared" ref="A518:A522" si="95">A517+1</f>
        <v>4</v>
      </c>
      <c r="B518" s="164"/>
      <c r="C518" s="87" t="s">
        <v>152</v>
      </c>
      <c r="D518" s="87">
        <f>(60.3+0.75*(3+2.1+2.75+2.75+1.5))*10.764</f>
        <v>746.75249999999994</v>
      </c>
      <c r="E518" s="87">
        <v>0</v>
      </c>
      <c r="F518" s="48">
        <f t="shared" si="94"/>
        <v>1194.8039999999999</v>
      </c>
      <c r="G518" s="167"/>
      <c r="H518" s="168"/>
      <c r="I518" s="44"/>
      <c r="J518" s="95"/>
      <c r="K518" s="95"/>
      <c r="L518" s="163"/>
      <c r="M518" s="163"/>
      <c r="N518" s="44"/>
    </row>
    <row r="519" spans="1:14" s="88" customFormat="1" ht="15.75" customHeight="1">
      <c r="A519" s="164">
        <f t="shared" si="95"/>
        <v>5</v>
      </c>
      <c r="B519" s="164"/>
      <c r="C519" s="87" t="s">
        <v>152</v>
      </c>
      <c r="D519" s="87">
        <f>(60.3+0.75*(3+2.1+2.75+2.75+1.5))*10.764</f>
        <v>746.75249999999994</v>
      </c>
      <c r="E519" s="87">
        <v>0</v>
      </c>
      <c r="F519" s="48">
        <f t="shared" si="94"/>
        <v>1194.8039999999999</v>
      </c>
      <c r="G519" s="167"/>
      <c r="H519" s="168"/>
      <c r="I519" s="44"/>
      <c r="L519" s="163"/>
      <c r="M519" s="163"/>
      <c r="N519" s="44"/>
    </row>
    <row r="520" spans="1:14" s="88" customFormat="1" ht="15.75" customHeight="1">
      <c r="A520" s="164">
        <f t="shared" si="95"/>
        <v>6</v>
      </c>
      <c r="B520" s="164"/>
      <c r="C520" s="87" t="s">
        <v>204</v>
      </c>
      <c r="D520" s="87">
        <f>(50.77+0.75*(2.4+2.1+2.75+2.75))*10.764</f>
        <v>627.21828000000005</v>
      </c>
      <c r="E520" s="87">
        <v>0</v>
      </c>
      <c r="F520" s="48">
        <f t="shared" si="94"/>
        <v>1003.5492480000001</v>
      </c>
      <c r="G520" s="167"/>
      <c r="H520" s="168"/>
      <c r="I520" s="44"/>
      <c r="L520" s="163"/>
      <c r="M520" s="163"/>
      <c r="N520" s="44"/>
    </row>
    <row r="521" spans="1:14" s="88" customFormat="1" ht="15.75" customHeight="1">
      <c r="A521" s="164">
        <f t="shared" si="95"/>
        <v>7</v>
      </c>
      <c r="B521" s="164"/>
      <c r="C521" s="87" t="s">
        <v>204</v>
      </c>
      <c r="D521" s="87">
        <f>(51.2+0.75*(2.4+2.1+2.75+2.75))*10.764</f>
        <v>631.84680000000003</v>
      </c>
      <c r="E521" s="87">
        <v>0</v>
      </c>
      <c r="F521" s="48">
        <f t="shared" si="94"/>
        <v>1010.9548800000001</v>
      </c>
      <c r="G521" s="167"/>
      <c r="H521" s="168"/>
      <c r="I521" s="44"/>
      <c r="L521" s="163"/>
      <c r="M521" s="163"/>
      <c r="N521" s="44"/>
    </row>
    <row r="522" spans="1:14" s="88" customFormat="1" ht="15.75" customHeight="1">
      <c r="A522" s="164">
        <f t="shared" si="95"/>
        <v>8</v>
      </c>
      <c r="B522" s="164"/>
      <c r="C522" s="87" t="s">
        <v>204</v>
      </c>
      <c r="D522" s="87">
        <f>(51.73+0.75*(2.1+2.75+2.75))*10.764</f>
        <v>618.17651999999987</v>
      </c>
      <c r="E522" s="94">
        <f>(3*1.2+3*0.75)*(10.764)</f>
        <v>62.969399999999993</v>
      </c>
      <c r="F522" s="48">
        <f t="shared" si="94"/>
        <v>1052.0518319999999</v>
      </c>
      <c r="G522" s="169"/>
      <c r="H522" s="170"/>
      <c r="I522" s="44"/>
      <c r="L522" s="163"/>
      <c r="M522" s="163"/>
      <c r="N522" s="44"/>
    </row>
    <row r="523" spans="1:14" s="88" customFormat="1">
      <c r="A523" s="162" t="s">
        <v>241</v>
      </c>
      <c r="B523" s="162"/>
      <c r="C523" s="162"/>
      <c r="D523" s="162"/>
      <c r="E523" s="162"/>
      <c r="F523" s="162"/>
      <c r="G523" s="162"/>
      <c r="H523" s="162"/>
      <c r="I523" s="44"/>
      <c r="J523" s="96"/>
      <c r="K523" s="95"/>
      <c r="L523" s="163"/>
      <c r="M523" s="163"/>
    </row>
    <row r="524" spans="1:14" s="88" customFormat="1" ht="15.75" customHeight="1">
      <c r="A524" s="164">
        <v>1</v>
      </c>
      <c r="B524" s="164"/>
      <c r="C524" s="98" t="s">
        <v>204</v>
      </c>
      <c r="D524" s="98">
        <f>(51.73+0.75*(2.1+2.75+2.75))*10.764</f>
        <v>618.17651999999987</v>
      </c>
      <c r="E524" s="120">
        <f>(3*1.2+3*0.75)*(10.764)</f>
        <v>62.969399999999993</v>
      </c>
      <c r="F524" s="99">
        <f>D524*(($F$358)+1)+E524/5</f>
        <v>1001.6763119999998</v>
      </c>
      <c r="G524" s="296" t="str">
        <f>A523</f>
        <v>7th &amp; 11th Floor (Part Refuge Area)</v>
      </c>
      <c r="H524" s="297"/>
      <c r="I524" s="93"/>
      <c r="J524" s="95"/>
      <c r="K524" s="95"/>
      <c r="L524" s="163"/>
      <c r="M524" s="163"/>
      <c r="N524" s="44"/>
    </row>
    <row r="525" spans="1:14" s="88" customFormat="1" ht="15.75" customHeight="1">
      <c r="A525" s="164">
        <f>A524+1</f>
        <v>2</v>
      </c>
      <c r="B525" s="164"/>
      <c r="C525" s="98" t="s">
        <v>205</v>
      </c>
      <c r="D525" s="98">
        <f>(41.69+0.75*(2.4+2.1+2.75))*10.764</f>
        <v>507.28040999999996</v>
      </c>
      <c r="E525" s="98">
        <v>0</v>
      </c>
      <c r="F525" s="99">
        <f>D525*(($F$358)+1)+E525/4</f>
        <v>811.64865599999996</v>
      </c>
      <c r="G525" s="298"/>
      <c r="H525" s="299"/>
      <c r="I525" s="44"/>
      <c r="J525" s="95"/>
      <c r="K525" s="95"/>
      <c r="L525" s="163"/>
      <c r="M525" s="163"/>
      <c r="N525" s="44"/>
    </row>
    <row r="526" spans="1:14" s="88" customFormat="1" ht="15.75" customHeight="1">
      <c r="A526" s="164">
        <f>A525+1</f>
        <v>3</v>
      </c>
      <c r="B526" s="164"/>
      <c r="C526" s="98" t="s">
        <v>205</v>
      </c>
      <c r="D526" s="98">
        <f>(40.88+0.75*(2.4+2.1+2.75))*10.764</f>
        <v>498.56157000000002</v>
      </c>
      <c r="E526" s="98">
        <v>0</v>
      </c>
      <c r="F526" s="99">
        <f t="shared" ref="F526:F531" si="96">D526*(($F$358)+1)+E526</f>
        <v>797.69851200000005</v>
      </c>
      <c r="G526" s="298"/>
      <c r="H526" s="299"/>
      <c r="I526" s="44"/>
      <c r="J526" s="95"/>
      <c r="K526" s="95"/>
      <c r="L526" s="163"/>
      <c r="M526" s="163"/>
      <c r="N526" s="44"/>
    </row>
    <row r="527" spans="1:14" s="88" customFormat="1" ht="15.75" customHeight="1">
      <c r="A527" s="164">
        <f t="shared" ref="A527:A531" si="97">A526+1</f>
        <v>4</v>
      </c>
      <c r="B527" s="164"/>
      <c r="C527" s="98" t="s">
        <v>152</v>
      </c>
      <c r="D527" s="98">
        <f>(60.3+0.75*(3+2.1+2.75+2.75+1.5))*10.764</f>
        <v>746.75249999999994</v>
      </c>
      <c r="E527" s="98">
        <v>0</v>
      </c>
      <c r="F527" s="99">
        <f t="shared" si="96"/>
        <v>1194.8039999999999</v>
      </c>
      <c r="G527" s="298"/>
      <c r="H527" s="299"/>
      <c r="I527" s="44"/>
      <c r="J527" s="95"/>
      <c r="K527" s="95"/>
      <c r="L527" s="163"/>
      <c r="M527" s="163"/>
      <c r="N527" s="44"/>
    </row>
    <row r="528" spans="1:14" s="88" customFormat="1" ht="15.75" customHeight="1">
      <c r="A528" s="164">
        <f t="shared" si="97"/>
        <v>5</v>
      </c>
      <c r="B528" s="164"/>
      <c r="C528" s="98" t="s">
        <v>152</v>
      </c>
      <c r="D528" s="98">
        <f>(60.3+0.75*(3+2.1+2.75+2.75+1.5))*10.764</f>
        <v>746.75249999999994</v>
      </c>
      <c r="E528" s="98">
        <v>0</v>
      </c>
      <c r="F528" s="99">
        <f t="shared" si="96"/>
        <v>1194.8039999999999</v>
      </c>
      <c r="G528" s="298"/>
      <c r="H528" s="299"/>
      <c r="I528" s="44"/>
      <c r="L528" s="163"/>
      <c r="M528" s="163"/>
      <c r="N528" s="44"/>
    </row>
    <row r="529" spans="1:14" s="88" customFormat="1" ht="15.75" customHeight="1">
      <c r="A529" s="164">
        <f t="shared" si="97"/>
        <v>6</v>
      </c>
      <c r="B529" s="164"/>
      <c r="C529" s="98" t="s">
        <v>204</v>
      </c>
      <c r="D529" s="98">
        <f>(50.77+0.75*(2.4+2.1+2.75+2.75))*10.764</f>
        <v>627.21828000000005</v>
      </c>
      <c r="E529" s="98">
        <v>0</v>
      </c>
      <c r="F529" s="99">
        <f t="shared" si="96"/>
        <v>1003.5492480000001</v>
      </c>
      <c r="G529" s="298"/>
      <c r="H529" s="299"/>
      <c r="I529" s="44"/>
      <c r="L529" s="163"/>
      <c r="M529" s="163"/>
      <c r="N529" s="44"/>
    </row>
    <row r="530" spans="1:14" s="88" customFormat="1" ht="15.75" customHeight="1">
      <c r="A530" s="164">
        <f t="shared" si="97"/>
        <v>7</v>
      </c>
      <c r="B530" s="164"/>
      <c r="C530" s="98" t="s">
        <v>204</v>
      </c>
      <c r="D530" s="98">
        <f>(51.2+0.75*(2.4+2.1+2.75+2.75))*10.764</f>
        <v>631.84680000000003</v>
      </c>
      <c r="E530" s="98">
        <v>0</v>
      </c>
      <c r="F530" s="99">
        <f t="shared" si="96"/>
        <v>1010.9548800000001</v>
      </c>
      <c r="G530" s="298"/>
      <c r="H530" s="299"/>
      <c r="I530" s="44"/>
      <c r="L530" s="163"/>
      <c r="M530" s="163"/>
      <c r="N530" s="44"/>
    </row>
    <row r="531" spans="1:14" s="88" customFormat="1" ht="15.75" customHeight="1">
      <c r="A531" s="164">
        <f t="shared" si="97"/>
        <v>8</v>
      </c>
      <c r="B531" s="164"/>
      <c r="C531" s="98" t="s">
        <v>204</v>
      </c>
      <c r="D531" s="98">
        <f>(51.73+0.75*(2.1+2.75+2.75))*10.764</f>
        <v>618.17651999999987</v>
      </c>
      <c r="E531" s="120">
        <f>(3*1.2+3*0.75)*(10.764)</f>
        <v>62.969399999999993</v>
      </c>
      <c r="F531" s="99">
        <f t="shared" si="96"/>
        <v>1052.0518319999999</v>
      </c>
      <c r="G531" s="300"/>
      <c r="H531" s="301"/>
      <c r="I531" s="44"/>
      <c r="L531" s="163"/>
      <c r="M531" s="163"/>
      <c r="N531" s="44"/>
    </row>
    <row r="532" spans="1:14" s="88" customFormat="1">
      <c r="A532" s="162" t="s">
        <v>242</v>
      </c>
      <c r="B532" s="162"/>
      <c r="C532" s="162"/>
      <c r="D532" s="162"/>
      <c r="E532" s="162"/>
      <c r="F532" s="162"/>
      <c r="G532" s="162"/>
      <c r="H532" s="162"/>
      <c r="I532" s="44"/>
      <c r="J532" s="96"/>
      <c r="K532" s="95"/>
      <c r="L532" s="163"/>
      <c r="M532" s="163"/>
    </row>
    <row r="533" spans="1:14" s="88" customFormat="1" ht="15.75" customHeight="1">
      <c r="A533" s="164">
        <v>1</v>
      </c>
      <c r="B533" s="164"/>
      <c r="C533" s="87" t="s">
        <v>204</v>
      </c>
      <c r="D533" s="87">
        <f>(51.73+0.75*(2.1+2.75+2.75))*10.764</f>
        <v>618.17651999999987</v>
      </c>
      <c r="E533" s="94">
        <f>(3*1.2+3*0.75)*(10.764)</f>
        <v>62.969399999999993</v>
      </c>
      <c r="F533" s="48">
        <f>D533*(($F$358)+1)+E533/5</f>
        <v>1001.6763119999998</v>
      </c>
      <c r="G533" s="165" t="str">
        <f>A532</f>
        <v>16th Floor (Part Refuge Area)</v>
      </c>
      <c r="H533" s="166"/>
      <c r="I533" s="93"/>
      <c r="J533" s="95"/>
      <c r="K533" s="95"/>
      <c r="L533" s="163"/>
      <c r="M533" s="163"/>
      <c r="N533" s="44"/>
    </row>
    <row r="534" spans="1:14" s="88" customFormat="1" ht="15.75" customHeight="1">
      <c r="A534" s="164">
        <f>A533+1</f>
        <v>2</v>
      </c>
      <c r="B534" s="164"/>
      <c r="C534" s="87" t="s">
        <v>205</v>
      </c>
      <c r="D534" s="87">
        <f>(41.69+0.75*(2.4+2.1+2.75))*10.764</f>
        <v>507.28040999999996</v>
      </c>
      <c r="E534" s="87">
        <v>0</v>
      </c>
      <c r="F534" s="48">
        <f>D534*(($F$358)+1)+E534/4</f>
        <v>811.64865599999996</v>
      </c>
      <c r="G534" s="167"/>
      <c r="H534" s="168"/>
      <c r="I534" s="44"/>
      <c r="J534" s="95"/>
      <c r="K534" s="95"/>
      <c r="L534" s="163"/>
      <c r="M534" s="163"/>
      <c r="N534" s="44"/>
    </row>
    <row r="535" spans="1:14" s="88" customFormat="1" ht="15.75" customHeight="1">
      <c r="A535" s="164">
        <f>A534+1</f>
        <v>3</v>
      </c>
      <c r="B535" s="164"/>
      <c r="C535" s="87" t="s">
        <v>205</v>
      </c>
      <c r="D535" s="87">
        <f>(41.38+0.75*(2.4+2.1+2.75))*10.764</f>
        <v>503.94357000000002</v>
      </c>
      <c r="E535" s="87">
        <v>0</v>
      </c>
      <c r="F535" s="48">
        <f t="shared" ref="F535:F540" si="98">D535*(($F$358)+1)+E535</f>
        <v>806.3097120000001</v>
      </c>
      <c r="G535" s="167"/>
      <c r="H535" s="168"/>
      <c r="I535" s="44"/>
      <c r="J535" s="95"/>
      <c r="K535" s="95"/>
      <c r="L535" s="163"/>
      <c r="M535" s="163"/>
      <c r="N535" s="44"/>
    </row>
    <row r="536" spans="1:14" s="88" customFormat="1" ht="15.75" customHeight="1">
      <c r="A536" s="164">
        <f t="shared" ref="A536:A540" si="99">A535+1</f>
        <v>4</v>
      </c>
      <c r="B536" s="164"/>
      <c r="C536" s="87" t="s">
        <v>152</v>
      </c>
      <c r="D536" s="87">
        <f>(60.3+0.75*(3+2.1+2.75+2.75+1.5))*10.764</f>
        <v>746.75249999999994</v>
      </c>
      <c r="E536" s="87">
        <v>0</v>
      </c>
      <c r="F536" s="48">
        <f t="shared" si="98"/>
        <v>1194.8039999999999</v>
      </c>
      <c r="G536" s="167"/>
      <c r="H536" s="168"/>
      <c r="I536" s="44"/>
      <c r="J536" s="95"/>
      <c r="K536" s="95"/>
      <c r="L536" s="163"/>
      <c r="M536" s="163"/>
      <c r="N536" s="44"/>
    </row>
    <row r="537" spans="1:14" s="88" customFormat="1" ht="15.75" customHeight="1">
      <c r="A537" s="164">
        <f t="shared" si="99"/>
        <v>5</v>
      </c>
      <c r="B537" s="164"/>
      <c r="C537" s="87" t="s">
        <v>152</v>
      </c>
      <c r="D537" s="87">
        <f>(60.3+0.75*(3+2.1+2.75+2.75+1.5))*10.764</f>
        <v>746.75249999999994</v>
      </c>
      <c r="E537" s="87">
        <v>0</v>
      </c>
      <c r="F537" s="48">
        <f t="shared" si="98"/>
        <v>1194.8039999999999</v>
      </c>
      <c r="G537" s="167"/>
      <c r="H537" s="168"/>
      <c r="I537" s="44"/>
      <c r="L537" s="163"/>
      <c r="M537" s="163"/>
      <c r="N537" s="44"/>
    </row>
    <row r="538" spans="1:14" s="88" customFormat="1" ht="15.75" customHeight="1">
      <c r="A538" s="164">
        <f t="shared" si="99"/>
        <v>6</v>
      </c>
      <c r="B538" s="164"/>
      <c r="C538" s="87" t="s">
        <v>204</v>
      </c>
      <c r="D538" s="87">
        <f>(51.2+0.75*(2.4+2.1+2.75+2.75))*10.764</f>
        <v>631.84680000000003</v>
      </c>
      <c r="E538" s="87">
        <v>0</v>
      </c>
      <c r="F538" s="48">
        <f t="shared" si="98"/>
        <v>1010.9548800000001</v>
      </c>
      <c r="G538" s="167"/>
      <c r="H538" s="168"/>
      <c r="I538" s="44"/>
      <c r="L538" s="163"/>
      <c r="M538" s="163"/>
      <c r="N538" s="44"/>
    </row>
    <row r="539" spans="1:14" s="88" customFormat="1" ht="15.75" customHeight="1">
      <c r="A539" s="164">
        <f t="shared" si="99"/>
        <v>7</v>
      </c>
      <c r="B539" s="164"/>
      <c r="C539" s="87" t="s">
        <v>204</v>
      </c>
      <c r="D539" s="87">
        <f>(51.2+0.75*(2.4+2.1+2.75+2.75))*10.764</f>
        <v>631.84680000000003</v>
      </c>
      <c r="E539" s="87">
        <v>0</v>
      </c>
      <c r="F539" s="48">
        <f t="shared" si="98"/>
        <v>1010.9548800000001</v>
      </c>
      <c r="G539" s="167"/>
      <c r="H539" s="168"/>
      <c r="I539" s="44"/>
      <c r="L539" s="163"/>
      <c r="M539" s="163"/>
      <c r="N539" s="44"/>
    </row>
    <row r="540" spans="1:14" s="88" customFormat="1" ht="15.75" customHeight="1">
      <c r="A540" s="164">
        <f t="shared" si="99"/>
        <v>8</v>
      </c>
      <c r="B540" s="164"/>
      <c r="C540" s="87" t="s">
        <v>204</v>
      </c>
      <c r="D540" s="87">
        <f>(51.73+0.75*(2.1+2.75+2.75))*10.764</f>
        <v>618.17651999999987</v>
      </c>
      <c r="E540" s="94">
        <f>(3*1.2+3*0.75)*(10.764)</f>
        <v>62.969399999999993</v>
      </c>
      <c r="F540" s="48">
        <f t="shared" si="98"/>
        <v>1052.0518319999999</v>
      </c>
      <c r="G540" s="169"/>
      <c r="H540" s="170"/>
      <c r="I540" s="44"/>
      <c r="L540" s="163"/>
      <c r="M540" s="163"/>
      <c r="N540" s="44"/>
    </row>
    <row r="541" spans="1:14" s="88" customFormat="1">
      <c r="A541" s="162" t="s">
        <v>243</v>
      </c>
      <c r="B541" s="162"/>
      <c r="C541" s="162"/>
      <c r="D541" s="162"/>
      <c r="E541" s="162"/>
      <c r="F541" s="162"/>
      <c r="G541" s="162"/>
      <c r="H541" s="162"/>
      <c r="I541" s="44"/>
      <c r="J541" s="96"/>
      <c r="K541" s="95"/>
      <c r="L541" s="163"/>
      <c r="M541" s="163"/>
    </row>
    <row r="542" spans="1:14" s="88" customFormat="1" ht="15.75" customHeight="1">
      <c r="A542" s="164">
        <v>1</v>
      </c>
      <c r="B542" s="164"/>
      <c r="C542" s="87" t="s">
        <v>204</v>
      </c>
      <c r="D542" s="87">
        <f>(51.73+0.75*(2.1+2.75+2.75))*10.764</f>
        <v>618.17651999999987</v>
      </c>
      <c r="E542" s="94">
        <f>(3*1.2+3*0.75)*(10.764)</f>
        <v>62.969399999999993</v>
      </c>
      <c r="F542" s="48">
        <f>D542*(($F$358)+1)+E542/5</f>
        <v>1001.6763119999998</v>
      </c>
      <c r="G542" s="165" t="str">
        <f>A541</f>
        <v>17th, 18th, 19th &amp; 20th Floor</v>
      </c>
      <c r="H542" s="166"/>
      <c r="I542" s="93"/>
      <c r="J542" s="95"/>
      <c r="K542" s="95"/>
      <c r="L542" s="163"/>
      <c r="M542" s="163"/>
      <c r="N542" s="44"/>
    </row>
    <row r="543" spans="1:14" s="88" customFormat="1" ht="15.75" customHeight="1">
      <c r="A543" s="164">
        <f>A542+1</f>
        <v>2</v>
      </c>
      <c r="B543" s="164"/>
      <c r="C543" s="87" t="s">
        <v>204</v>
      </c>
      <c r="D543" s="87">
        <f>(51.41+0.75*(2.4+2.1+2.75+2.75))*10.764</f>
        <v>634.10723999999993</v>
      </c>
      <c r="E543" s="87">
        <v>0</v>
      </c>
      <c r="F543" s="48">
        <f>D543*(($F$358)+1)+E543/4</f>
        <v>1014.5715839999999</v>
      </c>
      <c r="G543" s="167"/>
      <c r="H543" s="168"/>
      <c r="I543" s="44"/>
      <c r="J543" s="95"/>
      <c r="K543" s="95"/>
      <c r="L543" s="163"/>
      <c r="M543" s="163"/>
      <c r="N543" s="44"/>
    </row>
    <row r="544" spans="1:14" s="88" customFormat="1" ht="15.75" customHeight="1">
      <c r="A544" s="164">
        <f>A543+1</f>
        <v>3</v>
      </c>
      <c r="B544" s="164"/>
      <c r="C544" s="87" t="s">
        <v>204</v>
      </c>
      <c r="D544" s="87">
        <f>(51.09+0.75*(2.4+2.1+2.75+2.75))*10.764</f>
        <v>630.66276000000005</v>
      </c>
      <c r="E544" s="87">
        <v>0</v>
      </c>
      <c r="F544" s="48">
        <f t="shared" ref="F544:F549" si="100">D544*(($F$358)+1)+E544</f>
        <v>1009.0604160000001</v>
      </c>
      <c r="G544" s="167"/>
      <c r="H544" s="168"/>
      <c r="I544" s="44"/>
      <c r="J544" s="95"/>
      <c r="K544" s="95"/>
      <c r="L544" s="163"/>
      <c r="M544" s="163"/>
      <c r="N544" s="44"/>
    </row>
    <row r="545" spans="1:14" s="88" customFormat="1" ht="15.75" customHeight="1">
      <c r="A545" s="164">
        <f t="shared" ref="A545:A549" si="101">A544+1</f>
        <v>4</v>
      </c>
      <c r="B545" s="164"/>
      <c r="C545" s="87" t="s">
        <v>152</v>
      </c>
      <c r="D545" s="87">
        <f>(62.6+0.75*(3+2.1+2.75+2.75+1.5))*10.764</f>
        <v>771.50969999999995</v>
      </c>
      <c r="E545" s="87">
        <v>0</v>
      </c>
      <c r="F545" s="48">
        <f t="shared" si="100"/>
        <v>1234.41552</v>
      </c>
      <c r="G545" s="167"/>
      <c r="H545" s="168"/>
      <c r="I545" s="44"/>
      <c r="J545" s="95"/>
      <c r="K545" s="95"/>
      <c r="L545" s="163"/>
      <c r="M545" s="163"/>
      <c r="N545" s="44"/>
    </row>
    <row r="546" spans="1:14" s="88" customFormat="1" ht="15.75" customHeight="1">
      <c r="A546" s="164">
        <f t="shared" si="101"/>
        <v>5</v>
      </c>
      <c r="B546" s="164"/>
      <c r="C546" s="87" t="s">
        <v>152</v>
      </c>
      <c r="D546" s="87">
        <f>(62.6+0.75*(3+2.1+2.75+2.75+1.5))*10.764</f>
        <v>771.50969999999995</v>
      </c>
      <c r="E546" s="87">
        <v>0</v>
      </c>
      <c r="F546" s="48">
        <f t="shared" si="100"/>
        <v>1234.41552</v>
      </c>
      <c r="G546" s="167"/>
      <c r="H546" s="168"/>
      <c r="I546" s="44"/>
      <c r="L546" s="163"/>
      <c r="M546" s="163"/>
      <c r="N546" s="44"/>
    </row>
    <row r="547" spans="1:14" s="88" customFormat="1" ht="15.75" customHeight="1">
      <c r="A547" s="164">
        <f t="shared" si="101"/>
        <v>6</v>
      </c>
      <c r="B547" s="164"/>
      <c r="C547" s="87" t="s">
        <v>204</v>
      </c>
      <c r="D547" s="87">
        <f t="shared" ref="D547:D548" si="102">(51.2+0.75*(2.4+2.1+2.75+2.75))*10.764</f>
        <v>631.84680000000003</v>
      </c>
      <c r="E547" s="87">
        <v>0</v>
      </c>
      <c r="F547" s="48">
        <f t="shared" si="100"/>
        <v>1010.9548800000001</v>
      </c>
      <c r="G547" s="167"/>
      <c r="H547" s="168"/>
      <c r="I547" s="44"/>
      <c r="L547" s="163"/>
      <c r="M547" s="163"/>
      <c r="N547" s="44"/>
    </row>
    <row r="548" spans="1:14" s="88" customFormat="1" ht="15.75" customHeight="1">
      <c r="A548" s="164">
        <f t="shared" si="101"/>
        <v>7</v>
      </c>
      <c r="B548" s="164"/>
      <c r="C548" s="87" t="s">
        <v>204</v>
      </c>
      <c r="D548" s="87">
        <f t="shared" si="102"/>
        <v>631.84680000000003</v>
      </c>
      <c r="E548" s="87">
        <v>0</v>
      </c>
      <c r="F548" s="48">
        <f t="shared" si="100"/>
        <v>1010.9548800000001</v>
      </c>
      <c r="G548" s="167"/>
      <c r="H548" s="168"/>
      <c r="I548" s="44"/>
      <c r="L548" s="163"/>
      <c r="M548" s="163"/>
      <c r="N548" s="44"/>
    </row>
    <row r="549" spans="1:14" s="88" customFormat="1" ht="15.75" customHeight="1">
      <c r="A549" s="164">
        <f t="shared" si="101"/>
        <v>8</v>
      </c>
      <c r="B549" s="164"/>
      <c r="C549" s="87" t="s">
        <v>204</v>
      </c>
      <c r="D549" s="87">
        <f>(51.73+0.75*(2.1+2.75+2.75))*10.764</f>
        <v>618.17651999999987</v>
      </c>
      <c r="E549" s="94">
        <f>(3*1.2+3*0.75)*(10.764)</f>
        <v>62.969399999999993</v>
      </c>
      <c r="F549" s="48">
        <f t="shared" si="100"/>
        <v>1052.0518319999999</v>
      </c>
      <c r="G549" s="169"/>
      <c r="H549" s="170"/>
      <c r="I549" s="44"/>
      <c r="L549" s="163"/>
      <c r="M549" s="163"/>
      <c r="N549" s="44"/>
    </row>
    <row r="550" spans="1:14" s="88" customFormat="1">
      <c r="A550" s="162" t="s">
        <v>244</v>
      </c>
      <c r="B550" s="162"/>
      <c r="C550" s="162"/>
      <c r="D550" s="162"/>
      <c r="E550" s="162"/>
      <c r="F550" s="162"/>
      <c r="G550" s="162"/>
      <c r="H550" s="162"/>
      <c r="I550" s="44"/>
      <c r="J550" s="96"/>
      <c r="K550" s="95"/>
      <c r="L550" s="163"/>
      <c r="M550" s="163"/>
    </row>
    <row r="551" spans="1:14" s="88" customFormat="1" ht="15.75" customHeight="1">
      <c r="A551" s="164">
        <v>1</v>
      </c>
      <c r="B551" s="164"/>
      <c r="C551" s="98" t="s">
        <v>152</v>
      </c>
      <c r="D551" s="98">
        <f>(62.6+0.75*(3+2.1+2.75+2.75+1.5))*10.764</f>
        <v>771.50969999999995</v>
      </c>
      <c r="E551" s="98">
        <v>0</v>
      </c>
      <c r="F551" s="99">
        <f>D551*(($F$358)+1)+E551/5</f>
        <v>1234.41552</v>
      </c>
      <c r="G551" s="165" t="str">
        <f>A550</f>
        <v>22nd to 25th &amp; 27th Floor</v>
      </c>
      <c r="H551" s="166"/>
      <c r="I551" s="93"/>
      <c r="J551" s="95"/>
      <c r="K551" s="95"/>
      <c r="L551" s="163"/>
      <c r="M551" s="163"/>
      <c r="N551" s="44"/>
    </row>
    <row r="552" spans="1:14" s="88" customFormat="1" ht="15.75" customHeight="1">
      <c r="A552" s="164">
        <f>A551+1</f>
        <v>2</v>
      </c>
      <c r="B552" s="164"/>
      <c r="C552" s="98" t="s">
        <v>204</v>
      </c>
      <c r="D552" s="98">
        <f>(51.41+0.75*(2.4+2.1+2.75+2.75))*10.764</f>
        <v>634.10723999999993</v>
      </c>
      <c r="E552" s="98">
        <v>0</v>
      </c>
      <c r="F552" s="99">
        <f>D552*(($F$358)+1)+E552/4</f>
        <v>1014.5715839999999</v>
      </c>
      <c r="G552" s="167"/>
      <c r="H552" s="168"/>
      <c r="I552" s="44"/>
      <c r="J552" s="95"/>
      <c r="K552" s="95"/>
      <c r="L552" s="163"/>
      <c r="M552" s="163"/>
      <c r="N552" s="44"/>
    </row>
    <row r="553" spans="1:14" s="88" customFormat="1" ht="15.75" customHeight="1">
      <c r="A553" s="164">
        <f>A552+1</f>
        <v>3</v>
      </c>
      <c r="B553" s="164"/>
      <c r="C553" s="98" t="s">
        <v>204</v>
      </c>
      <c r="D553" s="98">
        <f>(51.1+0.75*(2.4+2.1+2.75+2.75))*10.764</f>
        <v>630.7704</v>
      </c>
      <c r="E553" s="98">
        <v>0</v>
      </c>
      <c r="F553" s="99">
        <f t="shared" ref="F553:F558" si="103">D553*(($F$358)+1)+E553</f>
        <v>1009.2326400000001</v>
      </c>
      <c r="G553" s="167"/>
      <c r="H553" s="168"/>
      <c r="I553" s="44"/>
      <c r="J553" s="95"/>
      <c r="K553" s="95"/>
      <c r="L553" s="163"/>
      <c r="M553" s="163"/>
      <c r="N553" s="44"/>
    </row>
    <row r="554" spans="1:14" s="88" customFormat="1" ht="15.75" customHeight="1">
      <c r="A554" s="164">
        <f t="shared" ref="A554:A558" si="104">A553+1</f>
        <v>4</v>
      </c>
      <c r="B554" s="164"/>
      <c r="C554" s="98" t="s">
        <v>152</v>
      </c>
      <c r="D554" s="98">
        <f>(62.6+0.75*(3+2.1+2.75+2.75+1.5))*10.764</f>
        <v>771.50969999999995</v>
      </c>
      <c r="E554" s="98">
        <v>0</v>
      </c>
      <c r="F554" s="99">
        <f t="shared" si="103"/>
        <v>1234.41552</v>
      </c>
      <c r="G554" s="167"/>
      <c r="H554" s="168"/>
      <c r="I554" s="44"/>
      <c r="J554" s="95"/>
      <c r="K554" s="95"/>
      <c r="L554" s="163"/>
      <c r="M554" s="163"/>
      <c r="N554" s="44"/>
    </row>
    <row r="555" spans="1:14" s="88" customFormat="1" ht="15.75" customHeight="1">
      <c r="A555" s="164">
        <f t="shared" si="104"/>
        <v>5</v>
      </c>
      <c r="B555" s="164"/>
      <c r="C555" s="98" t="s">
        <v>152</v>
      </c>
      <c r="D555" s="98">
        <f>(62.6+0.75*(3+2.1+2.75+2.75+1.5))*10.764</f>
        <v>771.50969999999995</v>
      </c>
      <c r="E555" s="98">
        <v>0</v>
      </c>
      <c r="F555" s="99">
        <f t="shared" si="103"/>
        <v>1234.41552</v>
      </c>
      <c r="G555" s="167"/>
      <c r="H555" s="168"/>
      <c r="I555" s="44"/>
      <c r="L555" s="163"/>
      <c r="M555" s="163"/>
      <c r="N555" s="44"/>
    </row>
    <row r="556" spans="1:14" s="88" customFormat="1" ht="15.75" customHeight="1">
      <c r="A556" s="164">
        <f t="shared" si="104"/>
        <v>6</v>
      </c>
      <c r="B556" s="164"/>
      <c r="C556" s="98" t="s">
        <v>204</v>
      </c>
      <c r="D556" s="98">
        <f t="shared" ref="D556:D557" si="105">(51.2+0.75*(2.4+2.1+2.75+2.75))*10.764</f>
        <v>631.84680000000003</v>
      </c>
      <c r="E556" s="98">
        <v>0</v>
      </c>
      <c r="F556" s="99">
        <f t="shared" si="103"/>
        <v>1010.9548800000001</v>
      </c>
      <c r="G556" s="167"/>
      <c r="H556" s="168"/>
      <c r="I556" s="44"/>
      <c r="L556" s="163"/>
      <c r="M556" s="163"/>
      <c r="N556" s="44"/>
    </row>
    <row r="557" spans="1:14" s="88" customFormat="1" ht="15.75" customHeight="1">
      <c r="A557" s="164">
        <f t="shared" si="104"/>
        <v>7</v>
      </c>
      <c r="B557" s="164"/>
      <c r="C557" s="98" t="s">
        <v>204</v>
      </c>
      <c r="D557" s="98">
        <f t="shared" si="105"/>
        <v>631.84680000000003</v>
      </c>
      <c r="E557" s="98">
        <v>0</v>
      </c>
      <c r="F557" s="99">
        <f t="shared" si="103"/>
        <v>1010.9548800000001</v>
      </c>
      <c r="G557" s="167"/>
      <c r="H557" s="168"/>
      <c r="I557" s="44"/>
      <c r="L557" s="163"/>
      <c r="M557" s="163"/>
      <c r="N557" s="44"/>
    </row>
    <row r="558" spans="1:14" s="88" customFormat="1" ht="15.75" customHeight="1">
      <c r="A558" s="164">
        <f t="shared" si="104"/>
        <v>8</v>
      </c>
      <c r="B558" s="164"/>
      <c r="C558" s="98" t="s">
        <v>152</v>
      </c>
      <c r="D558" s="98">
        <f>(62.6+0.75*(3+2.1+2.75+2.75+1.5))*10.764</f>
        <v>771.50969999999995</v>
      </c>
      <c r="E558" s="98">
        <v>0</v>
      </c>
      <c r="F558" s="99">
        <f t="shared" si="103"/>
        <v>1234.41552</v>
      </c>
      <c r="G558" s="169"/>
      <c r="H558" s="170"/>
      <c r="I558" s="44"/>
      <c r="L558" s="163"/>
      <c r="M558" s="163"/>
      <c r="N558" s="44"/>
    </row>
    <row r="559" spans="1:14" s="88" customFormat="1">
      <c r="A559" s="162" t="s">
        <v>245</v>
      </c>
      <c r="B559" s="162"/>
      <c r="C559" s="162"/>
      <c r="D559" s="162"/>
      <c r="E559" s="162"/>
      <c r="F559" s="162"/>
      <c r="G559" s="162"/>
      <c r="H559" s="162"/>
      <c r="I559" s="44"/>
      <c r="J559" s="96"/>
      <c r="K559" s="95"/>
      <c r="L559" s="163"/>
      <c r="M559" s="163"/>
    </row>
    <row r="560" spans="1:14" s="88" customFormat="1" ht="15.75" customHeight="1">
      <c r="A560" s="164">
        <v>1</v>
      </c>
      <c r="B560" s="164"/>
      <c r="C560" s="87" t="s">
        <v>152</v>
      </c>
      <c r="D560" s="87">
        <f>(62.6+0.75*(3+2.1+2.75+2.75+1.5))*10.764</f>
        <v>771.50969999999995</v>
      </c>
      <c r="E560" s="87">
        <v>0</v>
      </c>
      <c r="F560" s="48">
        <f>D560*(($F$358)+1)+E560/5</f>
        <v>1234.41552</v>
      </c>
      <c r="G560" s="165" t="str">
        <f>A559</f>
        <v>21st &amp; 26th Floor (Part Refuge Area)</v>
      </c>
      <c r="H560" s="166"/>
      <c r="I560" s="93"/>
      <c r="J560" s="95"/>
      <c r="K560" s="95"/>
      <c r="L560" s="163"/>
      <c r="M560" s="163"/>
      <c r="N560" s="44"/>
    </row>
    <row r="561" spans="1:14" s="88" customFormat="1" ht="15.75" customHeight="1">
      <c r="A561" s="164">
        <f>A560+1</f>
        <v>2</v>
      </c>
      <c r="B561" s="164"/>
      <c r="C561" s="87" t="s">
        <v>205</v>
      </c>
      <c r="D561" s="87">
        <f>(41.69+0.75*(2.4+2.1+2.75))*10.764</f>
        <v>507.28040999999996</v>
      </c>
      <c r="E561" s="87">
        <v>0</v>
      </c>
      <c r="F561" s="48">
        <f>D561*(($F$358)+1)+E561/4</f>
        <v>811.64865599999996</v>
      </c>
      <c r="G561" s="167"/>
      <c r="H561" s="168"/>
      <c r="I561" s="44"/>
      <c r="J561" s="95"/>
      <c r="K561" s="95"/>
      <c r="L561" s="163"/>
      <c r="M561" s="163"/>
      <c r="N561" s="44"/>
    </row>
    <row r="562" spans="1:14" s="88" customFormat="1" ht="15.75" customHeight="1">
      <c r="A562" s="164">
        <f>A561+1</f>
        <v>3</v>
      </c>
      <c r="B562" s="164"/>
      <c r="C562" s="87" t="s">
        <v>205</v>
      </c>
      <c r="D562" s="87">
        <f>(41.38+0.75*(2.4+2.1+2.75))*10.764</f>
        <v>503.94357000000002</v>
      </c>
      <c r="E562" s="87">
        <v>0</v>
      </c>
      <c r="F562" s="48">
        <f t="shared" ref="F562:F567" si="106">D562*(($F$358)+1)+E562</f>
        <v>806.3097120000001</v>
      </c>
      <c r="G562" s="167"/>
      <c r="H562" s="168"/>
      <c r="I562" s="44"/>
      <c r="J562" s="95"/>
      <c r="K562" s="95"/>
      <c r="L562" s="163"/>
      <c r="M562" s="163"/>
      <c r="N562" s="44"/>
    </row>
    <row r="563" spans="1:14" s="88" customFormat="1" ht="15.75" customHeight="1">
      <c r="A563" s="164">
        <f t="shared" ref="A563:A567" si="107">A562+1</f>
        <v>4</v>
      </c>
      <c r="B563" s="164"/>
      <c r="C563" s="87" t="s">
        <v>152</v>
      </c>
      <c r="D563" s="87">
        <f>(62.6+0.75*(3+2.1+2.75+2.75+1.5))*10.764</f>
        <v>771.50969999999995</v>
      </c>
      <c r="E563" s="87">
        <v>0</v>
      </c>
      <c r="F563" s="48">
        <f t="shared" si="106"/>
        <v>1234.41552</v>
      </c>
      <c r="G563" s="167"/>
      <c r="H563" s="168"/>
      <c r="I563" s="44"/>
      <c r="J563" s="95"/>
      <c r="K563" s="95"/>
      <c r="L563" s="163"/>
      <c r="M563" s="163"/>
      <c r="N563" s="44"/>
    </row>
    <row r="564" spans="1:14" s="88" customFormat="1" ht="15.75" customHeight="1">
      <c r="A564" s="164">
        <f t="shared" si="107"/>
        <v>5</v>
      </c>
      <c r="B564" s="164"/>
      <c r="C564" s="87" t="s">
        <v>152</v>
      </c>
      <c r="D564" s="87">
        <f>(62.6+0.75*(3+2.1+2.75+2.75+1.5))*10.764</f>
        <v>771.50969999999995</v>
      </c>
      <c r="E564" s="87">
        <v>0</v>
      </c>
      <c r="F564" s="48">
        <f t="shared" si="106"/>
        <v>1234.41552</v>
      </c>
      <c r="G564" s="167"/>
      <c r="H564" s="168"/>
      <c r="I564" s="44"/>
      <c r="L564" s="163"/>
      <c r="M564" s="163"/>
      <c r="N564" s="44"/>
    </row>
    <row r="565" spans="1:14" s="88" customFormat="1" ht="15.75" customHeight="1">
      <c r="A565" s="164">
        <f t="shared" si="107"/>
        <v>6</v>
      </c>
      <c r="B565" s="164"/>
      <c r="C565" s="87" t="s">
        <v>204</v>
      </c>
      <c r="D565" s="87">
        <f t="shared" ref="D565:D566" si="108">(51.2+0.75*(2.4+2.1+2.75+2.75))*10.764</f>
        <v>631.84680000000003</v>
      </c>
      <c r="E565" s="87">
        <v>0</v>
      </c>
      <c r="F565" s="48">
        <f t="shared" si="106"/>
        <v>1010.9548800000001</v>
      </c>
      <c r="G565" s="167"/>
      <c r="H565" s="168"/>
      <c r="I565" s="44"/>
      <c r="L565" s="163"/>
      <c r="M565" s="163"/>
      <c r="N565" s="44"/>
    </row>
    <row r="566" spans="1:14" s="88" customFormat="1" ht="15.75" customHeight="1">
      <c r="A566" s="164">
        <f t="shared" si="107"/>
        <v>7</v>
      </c>
      <c r="B566" s="164"/>
      <c r="C566" s="87" t="s">
        <v>204</v>
      </c>
      <c r="D566" s="87">
        <f t="shared" si="108"/>
        <v>631.84680000000003</v>
      </c>
      <c r="E566" s="87">
        <v>0</v>
      </c>
      <c r="F566" s="48">
        <f t="shared" si="106"/>
        <v>1010.9548800000001</v>
      </c>
      <c r="G566" s="167"/>
      <c r="H566" s="168"/>
      <c r="I566" s="44"/>
      <c r="L566" s="163"/>
      <c r="M566" s="163"/>
      <c r="N566" s="44"/>
    </row>
    <row r="567" spans="1:14" s="88" customFormat="1" ht="15.75" customHeight="1">
      <c r="A567" s="164">
        <f t="shared" si="107"/>
        <v>8</v>
      </c>
      <c r="B567" s="164"/>
      <c r="C567" s="87" t="s">
        <v>152</v>
      </c>
      <c r="D567" s="87">
        <f>(62.6+0.75*(3+2.1+2.75+2.75+1.5))*10.764</f>
        <v>771.50969999999995</v>
      </c>
      <c r="E567" s="87">
        <v>0</v>
      </c>
      <c r="F567" s="48">
        <f t="shared" si="106"/>
        <v>1234.41552</v>
      </c>
      <c r="G567" s="169"/>
      <c r="H567" s="170"/>
      <c r="I567" s="44"/>
      <c r="L567" s="163"/>
      <c r="M567" s="163"/>
      <c r="N567" s="44"/>
    </row>
    <row r="568" spans="1:14" s="88" customFormat="1">
      <c r="A568" s="302" t="s">
        <v>246</v>
      </c>
      <c r="B568" s="302"/>
      <c r="C568" s="302"/>
      <c r="D568" s="302"/>
      <c r="E568" s="302"/>
      <c r="F568" s="302"/>
      <c r="G568" s="302"/>
      <c r="H568" s="302"/>
      <c r="I568" s="44"/>
      <c r="L568" s="163"/>
      <c r="M568" s="163"/>
    </row>
    <row r="569" spans="1:14" s="88" customFormat="1">
      <c r="A569" s="188" t="s">
        <v>273</v>
      </c>
      <c r="B569" s="189"/>
      <c r="C569" s="189"/>
      <c r="D569" s="189"/>
      <c r="E569" s="189"/>
      <c r="F569" s="189"/>
      <c r="G569" s="189"/>
      <c r="H569" s="190"/>
    </row>
    <row r="570" spans="1:14" s="88" customFormat="1">
      <c r="A570" s="162" t="s">
        <v>222</v>
      </c>
      <c r="B570" s="162"/>
      <c r="C570" s="162"/>
      <c r="D570" s="162"/>
      <c r="E570" s="162"/>
      <c r="F570" s="162"/>
      <c r="G570" s="162"/>
      <c r="H570" s="162"/>
      <c r="I570" s="44"/>
      <c r="J570" s="96">
        <f>10.764</f>
        <v>10.763999999999999</v>
      </c>
      <c r="K570" s="95"/>
      <c r="L570" s="163"/>
      <c r="M570" s="163"/>
    </row>
    <row r="571" spans="1:14" s="88" customFormat="1" ht="15.75" customHeight="1">
      <c r="A571" s="164">
        <v>1</v>
      </c>
      <c r="B571" s="164"/>
      <c r="C571" s="98" t="s">
        <v>204</v>
      </c>
      <c r="D571" s="98">
        <f>(53.53)*10.764</f>
        <v>576.19691999999998</v>
      </c>
      <c r="E571" s="120">
        <f>(5+5)*(10.764)</f>
        <v>107.63999999999999</v>
      </c>
      <c r="F571" s="99">
        <f>D571*(($F$358)+1)+E571/5</f>
        <v>943.44307200000003</v>
      </c>
      <c r="G571" s="165" t="str">
        <f>A570</f>
        <v>3rd Floor For Residential</v>
      </c>
      <c r="H571" s="166"/>
      <c r="I571" s="93">
        <f>3.15*4.42+2.38*3.05+3.05*3.35+2.9*3.35+1.8*1.22+1.8*1.22+0.9*5.38</f>
        <v>50.348499999999987</v>
      </c>
      <c r="J571" s="95"/>
      <c r="K571" s="95"/>
      <c r="L571" s="163"/>
      <c r="M571" s="163"/>
      <c r="N571" s="44"/>
    </row>
    <row r="572" spans="1:14" s="88" customFormat="1" ht="15.75" customHeight="1">
      <c r="A572" s="164">
        <f>A571+1</f>
        <v>2</v>
      </c>
      <c r="B572" s="164"/>
      <c r="C572" s="98" t="s">
        <v>152</v>
      </c>
      <c r="D572" s="98">
        <f>(69.08)*10.764</f>
        <v>743.57711999999992</v>
      </c>
      <c r="E572" s="120">
        <f>(7.6+95.3)*(10.764)</f>
        <v>1107.6155999999999</v>
      </c>
      <c r="F572" s="99">
        <f>D572*(($F$358)+1)+E572/4</f>
        <v>1466.6272919999999</v>
      </c>
      <c r="G572" s="167"/>
      <c r="H572" s="168"/>
      <c r="I572" s="44"/>
      <c r="J572" s="95"/>
      <c r="K572" s="95"/>
      <c r="L572" s="163"/>
      <c r="M572" s="163"/>
      <c r="N572" s="44"/>
    </row>
    <row r="573" spans="1:14" s="88" customFormat="1" ht="15.75" customHeight="1">
      <c r="A573" s="164">
        <f>A572+1</f>
        <v>3</v>
      </c>
      <c r="B573" s="164"/>
      <c r="C573" s="98" t="s">
        <v>152</v>
      </c>
      <c r="D573" s="98">
        <f>(57.21+0.75*(3.05+3.07))*10.764</f>
        <v>665.21519999999998</v>
      </c>
      <c r="E573" s="120">
        <f>(5+72.8)*(10.764)</f>
        <v>837.43919999999991</v>
      </c>
      <c r="F573" s="99">
        <f t="shared" ref="F573:F578" si="109">D573*(($F$358)+1)+E573</f>
        <v>1901.78352</v>
      </c>
      <c r="G573" s="167"/>
      <c r="H573" s="168"/>
      <c r="I573" s="44"/>
      <c r="J573" s="95"/>
      <c r="K573" s="95"/>
      <c r="L573" s="163"/>
      <c r="M573" s="163"/>
      <c r="N573" s="44"/>
    </row>
    <row r="574" spans="1:14" s="88" customFormat="1" ht="15.75" customHeight="1">
      <c r="A574" s="164">
        <f t="shared" ref="A574:A580" si="110">A573+1</f>
        <v>4</v>
      </c>
      <c r="B574" s="164"/>
      <c r="C574" s="98" t="s">
        <v>205</v>
      </c>
      <c r="D574" s="98">
        <f>(33.91+0.75*(3.09+2.1+2.75))*10.764</f>
        <v>429.10685999999993</v>
      </c>
      <c r="E574" s="98">
        <f>5*10.764</f>
        <v>53.819999999999993</v>
      </c>
      <c r="F574" s="99">
        <f t="shared" si="109"/>
        <v>740.39097599999991</v>
      </c>
      <c r="G574" s="167"/>
      <c r="H574" s="168"/>
      <c r="I574" s="44">
        <f>3.09*4.2+2.1*2.45+2.75*3.35+1.2*0.9+1.2*1.8+0.9*2.4</f>
        <v>32.735500000000002</v>
      </c>
      <c r="J574" s="95"/>
      <c r="K574" s="95"/>
      <c r="L574" s="163"/>
      <c r="M574" s="163"/>
      <c r="N574" s="44"/>
    </row>
    <row r="575" spans="1:14" s="88" customFormat="1" ht="15.75" customHeight="1">
      <c r="A575" s="164">
        <f t="shared" si="110"/>
        <v>5</v>
      </c>
      <c r="B575" s="164"/>
      <c r="C575" s="98" t="s">
        <v>205</v>
      </c>
      <c r="D575" s="98">
        <f>(34.73+0.75*(2.9+2.3+2.75))*10.764</f>
        <v>438.01406999999995</v>
      </c>
      <c r="E575" s="120">
        <f>5*10.764</f>
        <v>53.819999999999993</v>
      </c>
      <c r="F575" s="99">
        <f t="shared" si="109"/>
        <v>754.6425119999999</v>
      </c>
      <c r="G575" s="167"/>
      <c r="H575" s="168"/>
      <c r="I575" s="44"/>
      <c r="L575" s="163"/>
      <c r="M575" s="163"/>
      <c r="N575" s="44"/>
    </row>
    <row r="576" spans="1:14" s="88" customFormat="1" ht="15.75" customHeight="1">
      <c r="A576" s="164">
        <f t="shared" si="110"/>
        <v>6</v>
      </c>
      <c r="B576" s="164"/>
      <c r="C576" s="98" t="s">
        <v>205</v>
      </c>
      <c r="D576" s="98">
        <f>(35.36+0.75*(3.12+2.41+2.75))*10.764</f>
        <v>447.45947999999999</v>
      </c>
      <c r="E576" s="120">
        <f>(3.12*0.7)*(10.764)</f>
        <v>23.508575999999994</v>
      </c>
      <c r="F576" s="99">
        <f t="shared" si="109"/>
        <v>739.44374399999992</v>
      </c>
      <c r="G576" s="167"/>
      <c r="H576" s="168"/>
      <c r="I576" s="44"/>
      <c r="L576" s="163"/>
      <c r="M576" s="163"/>
      <c r="N576" s="44"/>
    </row>
    <row r="577" spans="1:14" s="88" customFormat="1" ht="15.75" customHeight="1">
      <c r="A577" s="164">
        <f t="shared" si="110"/>
        <v>7</v>
      </c>
      <c r="B577" s="164"/>
      <c r="C577" s="98" t="s">
        <v>205</v>
      </c>
      <c r="D577" s="98">
        <f>(35.47+0.75*(2.9+2.75+2.55))*10.764</f>
        <v>447.99767999999995</v>
      </c>
      <c r="E577" s="120">
        <f>(3.12*0.7)*(10.764)</f>
        <v>23.508575999999994</v>
      </c>
      <c r="F577" s="99">
        <f t="shared" si="109"/>
        <v>740.30486399999995</v>
      </c>
      <c r="G577" s="167"/>
      <c r="H577" s="168"/>
      <c r="I577" s="44"/>
      <c r="L577" s="163"/>
      <c r="M577" s="163"/>
      <c r="N577" s="44"/>
    </row>
    <row r="578" spans="1:14" s="88" customFormat="1" ht="15.75" customHeight="1">
      <c r="A578" s="164">
        <f t="shared" si="110"/>
        <v>8</v>
      </c>
      <c r="B578" s="164"/>
      <c r="C578" s="98" t="s">
        <v>152</v>
      </c>
      <c r="D578" s="98">
        <f>(57.21+0.75*(3.05+3.07))*10.764</f>
        <v>665.21519999999998</v>
      </c>
      <c r="E578" s="120">
        <f>(110.2+5)*(10.764)</f>
        <v>1240.0128</v>
      </c>
      <c r="F578" s="99">
        <f t="shared" si="109"/>
        <v>2304.3571199999997</v>
      </c>
      <c r="G578" s="167"/>
      <c r="H578" s="168"/>
      <c r="I578" s="44"/>
      <c r="L578" s="163"/>
      <c r="M578" s="163"/>
      <c r="N578" s="44"/>
    </row>
    <row r="579" spans="1:14" s="88" customFormat="1" ht="15.75" customHeight="1">
      <c r="A579" s="164">
        <f t="shared" si="110"/>
        <v>9</v>
      </c>
      <c r="B579" s="164"/>
      <c r="C579" s="98" t="s">
        <v>152</v>
      </c>
      <c r="D579" s="98">
        <f>(61.13)*10.764</f>
        <v>658.00332000000003</v>
      </c>
      <c r="E579" s="120">
        <f>(101+9.9+5.73)*(10.764)</f>
        <v>1255.4053200000001</v>
      </c>
      <c r="F579" s="99">
        <f t="shared" ref="F579:F580" si="111">D579*(($F$358)+1)+E579</f>
        <v>2308.2106320000003</v>
      </c>
      <c r="G579" s="167"/>
      <c r="H579" s="168"/>
      <c r="I579" s="44"/>
      <c r="L579" s="163"/>
      <c r="M579" s="163"/>
      <c r="N579" s="44"/>
    </row>
    <row r="580" spans="1:14" s="88" customFormat="1" ht="15.75" customHeight="1">
      <c r="A580" s="164">
        <f t="shared" si="110"/>
        <v>10</v>
      </c>
      <c r="B580" s="164"/>
      <c r="C580" s="98" t="s">
        <v>204</v>
      </c>
      <c r="D580" s="98">
        <f>(52.06+0.75*(2.1+1.6))*10.764</f>
        <v>590.24393999999995</v>
      </c>
      <c r="E580" s="120">
        <f>(4.36+26.5)*(10.764)</f>
        <v>332.17703999999998</v>
      </c>
      <c r="F580" s="99">
        <f t="shared" si="111"/>
        <v>1276.567344</v>
      </c>
      <c r="G580" s="169"/>
      <c r="H580" s="170"/>
      <c r="I580" s="44"/>
      <c r="L580" s="163"/>
      <c r="M580" s="163"/>
      <c r="N580" s="44"/>
    </row>
    <row r="581" spans="1:14" s="88" customFormat="1">
      <c r="A581" s="162" t="s">
        <v>283</v>
      </c>
      <c r="B581" s="162"/>
      <c r="C581" s="162"/>
      <c r="D581" s="162"/>
      <c r="E581" s="162"/>
      <c r="F581" s="162"/>
      <c r="G581" s="162"/>
      <c r="H581" s="162"/>
      <c r="I581" s="44"/>
      <c r="J581" s="96"/>
      <c r="K581" s="95"/>
      <c r="L581" s="163"/>
      <c r="M581" s="163"/>
    </row>
    <row r="582" spans="1:14" s="88" customFormat="1" ht="15.75" customHeight="1">
      <c r="A582" s="164">
        <v>1</v>
      </c>
      <c r="B582" s="164"/>
      <c r="C582" s="87" t="s">
        <v>204</v>
      </c>
      <c r="D582" s="87">
        <f>(48.45+0.75*(3.15+2.38+3.05+2.9))*10.764</f>
        <v>614.19384000000002</v>
      </c>
      <c r="E582" s="87">
        <v>0</v>
      </c>
      <c r="F582" s="48">
        <f>D582*(($F$358)+1)+E582/5</f>
        <v>982.71014400000013</v>
      </c>
      <c r="G582" s="165" t="str">
        <f>A581</f>
        <v>4th &amp; 5th Floor</v>
      </c>
      <c r="H582" s="166"/>
      <c r="I582" s="93"/>
      <c r="J582" s="95"/>
      <c r="K582" s="95"/>
      <c r="L582" s="163"/>
      <c r="M582" s="163"/>
      <c r="N582" s="44"/>
    </row>
    <row r="583" spans="1:14" s="88" customFormat="1" ht="15.75" customHeight="1">
      <c r="A583" s="164">
        <f>A582+1</f>
        <v>2</v>
      </c>
      <c r="B583" s="164"/>
      <c r="C583" s="87" t="s">
        <v>152</v>
      </c>
      <c r="D583" s="87">
        <f>(69.05+0.75*(2.36+3+2.75+3.25+2.95))*10.764</f>
        <v>858.77882999999997</v>
      </c>
      <c r="E583" s="87">
        <v>0</v>
      </c>
      <c r="F583" s="48">
        <f>D583*(($F$358)+1)+E583/4</f>
        <v>1374.046128</v>
      </c>
      <c r="G583" s="167"/>
      <c r="H583" s="168"/>
      <c r="I583" s="44"/>
      <c r="J583" s="95"/>
      <c r="K583" s="95"/>
      <c r="L583" s="163"/>
      <c r="M583" s="163"/>
      <c r="N583" s="44"/>
    </row>
    <row r="584" spans="1:14" s="88" customFormat="1" ht="15.75" customHeight="1">
      <c r="A584" s="164">
        <f>A583+1</f>
        <v>3</v>
      </c>
      <c r="B584" s="164"/>
      <c r="C584" s="87" t="s">
        <v>152</v>
      </c>
      <c r="D584" s="87">
        <f>(57.25+0.75*(3.05+2.1+2.75+3.07+1.6))*10.764</f>
        <v>717.71660999999995</v>
      </c>
      <c r="E584" s="87">
        <v>0</v>
      </c>
      <c r="F584" s="48">
        <f t="shared" ref="F584:F591" si="112">D584*(($F$358)+1)+E584</f>
        <v>1148.3465759999999</v>
      </c>
      <c r="G584" s="167"/>
      <c r="H584" s="168"/>
      <c r="I584" s="44"/>
      <c r="J584" s="95"/>
      <c r="K584" s="95"/>
      <c r="L584" s="163"/>
      <c r="M584" s="163"/>
      <c r="N584" s="44"/>
    </row>
    <row r="585" spans="1:14" s="88" customFormat="1" ht="15.75" customHeight="1">
      <c r="A585" s="164">
        <f t="shared" ref="A585:A591" si="113">A584+1</f>
        <v>4</v>
      </c>
      <c r="B585" s="164"/>
      <c r="C585" s="87" t="s">
        <v>205</v>
      </c>
      <c r="D585" s="87">
        <f>(39.2+0.75*(3.09+2.1+2.73))*10.764</f>
        <v>485.88695999999999</v>
      </c>
      <c r="E585" s="87">
        <v>0</v>
      </c>
      <c r="F585" s="48">
        <f t="shared" si="112"/>
        <v>777.41913599999998</v>
      </c>
      <c r="G585" s="167"/>
      <c r="H585" s="168"/>
      <c r="I585" s="44"/>
      <c r="J585" s="95"/>
      <c r="K585" s="95"/>
      <c r="L585" s="163"/>
      <c r="M585" s="163"/>
      <c r="N585" s="44"/>
    </row>
    <row r="586" spans="1:14" s="88" customFormat="1" ht="15.75" customHeight="1">
      <c r="A586" s="164">
        <f t="shared" si="113"/>
        <v>5</v>
      </c>
      <c r="B586" s="164"/>
      <c r="C586" s="87" t="s">
        <v>205</v>
      </c>
      <c r="D586" s="87">
        <f>(39.66+0.75*(2.9+2.3+2.73))*10.764</f>
        <v>490.91912999999994</v>
      </c>
      <c r="E586" s="87">
        <v>0</v>
      </c>
      <c r="F586" s="48">
        <f t="shared" si="112"/>
        <v>785.47060799999997</v>
      </c>
      <c r="G586" s="167"/>
      <c r="H586" s="168"/>
      <c r="I586" s="44"/>
      <c r="L586" s="163"/>
      <c r="M586" s="163"/>
      <c r="N586" s="44"/>
    </row>
    <row r="587" spans="1:14" s="88" customFormat="1" ht="15.75" customHeight="1">
      <c r="A587" s="164">
        <f t="shared" si="113"/>
        <v>6</v>
      </c>
      <c r="B587" s="164"/>
      <c r="C587" s="87" t="s">
        <v>205</v>
      </c>
      <c r="D587" s="87">
        <f>(40.46+0.75*(3.12+2.41+2.75))*10.764</f>
        <v>502.35588000000001</v>
      </c>
      <c r="E587" s="87">
        <v>0</v>
      </c>
      <c r="F587" s="48">
        <f t="shared" si="112"/>
        <v>803.76940800000011</v>
      </c>
      <c r="G587" s="167"/>
      <c r="H587" s="168"/>
      <c r="I587" s="44"/>
      <c r="L587" s="163"/>
      <c r="M587" s="163"/>
      <c r="N587" s="44"/>
    </row>
    <row r="588" spans="1:14" s="88" customFormat="1" ht="15.75" customHeight="1">
      <c r="A588" s="164">
        <f t="shared" si="113"/>
        <v>7</v>
      </c>
      <c r="B588" s="164"/>
      <c r="C588" s="87" t="s">
        <v>205</v>
      </c>
      <c r="D588" s="87">
        <f>(40.66+0.75*(2.9+2.55+2.73))*10.764</f>
        <v>503.70137999999992</v>
      </c>
      <c r="E588" s="87">
        <v>0</v>
      </c>
      <c r="F588" s="48">
        <f t="shared" si="112"/>
        <v>805.92220799999996</v>
      </c>
      <c r="G588" s="167"/>
      <c r="H588" s="168"/>
      <c r="I588" s="44"/>
      <c r="L588" s="163"/>
      <c r="M588" s="163"/>
      <c r="N588" s="44"/>
    </row>
    <row r="589" spans="1:14" s="88" customFormat="1" ht="15.75" customHeight="1">
      <c r="A589" s="164">
        <f t="shared" si="113"/>
        <v>8</v>
      </c>
      <c r="B589" s="164"/>
      <c r="C589" s="87" t="s">
        <v>152</v>
      </c>
      <c r="D589" s="87">
        <f>(57.25+0.75*(3.05+2.1+2.75+3.07+1.6))*10.764</f>
        <v>717.71660999999995</v>
      </c>
      <c r="E589" s="87">
        <v>0</v>
      </c>
      <c r="F589" s="48">
        <f t="shared" si="112"/>
        <v>1148.3465759999999</v>
      </c>
      <c r="G589" s="167"/>
      <c r="H589" s="168"/>
      <c r="I589" s="44"/>
      <c r="L589" s="163"/>
      <c r="M589" s="163"/>
      <c r="N589" s="44"/>
    </row>
    <row r="590" spans="1:14" s="88" customFormat="1" ht="15.75" customHeight="1">
      <c r="A590" s="164">
        <f t="shared" si="113"/>
        <v>9</v>
      </c>
      <c r="B590" s="164"/>
      <c r="C590" s="87" t="s">
        <v>152</v>
      </c>
      <c r="D590" s="87">
        <f>(63.1+0.75*(3.2+2.1+2.75+3.07+1.6))*10.764</f>
        <v>781.89695999999992</v>
      </c>
      <c r="E590" s="87">
        <v>0</v>
      </c>
      <c r="F590" s="48">
        <f t="shared" si="112"/>
        <v>1251.035136</v>
      </c>
      <c r="G590" s="167"/>
      <c r="H590" s="168"/>
      <c r="I590" s="44"/>
      <c r="L590" s="163"/>
      <c r="M590" s="163"/>
      <c r="N590" s="44"/>
    </row>
    <row r="591" spans="1:14" s="88" customFormat="1" ht="15.75" customHeight="1">
      <c r="A591" s="164">
        <f t="shared" si="113"/>
        <v>10</v>
      </c>
      <c r="B591" s="164"/>
      <c r="C591" s="87" t="s">
        <v>204</v>
      </c>
      <c r="D591" s="87">
        <f>(48.25+0.75*(2.75+2.1+2.75+3.02))*10.764</f>
        <v>605.09825999999998</v>
      </c>
      <c r="E591" s="87">
        <v>0</v>
      </c>
      <c r="F591" s="48">
        <f t="shared" si="112"/>
        <v>968.15721600000006</v>
      </c>
      <c r="G591" s="169"/>
      <c r="H591" s="170"/>
      <c r="I591" s="44"/>
      <c r="L591" s="163"/>
      <c r="M591" s="163"/>
      <c r="N591" s="44"/>
    </row>
    <row r="592" spans="1:14" s="129" customFormat="1">
      <c r="A592" s="162" t="s">
        <v>284</v>
      </c>
      <c r="B592" s="162"/>
      <c r="C592" s="162"/>
      <c r="D592" s="162"/>
      <c r="E592" s="162"/>
      <c r="F592" s="162"/>
      <c r="G592" s="162"/>
      <c r="H592" s="162"/>
      <c r="I592" s="44"/>
      <c r="J592" s="96"/>
      <c r="K592" s="95"/>
      <c r="L592" s="163"/>
      <c r="M592" s="163"/>
    </row>
    <row r="593" spans="1:14" s="129" customFormat="1" ht="15.75" customHeight="1">
      <c r="A593" s="164">
        <v>1</v>
      </c>
      <c r="B593" s="164"/>
      <c r="C593" s="130" t="s">
        <v>204</v>
      </c>
      <c r="D593" s="130">
        <f>(50.22+0.75*(3.15+2.38+3.05+2.9))*10.764</f>
        <v>633.24611999999991</v>
      </c>
      <c r="E593" s="130">
        <v>0</v>
      </c>
      <c r="F593" s="48">
        <f>D593*(($F$358)+1)+E593/5</f>
        <v>1013.1937919999999</v>
      </c>
      <c r="G593" s="165" t="str">
        <f>A592</f>
        <v>6th, 8th, 9th &amp; 10th Floor</v>
      </c>
      <c r="H593" s="166"/>
      <c r="I593" s="93"/>
      <c r="J593" s="95"/>
      <c r="K593" s="95"/>
      <c r="L593" s="163"/>
      <c r="M593" s="163"/>
      <c r="N593" s="44"/>
    </row>
    <row r="594" spans="1:14" s="129" customFormat="1" ht="15.75" customHeight="1">
      <c r="A594" s="164">
        <f>A593+1</f>
        <v>2</v>
      </c>
      <c r="B594" s="164"/>
      <c r="C594" s="130" t="s">
        <v>152</v>
      </c>
      <c r="D594" s="130">
        <f>(69.05+0.75*(2.36+3+2.75+3.25+2.95))*10.764</f>
        <v>858.77882999999997</v>
      </c>
      <c r="E594" s="130">
        <v>0</v>
      </c>
      <c r="F594" s="48">
        <f>D594*(($F$358)+1)+E594/4</f>
        <v>1374.046128</v>
      </c>
      <c r="G594" s="167"/>
      <c r="H594" s="168"/>
      <c r="I594" s="44"/>
      <c r="J594" s="95"/>
      <c r="K594" s="95"/>
      <c r="L594" s="163"/>
      <c r="M594" s="163"/>
      <c r="N594" s="44"/>
    </row>
    <row r="595" spans="1:14" s="129" customFormat="1" ht="15.75" customHeight="1">
      <c r="A595" s="164">
        <f>A594+1</f>
        <v>3</v>
      </c>
      <c r="B595" s="164"/>
      <c r="C595" s="130" t="s">
        <v>152</v>
      </c>
      <c r="D595" s="130">
        <f>(57.25+0.75*(3.05+2.1+2.75+3.07+1.6))*10.764</f>
        <v>717.71660999999995</v>
      </c>
      <c r="E595" s="130">
        <v>0</v>
      </c>
      <c r="F595" s="48">
        <f t="shared" ref="F595:F602" si="114">D595*(($F$358)+1)+E595</f>
        <v>1148.3465759999999</v>
      </c>
      <c r="G595" s="167"/>
      <c r="H595" s="168"/>
      <c r="I595" s="44"/>
      <c r="J595" s="95"/>
      <c r="K595" s="95"/>
      <c r="L595" s="163"/>
      <c r="M595" s="163"/>
      <c r="N595" s="44"/>
    </row>
    <row r="596" spans="1:14" s="129" customFormat="1" ht="15.75" customHeight="1">
      <c r="A596" s="164">
        <f t="shared" ref="A596:A602" si="115">A595+1</f>
        <v>4</v>
      </c>
      <c r="B596" s="164"/>
      <c r="C596" s="130" t="s">
        <v>205</v>
      </c>
      <c r="D596" s="130">
        <f>(39.2+0.75*(3.09+2.1+2.73))*10.764</f>
        <v>485.88695999999999</v>
      </c>
      <c r="E596" s="130">
        <v>0</v>
      </c>
      <c r="F596" s="48">
        <f t="shared" si="114"/>
        <v>777.41913599999998</v>
      </c>
      <c r="G596" s="167"/>
      <c r="H596" s="168"/>
      <c r="I596" s="44"/>
      <c r="J596" s="95"/>
      <c r="K596" s="95"/>
      <c r="L596" s="163"/>
      <c r="M596" s="163"/>
      <c r="N596" s="44"/>
    </row>
    <row r="597" spans="1:14" s="129" customFormat="1" ht="15.75" customHeight="1">
      <c r="A597" s="164">
        <f t="shared" si="115"/>
        <v>5</v>
      </c>
      <c r="B597" s="164"/>
      <c r="C597" s="130" t="s">
        <v>205</v>
      </c>
      <c r="D597" s="130">
        <f>(39.66+0.75*(2.9+2.3+2.73))*10.764</f>
        <v>490.91912999999994</v>
      </c>
      <c r="E597" s="130">
        <v>0</v>
      </c>
      <c r="F597" s="48">
        <f t="shared" si="114"/>
        <v>785.47060799999997</v>
      </c>
      <c r="G597" s="167"/>
      <c r="H597" s="168"/>
      <c r="I597" s="44"/>
      <c r="L597" s="163"/>
      <c r="M597" s="163"/>
      <c r="N597" s="44"/>
    </row>
    <row r="598" spans="1:14" s="129" customFormat="1" ht="15.75" customHeight="1">
      <c r="A598" s="164">
        <f t="shared" si="115"/>
        <v>6</v>
      </c>
      <c r="B598" s="164"/>
      <c r="C598" s="130" t="s">
        <v>205</v>
      </c>
      <c r="D598" s="130">
        <f>(40.46+0.75*(3.12+2.41+2.75))*10.764</f>
        <v>502.35588000000001</v>
      </c>
      <c r="E598" s="130">
        <v>0</v>
      </c>
      <c r="F598" s="48">
        <f t="shared" si="114"/>
        <v>803.76940800000011</v>
      </c>
      <c r="G598" s="167"/>
      <c r="H598" s="168"/>
      <c r="I598" s="44"/>
      <c r="L598" s="163"/>
      <c r="M598" s="163"/>
      <c r="N598" s="44"/>
    </row>
    <row r="599" spans="1:14" s="129" customFormat="1" ht="15.75" customHeight="1">
      <c r="A599" s="164">
        <f t="shared" si="115"/>
        <v>7</v>
      </c>
      <c r="B599" s="164"/>
      <c r="C599" s="130" t="s">
        <v>205</v>
      </c>
      <c r="D599" s="130">
        <f>(40.66+0.75*(2.9+2.55+2.73))*10.764</f>
        <v>503.70137999999992</v>
      </c>
      <c r="E599" s="130">
        <v>0</v>
      </c>
      <c r="F599" s="48">
        <f t="shared" si="114"/>
        <v>805.92220799999996</v>
      </c>
      <c r="G599" s="167"/>
      <c r="H599" s="168"/>
      <c r="I599" s="44"/>
      <c r="L599" s="163"/>
      <c r="M599" s="163"/>
      <c r="N599" s="44"/>
    </row>
    <row r="600" spans="1:14" s="129" customFormat="1" ht="15.75" customHeight="1">
      <c r="A600" s="164">
        <f t="shared" si="115"/>
        <v>8</v>
      </c>
      <c r="B600" s="164"/>
      <c r="C600" s="130" t="s">
        <v>152</v>
      </c>
      <c r="D600" s="130">
        <f>(57.25+0.75*(3.05+2.1+2.75+3.07+1.6))*10.764</f>
        <v>717.71660999999995</v>
      </c>
      <c r="E600" s="130">
        <v>0</v>
      </c>
      <c r="F600" s="48">
        <f t="shared" si="114"/>
        <v>1148.3465759999999</v>
      </c>
      <c r="G600" s="167"/>
      <c r="H600" s="168"/>
      <c r="I600" s="44"/>
      <c r="L600" s="163"/>
      <c r="M600" s="163"/>
      <c r="N600" s="44"/>
    </row>
    <row r="601" spans="1:14" s="129" customFormat="1" ht="15.75" customHeight="1">
      <c r="A601" s="164">
        <f t="shared" si="115"/>
        <v>9</v>
      </c>
      <c r="B601" s="164"/>
      <c r="C601" s="130" t="s">
        <v>152</v>
      </c>
      <c r="D601" s="130">
        <f>(63.1+0.75*(3.2+2.1+2.75+3.07+1.6))*10.764</f>
        <v>781.89695999999992</v>
      </c>
      <c r="E601" s="130">
        <v>0</v>
      </c>
      <c r="F601" s="48">
        <f t="shared" si="114"/>
        <v>1251.035136</v>
      </c>
      <c r="G601" s="167"/>
      <c r="H601" s="168"/>
      <c r="I601" s="44"/>
      <c r="L601" s="163"/>
      <c r="M601" s="163"/>
      <c r="N601" s="44"/>
    </row>
    <row r="602" spans="1:14" s="129" customFormat="1" ht="15.75" customHeight="1">
      <c r="A602" s="164">
        <f t="shared" si="115"/>
        <v>10</v>
      </c>
      <c r="B602" s="164"/>
      <c r="C602" s="130" t="s">
        <v>204</v>
      </c>
      <c r="D602" s="130">
        <f>(50.35+0.75*(2.75+2.1+2.75+3.02))*10.764</f>
        <v>627.70265999999992</v>
      </c>
      <c r="E602" s="130">
        <v>0</v>
      </c>
      <c r="F602" s="48">
        <f t="shared" si="114"/>
        <v>1004.3242559999999</v>
      </c>
      <c r="G602" s="169"/>
      <c r="H602" s="170"/>
      <c r="I602" s="44"/>
      <c r="L602" s="163"/>
      <c r="M602" s="163"/>
      <c r="N602" s="44"/>
    </row>
    <row r="603" spans="1:14" s="129" customFormat="1">
      <c r="A603" s="162" t="s">
        <v>241</v>
      </c>
      <c r="B603" s="162"/>
      <c r="C603" s="162"/>
      <c r="D603" s="162"/>
      <c r="E603" s="162"/>
      <c r="F603" s="162"/>
      <c r="G603" s="162"/>
      <c r="H603" s="162"/>
      <c r="I603" s="44"/>
      <c r="J603" s="96"/>
      <c r="K603" s="95"/>
      <c r="L603" s="163"/>
      <c r="M603" s="163"/>
    </row>
    <row r="604" spans="1:14" s="129" customFormat="1" ht="15.75" customHeight="1">
      <c r="A604" s="164">
        <v>1</v>
      </c>
      <c r="B604" s="164"/>
      <c r="C604" s="130" t="s">
        <v>204</v>
      </c>
      <c r="D604" s="130">
        <f>(50.22+0.75*(3.15+2.38+3.05+2.9))*10.764</f>
        <v>633.24611999999991</v>
      </c>
      <c r="E604" s="130">
        <v>0</v>
      </c>
      <c r="F604" s="48">
        <f>D604*(($F$358)+1)+E604/5</f>
        <v>1013.1937919999999</v>
      </c>
      <c r="G604" s="165" t="str">
        <f>A603</f>
        <v>7th &amp; 11th Floor (Part Refuge Area)</v>
      </c>
      <c r="H604" s="166"/>
      <c r="I604" s="93"/>
      <c r="J604" s="95"/>
      <c r="K604" s="95"/>
      <c r="L604" s="163"/>
      <c r="M604" s="163"/>
      <c r="N604" s="44"/>
    </row>
    <row r="605" spans="1:14" s="129" customFormat="1" ht="15.75" customHeight="1">
      <c r="A605" s="164">
        <f>A604+1</f>
        <v>2</v>
      </c>
      <c r="B605" s="164"/>
      <c r="C605" s="130" t="s">
        <v>152</v>
      </c>
      <c r="D605" s="130">
        <f>(69.05+0.75*(2.36+3+2.75+3.25+2.95))*10.764</f>
        <v>858.77882999999997</v>
      </c>
      <c r="E605" s="130">
        <v>0</v>
      </c>
      <c r="F605" s="48">
        <f>D605*(($F$358)+1)+E605/4</f>
        <v>1374.046128</v>
      </c>
      <c r="G605" s="167"/>
      <c r="H605" s="168"/>
      <c r="I605" s="44"/>
      <c r="J605" s="95"/>
      <c r="K605" s="95"/>
      <c r="L605" s="163"/>
      <c r="M605" s="163"/>
      <c r="N605" s="44"/>
    </row>
    <row r="606" spans="1:14" s="129" customFormat="1" ht="15.75" customHeight="1">
      <c r="A606" s="164">
        <f>A605+1</f>
        <v>3</v>
      </c>
      <c r="B606" s="164"/>
      <c r="C606" s="130" t="s">
        <v>152</v>
      </c>
      <c r="D606" s="130">
        <f>(57.25+0.75*(3.05+2.1+2.75+3.07+1.6))*10.764</f>
        <v>717.71660999999995</v>
      </c>
      <c r="E606" s="130">
        <v>0</v>
      </c>
      <c r="F606" s="48">
        <f t="shared" ref="F606:F613" si="116">D606*(($F$358)+1)+E606</f>
        <v>1148.3465759999999</v>
      </c>
      <c r="G606" s="167"/>
      <c r="H606" s="168"/>
      <c r="I606" s="44"/>
      <c r="J606" s="95"/>
      <c r="K606" s="95"/>
      <c r="L606" s="163"/>
      <c r="M606" s="163"/>
      <c r="N606" s="44"/>
    </row>
    <row r="607" spans="1:14" s="129" customFormat="1" ht="15.75" customHeight="1">
      <c r="A607" s="164">
        <f t="shared" ref="A607:A613" si="117">A606+1</f>
        <v>4</v>
      </c>
      <c r="B607" s="164"/>
      <c r="C607" s="130" t="s">
        <v>205</v>
      </c>
      <c r="D607" s="130">
        <f>(39.2+0.75*(3.09+2.1+2.73))*10.764</f>
        <v>485.88695999999999</v>
      </c>
      <c r="E607" s="130">
        <v>0</v>
      </c>
      <c r="F607" s="48">
        <f t="shared" si="116"/>
        <v>777.41913599999998</v>
      </c>
      <c r="G607" s="167"/>
      <c r="H607" s="168"/>
      <c r="I607" s="44"/>
      <c r="J607" s="95"/>
      <c r="K607" s="95"/>
      <c r="L607" s="163"/>
      <c r="M607" s="163"/>
      <c r="N607" s="44"/>
    </row>
    <row r="608" spans="1:14" s="129" customFormat="1" ht="15.75" customHeight="1">
      <c r="A608" s="164">
        <f t="shared" si="117"/>
        <v>5</v>
      </c>
      <c r="B608" s="164"/>
      <c r="C608" s="130" t="s">
        <v>205</v>
      </c>
      <c r="D608" s="130">
        <f>(39.66+0.75*(2.9+2.3+2.73))*10.764</f>
        <v>490.91912999999994</v>
      </c>
      <c r="E608" s="130">
        <v>0</v>
      </c>
      <c r="F608" s="48">
        <f t="shared" si="116"/>
        <v>785.47060799999997</v>
      </c>
      <c r="G608" s="167"/>
      <c r="H608" s="168"/>
      <c r="I608" s="44"/>
      <c r="L608" s="163"/>
      <c r="M608" s="163"/>
      <c r="N608" s="44"/>
    </row>
    <row r="609" spans="1:14" s="129" customFormat="1" ht="15.75" customHeight="1">
      <c r="A609" s="164">
        <f t="shared" si="117"/>
        <v>6</v>
      </c>
      <c r="B609" s="164"/>
      <c r="C609" s="185" t="s">
        <v>232</v>
      </c>
      <c r="D609" s="186"/>
      <c r="E609" s="186"/>
      <c r="F609" s="187"/>
      <c r="G609" s="167"/>
      <c r="H609" s="168"/>
      <c r="I609" s="44"/>
      <c r="L609" s="163"/>
      <c r="M609" s="163"/>
      <c r="N609" s="44"/>
    </row>
    <row r="610" spans="1:14" s="129" customFormat="1" ht="15.75" customHeight="1">
      <c r="A610" s="164">
        <f t="shared" si="117"/>
        <v>7</v>
      </c>
      <c r="B610" s="164"/>
      <c r="C610" s="130" t="s">
        <v>205</v>
      </c>
      <c r="D610" s="130">
        <f>(40.66+0.75*(2.9+2.55+2.73))*10.764</f>
        <v>503.70137999999992</v>
      </c>
      <c r="E610" s="130">
        <v>0</v>
      </c>
      <c r="F610" s="48">
        <f t="shared" si="116"/>
        <v>805.92220799999996</v>
      </c>
      <c r="G610" s="167"/>
      <c r="H610" s="168"/>
      <c r="I610" s="44"/>
      <c r="L610" s="163"/>
      <c r="M610" s="163"/>
      <c r="N610" s="44"/>
    </row>
    <row r="611" spans="1:14" s="129" customFormat="1" ht="15.75" customHeight="1">
      <c r="A611" s="164">
        <f t="shared" si="117"/>
        <v>8</v>
      </c>
      <c r="B611" s="164"/>
      <c r="C611" s="130" t="s">
        <v>152</v>
      </c>
      <c r="D611" s="130">
        <f>(57.25+0.75*(3.05+2.1+2.75+3.07+1.6))*10.764</f>
        <v>717.71660999999995</v>
      </c>
      <c r="E611" s="130">
        <v>0</v>
      </c>
      <c r="F611" s="48">
        <f t="shared" si="116"/>
        <v>1148.3465759999999</v>
      </c>
      <c r="G611" s="167"/>
      <c r="H611" s="168"/>
      <c r="I611" s="44"/>
      <c r="L611" s="163"/>
      <c r="M611" s="163"/>
      <c r="N611" s="44"/>
    </row>
    <row r="612" spans="1:14" s="129" customFormat="1" ht="15.75" customHeight="1">
      <c r="A612" s="164">
        <f t="shared" si="117"/>
        <v>9</v>
      </c>
      <c r="B612" s="164"/>
      <c r="C612" s="130" t="s">
        <v>152</v>
      </c>
      <c r="D612" s="130">
        <f>(63.1+0.75*(3.2+2.1+2.75+3.07+1.6))*10.764</f>
        <v>781.89695999999992</v>
      </c>
      <c r="E612" s="130">
        <v>0</v>
      </c>
      <c r="F612" s="48">
        <f t="shared" si="116"/>
        <v>1251.035136</v>
      </c>
      <c r="G612" s="167"/>
      <c r="H612" s="168"/>
      <c r="I612" s="44"/>
      <c r="L612" s="163"/>
      <c r="M612" s="163"/>
      <c r="N612" s="44"/>
    </row>
    <row r="613" spans="1:14" s="129" customFormat="1" ht="15.75" customHeight="1">
      <c r="A613" s="164">
        <f t="shared" si="117"/>
        <v>10</v>
      </c>
      <c r="B613" s="164"/>
      <c r="C613" s="130" t="s">
        <v>204</v>
      </c>
      <c r="D613" s="130">
        <f>(50.35+0.75*(2.75+2.1+2.75+3.02))*10.764</f>
        <v>627.70265999999992</v>
      </c>
      <c r="E613" s="130">
        <v>0</v>
      </c>
      <c r="F613" s="48">
        <f t="shared" si="116"/>
        <v>1004.3242559999999</v>
      </c>
      <c r="G613" s="169"/>
      <c r="H613" s="170"/>
      <c r="I613" s="44"/>
      <c r="L613" s="163"/>
      <c r="M613" s="163"/>
      <c r="N613" s="44"/>
    </row>
    <row r="614" spans="1:14" s="129" customFormat="1">
      <c r="A614" s="162" t="s">
        <v>213</v>
      </c>
      <c r="B614" s="162"/>
      <c r="C614" s="162"/>
      <c r="D614" s="162"/>
      <c r="E614" s="162"/>
      <c r="F614" s="162"/>
      <c r="G614" s="162"/>
      <c r="H614" s="162"/>
      <c r="I614" s="44"/>
      <c r="J614" s="96"/>
      <c r="K614" s="95"/>
      <c r="L614" s="163"/>
      <c r="M614" s="163"/>
    </row>
    <row r="615" spans="1:14" s="129" customFormat="1" ht="15.75" customHeight="1">
      <c r="A615" s="164">
        <v>1</v>
      </c>
      <c r="B615" s="164"/>
      <c r="C615" s="130" t="s">
        <v>204</v>
      </c>
      <c r="D615" s="130">
        <f>(50.22+0.75*(3.15+2.38+3.05+2.9))*10.764</f>
        <v>633.24611999999991</v>
      </c>
      <c r="E615" s="130">
        <v>0</v>
      </c>
      <c r="F615" s="48">
        <f>D615*(($F$358)+1)+E615/5</f>
        <v>1013.1937919999999</v>
      </c>
      <c r="G615" s="165" t="str">
        <f>A614</f>
        <v>12th Floor</v>
      </c>
      <c r="H615" s="166"/>
      <c r="I615" s="93"/>
      <c r="J615" s="95"/>
      <c r="K615" s="95"/>
      <c r="L615" s="163"/>
      <c r="M615" s="163"/>
      <c r="N615" s="44"/>
    </row>
    <row r="616" spans="1:14" s="129" customFormat="1" ht="15.75" customHeight="1">
      <c r="A616" s="164">
        <f>A615+1</f>
        <v>2</v>
      </c>
      <c r="B616" s="164"/>
      <c r="C616" s="130" t="s">
        <v>152</v>
      </c>
      <c r="D616" s="130">
        <f>(69.05+0.75*(2.36+3+2.75+3.25+2.95))*10.764</f>
        <v>858.77882999999997</v>
      </c>
      <c r="E616" s="130">
        <v>0</v>
      </c>
      <c r="F616" s="48">
        <f>D616*(($F$358)+1)+E616/4</f>
        <v>1374.046128</v>
      </c>
      <c r="G616" s="167"/>
      <c r="H616" s="168"/>
      <c r="I616" s="44"/>
      <c r="J616" s="95"/>
      <c r="K616" s="95"/>
      <c r="L616" s="163"/>
      <c r="M616" s="163"/>
      <c r="N616" s="44"/>
    </row>
    <row r="617" spans="1:14" s="129" customFormat="1" ht="15.75" customHeight="1">
      <c r="A617" s="164">
        <f>A616+1</f>
        <v>3</v>
      </c>
      <c r="B617" s="164"/>
      <c r="C617" s="130" t="s">
        <v>152</v>
      </c>
      <c r="D617" s="130">
        <f>(57.25+0.75*(3.05+2.1+2.75+3.07+1.6))*10.764</f>
        <v>717.71660999999995</v>
      </c>
      <c r="E617" s="130">
        <v>0</v>
      </c>
      <c r="F617" s="48">
        <f t="shared" ref="F617:F624" si="118">D617*(($F$358)+1)+E617</f>
        <v>1148.3465759999999</v>
      </c>
      <c r="G617" s="167"/>
      <c r="H617" s="168"/>
      <c r="I617" s="44"/>
      <c r="J617" s="95"/>
      <c r="K617" s="95"/>
      <c r="L617" s="163"/>
      <c r="M617" s="163"/>
      <c r="N617" s="44"/>
    </row>
    <row r="618" spans="1:14" s="129" customFormat="1" ht="15.75" customHeight="1">
      <c r="A618" s="164">
        <f t="shared" ref="A618:A624" si="119">A617+1</f>
        <v>4</v>
      </c>
      <c r="B618" s="164"/>
      <c r="C618" s="130" t="s">
        <v>205</v>
      </c>
      <c r="D618" s="130">
        <f>(34+0.75*(3.09+2.1+2.75))*10.764</f>
        <v>430.07561999999996</v>
      </c>
      <c r="E618" s="130">
        <v>0</v>
      </c>
      <c r="F618" s="48">
        <f t="shared" si="118"/>
        <v>688.120992</v>
      </c>
      <c r="G618" s="167"/>
      <c r="H618" s="168"/>
      <c r="I618" s="44"/>
      <c r="J618" s="95"/>
      <c r="K618" s="95"/>
      <c r="L618" s="163"/>
      <c r="M618" s="163"/>
      <c r="N618" s="44"/>
    </row>
    <row r="619" spans="1:14" s="129" customFormat="1" ht="15.75" customHeight="1">
      <c r="A619" s="164">
        <f t="shared" si="119"/>
        <v>5</v>
      </c>
      <c r="B619" s="164"/>
      <c r="C619" s="130" t="s">
        <v>205</v>
      </c>
      <c r="D619" s="130">
        <f>(34.75+0.75*(2.9+2.3+2.73))*10.764</f>
        <v>438.06788999999998</v>
      </c>
      <c r="E619" s="130">
        <v>0</v>
      </c>
      <c r="F619" s="48">
        <f t="shared" si="118"/>
        <v>700.90862400000003</v>
      </c>
      <c r="G619" s="167"/>
      <c r="H619" s="168"/>
      <c r="I619" s="44"/>
      <c r="L619" s="163"/>
      <c r="M619" s="163"/>
      <c r="N619" s="44"/>
    </row>
    <row r="620" spans="1:14" s="129" customFormat="1" ht="15.75" customHeight="1">
      <c r="A620" s="164">
        <f t="shared" si="119"/>
        <v>6</v>
      </c>
      <c r="B620" s="164"/>
      <c r="C620" s="130" t="s">
        <v>205</v>
      </c>
      <c r="D620" s="130">
        <f>(35.4+0.75*(3.12+2.41+2.75))*10.764</f>
        <v>447.89003999999994</v>
      </c>
      <c r="E620" s="130">
        <v>0</v>
      </c>
      <c r="F620" s="48">
        <f t="shared" si="118"/>
        <v>716.62406399999998</v>
      </c>
      <c r="G620" s="167"/>
      <c r="H620" s="168"/>
      <c r="I620" s="44"/>
      <c r="L620" s="163"/>
      <c r="M620" s="163"/>
      <c r="N620" s="44"/>
    </row>
    <row r="621" spans="1:14" s="129" customFormat="1" ht="15.75" customHeight="1">
      <c r="A621" s="164">
        <f t="shared" si="119"/>
        <v>7</v>
      </c>
      <c r="B621" s="164"/>
      <c r="C621" s="130" t="s">
        <v>205</v>
      </c>
      <c r="D621" s="130">
        <f>(40.66+0.75*(2.9+2.55+2.73))*10.764</f>
        <v>503.70137999999992</v>
      </c>
      <c r="E621" s="130">
        <v>0</v>
      </c>
      <c r="F621" s="48">
        <f t="shared" si="118"/>
        <v>805.92220799999996</v>
      </c>
      <c r="G621" s="167"/>
      <c r="H621" s="168"/>
      <c r="I621" s="44"/>
      <c r="L621" s="163"/>
      <c r="M621" s="163"/>
      <c r="N621" s="44"/>
    </row>
    <row r="622" spans="1:14" s="129" customFormat="1" ht="15.75" customHeight="1">
      <c r="A622" s="164">
        <f t="shared" si="119"/>
        <v>8</v>
      </c>
      <c r="B622" s="164"/>
      <c r="C622" s="130" t="s">
        <v>152</v>
      </c>
      <c r="D622" s="130">
        <f>(57.25+0.75*(3.05+2.1+2.75+3.07+1.6))*10.764</f>
        <v>717.71660999999995</v>
      </c>
      <c r="E622" s="130">
        <v>0</v>
      </c>
      <c r="F622" s="48">
        <f t="shared" si="118"/>
        <v>1148.3465759999999</v>
      </c>
      <c r="G622" s="167"/>
      <c r="H622" s="168"/>
      <c r="I622" s="44"/>
      <c r="L622" s="163"/>
      <c r="M622" s="163"/>
      <c r="N622" s="44"/>
    </row>
    <row r="623" spans="1:14" s="129" customFormat="1" ht="15.75" customHeight="1">
      <c r="A623" s="164">
        <f t="shared" si="119"/>
        <v>9</v>
      </c>
      <c r="B623" s="164"/>
      <c r="C623" s="130" t="s">
        <v>152</v>
      </c>
      <c r="D623" s="130">
        <f>(63.1+0.75*(3.2+2.1+2.75+3.07+1.6))*10.764</f>
        <v>781.89695999999992</v>
      </c>
      <c r="E623" s="130">
        <v>0</v>
      </c>
      <c r="F623" s="48">
        <f t="shared" si="118"/>
        <v>1251.035136</v>
      </c>
      <c r="G623" s="167"/>
      <c r="H623" s="168"/>
      <c r="I623" s="44"/>
      <c r="L623" s="163"/>
      <c r="M623" s="163"/>
      <c r="N623" s="44"/>
    </row>
    <row r="624" spans="1:14" s="129" customFormat="1" ht="15.75" customHeight="1">
      <c r="A624" s="164">
        <f t="shared" si="119"/>
        <v>10</v>
      </c>
      <c r="B624" s="164"/>
      <c r="C624" s="130" t="s">
        <v>204</v>
      </c>
      <c r="D624" s="130">
        <f>(50.35+0.75*(2.75+2.1+2.75+3.02))*10.764</f>
        <v>627.70265999999992</v>
      </c>
      <c r="E624" s="130">
        <v>0</v>
      </c>
      <c r="F624" s="48">
        <f t="shared" si="118"/>
        <v>1004.3242559999999</v>
      </c>
      <c r="G624" s="169"/>
      <c r="H624" s="170"/>
      <c r="I624" s="44"/>
      <c r="L624" s="163"/>
      <c r="M624" s="163"/>
      <c r="N624" s="44"/>
    </row>
    <row r="625" spans="1:14" s="129" customFormat="1">
      <c r="A625" s="162" t="s">
        <v>285</v>
      </c>
      <c r="B625" s="162"/>
      <c r="C625" s="162"/>
      <c r="D625" s="162"/>
      <c r="E625" s="162"/>
      <c r="F625" s="162"/>
      <c r="G625" s="162"/>
      <c r="H625" s="162"/>
      <c r="I625" s="44"/>
      <c r="J625" s="96"/>
      <c r="K625" s="95"/>
      <c r="L625" s="163"/>
      <c r="M625" s="163"/>
    </row>
    <row r="626" spans="1:14" s="129" customFormat="1" ht="15.75" customHeight="1">
      <c r="A626" s="164">
        <v>1</v>
      </c>
      <c r="B626" s="164"/>
      <c r="C626" s="130" t="s">
        <v>204</v>
      </c>
      <c r="D626" s="130">
        <f>(50.22+0.75*(3.15+2.38+3.05+2.9))*10.764</f>
        <v>633.24611999999991</v>
      </c>
      <c r="E626" s="130">
        <v>0</v>
      </c>
      <c r="F626" s="48">
        <f>D626*(($F$358)+1)+E626/5</f>
        <v>1013.1937919999999</v>
      </c>
      <c r="G626" s="165" t="str">
        <f>A625</f>
        <v>13th to 15th &amp; 17th to 19th Floor</v>
      </c>
      <c r="H626" s="166"/>
      <c r="I626" s="93"/>
      <c r="J626" s="95"/>
      <c r="K626" s="95"/>
      <c r="L626" s="163"/>
      <c r="M626" s="163"/>
      <c r="N626" s="44"/>
    </row>
    <row r="627" spans="1:14" s="129" customFormat="1" ht="15.75" customHeight="1">
      <c r="A627" s="164">
        <f>A626+1</f>
        <v>2</v>
      </c>
      <c r="B627" s="164"/>
      <c r="C627" s="130" t="s">
        <v>152</v>
      </c>
      <c r="D627" s="130">
        <f>(69.05+0.75*(2.36+3+2.75+3.25+2.95))*10.764</f>
        <v>858.77882999999997</v>
      </c>
      <c r="E627" s="130">
        <v>0</v>
      </c>
      <c r="F627" s="48">
        <f>D627*(($F$358)+1)+E627/4</f>
        <v>1374.046128</v>
      </c>
      <c r="G627" s="167"/>
      <c r="H627" s="168"/>
      <c r="I627" s="44"/>
      <c r="J627" s="95"/>
      <c r="K627" s="95"/>
      <c r="L627" s="163"/>
      <c r="M627" s="163"/>
      <c r="N627" s="44"/>
    </row>
    <row r="628" spans="1:14" s="129" customFormat="1" ht="15.75" customHeight="1">
      <c r="A628" s="164">
        <f>A627+1</f>
        <v>3</v>
      </c>
      <c r="B628" s="164"/>
      <c r="C628" s="130" t="s">
        <v>152</v>
      </c>
      <c r="D628" s="130">
        <f>(57.25+0.75*(3.05+2.1+2.75+3.07+1.6))*10.764</f>
        <v>717.71660999999995</v>
      </c>
      <c r="E628" s="130">
        <v>0</v>
      </c>
      <c r="F628" s="48">
        <f t="shared" ref="F628:F635" si="120">D628*(($F$358)+1)+E628</f>
        <v>1148.3465759999999</v>
      </c>
      <c r="G628" s="167"/>
      <c r="H628" s="168"/>
      <c r="I628" s="44"/>
      <c r="J628" s="95"/>
      <c r="K628" s="95"/>
      <c r="L628" s="163"/>
      <c r="M628" s="163"/>
      <c r="N628" s="44"/>
    </row>
    <row r="629" spans="1:14" s="129" customFormat="1" ht="15.75" customHeight="1">
      <c r="A629" s="164">
        <f t="shared" ref="A629:A635" si="121">A628+1</f>
        <v>4</v>
      </c>
      <c r="B629" s="164"/>
      <c r="C629" s="130" t="s">
        <v>205</v>
      </c>
      <c r="D629" s="130">
        <f>(34+0.75*(3.09+2.1+2.75))*10.764</f>
        <v>430.07561999999996</v>
      </c>
      <c r="E629" s="130">
        <v>0</v>
      </c>
      <c r="F629" s="48">
        <f t="shared" si="120"/>
        <v>688.120992</v>
      </c>
      <c r="G629" s="167"/>
      <c r="H629" s="168"/>
      <c r="I629" s="44"/>
      <c r="J629" s="95"/>
      <c r="K629" s="95"/>
      <c r="L629" s="163"/>
      <c r="M629" s="163"/>
      <c r="N629" s="44"/>
    </row>
    <row r="630" spans="1:14" s="129" customFormat="1" ht="15.75" customHeight="1">
      <c r="A630" s="164">
        <f t="shared" si="121"/>
        <v>5</v>
      </c>
      <c r="B630" s="164"/>
      <c r="C630" s="130" t="s">
        <v>205</v>
      </c>
      <c r="D630" s="130">
        <f>(34.75+0.75*(2.9+2.3+2.73))*10.764</f>
        <v>438.06788999999998</v>
      </c>
      <c r="E630" s="130">
        <v>0</v>
      </c>
      <c r="F630" s="48">
        <f t="shared" si="120"/>
        <v>700.90862400000003</v>
      </c>
      <c r="G630" s="167"/>
      <c r="H630" s="168"/>
      <c r="I630" s="44"/>
      <c r="L630" s="163"/>
      <c r="M630" s="163"/>
      <c r="N630" s="44"/>
    </row>
    <row r="631" spans="1:14" s="129" customFormat="1" ht="15.75" customHeight="1">
      <c r="A631" s="164">
        <f t="shared" si="121"/>
        <v>6</v>
      </c>
      <c r="B631" s="164"/>
      <c r="C631" s="130" t="s">
        <v>205</v>
      </c>
      <c r="D631" s="130">
        <f>(35.4+0.75*(3.12+2.41+2.75))*10.764</f>
        <v>447.89003999999994</v>
      </c>
      <c r="E631" s="130">
        <v>0</v>
      </c>
      <c r="F631" s="48">
        <f t="shared" si="120"/>
        <v>716.62406399999998</v>
      </c>
      <c r="G631" s="167"/>
      <c r="H631" s="168"/>
      <c r="I631" s="44"/>
      <c r="L631" s="163"/>
      <c r="M631" s="163"/>
      <c r="N631" s="44"/>
    </row>
    <row r="632" spans="1:14" s="129" customFormat="1" ht="15.75" customHeight="1">
      <c r="A632" s="164">
        <f t="shared" si="121"/>
        <v>7</v>
      </c>
      <c r="B632" s="164"/>
      <c r="C632" s="130" t="s">
        <v>205</v>
      </c>
      <c r="D632" s="130">
        <f>(35.5+0.75*(2.9+2.55+2.73))*10.764</f>
        <v>448.15913999999998</v>
      </c>
      <c r="E632" s="130">
        <v>0</v>
      </c>
      <c r="F632" s="48">
        <f t="shared" si="120"/>
        <v>717.05462399999999</v>
      </c>
      <c r="G632" s="167"/>
      <c r="H632" s="168"/>
      <c r="I632" s="44"/>
      <c r="L632" s="163"/>
      <c r="M632" s="163"/>
      <c r="N632" s="44"/>
    </row>
    <row r="633" spans="1:14" s="129" customFormat="1" ht="15.75" customHeight="1">
      <c r="A633" s="164">
        <f t="shared" si="121"/>
        <v>8</v>
      </c>
      <c r="B633" s="164"/>
      <c r="C633" s="130" t="s">
        <v>152</v>
      </c>
      <c r="D633" s="130">
        <f>(57.25+0.75*(3.05+2.1+2.75+3.07+1.6))*10.764</f>
        <v>717.71660999999995</v>
      </c>
      <c r="E633" s="130">
        <v>0</v>
      </c>
      <c r="F633" s="48">
        <f t="shared" si="120"/>
        <v>1148.3465759999999</v>
      </c>
      <c r="G633" s="167"/>
      <c r="H633" s="168"/>
      <c r="I633" s="44"/>
      <c r="L633" s="163"/>
      <c r="M633" s="163"/>
      <c r="N633" s="44"/>
    </row>
    <row r="634" spans="1:14" s="129" customFormat="1" ht="15.75" customHeight="1">
      <c r="A634" s="164">
        <f t="shared" si="121"/>
        <v>9</v>
      </c>
      <c r="B634" s="164"/>
      <c r="C634" s="130" t="s">
        <v>152</v>
      </c>
      <c r="D634" s="130">
        <f>(63.1+0.75*(3.2+2.1+2.75+3.07+1.6))*10.764</f>
        <v>781.89695999999992</v>
      </c>
      <c r="E634" s="130">
        <v>0</v>
      </c>
      <c r="F634" s="48">
        <f t="shared" si="120"/>
        <v>1251.035136</v>
      </c>
      <c r="G634" s="167"/>
      <c r="H634" s="168"/>
      <c r="I634" s="44"/>
      <c r="L634" s="163"/>
      <c r="M634" s="163"/>
      <c r="N634" s="44"/>
    </row>
    <row r="635" spans="1:14" s="129" customFormat="1" ht="15.75" customHeight="1">
      <c r="A635" s="164">
        <f t="shared" si="121"/>
        <v>10</v>
      </c>
      <c r="B635" s="164"/>
      <c r="C635" s="130" t="s">
        <v>204</v>
      </c>
      <c r="D635" s="130">
        <f>(50.35+0.75*(2.75+2.1+2.75+3.02))*10.764</f>
        <v>627.70265999999992</v>
      </c>
      <c r="E635" s="130">
        <v>0</v>
      </c>
      <c r="F635" s="48">
        <f t="shared" si="120"/>
        <v>1004.3242559999999</v>
      </c>
      <c r="G635" s="169"/>
      <c r="H635" s="170"/>
      <c r="I635" s="44"/>
      <c r="L635" s="163"/>
      <c r="M635" s="163"/>
      <c r="N635" s="44"/>
    </row>
    <row r="636" spans="1:14" s="129" customFormat="1">
      <c r="A636" s="162" t="s">
        <v>242</v>
      </c>
      <c r="B636" s="162"/>
      <c r="C636" s="162"/>
      <c r="D636" s="162"/>
      <c r="E636" s="162"/>
      <c r="F636" s="162"/>
      <c r="G636" s="162"/>
      <c r="H636" s="162"/>
      <c r="I636" s="44"/>
      <c r="J636" s="96"/>
      <c r="K636" s="95"/>
      <c r="L636" s="163"/>
      <c r="M636" s="163"/>
    </row>
    <row r="637" spans="1:14" s="129" customFormat="1" ht="15.75" customHeight="1">
      <c r="A637" s="164">
        <v>1</v>
      </c>
      <c r="B637" s="164"/>
      <c r="C637" s="130" t="s">
        <v>204</v>
      </c>
      <c r="D637" s="130">
        <f>(50.22+0.75*(3.15+2.38+3.05+2.9))*10.764</f>
        <v>633.24611999999991</v>
      </c>
      <c r="E637" s="130">
        <v>0</v>
      </c>
      <c r="F637" s="48">
        <f>D637*(($F$358)+1)+E637/5</f>
        <v>1013.1937919999999</v>
      </c>
      <c r="G637" s="165" t="str">
        <f>A636</f>
        <v>16th Floor (Part Refuge Area)</v>
      </c>
      <c r="H637" s="166"/>
      <c r="I637" s="93"/>
      <c r="J637" s="95"/>
      <c r="K637" s="95"/>
      <c r="L637" s="163"/>
      <c r="M637" s="163"/>
      <c r="N637" s="44"/>
    </row>
    <row r="638" spans="1:14" s="129" customFormat="1" ht="15.75" customHeight="1">
      <c r="A638" s="164">
        <f>A637+1</f>
        <v>2</v>
      </c>
      <c r="B638" s="164"/>
      <c r="C638" s="130" t="s">
        <v>152</v>
      </c>
      <c r="D638" s="130">
        <f>(69.05+0.75*(2.36+3+2.75+3.25+2.95))*10.764</f>
        <v>858.77882999999997</v>
      </c>
      <c r="E638" s="130">
        <v>0</v>
      </c>
      <c r="F638" s="48">
        <f>D638*(($F$358)+1)+E638/4</f>
        <v>1374.046128</v>
      </c>
      <c r="G638" s="167"/>
      <c r="H638" s="168"/>
      <c r="I638" s="44"/>
      <c r="J638" s="95"/>
      <c r="K638" s="95"/>
      <c r="L638" s="163"/>
      <c r="M638" s="163"/>
      <c r="N638" s="44"/>
    </row>
    <row r="639" spans="1:14" s="129" customFormat="1" ht="15.75" customHeight="1">
      <c r="A639" s="164">
        <f>A638+1</f>
        <v>3</v>
      </c>
      <c r="B639" s="164"/>
      <c r="C639" s="130" t="s">
        <v>152</v>
      </c>
      <c r="D639" s="130">
        <f>(57.25+0.75*(3.05+2.1+2.75+3.07+1.6))*10.764</f>
        <v>717.71660999999995</v>
      </c>
      <c r="E639" s="130">
        <v>0</v>
      </c>
      <c r="F639" s="48">
        <f t="shared" ref="F639:F646" si="122">D639*(($F$358)+1)+E639</f>
        <v>1148.3465759999999</v>
      </c>
      <c r="G639" s="167"/>
      <c r="H639" s="168"/>
      <c r="I639" s="44"/>
      <c r="J639" s="95"/>
      <c r="K639" s="95"/>
      <c r="L639" s="163"/>
      <c r="M639" s="163"/>
      <c r="N639" s="44"/>
    </row>
    <row r="640" spans="1:14" s="129" customFormat="1" ht="15.75" customHeight="1">
      <c r="A640" s="164">
        <f t="shared" ref="A640:A646" si="123">A639+1</f>
        <v>4</v>
      </c>
      <c r="B640" s="164"/>
      <c r="C640" s="130" t="s">
        <v>205</v>
      </c>
      <c r="D640" s="130">
        <f>(34+0.75*(3.09+2.1+2.75))*10.764</f>
        <v>430.07561999999996</v>
      </c>
      <c r="E640" s="130">
        <v>0</v>
      </c>
      <c r="F640" s="48">
        <f t="shared" si="122"/>
        <v>688.120992</v>
      </c>
      <c r="G640" s="167"/>
      <c r="H640" s="168"/>
      <c r="I640" s="44"/>
      <c r="J640" s="95"/>
      <c r="K640" s="95"/>
      <c r="L640" s="163"/>
      <c r="M640" s="163"/>
      <c r="N640" s="44"/>
    </row>
    <row r="641" spans="1:14" s="129" customFormat="1" ht="15.75" customHeight="1">
      <c r="A641" s="164">
        <f t="shared" si="123"/>
        <v>5</v>
      </c>
      <c r="B641" s="164"/>
      <c r="C641" s="130" t="s">
        <v>205</v>
      </c>
      <c r="D641" s="130">
        <f>(34.75+0.75*(2.9+2.3+2.73))*10.764</f>
        <v>438.06788999999998</v>
      </c>
      <c r="E641" s="130">
        <v>0</v>
      </c>
      <c r="F641" s="48">
        <f t="shared" si="122"/>
        <v>700.90862400000003</v>
      </c>
      <c r="G641" s="167"/>
      <c r="H641" s="168"/>
      <c r="I641" s="44"/>
      <c r="L641" s="163"/>
      <c r="M641" s="163"/>
      <c r="N641" s="44"/>
    </row>
    <row r="642" spans="1:14" s="129" customFormat="1" ht="15.75" customHeight="1">
      <c r="A642" s="164">
        <f t="shared" si="123"/>
        <v>6</v>
      </c>
      <c r="B642" s="164"/>
      <c r="C642" s="185" t="s">
        <v>232</v>
      </c>
      <c r="D642" s="186"/>
      <c r="E642" s="186"/>
      <c r="F642" s="187"/>
      <c r="G642" s="167"/>
      <c r="H642" s="168"/>
      <c r="I642" s="44"/>
      <c r="L642" s="163"/>
      <c r="M642" s="163"/>
      <c r="N642" s="44"/>
    </row>
    <row r="643" spans="1:14" s="129" customFormat="1" ht="15.75" customHeight="1">
      <c r="A643" s="164">
        <f t="shared" si="123"/>
        <v>7</v>
      </c>
      <c r="B643" s="164"/>
      <c r="C643" s="130" t="s">
        <v>205</v>
      </c>
      <c r="D643" s="130">
        <f>(35.5+0.75*(2.9+2.55+2.73))*10.764</f>
        <v>448.15913999999998</v>
      </c>
      <c r="E643" s="130">
        <v>0</v>
      </c>
      <c r="F643" s="48">
        <f t="shared" si="122"/>
        <v>717.05462399999999</v>
      </c>
      <c r="G643" s="167"/>
      <c r="H643" s="168"/>
      <c r="I643" s="44"/>
      <c r="L643" s="163"/>
      <c r="M643" s="163"/>
      <c r="N643" s="44"/>
    </row>
    <row r="644" spans="1:14" s="129" customFormat="1" ht="15.75" customHeight="1">
      <c r="A644" s="164">
        <f t="shared" si="123"/>
        <v>8</v>
      </c>
      <c r="B644" s="164"/>
      <c r="C644" s="130" t="s">
        <v>152</v>
      </c>
      <c r="D644" s="130">
        <f>(57.25+0.75*(3.05+2.1+2.75+3.07+1.6))*10.764</f>
        <v>717.71660999999995</v>
      </c>
      <c r="E644" s="130">
        <v>0</v>
      </c>
      <c r="F644" s="48">
        <f t="shared" si="122"/>
        <v>1148.3465759999999</v>
      </c>
      <c r="G644" s="167"/>
      <c r="H644" s="168"/>
      <c r="I644" s="44"/>
      <c r="L644" s="163"/>
      <c r="M644" s="163"/>
      <c r="N644" s="44"/>
    </row>
    <row r="645" spans="1:14" s="129" customFormat="1" ht="15.75" customHeight="1">
      <c r="A645" s="164">
        <f t="shared" si="123"/>
        <v>9</v>
      </c>
      <c r="B645" s="164"/>
      <c r="C645" s="130" t="s">
        <v>152</v>
      </c>
      <c r="D645" s="130">
        <f>(63.1+0.75*(3.2+2.1+2.75+3.07+1.6))*10.764</f>
        <v>781.89695999999992</v>
      </c>
      <c r="E645" s="130">
        <v>0</v>
      </c>
      <c r="F645" s="48">
        <f t="shared" si="122"/>
        <v>1251.035136</v>
      </c>
      <c r="G645" s="167"/>
      <c r="H645" s="168"/>
      <c r="I645" s="44"/>
      <c r="L645" s="163"/>
      <c r="M645" s="163"/>
      <c r="N645" s="44"/>
    </row>
    <row r="646" spans="1:14" s="129" customFormat="1" ht="15.75" customHeight="1">
      <c r="A646" s="164">
        <f t="shared" si="123"/>
        <v>10</v>
      </c>
      <c r="B646" s="164"/>
      <c r="C646" s="130" t="s">
        <v>204</v>
      </c>
      <c r="D646" s="130">
        <f>(50.35+0.75*(2.75+2.1+2.75+3.02))*10.764</f>
        <v>627.70265999999992</v>
      </c>
      <c r="E646" s="130">
        <v>0</v>
      </c>
      <c r="F646" s="48">
        <f t="shared" si="122"/>
        <v>1004.3242559999999</v>
      </c>
      <c r="G646" s="169"/>
      <c r="H646" s="170"/>
      <c r="I646" s="44"/>
      <c r="L646" s="163"/>
      <c r="M646" s="163"/>
      <c r="N646" s="44"/>
    </row>
    <row r="647" spans="1:14" s="129" customFormat="1">
      <c r="A647" s="162" t="s">
        <v>286</v>
      </c>
      <c r="B647" s="162"/>
      <c r="C647" s="162"/>
      <c r="D647" s="162"/>
      <c r="E647" s="162"/>
      <c r="F647" s="162"/>
      <c r="G647" s="162"/>
      <c r="H647" s="162"/>
      <c r="I647" s="44"/>
      <c r="J647" s="96"/>
      <c r="K647" s="95"/>
      <c r="L647" s="163"/>
      <c r="M647" s="163"/>
    </row>
    <row r="648" spans="1:14" s="129" customFormat="1" ht="15.75" customHeight="1">
      <c r="A648" s="164">
        <v>1</v>
      </c>
      <c r="B648" s="164"/>
      <c r="C648" s="130" t="s">
        <v>204</v>
      </c>
      <c r="D648" s="130">
        <f>(53.35+0.75*(3.15+2.38+3.05+2.9))*10.764</f>
        <v>666.93743999999992</v>
      </c>
      <c r="E648" s="130">
        <v>0</v>
      </c>
      <c r="F648" s="48">
        <f>D648*(($F$358)+1)+E648/5</f>
        <v>1067.0999039999999</v>
      </c>
      <c r="G648" s="165" t="str">
        <f>A647</f>
        <v>20th Floor</v>
      </c>
      <c r="H648" s="166"/>
      <c r="I648" s="93"/>
      <c r="J648" s="95"/>
      <c r="K648" s="95"/>
      <c r="L648" s="163"/>
      <c r="M648" s="163"/>
      <c r="N648" s="44"/>
    </row>
    <row r="649" spans="1:14" s="129" customFormat="1" ht="15.75" customHeight="1">
      <c r="A649" s="164">
        <f>A648+1</f>
        <v>2</v>
      </c>
      <c r="B649" s="164"/>
      <c r="C649" s="130" t="s">
        <v>152</v>
      </c>
      <c r="D649" s="130">
        <f>(69.05+0.75*(2.36+3+2.75+3.25+2.95))*10.764</f>
        <v>858.77882999999997</v>
      </c>
      <c r="E649" s="130">
        <v>0</v>
      </c>
      <c r="F649" s="48">
        <f>D649*(($F$358)+1)+E649/4</f>
        <v>1374.046128</v>
      </c>
      <c r="G649" s="167"/>
      <c r="H649" s="168"/>
      <c r="I649" s="44"/>
      <c r="J649" s="95"/>
      <c r="K649" s="95"/>
      <c r="L649" s="163"/>
      <c r="M649" s="163"/>
      <c r="N649" s="44"/>
    </row>
    <row r="650" spans="1:14" s="129" customFormat="1" ht="15.75" customHeight="1">
      <c r="A650" s="164">
        <f>A649+1</f>
        <v>3</v>
      </c>
      <c r="B650" s="164"/>
      <c r="C650" s="130" t="s">
        <v>152</v>
      </c>
      <c r="D650" s="130">
        <f>(57.25+0.75*(3.05+2.1+2.75+3.07+1.6))*10.764</f>
        <v>717.71660999999995</v>
      </c>
      <c r="E650" s="130">
        <v>0</v>
      </c>
      <c r="F650" s="48">
        <f t="shared" ref="F650:F657" si="124">D650*(($F$358)+1)+E650</f>
        <v>1148.3465759999999</v>
      </c>
      <c r="G650" s="167"/>
      <c r="H650" s="168"/>
      <c r="I650" s="44"/>
      <c r="J650" s="95"/>
      <c r="K650" s="95"/>
      <c r="L650" s="163"/>
      <c r="M650" s="163"/>
      <c r="N650" s="44"/>
    </row>
    <row r="651" spans="1:14" s="129" customFormat="1" ht="15.75" customHeight="1">
      <c r="A651" s="164">
        <f t="shared" ref="A651:A657" si="125">A650+1</f>
        <v>4</v>
      </c>
      <c r="B651" s="164"/>
      <c r="C651" s="130" t="s">
        <v>205</v>
      </c>
      <c r="D651" s="130">
        <f>(34+0.75*(3.09+2.1+2.75))*10.764</f>
        <v>430.07561999999996</v>
      </c>
      <c r="E651" s="130">
        <v>0</v>
      </c>
      <c r="F651" s="48">
        <f t="shared" si="124"/>
        <v>688.120992</v>
      </c>
      <c r="G651" s="167"/>
      <c r="H651" s="168"/>
      <c r="I651" s="44"/>
      <c r="J651" s="95"/>
      <c r="K651" s="95"/>
      <c r="L651" s="163"/>
      <c r="M651" s="163"/>
      <c r="N651" s="44"/>
    </row>
    <row r="652" spans="1:14" s="129" customFormat="1" ht="15.75" customHeight="1">
      <c r="A652" s="164">
        <f t="shared" si="125"/>
        <v>5</v>
      </c>
      <c r="B652" s="164"/>
      <c r="C652" s="130" t="s">
        <v>205</v>
      </c>
      <c r="D652" s="130">
        <f>(34.75+0.75*(2.9+2.3+2.73))*10.764</f>
        <v>438.06788999999998</v>
      </c>
      <c r="E652" s="130">
        <v>0</v>
      </c>
      <c r="F652" s="48">
        <f t="shared" si="124"/>
        <v>700.90862400000003</v>
      </c>
      <c r="G652" s="167"/>
      <c r="H652" s="168"/>
      <c r="I652" s="44"/>
      <c r="L652" s="163"/>
      <c r="M652" s="163"/>
      <c r="N652" s="44"/>
    </row>
    <row r="653" spans="1:14" s="129" customFormat="1" ht="15.75" customHeight="1">
      <c r="A653" s="164">
        <f t="shared" si="125"/>
        <v>6</v>
      </c>
      <c r="B653" s="164"/>
      <c r="C653" s="130" t="s">
        <v>205</v>
      </c>
      <c r="D653" s="130">
        <f>(35.4+0.75*(3.12+2.41+2.75))*10.764</f>
        <v>447.89003999999994</v>
      </c>
      <c r="E653" s="130">
        <v>0</v>
      </c>
      <c r="F653" s="48">
        <f t="shared" si="124"/>
        <v>716.62406399999998</v>
      </c>
      <c r="G653" s="167"/>
      <c r="H653" s="168"/>
      <c r="I653" s="44"/>
      <c r="L653" s="163"/>
      <c r="M653" s="163"/>
      <c r="N653" s="44"/>
    </row>
    <row r="654" spans="1:14" s="129" customFormat="1" ht="15.75" customHeight="1">
      <c r="A654" s="164">
        <f t="shared" si="125"/>
        <v>7</v>
      </c>
      <c r="B654" s="164"/>
      <c r="C654" s="130" t="s">
        <v>205</v>
      </c>
      <c r="D654" s="130">
        <f>(35.5+0.75*(2.9+2.55+2.73))*10.764</f>
        <v>448.15913999999998</v>
      </c>
      <c r="E654" s="130">
        <v>0</v>
      </c>
      <c r="F654" s="48">
        <f t="shared" si="124"/>
        <v>717.05462399999999</v>
      </c>
      <c r="G654" s="167"/>
      <c r="H654" s="168"/>
      <c r="I654" s="44"/>
      <c r="L654" s="163"/>
      <c r="M654" s="163"/>
      <c r="N654" s="44"/>
    </row>
    <row r="655" spans="1:14" s="129" customFormat="1" ht="15.75" customHeight="1">
      <c r="A655" s="164">
        <f t="shared" si="125"/>
        <v>8</v>
      </c>
      <c r="B655" s="164"/>
      <c r="C655" s="130" t="s">
        <v>152</v>
      </c>
      <c r="D655" s="130">
        <f>(57.25+0.75*(3.05+2.1+2.75+3.07+1.6))*10.764</f>
        <v>717.71660999999995</v>
      </c>
      <c r="E655" s="130">
        <v>0</v>
      </c>
      <c r="F655" s="48">
        <f t="shared" si="124"/>
        <v>1148.3465759999999</v>
      </c>
      <c r="G655" s="167"/>
      <c r="H655" s="168"/>
      <c r="I655" s="44"/>
      <c r="L655" s="163"/>
      <c r="M655" s="163"/>
      <c r="N655" s="44"/>
    </row>
    <row r="656" spans="1:14" s="129" customFormat="1" ht="15.75" customHeight="1">
      <c r="A656" s="164">
        <f t="shared" si="125"/>
        <v>9</v>
      </c>
      <c r="B656" s="164"/>
      <c r="C656" s="130" t="s">
        <v>152</v>
      </c>
      <c r="D656" s="130">
        <f>(63.1+0.75*(3.2+2.1+2.75+3.07+1.6))*10.764</f>
        <v>781.89695999999992</v>
      </c>
      <c r="E656" s="130">
        <v>0</v>
      </c>
      <c r="F656" s="48">
        <f t="shared" si="124"/>
        <v>1251.035136</v>
      </c>
      <c r="G656" s="167"/>
      <c r="H656" s="168"/>
      <c r="I656" s="44"/>
      <c r="L656" s="163"/>
      <c r="M656" s="163"/>
      <c r="N656" s="44"/>
    </row>
    <row r="657" spans="1:14" s="129" customFormat="1" ht="15.75" customHeight="1">
      <c r="A657" s="164">
        <f t="shared" si="125"/>
        <v>10</v>
      </c>
      <c r="B657" s="164"/>
      <c r="C657" s="130" t="s">
        <v>204</v>
      </c>
      <c r="D657" s="130">
        <f>(50.35+0.75*(2.75+2.1+2.75+3.02))*10.764</f>
        <v>627.70265999999992</v>
      </c>
      <c r="E657" s="130">
        <v>0</v>
      </c>
      <c r="F657" s="48">
        <f t="shared" si="124"/>
        <v>1004.3242559999999</v>
      </c>
      <c r="G657" s="169"/>
      <c r="H657" s="170"/>
      <c r="I657" s="44"/>
      <c r="L657" s="163"/>
      <c r="M657" s="163"/>
      <c r="N657" s="44"/>
    </row>
    <row r="658" spans="1:14" s="129" customFormat="1">
      <c r="A658" s="162" t="s">
        <v>245</v>
      </c>
      <c r="B658" s="162"/>
      <c r="C658" s="162"/>
      <c r="D658" s="162"/>
      <c r="E658" s="162"/>
      <c r="F658" s="162"/>
      <c r="G658" s="162"/>
      <c r="H658" s="162"/>
      <c r="I658" s="44"/>
      <c r="J658" s="96"/>
      <c r="K658" s="95"/>
      <c r="L658" s="163"/>
      <c r="M658" s="163"/>
    </row>
    <row r="659" spans="1:14" s="129" customFormat="1" ht="15.75" customHeight="1">
      <c r="A659" s="164">
        <v>1</v>
      </c>
      <c r="B659" s="164"/>
      <c r="C659" s="130" t="s">
        <v>204</v>
      </c>
      <c r="D659" s="130">
        <f>(53.35+0.75*(3.15+2.38+3.05+2.9))*10.764</f>
        <v>666.93743999999992</v>
      </c>
      <c r="E659" s="130">
        <v>0</v>
      </c>
      <c r="F659" s="48">
        <f>D659*(($F$358)+1)+E659/5</f>
        <v>1067.0999039999999</v>
      </c>
      <c r="G659" s="165" t="str">
        <f>A658</f>
        <v>21st &amp; 26th Floor (Part Refuge Area)</v>
      </c>
      <c r="H659" s="166"/>
      <c r="I659" s="93"/>
      <c r="J659" s="95"/>
      <c r="K659" s="95"/>
      <c r="L659" s="163"/>
      <c r="M659" s="163"/>
      <c r="N659" s="44"/>
    </row>
    <row r="660" spans="1:14" s="129" customFormat="1" ht="15.75" customHeight="1">
      <c r="A660" s="164">
        <f>A659+1</f>
        <v>2</v>
      </c>
      <c r="B660" s="164"/>
      <c r="C660" s="130" t="s">
        <v>152</v>
      </c>
      <c r="D660" s="130">
        <f>(69.05+0.75*(2.36+3+2.75+3.25+2.95))*10.764</f>
        <v>858.77882999999997</v>
      </c>
      <c r="E660" s="130">
        <v>0</v>
      </c>
      <c r="F660" s="48">
        <f>D660*(($F$358)+1)+E660/4</f>
        <v>1374.046128</v>
      </c>
      <c r="G660" s="167"/>
      <c r="H660" s="168"/>
      <c r="I660" s="44"/>
      <c r="J660" s="95"/>
      <c r="K660" s="95"/>
      <c r="L660" s="163"/>
      <c r="M660" s="163"/>
      <c r="N660" s="44"/>
    </row>
    <row r="661" spans="1:14" s="129" customFormat="1" ht="15.75" customHeight="1">
      <c r="A661" s="164">
        <f>A660+1</f>
        <v>3</v>
      </c>
      <c r="B661" s="164"/>
      <c r="C661" s="130" t="s">
        <v>152</v>
      </c>
      <c r="D661" s="130">
        <f>(57.25+0.75*(3.05+2.1+2.75+3.07+1.6))*10.764</f>
        <v>717.71660999999995</v>
      </c>
      <c r="E661" s="130">
        <v>0</v>
      </c>
      <c r="F661" s="48">
        <f t="shared" ref="F661:F668" si="126">D661*(($F$358)+1)+E661</f>
        <v>1148.3465759999999</v>
      </c>
      <c r="G661" s="167"/>
      <c r="H661" s="168"/>
      <c r="I661" s="44"/>
      <c r="J661" s="95"/>
      <c r="K661" s="95"/>
      <c r="L661" s="163"/>
      <c r="M661" s="163"/>
      <c r="N661" s="44"/>
    </row>
    <row r="662" spans="1:14" s="129" customFormat="1" ht="15.75" customHeight="1">
      <c r="A662" s="164">
        <f t="shared" ref="A662:A668" si="127">A661+1</f>
        <v>4</v>
      </c>
      <c r="B662" s="164"/>
      <c r="C662" s="130" t="s">
        <v>205</v>
      </c>
      <c r="D662" s="130">
        <f>(34+0.75*(3.09+2.1+2.75))*10.764</f>
        <v>430.07561999999996</v>
      </c>
      <c r="E662" s="130">
        <v>0</v>
      </c>
      <c r="F662" s="48">
        <f t="shared" si="126"/>
        <v>688.120992</v>
      </c>
      <c r="G662" s="167"/>
      <c r="H662" s="168"/>
      <c r="I662" s="44"/>
      <c r="J662" s="95"/>
      <c r="K662" s="95"/>
      <c r="L662" s="163"/>
      <c r="M662" s="163"/>
      <c r="N662" s="44"/>
    </row>
    <row r="663" spans="1:14" s="129" customFormat="1" ht="15.75" customHeight="1">
      <c r="A663" s="164">
        <f t="shared" si="127"/>
        <v>5</v>
      </c>
      <c r="B663" s="164"/>
      <c r="C663" s="130" t="s">
        <v>205</v>
      </c>
      <c r="D663" s="130">
        <f>(34.75+0.75*(2.9+2.3+2.73))*10.764</f>
        <v>438.06788999999998</v>
      </c>
      <c r="E663" s="130">
        <v>0</v>
      </c>
      <c r="F663" s="48">
        <f t="shared" si="126"/>
        <v>700.90862400000003</v>
      </c>
      <c r="G663" s="167"/>
      <c r="H663" s="168"/>
      <c r="I663" s="44"/>
      <c r="L663" s="163"/>
      <c r="M663" s="163"/>
      <c r="N663" s="44"/>
    </row>
    <row r="664" spans="1:14" s="129" customFormat="1" ht="15.75" customHeight="1">
      <c r="A664" s="164">
        <f t="shared" si="127"/>
        <v>6</v>
      </c>
      <c r="B664" s="164"/>
      <c r="C664" s="185" t="s">
        <v>232</v>
      </c>
      <c r="D664" s="186"/>
      <c r="E664" s="186"/>
      <c r="F664" s="187"/>
      <c r="G664" s="167"/>
      <c r="H664" s="168"/>
      <c r="I664" s="44"/>
      <c r="L664" s="163"/>
      <c r="M664" s="163"/>
      <c r="N664" s="44"/>
    </row>
    <row r="665" spans="1:14" s="129" customFormat="1" ht="15.75" customHeight="1">
      <c r="A665" s="164">
        <f t="shared" si="127"/>
        <v>7</v>
      </c>
      <c r="B665" s="164"/>
      <c r="C665" s="130" t="s">
        <v>205</v>
      </c>
      <c r="D665" s="130">
        <f>(35.5+0.75*(2.9+2.55+2.73))*10.764</f>
        <v>448.15913999999998</v>
      </c>
      <c r="E665" s="130">
        <v>0</v>
      </c>
      <c r="F665" s="48">
        <f t="shared" si="126"/>
        <v>717.05462399999999</v>
      </c>
      <c r="G665" s="167"/>
      <c r="H665" s="168"/>
      <c r="I665" s="44"/>
      <c r="L665" s="163"/>
      <c r="M665" s="163"/>
      <c r="N665" s="44"/>
    </row>
    <row r="666" spans="1:14" s="129" customFormat="1" ht="15.75" customHeight="1">
      <c r="A666" s="164">
        <f t="shared" si="127"/>
        <v>8</v>
      </c>
      <c r="B666" s="164"/>
      <c r="C666" s="130" t="s">
        <v>152</v>
      </c>
      <c r="D666" s="130">
        <f>(57.25+0.75*(3.05+2.1+2.75+3.07+1.6))*10.764</f>
        <v>717.71660999999995</v>
      </c>
      <c r="E666" s="130">
        <v>0</v>
      </c>
      <c r="F666" s="48">
        <f t="shared" si="126"/>
        <v>1148.3465759999999</v>
      </c>
      <c r="G666" s="167"/>
      <c r="H666" s="168"/>
      <c r="I666" s="44"/>
      <c r="L666" s="163"/>
      <c r="M666" s="163"/>
      <c r="N666" s="44"/>
    </row>
    <row r="667" spans="1:14" s="129" customFormat="1" ht="15.75" customHeight="1">
      <c r="A667" s="164">
        <f t="shared" si="127"/>
        <v>9</v>
      </c>
      <c r="B667" s="164"/>
      <c r="C667" s="130" t="s">
        <v>152</v>
      </c>
      <c r="D667" s="130">
        <f>(63.1+0.75*(3.2+2.1+2.75+3.07+1.6))*10.764</f>
        <v>781.89695999999992</v>
      </c>
      <c r="E667" s="130">
        <v>0</v>
      </c>
      <c r="F667" s="48">
        <f t="shared" si="126"/>
        <v>1251.035136</v>
      </c>
      <c r="G667" s="167"/>
      <c r="H667" s="168"/>
      <c r="I667" s="44"/>
      <c r="L667" s="163"/>
      <c r="M667" s="163"/>
      <c r="N667" s="44"/>
    </row>
    <row r="668" spans="1:14" s="129" customFormat="1" ht="15.75" customHeight="1">
      <c r="A668" s="164">
        <f t="shared" si="127"/>
        <v>10</v>
      </c>
      <c r="B668" s="164"/>
      <c r="C668" s="130" t="s">
        <v>204</v>
      </c>
      <c r="D668" s="130">
        <f>(52+0.75*(2.75+2.1+2.75+3.02))*10.764</f>
        <v>645.46325999999999</v>
      </c>
      <c r="E668" s="130">
        <v>0</v>
      </c>
      <c r="F668" s="48">
        <f t="shared" si="126"/>
        <v>1032.7412160000001</v>
      </c>
      <c r="G668" s="169"/>
      <c r="H668" s="170"/>
      <c r="I668" s="44"/>
      <c r="L668" s="163"/>
      <c r="M668" s="163"/>
      <c r="N668" s="44"/>
    </row>
    <row r="669" spans="1:14" s="129" customFormat="1">
      <c r="A669" s="162" t="s">
        <v>287</v>
      </c>
      <c r="B669" s="162"/>
      <c r="C669" s="162"/>
      <c r="D669" s="162"/>
      <c r="E669" s="162"/>
      <c r="F669" s="162"/>
      <c r="G669" s="162"/>
      <c r="H669" s="162"/>
      <c r="I669" s="44"/>
      <c r="J669" s="96"/>
      <c r="K669" s="95"/>
      <c r="L669" s="163"/>
      <c r="M669" s="163"/>
    </row>
    <row r="670" spans="1:14" s="129" customFormat="1" ht="15.75" customHeight="1">
      <c r="A670" s="164">
        <v>1</v>
      </c>
      <c r="B670" s="164"/>
      <c r="C670" s="130" t="s">
        <v>204</v>
      </c>
      <c r="D670" s="130">
        <f>(53.35+0.75*(3.15+2.38+3.05+2.9))*10.764</f>
        <v>666.93743999999992</v>
      </c>
      <c r="E670" s="130">
        <v>0</v>
      </c>
      <c r="F670" s="48">
        <f>D670*(($F$358)+1)+E670/5</f>
        <v>1067.0999039999999</v>
      </c>
      <c r="G670" s="165" t="str">
        <f>A669</f>
        <v>22nd to 25th &amp; 27th to 29th Floor</v>
      </c>
      <c r="H670" s="166"/>
      <c r="I670" s="93"/>
      <c r="J670" s="95"/>
      <c r="K670" s="95"/>
      <c r="L670" s="163"/>
      <c r="M670" s="163"/>
      <c r="N670" s="44"/>
    </row>
    <row r="671" spans="1:14" s="129" customFormat="1" ht="15.75" customHeight="1">
      <c r="A671" s="164">
        <f>A670+1</f>
        <v>2</v>
      </c>
      <c r="B671" s="164"/>
      <c r="C671" s="130" t="s">
        <v>152</v>
      </c>
      <c r="D671" s="130">
        <f>(69.05+0.75*(2.36+3+2.75+3.25+2.95))*10.764</f>
        <v>858.77882999999997</v>
      </c>
      <c r="E671" s="130">
        <v>0</v>
      </c>
      <c r="F671" s="48">
        <f>D671*(($F$358)+1)+E671/4</f>
        <v>1374.046128</v>
      </c>
      <c r="G671" s="167"/>
      <c r="H671" s="168"/>
      <c r="I671" s="44"/>
      <c r="J671" s="95"/>
      <c r="K671" s="95"/>
      <c r="L671" s="163"/>
      <c r="M671" s="163"/>
      <c r="N671" s="44"/>
    </row>
    <row r="672" spans="1:14" s="129" customFormat="1" ht="15.75" customHeight="1">
      <c r="A672" s="164">
        <f>A671+1</f>
        <v>3</v>
      </c>
      <c r="B672" s="164"/>
      <c r="C672" s="130" t="s">
        <v>152</v>
      </c>
      <c r="D672" s="130">
        <f>(57.25+0.75*(3.05+2.1+2.75+3.07+1.6))*10.764</f>
        <v>717.71660999999995</v>
      </c>
      <c r="E672" s="130">
        <v>0</v>
      </c>
      <c r="F672" s="48">
        <f t="shared" ref="F672:F679" si="128">D672*(($F$358)+1)+E672</f>
        <v>1148.3465759999999</v>
      </c>
      <c r="G672" s="167"/>
      <c r="H672" s="168"/>
      <c r="I672" s="44"/>
      <c r="J672" s="95"/>
      <c r="K672" s="95"/>
      <c r="L672" s="163"/>
      <c r="M672" s="163"/>
      <c r="N672" s="44"/>
    </row>
    <row r="673" spans="1:14" s="129" customFormat="1" ht="15.75" customHeight="1">
      <c r="A673" s="164">
        <f t="shared" ref="A673:A679" si="129">A672+1</f>
        <v>4</v>
      </c>
      <c r="B673" s="164"/>
      <c r="C673" s="130" t="s">
        <v>205</v>
      </c>
      <c r="D673" s="130">
        <f>(34+0.75*(3.09+2.1+2.75))*10.764</f>
        <v>430.07561999999996</v>
      </c>
      <c r="E673" s="130">
        <v>0</v>
      </c>
      <c r="F673" s="48">
        <f t="shared" si="128"/>
        <v>688.120992</v>
      </c>
      <c r="G673" s="167"/>
      <c r="H673" s="168"/>
      <c r="I673" s="44"/>
      <c r="J673" s="95"/>
      <c r="K673" s="95"/>
      <c r="L673" s="163"/>
      <c r="M673" s="163"/>
      <c r="N673" s="44"/>
    </row>
    <row r="674" spans="1:14" s="129" customFormat="1" ht="15.75" customHeight="1">
      <c r="A674" s="164">
        <f t="shared" si="129"/>
        <v>5</v>
      </c>
      <c r="B674" s="164"/>
      <c r="C674" s="130" t="s">
        <v>205</v>
      </c>
      <c r="D674" s="130">
        <f>(34.75+0.75*(2.9+2.3+2.73))*10.764</f>
        <v>438.06788999999998</v>
      </c>
      <c r="E674" s="130">
        <v>0</v>
      </c>
      <c r="F674" s="48">
        <f t="shared" si="128"/>
        <v>700.90862400000003</v>
      </c>
      <c r="G674" s="167"/>
      <c r="H674" s="168"/>
      <c r="I674" s="44"/>
      <c r="L674" s="163"/>
      <c r="M674" s="163"/>
      <c r="N674" s="44"/>
    </row>
    <row r="675" spans="1:14" s="129" customFormat="1" ht="15.75" customHeight="1">
      <c r="A675" s="164">
        <f t="shared" si="129"/>
        <v>6</v>
      </c>
      <c r="B675" s="164"/>
      <c r="C675" s="130" t="s">
        <v>205</v>
      </c>
      <c r="D675" s="130">
        <f>(35.4+0.75*(3.12+2.41+2.75))*10.764</f>
        <v>447.89003999999994</v>
      </c>
      <c r="E675" s="130">
        <v>0</v>
      </c>
      <c r="F675" s="48">
        <f t="shared" si="128"/>
        <v>716.62406399999998</v>
      </c>
      <c r="G675" s="167"/>
      <c r="H675" s="168"/>
      <c r="I675" s="44"/>
      <c r="L675" s="163"/>
      <c r="M675" s="163"/>
      <c r="N675" s="44"/>
    </row>
    <row r="676" spans="1:14" s="129" customFormat="1" ht="15.75" customHeight="1">
      <c r="A676" s="164">
        <f t="shared" si="129"/>
        <v>7</v>
      </c>
      <c r="B676" s="164"/>
      <c r="C676" s="130" t="s">
        <v>205</v>
      </c>
      <c r="D676" s="130">
        <f>(35.5+0.75*(2.9+2.55+2.73))*10.764</f>
        <v>448.15913999999998</v>
      </c>
      <c r="E676" s="130">
        <v>0</v>
      </c>
      <c r="F676" s="48">
        <f t="shared" si="128"/>
        <v>717.05462399999999</v>
      </c>
      <c r="G676" s="167"/>
      <c r="H676" s="168"/>
      <c r="I676" s="44"/>
      <c r="L676" s="163"/>
      <c r="M676" s="163"/>
      <c r="N676" s="44"/>
    </row>
    <row r="677" spans="1:14" s="129" customFormat="1" ht="15.75" customHeight="1">
      <c r="A677" s="164">
        <f t="shared" si="129"/>
        <v>8</v>
      </c>
      <c r="B677" s="164"/>
      <c r="C677" s="130" t="s">
        <v>152</v>
      </c>
      <c r="D677" s="130">
        <f>(57.25+0.75*(3.05+2.1+2.75+3.07+1.6))*10.764</f>
        <v>717.71660999999995</v>
      </c>
      <c r="E677" s="130">
        <v>0</v>
      </c>
      <c r="F677" s="48">
        <f t="shared" si="128"/>
        <v>1148.3465759999999</v>
      </c>
      <c r="G677" s="167"/>
      <c r="H677" s="168"/>
      <c r="I677" s="44"/>
      <c r="L677" s="163"/>
      <c r="M677" s="163"/>
      <c r="N677" s="44"/>
    </row>
    <row r="678" spans="1:14" s="129" customFormat="1" ht="15.75" customHeight="1">
      <c r="A678" s="164">
        <f t="shared" si="129"/>
        <v>9</v>
      </c>
      <c r="B678" s="164"/>
      <c r="C678" s="130" t="s">
        <v>152</v>
      </c>
      <c r="D678" s="130">
        <f>(63.1+0.75*(3.2+2.1+2.75+3.07+1.6))*10.764</f>
        <v>781.89695999999992</v>
      </c>
      <c r="E678" s="130">
        <v>0</v>
      </c>
      <c r="F678" s="48">
        <f t="shared" si="128"/>
        <v>1251.035136</v>
      </c>
      <c r="G678" s="167"/>
      <c r="H678" s="168"/>
      <c r="I678" s="44"/>
      <c r="L678" s="163"/>
      <c r="M678" s="163"/>
      <c r="N678" s="44"/>
    </row>
    <row r="679" spans="1:14" s="129" customFormat="1" ht="15.75" customHeight="1">
      <c r="A679" s="164">
        <f t="shared" si="129"/>
        <v>10</v>
      </c>
      <c r="B679" s="164"/>
      <c r="C679" s="130" t="s">
        <v>204</v>
      </c>
      <c r="D679" s="130">
        <f>(52+0.75*(2.75+2.1+2.75+3.02))*10.764</f>
        <v>645.46325999999999</v>
      </c>
      <c r="E679" s="130">
        <v>0</v>
      </c>
      <c r="F679" s="48">
        <f t="shared" si="128"/>
        <v>1032.7412160000001</v>
      </c>
      <c r="G679" s="169"/>
      <c r="H679" s="170"/>
      <c r="I679" s="44"/>
      <c r="L679" s="163"/>
      <c r="M679" s="163"/>
      <c r="N679" s="44"/>
    </row>
    <row r="680" spans="1:14" s="145" customFormat="1">
      <c r="A680" s="320" t="s">
        <v>312</v>
      </c>
      <c r="B680" s="321"/>
      <c r="C680" s="321"/>
      <c r="D680" s="321"/>
      <c r="E680" s="321"/>
      <c r="F680" s="321"/>
      <c r="G680" s="321"/>
      <c r="H680" s="322"/>
    </row>
    <row r="681" spans="1:14" s="145" customFormat="1">
      <c r="A681" s="320" t="s">
        <v>234</v>
      </c>
      <c r="B681" s="321"/>
      <c r="C681" s="321"/>
      <c r="D681" s="321"/>
      <c r="E681" s="321"/>
      <c r="F681" s="321"/>
      <c r="G681" s="321"/>
      <c r="H681" s="322"/>
    </row>
    <row r="682" spans="1:14" s="145" customFormat="1">
      <c r="A682" s="320" t="s">
        <v>235</v>
      </c>
      <c r="B682" s="321"/>
      <c r="C682" s="321"/>
      <c r="D682" s="321"/>
      <c r="E682" s="321"/>
      <c r="F682" s="321"/>
      <c r="G682" s="321"/>
      <c r="H682" s="322"/>
    </row>
    <row r="683" spans="1:14" s="145" customFormat="1">
      <c r="A683" s="329" t="s">
        <v>222</v>
      </c>
      <c r="B683" s="329"/>
      <c r="C683" s="329"/>
      <c r="D683" s="329"/>
      <c r="E683" s="329"/>
      <c r="F683" s="329"/>
      <c r="G683" s="329"/>
      <c r="H683" s="329"/>
      <c r="I683" s="44"/>
      <c r="J683" s="94">
        <v>10.763999999999999</v>
      </c>
      <c r="K683" s="95"/>
      <c r="L683" s="163"/>
      <c r="M683" s="163"/>
    </row>
    <row r="684" spans="1:14" s="145" customFormat="1" ht="15.75" customHeight="1">
      <c r="A684" s="164">
        <v>1</v>
      </c>
      <c r="B684" s="164"/>
      <c r="C684" s="146" t="s">
        <v>204</v>
      </c>
      <c r="D684" s="94">
        <f>(48.8)*10.764</f>
        <v>525.28319999999997</v>
      </c>
      <c r="E684" s="94">
        <f>(17.5+4.4)*10.764</f>
        <v>235.73159999999996</v>
      </c>
      <c r="F684" s="48">
        <f>D684*(($F$358)+1)+E684/5</f>
        <v>887.59943999999996</v>
      </c>
      <c r="G684" s="165" t="str">
        <f>A683</f>
        <v>3rd Floor For Residential</v>
      </c>
      <c r="H684" s="166"/>
      <c r="I684" s="154">
        <f>3.2*4.42+2.75*2.15+2.96*2.75+2.75*3.35+2.15*1.2+2.15*1.2+0.9*3.35+0.9*0.95</f>
        <v>46.438999999999993</v>
      </c>
      <c r="J684" s="95"/>
      <c r="K684" s="95"/>
      <c r="L684" s="163"/>
      <c r="M684" s="163"/>
      <c r="N684" s="44"/>
    </row>
    <row r="685" spans="1:14" s="145" customFormat="1" ht="15.75" customHeight="1">
      <c r="A685" s="164">
        <f>A684+1</f>
        <v>2</v>
      </c>
      <c r="B685" s="164"/>
      <c r="C685" s="146" t="s">
        <v>204</v>
      </c>
      <c r="D685" s="94">
        <f>(51.73)*10.764</f>
        <v>556.82171999999991</v>
      </c>
      <c r="E685" s="94">
        <f>(46.5)*10.764</f>
        <v>500.52599999999995</v>
      </c>
      <c r="F685" s="48">
        <f>D685*(($F$358)+1)+E685/4</f>
        <v>1016.0462519999999</v>
      </c>
      <c r="G685" s="167"/>
      <c r="H685" s="168"/>
      <c r="I685" s="44"/>
      <c r="J685" s="95"/>
      <c r="K685" s="95"/>
      <c r="L685" s="163"/>
      <c r="M685" s="163"/>
      <c r="N685" s="44"/>
    </row>
    <row r="686" spans="1:14" s="145" customFormat="1" ht="15.75" customHeight="1">
      <c r="A686" s="164">
        <f>A685+1</f>
        <v>3</v>
      </c>
      <c r="B686" s="164"/>
      <c r="C686" s="146" t="s">
        <v>204</v>
      </c>
      <c r="D686" s="94">
        <f>(50.09)*10.764</f>
        <v>539.16876000000002</v>
      </c>
      <c r="E686" s="94">
        <f>(26.75)*10.764</f>
        <v>287.93699999999995</v>
      </c>
      <c r="F686" s="48">
        <f t="shared" ref="F686:F688" si="130">D686*(($F$358)+1)+E686</f>
        <v>1150.6070159999999</v>
      </c>
      <c r="G686" s="167"/>
      <c r="H686" s="168"/>
      <c r="I686" s="44"/>
      <c r="J686" s="95"/>
      <c r="K686" s="95"/>
      <c r="L686" s="163"/>
      <c r="M686" s="163"/>
      <c r="N686" s="44"/>
    </row>
    <row r="687" spans="1:14" s="145" customFormat="1" ht="15.75" customHeight="1">
      <c r="A687" s="164">
        <f t="shared" ref="A687:A688" si="131">A686+1</f>
        <v>4</v>
      </c>
      <c r="B687" s="164"/>
      <c r="C687" s="146" t="s">
        <v>152</v>
      </c>
      <c r="D687" s="94">
        <f>(63.45+0.75*(2.65+3.35))*10.764</f>
        <v>731.41380000000004</v>
      </c>
      <c r="E687" s="94">
        <f>(19.4)*10.764</f>
        <v>208.82159999999996</v>
      </c>
      <c r="F687" s="48">
        <f t="shared" si="130"/>
        <v>1379.0836800000002</v>
      </c>
      <c r="G687" s="167"/>
      <c r="H687" s="168"/>
      <c r="I687" s="44">
        <f>0.9*0.95+3.2*4.42+2.65*2.32+3.05*2.75+3.35*2.75+3.35*2.75+2.15*1.22+1.22*2.1+1.22*2.15+0.9*3.95+0.6*(2.65+3.35)</f>
        <v>62.922499999999992</v>
      </c>
      <c r="J687" s="95"/>
      <c r="K687" s="95"/>
      <c r="L687" s="163"/>
      <c r="M687" s="163"/>
      <c r="N687" s="44"/>
    </row>
    <row r="688" spans="1:14" s="145" customFormat="1" ht="15.75" customHeight="1">
      <c r="A688" s="164">
        <f t="shared" si="131"/>
        <v>5</v>
      </c>
      <c r="B688" s="164"/>
      <c r="C688" s="146" t="s">
        <v>204</v>
      </c>
      <c r="D688" s="94">
        <f>(51.95)*10.764</f>
        <v>559.18979999999999</v>
      </c>
      <c r="E688" s="94">
        <f>(18+3.2)*10.764</f>
        <v>228.19679999999997</v>
      </c>
      <c r="F688" s="48">
        <f t="shared" si="130"/>
        <v>1122.90048</v>
      </c>
      <c r="G688" s="167"/>
      <c r="H688" s="168"/>
      <c r="I688" s="44"/>
      <c r="L688" s="163"/>
      <c r="M688" s="163"/>
      <c r="N688" s="44"/>
    </row>
    <row r="689" spans="1:14" s="145" customFormat="1">
      <c r="A689" s="162" t="s">
        <v>206</v>
      </c>
      <c r="B689" s="162"/>
      <c r="C689" s="162"/>
      <c r="D689" s="162"/>
      <c r="E689" s="162"/>
      <c r="F689" s="162"/>
      <c r="G689" s="162"/>
      <c r="H689" s="162"/>
      <c r="I689" s="44"/>
      <c r="J689" s="96"/>
      <c r="K689" s="95"/>
      <c r="L689" s="163"/>
      <c r="M689" s="163"/>
    </row>
    <row r="690" spans="1:14" s="145" customFormat="1" ht="15.75" customHeight="1">
      <c r="A690" s="164">
        <v>1</v>
      </c>
      <c r="B690" s="164"/>
      <c r="C690" s="146" t="s">
        <v>204</v>
      </c>
      <c r="D690" s="94">
        <f>(48.85+0.75*(5.25+3.35))*10.764</f>
        <v>595.24919999999997</v>
      </c>
      <c r="E690" s="94">
        <f>(2.45*1.52)*10.764</f>
        <v>40.085135999999999</v>
      </c>
      <c r="F690" s="48">
        <f>D690*(($F$358)+1)+E690/5</f>
        <v>960.41574720000006</v>
      </c>
      <c r="G690" s="165" t="str">
        <f>A689</f>
        <v>4th Floor</v>
      </c>
      <c r="H690" s="166"/>
      <c r="I690" s="93"/>
      <c r="J690" s="95"/>
      <c r="K690" s="95"/>
      <c r="L690" s="163"/>
      <c r="M690" s="163"/>
      <c r="N690" s="44"/>
    </row>
    <row r="691" spans="1:14" s="145" customFormat="1" ht="15.75" customHeight="1">
      <c r="A691" s="164">
        <f>A690+1</f>
        <v>2</v>
      </c>
      <c r="B691" s="164"/>
      <c r="C691" s="146" t="s">
        <v>204</v>
      </c>
      <c r="D691" s="94">
        <f>(49.1+0.75*(2.15+2.75+2.75))*10.764</f>
        <v>590.27085</v>
      </c>
      <c r="E691" s="94">
        <f>(2.45*1.52)*10.764</f>
        <v>40.085135999999999</v>
      </c>
      <c r="F691" s="48">
        <f>D691*(($F$358)+1)+E691/4</f>
        <v>954.45464400000003</v>
      </c>
      <c r="G691" s="167"/>
      <c r="H691" s="168"/>
      <c r="I691" s="44"/>
      <c r="J691" s="95"/>
      <c r="K691" s="95"/>
      <c r="L691" s="163"/>
      <c r="M691" s="163"/>
      <c r="N691" s="44"/>
    </row>
    <row r="692" spans="1:14" s="145" customFormat="1" ht="15.75" customHeight="1">
      <c r="A692" s="164">
        <f>A691+1</f>
        <v>3</v>
      </c>
      <c r="B692" s="164"/>
      <c r="C692" s="146" t="s">
        <v>204</v>
      </c>
      <c r="D692" s="94">
        <f>(56.2+0.75*(2.75+2.15+2.75+2.75))*10.764</f>
        <v>688.89599999999996</v>
      </c>
      <c r="E692" s="94">
        <v>0</v>
      </c>
      <c r="F692" s="48">
        <f t="shared" ref="F692:F694" si="132">D692*(($F$358)+1)+E692</f>
        <v>1102.2336</v>
      </c>
      <c r="G692" s="167"/>
      <c r="H692" s="168"/>
      <c r="I692" s="44"/>
      <c r="J692" s="95"/>
      <c r="K692" s="95"/>
      <c r="L692" s="163"/>
      <c r="M692" s="163"/>
      <c r="N692" s="44"/>
    </row>
    <row r="693" spans="1:14" s="145" customFormat="1" ht="15.75" customHeight="1">
      <c r="A693" s="164">
        <f t="shared" ref="A693:A694" si="133">A692+1</f>
        <v>4</v>
      </c>
      <c r="B693" s="164"/>
      <c r="C693" s="146" t="s">
        <v>152</v>
      </c>
      <c r="D693" s="94">
        <f>(63.45+0.75*(2.45+2.65+2.75+2.75+3.35))*10.764</f>
        <v>795.5941499999999</v>
      </c>
      <c r="E693" s="94">
        <v>0</v>
      </c>
      <c r="F693" s="48">
        <f t="shared" si="132"/>
        <v>1272.95064</v>
      </c>
      <c r="G693" s="167"/>
      <c r="H693" s="168"/>
      <c r="I693" s="44"/>
      <c r="J693" s="95"/>
      <c r="K693" s="95"/>
      <c r="L693" s="163"/>
      <c r="M693" s="163"/>
      <c r="N693" s="44"/>
    </row>
    <row r="694" spans="1:14" s="145" customFormat="1" ht="15.75" customHeight="1">
      <c r="A694" s="164">
        <f t="shared" si="133"/>
        <v>5</v>
      </c>
      <c r="B694" s="164"/>
      <c r="C694" s="146" t="s">
        <v>204</v>
      </c>
      <c r="D694" s="94">
        <f>(51+0.75*(2.15+2.75+2.75))*10.764</f>
        <v>610.72244999999998</v>
      </c>
      <c r="E694" s="94">
        <f>(2.45*1.45)*10.764</f>
        <v>38.239109999999997</v>
      </c>
      <c r="F694" s="48">
        <f t="shared" si="132"/>
        <v>1015.39503</v>
      </c>
      <c r="G694" s="167"/>
      <c r="H694" s="168"/>
      <c r="I694" s="44"/>
      <c r="L694" s="163"/>
      <c r="M694" s="163"/>
      <c r="N694" s="44"/>
    </row>
    <row r="695" spans="1:14" s="152" customFormat="1">
      <c r="A695" s="162" t="s">
        <v>322</v>
      </c>
      <c r="B695" s="162"/>
      <c r="C695" s="162"/>
      <c r="D695" s="162"/>
      <c r="E695" s="162"/>
      <c r="F695" s="162"/>
      <c r="G695" s="162"/>
      <c r="H695" s="162"/>
      <c r="I695" s="44"/>
      <c r="J695" s="96"/>
      <c r="K695" s="95"/>
      <c r="L695" s="163"/>
      <c r="M695" s="163"/>
    </row>
    <row r="696" spans="1:14" s="152" customFormat="1" ht="15.75" customHeight="1">
      <c r="A696" s="164">
        <v>1</v>
      </c>
      <c r="B696" s="164"/>
      <c r="C696" s="153" t="s">
        <v>204</v>
      </c>
      <c r="D696" s="94">
        <f>(48.85+0.75*(5.25+3.35+2.45))*10.764</f>
        <v>615.02805000000001</v>
      </c>
      <c r="E696" s="94">
        <v>0</v>
      </c>
      <c r="F696" s="48">
        <f>D696*(($F$358)+1)+E696/5</f>
        <v>984.04488000000003</v>
      </c>
      <c r="G696" s="165" t="str">
        <f>A695</f>
        <v>5th, 6th, 8th, 9th Floor</v>
      </c>
      <c r="H696" s="166"/>
      <c r="I696" s="93"/>
      <c r="J696" s="95"/>
      <c r="K696" s="95"/>
      <c r="L696" s="163"/>
      <c r="M696" s="163"/>
      <c r="N696" s="44"/>
    </row>
    <row r="697" spans="1:14" s="152" customFormat="1" ht="15.75" customHeight="1">
      <c r="A697" s="164">
        <f>A696+1</f>
        <v>2</v>
      </c>
      <c r="B697" s="164"/>
      <c r="C697" s="153" t="s">
        <v>204</v>
      </c>
      <c r="D697" s="94">
        <f>(49.1+0.75*(2.15+2.75+2.75+2.45))*10.764</f>
        <v>610.04970000000003</v>
      </c>
      <c r="E697" s="94">
        <v>0</v>
      </c>
      <c r="F697" s="48">
        <f>D697*(($F$358)+1)+E697/4</f>
        <v>976.07952000000012</v>
      </c>
      <c r="G697" s="167"/>
      <c r="H697" s="168"/>
      <c r="I697" s="44"/>
      <c r="J697" s="95"/>
      <c r="K697" s="95"/>
      <c r="L697" s="163"/>
      <c r="M697" s="163"/>
      <c r="N697" s="44"/>
    </row>
    <row r="698" spans="1:14" s="152" customFormat="1" ht="15.75" customHeight="1">
      <c r="A698" s="164">
        <f>A697+1</f>
        <v>3</v>
      </c>
      <c r="B698" s="164"/>
      <c r="C698" s="153" t="s">
        <v>204</v>
      </c>
      <c r="D698" s="94">
        <f>(56.2+0.75*(2.75+2.15+2.75+2.75))*10.764</f>
        <v>688.89599999999996</v>
      </c>
      <c r="E698" s="94">
        <v>0</v>
      </c>
      <c r="F698" s="48">
        <f t="shared" ref="F698:F700" si="134">D698*(($F$358)+1)+E698</f>
        <v>1102.2336</v>
      </c>
      <c r="G698" s="167"/>
      <c r="H698" s="168"/>
      <c r="I698" s="44"/>
      <c r="J698" s="95"/>
      <c r="K698" s="95"/>
      <c r="L698" s="163"/>
      <c r="M698" s="163"/>
      <c r="N698" s="44"/>
    </row>
    <row r="699" spans="1:14" s="152" customFormat="1" ht="15.75" customHeight="1">
      <c r="A699" s="164">
        <f t="shared" ref="A699:A700" si="135">A698+1</f>
        <v>4</v>
      </c>
      <c r="B699" s="164"/>
      <c r="C699" s="153" t="s">
        <v>152</v>
      </c>
      <c r="D699" s="94">
        <f>(63.45+0.75*(2.45+2.65+2.75+2.75+3.35))*10.764</f>
        <v>795.5941499999999</v>
      </c>
      <c r="E699" s="94">
        <v>0</v>
      </c>
      <c r="F699" s="48">
        <f t="shared" si="134"/>
        <v>1272.95064</v>
      </c>
      <c r="G699" s="167"/>
      <c r="H699" s="168"/>
      <c r="I699" s="44"/>
      <c r="J699" s="95"/>
      <c r="K699" s="95"/>
      <c r="L699" s="163"/>
      <c r="M699" s="163"/>
      <c r="N699" s="44"/>
    </row>
    <row r="700" spans="1:14" s="152" customFormat="1" ht="15.75" customHeight="1">
      <c r="A700" s="164">
        <f t="shared" si="135"/>
        <v>5</v>
      </c>
      <c r="B700" s="164"/>
      <c r="C700" s="153" t="s">
        <v>204</v>
      </c>
      <c r="D700" s="94">
        <f>(51+0.75*(2.15+2.75+2.75+2.45))*10.764</f>
        <v>630.50130000000001</v>
      </c>
      <c r="E700" s="94">
        <v>0</v>
      </c>
      <c r="F700" s="48">
        <f t="shared" si="134"/>
        <v>1008.80208</v>
      </c>
      <c r="G700" s="167"/>
      <c r="H700" s="168"/>
      <c r="I700" s="44"/>
      <c r="L700" s="163"/>
      <c r="M700" s="163"/>
      <c r="N700" s="44"/>
    </row>
    <row r="701" spans="1:14" s="145" customFormat="1">
      <c r="A701" s="162" t="s">
        <v>211</v>
      </c>
      <c r="B701" s="162"/>
      <c r="C701" s="162"/>
      <c r="D701" s="162"/>
      <c r="E701" s="162"/>
      <c r="F701" s="162"/>
      <c r="G701" s="162"/>
      <c r="H701" s="162"/>
      <c r="I701" s="44"/>
      <c r="J701" s="96"/>
      <c r="K701" s="95"/>
      <c r="L701" s="163"/>
      <c r="M701" s="163"/>
    </row>
    <row r="702" spans="1:14" s="145" customFormat="1" ht="15.75" customHeight="1">
      <c r="A702" s="164">
        <v>1</v>
      </c>
      <c r="B702" s="164"/>
      <c r="C702" s="146" t="s">
        <v>204</v>
      </c>
      <c r="D702" s="94">
        <f>(48.22+0.75*(2.45+2.15+2.75+3.35))*10.764</f>
        <v>605.42117999999994</v>
      </c>
      <c r="E702" s="94">
        <v>0</v>
      </c>
      <c r="F702" s="48">
        <f>D702*(($F$358)+1)+E702/5</f>
        <v>968.67388799999992</v>
      </c>
      <c r="G702" s="165" t="str">
        <f>A701</f>
        <v>10th Floor</v>
      </c>
      <c r="H702" s="166"/>
      <c r="I702" s="93"/>
      <c r="J702" s="95"/>
      <c r="K702" s="95"/>
      <c r="L702" s="163"/>
      <c r="M702" s="163"/>
      <c r="N702" s="44"/>
    </row>
    <row r="703" spans="1:14" s="145" customFormat="1" ht="15.75" customHeight="1">
      <c r="A703" s="164">
        <f>A702+1</f>
        <v>2</v>
      </c>
      <c r="B703" s="164"/>
      <c r="C703" s="146" t="s">
        <v>204</v>
      </c>
      <c r="D703" s="94">
        <f>(48.52+0.75*(2.45+2.15+2.75+2.75))*10.764</f>
        <v>603.80657999999994</v>
      </c>
      <c r="E703" s="94">
        <v>0</v>
      </c>
      <c r="F703" s="48">
        <f>D703*(($F$358)+1)+E703/4</f>
        <v>966.09052799999995</v>
      </c>
      <c r="G703" s="167"/>
      <c r="H703" s="168"/>
      <c r="I703" s="44"/>
      <c r="J703" s="95"/>
      <c r="K703" s="95"/>
      <c r="L703" s="163"/>
      <c r="M703" s="163"/>
      <c r="N703" s="44"/>
    </row>
    <row r="704" spans="1:14" s="145" customFormat="1" ht="15.75" customHeight="1">
      <c r="A704" s="164">
        <f>A703+1</f>
        <v>3</v>
      </c>
      <c r="B704" s="164"/>
      <c r="C704" s="146" t="s">
        <v>204</v>
      </c>
      <c r="D704" s="94">
        <f>(56.6+0.75*(2.15+2.75+2.75))*10.764</f>
        <v>671.00085000000001</v>
      </c>
      <c r="E704" s="94">
        <f>(1.35*2.75)*10.764</f>
        <v>39.961350000000003</v>
      </c>
      <c r="F704" s="48">
        <f t="shared" ref="F704:F706" si="136">D704*(($F$358)+1)+E704</f>
        <v>1113.5627100000002</v>
      </c>
      <c r="G704" s="167"/>
      <c r="H704" s="168"/>
      <c r="I704" s="44"/>
      <c r="J704" s="95"/>
      <c r="K704" s="95"/>
      <c r="L704" s="163"/>
      <c r="M704" s="163"/>
      <c r="N704" s="44"/>
    </row>
    <row r="705" spans="1:14" s="145" customFormat="1" ht="15.75" customHeight="1">
      <c r="A705" s="164">
        <f t="shared" ref="A705:A706" si="137">A704+1</f>
        <v>4</v>
      </c>
      <c r="B705" s="164"/>
      <c r="C705" s="146" t="s">
        <v>152</v>
      </c>
      <c r="D705" s="94">
        <f>(63.45+0.75*(2.45+2.65+2.75+2.75+3.35))*10.764</f>
        <v>795.5941499999999</v>
      </c>
      <c r="E705" s="94">
        <v>0</v>
      </c>
      <c r="F705" s="48">
        <f t="shared" si="136"/>
        <v>1272.95064</v>
      </c>
      <c r="G705" s="167"/>
      <c r="H705" s="168"/>
      <c r="I705" s="44"/>
      <c r="J705" s="95"/>
      <c r="K705" s="95"/>
      <c r="L705" s="163"/>
      <c r="M705" s="163"/>
      <c r="N705" s="44"/>
    </row>
    <row r="706" spans="1:14" s="145" customFormat="1" ht="15.75" customHeight="1">
      <c r="A706" s="164">
        <f t="shared" si="137"/>
        <v>5</v>
      </c>
      <c r="B706" s="164"/>
      <c r="C706" s="146" t="s">
        <v>204</v>
      </c>
      <c r="D706" s="94">
        <f>(50.35+0.75*(2.45+2.15+2.75+2.75))*10.764</f>
        <v>623.50469999999996</v>
      </c>
      <c r="E706" s="94">
        <v>0</v>
      </c>
      <c r="F706" s="48">
        <f t="shared" si="136"/>
        <v>997.60752000000002</v>
      </c>
      <c r="G706" s="167"/>
      <c r="H706" s="168"/>
      <c r="I706" s="44"/>
      <c r="L706" s="163"/>
      <c r="M706" s="163"/>
      <c r="N706" s="44"/>
    </row>
    <row r="707" spans="1:14" s="145" customFormat="1">
      <c r="A707" s="162" t="s">
        <v>313</v>
      </c>
      <c r="B707" s="162"/>
      <c r="C707" s="162"/>
      <c r="D707" s="162"/>
      <c r="E707" s="162"/>
      <c r="F707" s="162"/>
      <c r="G707" s="162"/>
      <c r="H707" s="162"/>
      <c r="I707" s="44"/>
      <c r="J707" s="96"/>
      <c r="K707" s="95"/>
      <c r="L707" s="163"/>
      <c r="M707" s="163"/>
    </row>
    <row r="708" spans="1:14" s="145" customFormat="1" ht="15.75" customHeight="1">
      <c r="A708" s="164">
        <v>1</v>
      </c>
      <c r="B708" s="164"/>
      <c r="C708" s="146" t="s">
        <v>204</v>
      </c>
      <c r="D708" s="94">
        <f>(48.22+0.75*(2.45+2.15+2.75+3.35))*10.764</f>
        <v>605.42117999999994</v>
      </c>
      <c r="E708" s="146">
        <v>0</v>
      </c>
      <c r="F708" s="48">
        <f>D708*(($F$358)+1)+E708/5</f>
        <v>968.67388799999992</v>
      </c>
      <c r="G708" s="165" t="str">
        <f>A707</f>
        <v>7th, 11th &amp; 16th Floor (Part Refuge Area)</v>
      </c>
      <c r="H708" s="166"/>
      <c r="I708" s="93"/>
      <c r="J708" s="95"/>
      <c r="K708" s="95"/>
      <c r="L708" s="163"/>
      <c r="M708" s="163"/>
      <c r="N708" s="44"/>
    </row>
    <row r="709" spans="1:14" s="145" customFormat="1" ht="15.75" customHeight="1">
      <c r="A709" s="164">
        <f>A708+1</f>
        <v>2</v>
      </c>
      <c r="B709" s="164"/>
      <c r="C709" s="146" t="s">
        <v>204</v>
      </c>
      <c r="D709" s="94">
        <f>(48.52+0.75*(2.45+2.15+2.75+2.75))*10.764</f>
        <v>603.80657999999994</v>
      </c>
      <c r="E709" s="146">
        <v>0</v>
      </c>
      <c r="F709" s="48">
        <f>D709*(($F$358)+1)+E709/4</f>
        <v>966.09052799999995</v>
      </c>
      <c r="G709" s="167"/>
      <c r="H709" s="168"/>
      <c r="I709" s="44"/>
      <c r="J709" s="95"/>
      <c r="K709" s="95"/>
      <c r="L709" s="163"/>
      <c r="M709" s="163"/>
      <c r="N709" s="44"/>
    </row>
    <row r="710" spans="1:14" s="145" customFormat="1" ht="15.75" customHeight="1">
      <c r="A710" s="164">
        <f>A709+1</f>
        <v>3</v>
      </c>
      <c r="B710" s="164"/>
      <c r="C710" s="185" t="s">
        <v>232</v>
      </c>
      <c r="D710" s="186"/>
      <c r="E710" s="186"/>
      <c r="F710" s="187"/>
      <c r="G710" s="167"/>
      <c r="H710" s="168"/>
      <c r="I710" s="44"/>
      <c r="J710" s="95"/>
      <c r="K710" s="95"/>
      <c r="L710" s="163"/>
      <c r="M710" s="163"/>
      <c r="N710" s="44"/>
    </row>
    <row r="711" spans="1:14" s="145" customFormat="1" ht="15.75" customHeight="1">
      <c r="A711" s="164">
        <f t="shared" ref="A711:A712" si="138">A710+1</f>
        <v>4</v>
      </c>
      <c r="B711" s="164"/>
      <c r="C711" s="146" t="s">
        <v>152</v>
      </c>
      <c r="D711" s="94">
        <f>(63.45+0.75*(2.45+2.65+2.75+2.75+2.75))*10.764</f>
        <v>790.75035000000003</v>
      </c>
      <c r="E711" s="146">
        <v>0</v>
      </c>
      <c r="F711" s="48">
        <f t="shared" ref="F711:F712" si="139">D711*(($F$358)+1)+E711</f>
        <v>1265.2005600000002</v>
      </c>
      <c r="G711" s="167"/>
      <c r="H711" s="168"/>
      <c r="I711" s="44"/>
      <c r="J711" s="95"/>
      <c r="K711" s="95"/>
      <c r="L711" s="163"/>
      <c r="M711" s="163"/>
      <c r="N711" s="44"/>
    </row>
    <row r="712" spans="1:14" s="145" customFormat="1" ht="15.75" customHeight="1">
      <c r="A712" s="164">
        <f t="shared" si="138"/>
        <v>5</v>
      </c>
      <c r="B712" s="164"/>
      <c r="C712" s="146" t="s">
        <v>204</v>
      </c>
      <c r="D712" s="94">
        <f>(50.35+0.75*(2.45+2.15+2.75+2.75))*10.764</f>
        <v>623.50469999999996</v>
      </c>
      <c r="E712" s="146">
        <v>0</v>
      </c>
      <c r="F712" s="48">
        <f t="shared" si="139"/>
        <v>997.60752000000002</v>
      </c>
      <c r="G712" s="167"/>
      <c r="H712" s="168"/>
      <c r="I712" s="44"/>
      <c r="L712" s="163"/>
      <c r="M712" s="163"/>
      <c r="N712" s="44"/>
    </row>
    <row r="713" spans="1:14" s="145" customFormat="1">
      <c r="A713" s="162" t="s">
        <v>314</v>
      </c>
      <c r="B713" s="162"/>
      <c r="C713" s="162"/>
      <c r="D713" s="162"/>
      <c r="E713" s="162"/>
      <c r="F713" s="162"/>
      <c r="G713" s="162"/>
      <c r="H713" s="162"/>
      <c r="I713" s="44"/>
      <c r="J713" s="96"/>
      <c r="K713" s="95"/>
      <c r="L713" s="163"/>
      <c r="M713" s="163"/>
    </row>
    <row r="714" spans="1:14" s="145" customFormat="1" ht="15.75" customHeight="1">
      <c r="A714" s="164">
        <v>1</v>
      </c>
      <c r="B714" s="164"/>
      <c r="C714" s="146" t="s">
        <v>204</v>
      </c>
      <c r="D714" s="94">
        <f>(48.22+0.75*(2.45+2.15+2.75+3.35))*10.764</f>
        <v>605.42117999999994</v>
      </c>
      <c r="E714" s="146">
        <v>0</v>
      </c>
      <c r="F714" s="48">
        <f>D714*(($F$358)+1)+E714/5</f>
        <v>968.67388799999992</v>
      </c>
      <c r="G714" s="165" t="str">
        <f>A713</f>
        <v>12th, 13th, 14th, 15th, 17th, 18th, 19th Floor</v>
      </c>
      <c r="H714" s="166"/>
      <c r="I714" s="93"/>
      <c r="J714" s="95"/>
      <c r="K714" s="95"/>
      <c r="L714" s="163"/>
      <c r="M714" s="163"/>
      <c r="N714" s="44"/>
    </row>
    <row r="715" spans="1:14" s="145" customFormat="1" ht="15.75" customHeight="1">
      <c r="A715" s="164">
        <f>A714+1</f>
        <v>2</v>
      </c>
      <c r="B715" s="164"/>
      <c r="C715" s="146" t="s">
        <v>204</v>
      </c>
      <c r="D715" s="94">
        <f>(48.52+0.75*(2.45+2.15+2.75+2.75))*10.764</f>
        <v>603.80657999999994</v>
      </c>
      <c r="E715" s="146">
        <v>0</v>
      </c>
      <c r="F715" s="48">
        <f>D715*(($F$358)+1)+E715/4</f>
        <v>966.09052799999995</v>
      </c>
      <c r="G715" s="167"/>
      <c r="H715" s="168"/>
      <c r="I715" s="44"/>
      <c r="J715" s="95"/>
      <c r="K715" s="95"/>
      <c r="L715" s="163"/>
      <c r="M715" s="163"/>
      <c r="N715" s="44"/>
    </row>
    <row r="716" spans="1:14" s="145" customFormat="1" ht="15.75" customHeight="1">
      <c r="A716" s="164">
        <f>A715+1</f>
        <v>3</v>
      </c>
      <c r="B716" s="164"/>
      <c r="C716" s="146" t="s">
        <v>204</v>
      </c>
      <c r="D716" s="94">
        <f>(56.2+0.75*(2.75+2.15+2.75+2.75))*10.764</f>
        <v>688.89599999999996</v>
      </c>
      <c r="E716" s="146">
        <v>0</v>
      </c>
      <c r="F716" s="48">
        <f t="shared" ref="F716:F718" si="140">D716*(($F$358)+1)+E716</f>
        <v>1102.2336</v>
      </c>
      <c r="G716" s="167"/>
      <c r="H716" s="168"/>
      <c r="I716" s="44"/>
      <c r="J716" s="95"/>
      <c r="K716" s="95"/>
      <c r="L716" s="163"/>
      <c r="M716" s="163"/>
      <c r="N716" s="44"/>
    </row>
    <row r="717" spans="1:14" s="145" customFormat="1" ht="15.75" customHeight="1">
      <c r="A717" s="164">
        <f t="shared" ref="A717:A718" si="141">A716+1</f>
        <v>4</v>
      </c>
      <c r="B717" s="164"/>
      <c r="C717" s="146" t="s">
        <v>152</v>
      </c>
      <c r="D717" s="94">
        <f>(63.45+0.75*(2.45+2.65+2.75+2.75+2.75))*10.764</f>
        <v>790.75035000000003</v>
      </c>
      <c r="E717" s="146">
        <v>0</v>
      </c>
      <c r="F717" s="48">
        <f t="shared" si="140"/>
        <v>1265.2005600000002</v>
      </c>
      <c r="G717" s="167"/>
      <c r="H717" s="168"/>
      <c r="I717" s="44"/>
      <c r="J717" s="95"/>
      <c r="K717" s="95"/>
      <c r="L717" s="163"/>
      <c r="M717" s="163"/>
      <c r="N717" s="44"/>
    </row>
    <row r="718" spans="1:14" s="145" customFormat="1" ht="15.75" customHeight="1">
      <c r="A718" s="164">
        <f t="shared" si="141"/>
        <v>5</v>
      </c>
      <c r="B718" s="164"/>
      <c r="C718" s="146" t="s">
        <v>204</v>
      </c>
      <c r="D718" s="94">
        <f>(50.35+0.75*(2.45+2.15+2.75+2.75))*10.764</f>
        <v>623.50469999999996</v>
      </c>
      <c r="E718" s="146">
        <v>0</v>
      </c>
      <c r="F718" s="48">
        <f t="shared" si="140"/>
        <v>997.60752000000002</v>
      </c>
      <c r="G718" s="167"/>
      <c r="H718" s="168"/>
      <c r="I718" s="44"/>
      <c r="L718" s="163"/>
      <c r="M718" s="163"/>
      <c r="N718" s="44"/>
    </row>
    <row r="719" spans="1:14" s="145" customFormat="1">
      <c r="A719" s="162" t="s">
        <v>315</v>
      </c>
      <c r="B719" s="162"/>
      <c r="C719" s="162"/>
      <c r="D719" s="162"/>
      <c r="E719" s="162"/>
      <c r="F719" s="162"/>
      <c r="G719" s="162"/>
      <c r="H719" s="162"/>
      <c r="I719" s="44"/>
      <c r="J719" s="96"/>
      <c r="K719" s="95"/>
      <c r="L719" s="163"/>
      <c r="M719" s="163"/>
    </row>
    <row r="720" spans="1:14" s="145" customFormat="1" ht="15.75" customHeight="1">
      <c r="A720" s="164">
        <v>1</v>
      </c>
      <c r="B720" s="164"/>
      <c r="C720" s="146" t="s">
        <v>204</v>
      </c>
      <c r="D720" s="94">
        <f>(48.8+0.75*(2.45+2.15+2.75+3.35))*10.764</f>
        <v>611.66429999999991</v>
      </c>
      <c r="E720" s="146">
        <v>0</v>
      </c>
      <c r="F720" s="48">
        <f>D720*(($F$358)+1)+E720/5</f>
        <v>978.66287999999986</v>
      </c>
      <c r="G720" s="165" t="str">
        <f>A719</f>
        <v>20th. 22nd &amp; 23rd Floor</v>
      </c>
      <c r="H720" s="166"/>
      <c r="I720" s="93"/>
      <c r="J720" s="95"/>
      <c r="K720" s="95"/>
      <c r="L720" s="163"/>
      <c r="M720" s="163"/>
      <c r="N720" s="44"/>
    </row>
    <row r="721" spans="1:14" s="145" customFormat="1" ht="15.75" customHeight="1">
      <c r="A721" s="164">
        <f>A720+1</f>
        <v>2</v>
      </c>
      <c r="B721" s="164"/>
      <c r="C721" s="146" t="s">
        <v>204</v>
      </c>
      <c r="D721" s="94">
        <f>(51.77+0.75*(2.45+2.15+2.75+2.75))*10.764</f>
        <v>638.78958</v>
      </c>
      <c r="E721" s="146">
        <v>0</v>
      </c>
      <c r="F721" s="48">
        <f>D721*(($F$358)+1)+E721/4</f>
        <v>1022.0633280000001</v>
      </c>
      <c r="G721" s="167"/>
      <c r="H721" s="168"/>
      <c r="I721" s="44"/>
      <c r="J721" s="95"/>
      <c r="K721" s="95"/>
      <c r="L721" s="163"/>
      <c r="M721" s="163"/>
      <c r="N721" s="44"/>
    </row>
    <row r="722" spans="1:14" s="145" customFormat="1" ht="15.75" customHeight="1">
      <c r="A722" s="164">
        <f>A721+1</f>
        <v>3</v>
      </c>
      <c r="B722" s="164"/>
      <c r="C722" s="146" t="s">
        <v>204</v>
      </c>
      <c r="D722" s="94">
        <f>(56.2+0.75*(2.75+2.15+2.75+2.75))*10.764</f>
        <v>688.89599999999996</v>
      </c>
      <c r="E722" s="146">
        <v>0</v>
      </c>
      <c r="F722" s="48">
        <f t="shared" ref="F722:F724" si="142">D722*(($F$358)+1)+E722</f>
        <v>1102.2336</v>
      </c>
      <c r="G722" s="167"/>
      <c r="H722" s="168"/>
      <c r="I722" s="44"/>
      <c r="J722" s="95"/>
      <c r="K722" s="95"/>
      <c r="L722" s="163"/>
      <c r="M722" s="163"/>
      <c r="N722" s="44"/>
    </row>
    <row r="723" spans="1:14" s="145" customFormat="1" ht="15.75" customHeight="1">
      <c r="A723" s="164">
        <f t="shared" ref="A723:A724" si="143">A722+1</f>
        <v>4</v>
      </c>
      <c r="B723" s="164"/>
      <c r="C723" s="146" t="s">
        <v>152</v>
      </c>
      <c r="D723" s="94">
        <f>(63.45+0.75*(2.45+2.65+2.75+2.75+2.75))*10.764</f>
        <v>790.75035000000003</v>
      </c>
      <c r="E723" s="146">
        <v>0</v>
      </c>
      <c r="F723" s="48">
        <f t="shared" si="142"/>
        <v>1265.2005600000002</v>
      </c>
      <c r="G723" s="167"/>
      <c r="H723" s="168"/>
      <c r="I723" s="44"/>
      <c r="J723" s="95"/>
      <c r="K723" s="95"/>
      <c r="L723" s="163"/>
      <c r="M723" s="163"/>
      <c r="N723" s="44"/>
    </row>
    <row r="724" spans="1:14" s="145" customFormat="1" ht="15.75" customHeight="1">
      <c r="A724" s="164">
        <f t="shared" si="143"/>
        <v>5</v>
      </c>
      <c r="B724" s="164"/>
      <c r="C724" s="146" t="s">
        <v>204</v>
      </c>
      <c r="D724" s="94">
        <f>(51.95+0.75*(2.45+2.15+2.75+2.75))*10.764</f>
        <v>640.72710000000006</v>
      </c>
      <c r="E724" s="146">
        <v>0</v>
      </c>
      <c r="F724" s="48">
        <f t="shared" si="142"/>
        <v>1025.1633600000002</v>
      </c>
      <c r="G724" s="167"/>
      <c r="H724" s="168"/>
      <c r="I724" s="44"/>
      <c r="L724" s="163"/>
      <c r="M724" s="163"/>
      <c r="N724" s="44"/>
    </row>
    <row r="725" spans="1:14" s="145" customFormat="1">
      <c r="A725" s="162" t="s">
        <v>245</v>
      </c>
      <c r="B725" s="162"/>
      <c r="C725" s="162"/>
      <c r="D725" s="162"/>
      <c r="E725" s="162"/>
      <c r="F725" s="162"/>
      <c r="G725" s="162"/>
      <c r="H725" s="162"/>
      <c r="I725" s="44"/>
      <c r="J725" s="96"/>
      <c r="K725" s="95"/>
      <c r="L725" s="163"/>
      <c r="M725" s="163"/>
    </row>
    <row r="726" spans="1:14" s="145" customFormat="1" ht="15.75" customHeight="1">
      <c r="A726" s="164">
        <v>1</v>
      </c>
      <c r="B726" s="164"/>
      <c r="C726" s="146" t="s">
        <v>204</v>
      </c>
      <c r="D726" s="94">
        <f>(48.8+0.75*(2.45+2.15+2.75+3.35))*10.764</f>
        <v>611.66429999999991</v>
      </c>
      <c r="E726" s="146">
        <v>0</v>
      </c>
      <c r="F726" s="48">
        <f>D726*(($F$358)+1)+E726/5</f>
        <v>978.66287999999986</v>
      </c>
      <c r="G726" s="165" t="str">
        <f>A725</f>
        <v>21st &amp; 26th Floor (Part Refuge Area)</v>
      </c>
      <c r="H726" s="166"/>
      <c r="I726" s="93"/>
      <c r="J726" s="95"/>
      <c r="K726" s="95"/>
      <c r="L726" s="163"/>
      <c r="M726" s="163"/>
      <c r="N726" s="44"/>
    </row>
    <row r="727" spans="1:14" s="145" customFormat="1" ht="15.75" customHeight="1">
      <c r="A727" s="164">
        <f>A726+1</f>
        <v>2</v>
      </c>
      <c r="B727" s="164"/>
      <c r="C727" s="146" t="s">
        <v>204</v>
      </c>
      <c r="D727" s="94">
        <f>(51.77+0.75*(2.45+2.15+2.75+2.75))*10.764</f>
        <v>638.78958</v>
      </c>
      <c r="E727" s="146">
        <v>0</v>
      </c>
      <c r="F727" s="48">
        <f>D727*(($F$358)+1)+E727/4</f>
        <v>1022.0633280000001</v>
      </c>
      <c r="G727" s="167"/>
      <c r="H727" s="168"/>
      <c r="I727" s="44"/>
      <c r="J727" s="95"/>
      <c r="K727" s="95"/>
      <c r="L727" s="163"/>
      <c r="M727" s="163"/>
      <c r="N727" s="44"/>
    </row>
    <row r="728" spans="1:14" s="145" customFormat="1" ht="15.75" customHeight="1">
      <c r="A728" s="164">
        <f>A727+1</f>
        <v>3</v>
      </c>
      <c r="B728" s="164"/>
      <c r="C728" s="185" t="s">
        <v>232</v>
      </c>
      <c r="D728" s="186"/>
      <c r="E728" s="186"/>
      <c r="F728" s="187"/>
      <c r="G728" s="167"/>
      <c r="H728" s="168"/>
      <c r="I728" s="44"/>
      <c r="J728" s="95"/>
      <c r="K728" s="95"/>
      <c r="L728" s="163"/>
      <c r="M728" s="163"/>
      <c r="N728" s="44"/>
    </row>
    <row r="729" spans="1:14" s="145" customFormat="1" ht="15.75" customHeight="1">
      <c r="A729" s="164">
        <f t="shared" ref="A729:A730" si="144">A728+1</f>
        <v>4</v>
      </c>
      <c r="B729" s="164"/>
      <c r="C729" s="146" t="s">
        <v>152</v>
      </c>
      <c r="D729" s="94">
        <f>(63.45+0.75*(2.45+2.65+2.75+2.75+2.75))*10.764</f>
        <v>790.75035000000003</v>
      </c>
      <c r="E729" s="146">
        <v>0</v>
      </c>
      <c r="F729" s="48">
        <f t="shared" ref="F729:F730" si="145">D729*(($F$358)+1)+E729</f>
        <v>1265.2005600000002</v>
      </c>
      <c r="G729" s="167"/>
      <c r="H729" s="168"/>
      <c r="I729" s="44"/>
      <c r="J729" s="95"/>
      <c r="K729" s="95"/>
      <c r="L729" s="163"/>
      <c r="M729" s="163"/>
      <c r="N729" s="44"/>
    </row>
    <row r="730" spans="1:14" s="145" customFormat="1" ht="15.75" customHeight="1">
      <c r="A730" s="164">
        <f t="shared" si="144"/>
        <v>5</v>
      </c>
      <c r="B730" s="164"/>
      <c r="C730" s="146" t="s">
        <v>204</v>
      </c>
      <c r="D730" s="94">
        <f>(51.95+0.75*(2.45+2.15+2.75+2.75))*10.764</f>
        <v>640.72710000000006</v>
      </c>
      <c r="E730" s="146">
        <v>0</v>
      </c>
      <c r="F730" s="48">
        <f t="shared" si="145"/>
        <v>1025.1633600000002</v>
      </c>
      <c r="G730" s="167"/>
      <c r="H730" s="168"/>
      <c r="I730" s="44"/>
      <c r="L730" s="163"/>
      <c r="M730" s="163"/>
      <c r="N730" s="44"/>
    </row>
    <row r="731" spans="1:14" s="145" customFormat="1">
      <c r="A731" s="162" t="s">
        <v>316</v>
      </c>
      <c r="B731" s="162"/>
      <c r="C731" s="162"/>
      <c r="D731" s="162"/>
      <c r="E731" s="162"/>
      <c r="F731" s="162"/>
      <c r="G731" s="162"/>
      <c r="H731" s="162"/>
      <c r="I731" s="44"/>
      <c r="J731" s="96"/>
      <c r="K731" s="95"/>
      <c r="L731" s="163"/>
      <c r="M731" s="163"/>
    </row>
    <row r="732" spans="1:14" s="145" customFormat="1" ht="15.75" customHeight="1">
      <c r="A732" s="164">
        <v>1</v>
      </c>
      <c r="B732" s="164"/>
      <c r="C732" s="146" t="s">
        <v>204</v>
      </c>
      <c r="D732" s="94">
        <f>(48.8+0.75*(2.45+2.15+2.75+3.35))*10.764</f>
        <v>611.66429999999991</v>
      </c>
      <c r="E732" s="146">
        <v>0</v>
      </c>
      <c r="F732" s="48">
        <f>D732*(($F$358)+1)+E732/5</f>
        <v>978.66287999999986</v>
      </c>
      <c r="G732" s="165" t="str">
        <f>A731</f>
        <v>24th, 25th &amp; 27th Floor</v>
      </c>
      <c r="H732" s="166"/>
      <c r="I732" s="93"/>
      <c r="J732" s="95"/>
      <c r="K732" s="95"/>
      <c r="L732" s="163"/>
      <c r="M732" s="163"/>
      <c r="N732" s="44"/>
    </row>
    <row r="733" spans="1:14" s="145" customFormat="1" ht="15.75" customHeight="1">
      <c r="A733" s="164">
        <f>A732+1</f>
        <v>2</v>
      </c>
      <c r="B733" s="164"/>
      <c r="C733" s="146" t="s">
        <v>204</v>
      </c>
      <c r="D733" s="94">
        <f>(51.77+0.75*(2.45+2.15+2.75+2.75))*10.764</f>
        <v>638.78958</v>
      </c>
      <c r="E733" s="146">
        <v>0</v>
      </c>
      <c r="F733" s="48">
        <f>D733*(($F$358)+1)+E733/4</f>
        <v>1022.0633280000001</v>
      </c>
      <c r="G733" s="167"/>
      <c r="H733" s="168"/>
      <c r="I733" s="44"/>
      <c r="J733" s="95"/>
      <c r="K733" s="95"/>
      <c r="L733" s="163"/>
      <c r="M733" s="163"/>
      <c r="N733" s="44"/>
    </row>
    <row r="734" spans="1:14" s="145" customFormat="1" ht="15.75" customHeight="1">
      <c r="A734" s="164">
        <f>A733+1</f>
        <v>3</v>
      </c>
      <c r="B734" s="164"/>
      <c r="C734" s="146" t="s">
        <v>204</v>
      </c>
      <c r="D734" s="94">
        <f>(48.6+0.75*(2.75+2.15+2.75+2.75))*10.764</f>
        <v>607.08960000000002</v>
      </c>
      <c r="E734" s="146">
        <v>0</v>
      </c>
      <c r="F734" s="48">
        <f t="shared" ref="F734:F736" si="146">D734*(($F$358)+1)+E734</f>
        <v>971.34336000000008</v>
      </c>
      <c r="G734" s="167"/>
      <c r="H734" s="168"/>
      <c r="I734" s="44"/>
      <c r="J734" s="95"/>
      <c r="K734" s="95"/>
      <c r="L734" s="163"/>
      <c r="M734" s="163"/>
      <c r="N734" s="44"/>
    </row>
    <row r="735" spans="1:14" s="145" customFormat="1" ht="15.75" customHeight="1">
      <c r="A735" s="164">
        <f t="shared" ref="A735:A736" si="147">A734+1</f>
        <v>4</v>
      </c>
      <c r="B735" s="164"/>
      <c r="C735" s="146" t="s">
        <v>152</v>
      </c>
      <c r="D735" s="94">
        <f>(63.45+0.75*(2.45+2.65+2.75+2.75+2.75))*10.764</f>
        <v>790.75035000000003</v>
      </c>
      <c r="E735" s="146">
        <v>0</v>
      </c>
      <c r="F735" s="48">
        <f t="shared" si="146"/>
        <v>1265.2005600000002</v>
      </c>
      <c r="G735" s="167"/>
      <c r="H735" s="168"/>
      <c r="I735" s="44"/>
      <c r="J735" s="95"/>
      <c r="K735" s="95"/>
      <c r="L735" s="163"/>
      <c r="M735" s="163"/>
      <c r="N735" s="44"/>
    </row>
    <row r="736" spans="1:14" s="145" customFormat="1" ht="15.75" customHeight="1">
      <c r="A736" s="164">
        <f t="shared" si="147"/>
        <v>5</v>
      </c>
      <c r="B736" s="164"/>
      <c r="C736" s="146" t="s">
        <v>204</v>
      </c>
      <c r="D736" s="94">
        <f>(51.95+0.75*(2.45+2.15+2.75+2.75))*10.764</f>
        <v>640.72710000000006</v>
      </c>
      <c r="E736" s="146">
        <v>0</v>
      </c>
      <c r="F736" s="48">
        <f t="shared" si="146"/>
        <v>1025.1633600000002</v>
      </c>
      <c r="G736" s="167"/>
      <c r="H736" s="168"/>
      <c r="I736" s="44"/>
      <c r="L736" s="163"/>
      <c r="M736" s="163"/>
      <c r="N736" s="44"/>
    </row>
    <row r="737" spans="1:14" s="131" customFormat="1">
      <c r="A737" s="188" t="s">
        <v>289</v>
      </c>
      <c r="B737" s="189"/>
      <c r="C737" s="189"/>
      <c r="D737" s="189"/>
      <c r="E737" s="189"/>
      <c r="F737" s="189"/>
      <c r="G737" s="189"/>
      <c r="H737" s="190"/>
    </row>
    <row r="738" spans="1:14" s="131" customFormat="1">
      <c r="A738" s="188" t="s">
        <v>234</v>
      </c>
      <c r="B738" s="189"/>
      <c r="C738" s="189"/>
      <c r="D738" s="189"/>
      <c r="E738" s="189"/>
      <c r="F738" s="189"/>
      <c r="G738" s="189"/>
      <c r="H738" s="190"/>
    </row>
    <row r="739" spans="1:14" s="131" customFormat="1">
      <c r="A739" s="188" t="s">
        <v>235</v>
      </c>
      <c r="B739" s="189"/>
      <c r="C739" s="189"/>
      <c r="D739" s="189"/>
      <c r="E739" s="189"/>
      <c r="F739" s="189"/>
      <c r="G739" s="189"/>
      <c r="H739" s="190"/>
    </row>
    <row r="740" spans="1:14" s="131" customFormat="1">
      <c r="A740" s="162" t="s">
        <v>283</v>
      </c>
      <c r="B740" s="162"/>
      <c r="C740" s="162"/>
      <c r="D740" s="162"/>
      <c r="E740" s="162"/>
      <c r="F740" s="162"/>
      <c r="G740" s="162"/>
      <c r="H740" s="162"/>
      <c r="I740" s="44"/>
      <c r="J740" s="96"/>
      <c r="K740" s="95"/>
      <c r="L740" s="163"/>
      <c r="M740" s="163"/>
    </row>
    <row r="741" spans="1:14" s="131" customFormat="1" ht="15.75" customHeight="1">
      <c r="A741" s="164">
        <v>1</v>
      </c>
      <c r="B741" s="164"/>
      <c r="C741" s="132" t="s">
        <v>204</v>
      </c>
      <c r="D741" s="132">
        <f>(50.45+0.75*(2.25+2.4+2.75+2.75))*10.764</f>
        <v>624.98474999999996</v>
      </c>
      <c r="E741" s="132">
        <v>0</v>
      </c>
      <c r="F741" s="48">
        <f>D741*(($F$358)+1)+E741/5</f>
        <v>999.97559999999999</v>
      </c>
      <c r="G741" s="165" t="str">
        <f>A740</f>
        <v>4th &amp; 5th Floor</v>
      </c>
      <c r="H741" s="166"/>
      <c r="I741" s="93"/>
      <c r="J741" s="95"/>
      <c r="K741" s="95"/>
      <c r="L741" s="163"/>
      <c r="M741" s="163"/>
      <c r="N741" s="44"/>
    </row>
    <row r="742" spans="1:14" s="131" customFormat="1" ht="15.75" customHeight="1">
      <c r="A742" s="164">
        <f>A741+1</f>
        <v>2</v>
      </c>
      <c r="B742" s="164"/>
      <c r="C742" s="132" t="s">
        <v>152</v>
      </c>
      <c r="D742" s="132">
        <f>(59.25+0.75*(3.2+2.1+2.75+3.02+1.25))*10.764</f>
        <v>737.22635999999989</v>
      </c>
      <c r="E742" s="132">
        <v>0</v>
      </c>
      <c r="F742" s="48">
        <f>D742*(($F$358)+1)+E742/4</f>
        <v>1179.5621759999999</v>
      </c>
      <c r="G742" s="167"/>
      <c r="H742" s="168"/>
      <c r="I742" s="44"/>
      <c r="J742" s="95"/>
      <c r="K742" s="95"/>
      <c r="L742" s="163"/>
      <c r="M742" s="163"/>
      <c r="N742" s="44"/>
    </row>
    <row r="743" spans="1:14" s="131" customFormat="1" ht="15.75" customHeight="1">
      <c r="A743" s="164">
        <f>A742+1</f>
        <v>3</v>
      </c>
      <c r="B743" s="164"/>
      <c r="C743" s="132" t="s">
        <v>152</v>
      </c>
      <c r="D743" s="132">
        <f>(60.7+0.75*(3.2+2.1+2.75+3.02+1.3))*10.764</f>
        <v>753.23780999999997</v>
      </c>
      <c r="E743" s="132">
        <v>0</v>
      </c>
      <c r="F743" s="48">
        <f t="shared" ref="F743:F750" si="148">D743*(($F$358)+1)+E743</f>
        <v>1205.1804959999999</v>
      </c>
      <c r="G743" s="167"/>
      <c r="H743" s="168"/>
      <c r="I743" s="44"/>
      <c r="J743" s="95"/>
      <c r="K743" s="95"/>
      <c r="L743" s="163"/>
      <c r="M743" s="163"/>
      <c r="N743" s="44"/>
    </row>
    <row r="744" spans="1:14" s="131" customFormat="1" ht="15.75" customHeight="1">
      <c r="A744" s="164">
        <f t="shared" ref="A744:A750" si="149">A743+1</f>
        <v>4</v>
      </c>
      <c r="B744" s="164"/>
      <c r="C744" s="132" t="s">
        <v>205</v>
      </c>
      <c r="D744" s="132">
        <f>(42.48+0.75*(3+2.3+2.75))*10.764</f>
        <v>522.24236999999994</v>
      </c>
      <c r="E744" s="132">
        <v>0</v>
      </c>
      <c r="F744" s="48">
        <f t="shared" si="148"/>
        <v>835.58779199999992</v>
      </c>
      <c r="G744" s="167"/>
      <c r="H744" s="168"/>
      <c r="I744" s="44"/>
      <c r="J744" s="95"/>
      <c r="K744" s="95"/>
      <c r="L744" s="163"/>
      <c r="M744" s="163"/>
      <c r="N744" s="44"/>
    </row>
    <row r="745" spans="1:14" s="131" customFormat="1" ht="15.75" customHeight="1">
      <c r="A745" s="164">
        <f t="shared" si="149"/>
        <v>5</v>
      </c>
      <c r="B745" s="164"/>
      <c r="C745" s="132" t="s">
        <v>205</v>
      </c>
      <c r="D745" s="132">
        <f>(42.48+0.75*(3+2.3+2.75))*10.764</f>
        <v>522.24236999999994</v>
      </c>
      <c r="E745" s="132">
        <v>0</v>
      </c>
      <c r="F745" s="48">
        <f t="shared" si="148"/>
        <v>835.58779199999992</v>
      </c>
      <c r="G745" s="167"/>
      <c r="H745" s="168"/>
      <c r="I745" s="44"/>
      <c r="L745" s="163"/>
      <c r="M745" s="163"/>
      <c r="N745" s="44"/>
    </row>
    <row r="746" spans="1:14" s="131" customFormat="1" ht="15.75" customHeight="1">
      <c r="A746" s="164">
        <f t="shared" si="149"/>
        <v>6</v>
      </c>
      <c r="B746" s="164"/>
      <c r="C746" s="132" t="s">
        <v>205</v>
      </c>
      <c r="D746" s="132">
        <f>(42.48+0.75*(3+2.3+2.75))*10.764</f>
        <v>522.24236999999994</v>
      </c>
      <c r="E746" s="132">
        <v>0</v>
      </c>
      <c r="F746" s="48">
        <f t="shared" si="148"/>
        <v>835.58779199999992</v>
      </c>
      <c r="G746" s="167"/>
      <c r="H746" s="168"/>
      <c r="I746" s="44"/>
      <c r="L746" s="163"/>
      <c r="M746" s="163"/>
      <c r="N746" s="44"/>
    </row>
    <row r="747" spans="1:14" s="131" customFormat="1" ht="15.75" customHeight="1">
      <c r="A747" s="164">
        <f t="shared" si="149"/>
        <v>7</v>
      </c>
      <c r="B747" s="164"/>
      <c r="C747" s="132" t="s">
        <v>205</v>
      </c>
      <c r="D747" s="132">
        <f>(42.48+0.75*(3+2.3+2.75))*10.764</f>
        <v>522.24236999999994</v>
      </c>
      <c r="E747" s="132">
        <v>0</v>
      </c>
      <c r="F747" s="48">
        <f t="shared" si="148"/>
        <v>835.58779199999992</v>
      </c>
      <c r="G747" s="167"/>
      <c r="H747" s="168"/>
      <c r="I747" s="44"/>
      <c r="L747" s="163"/>
      <c r="M747" s="163"/>
      <c r="N747" s="44"/>
    </row>
    <row r="748" spans="1:14" s="131" customFormat="1" ht="15.75" customHeight="1">
      <c r="A748" s="164">
        <f t="shared" si="149"/>
        <v>8</v>
      </c>
      <c r="B748" s="164"/>
      <c r="C748" s="132" t="s">
        <v>152</v>
      </c>
      <c r="D748" s="132">
        <f>(60.5+0.75*(3.2+2.1+2.75+3.02+1.35))*10.764</f>
        <v>751.48865999999998</v>
      </c>
      <c r="E748" s="132">
        <v>0</v>
      </c>
      <c r="F748" s="48">
        <f t="shared" si="148"/>
        <v>1202.381856</v>
      </c>
      <c r="G748" s="167"/>
      <c r="H748" s="168"/>
      <c r="I748" s="44"/>
      <c r="L748" s="163"/>
      <c r="M748" s="163"/>
      <c r="N748" s="44"/>
    </row>
    <row r="749" spans="1:14" s="131" customFormat="1" ht="15.75" customHeight="1">
      <c r="A749" s="164">
        <f t="shared" si="149"/>
        <v>9</v>
      </c>
      <c r="B749" s="164"/>
      <c r="C749" s="132" t="s">
        <v>152</v>
      </c>
      <c r="D749" s="132">
        <f>(58.65+0.75*(3+2.1+2.75+3.02+1.25))*10.764</f>
        <v>729.15335999999991</v>
      </c>
      <c r="E749" s="132">
        <v>0</v>
      </c>
      <c r="F749" s="48">
        <f t="shared" si="148"/>
        <v>1166.6453759999999</v>
      </c>
      <c r="G749" s="167"/>
      <c r="H749" s="168"/>
      <c r="I749" s="44"/>
      <c r="L749" s="163"/>
      <c r="M749" s="163"/>
      <c r="N749" s="44"/>
    </row>
    <row r="750" spans="1:14" s="131" customFormat="1" ht="15.75" customHeight="1">
      <c r="A750" s="164">
        <f t="shared" si="149"/>
        <v>10</v>
      </c>
      <c r="B750" s="164"/>
      <c r="C750" s="132" t="s">
        <v>204</v>
      </c>
      <c r="D750" s="132">
        <f>(50.65+0.75*(2.85+2.64+3.05+2.9))*10.764</f>
        <v>637.55171999999993</v>
      </c>
      <c r="E750" s="132">
        <v>0</v>
      </c>
      <c r="F750" s="48">
        <f t="shared" si="148"/>
        <v>1020.0827519999999</v>
      </c>
      <c r="G750" s="169"/>
      <c r="H750" s="170"/>
      <c r="I750" s="44"/>
      <c r="L750" s="163"/>
      <c r="M750" s="163"/>
      <c r="N750" s="44"/>
    </row>
    <row r="751" spans="1:14" s="131" customFormat="1">
      <c r="A751" s="162" t="s">
        <v>290</v>
      </c>
      <c r="B751" s="162"/>
      <c r="C751" s="162"/>
      <c r="D751" s="162"/>
      <c r="E751" s="162"/>
      <c r="F751" s="162"/>
      <c r="G751" s="162"/>
      <c r="H751" s="162"/>
      <c r="I751" s="44"/>
      <c r="J751" s="96"/>
      <c r="K751" s="95"/>
      <c r="L751" s="163"/>
      <c r="M751" s="163"/>
    </row>
    <row r="752" spans="1:14" s="131" customFormat="1" ht="15.75" customHeight="1">
      <c r="A752" s="164">
        <v>1</v>
      </c>
      <c r="B752" s="164"/>
      <c r="C752" s="132" t="s">
        <v>204</v>
      </c>
      <c r="D752" s="132">
        <f>(50.46+0.75*(2.25+2.4+2.75+2.75))*10.764</f>
        <v>625.09239000000002</v>
      </c>
      <c r="E752" s="132">
        <v>0</v>
      </c>
      <c r="F752" s="48">
        <f>D752*(($F$358)+1)+E752/5</f>
        <v>1000.1478240000001</v>
      </c>
      <c r="G752" s="165" t="str">
        <f>A751</f>
        <v>6th, 8th to 10th, 12th to 15th Floor</v>
      </c>
      <c r="H752" s="166"/>
      <c r="I752" s="93"/>
      <c r="J752" s="95"/>
      <c r="K752" s="95"/>
      <c r="L752" s="163"/>
      <c r="M752" s="163"/>
      <c r="N752" s="44"/>
    </row>
    <row r="753" spans="1:14" s="131" customFormat="1" ht="15.75" customHeight="1">
      <c r="A753" s="164">
        <f>A752+1</f>
        <v>2</v>
      </c>
      <c r="B753" s="164"/>
      <c r="C753" s="132" t="s">
        <v>152</v>
      </c>
      <c r="D753" s="132">
        <f>(59.25+0.75*(3.2+2.1+2.75+3.02+1.25))*10.764</f>
        <v>737.22635999999989</v>
      </c>
      <c r="E753" s="132">
        <v>0</v>
      </c>
      <c r="F753" s="48">
        <f>D753*(($F$358)+1)+E753/4</f>
        <v>1179.5621759999999</v>
      </c>
      <c r="G753" s="167"/>
      <c r="H753" s="168"/>
      <c r="I753" s="44"/>
      <c r="J753" s="95"/>
      <c r="K753" s="95"/>
      <c r="L753" s="163"/>
      <c r="M753" s="163"/>
      <c r="N753" s="44"/>
    </row>
    <row r="754" spans="1:14" s="131" customFormat="1" ht="15.75" customHeight="1">
      <c r="A754" s="164">
        <f>A753+1</f>
        <v>3</v>
      </c>
      <c r="B754" s="164"/>
      <c r="C754" s="132" t="s">
        <v>152</v>
      </c>
      <c r="D754" s="132">
        <f>(60.7+0.75*(3.2+2.1+2.75+3.02+1.3))*10.764</f>
        <v>753.23780999999997</v>
      </c>
      <c r="E754" s="132">
        <v>0</v>
      </c>
      <c r="F754" s="48">
        <f t="shared" ref="F754:F761" si="150">D754*(($F$358)+1)+E754</f>
        <v>1205.1804959999999</v>
      </c>
      <c r="G754" s="167"/>
      <c r="H754" s="168"/>
      <c r="I754" s="44"/>
      <c r="J754" s="95"/>
      <c r="K754" s="95"/>
      <c r="L754" s="163"/>
      <c r="M754" s="163"/>
      <c r="N754" s="44"/>
    </row>
    <row r="755" spans="1:14" s="131" customFormat="1" ht="15.75" customHeight="1">
      <c r="A755" s="164">
        <f t="shared" ref="A755:A761" si="151">A754+1</f>
        <v>4</v>
      </c>
      <c r="B755" s="164"/>
      <c r="C755" s="132" t="s">
        <v>205</v>
      </c>
      <c r="D755" s="132">
        <f>(33.35+0.75*(3+2.3+2.75))*10.764</f>
        <v>423.96705000000003</v>
      </c>
      <c r="E755" s="132">
        <v>0</v>
      </c>
      <c r="F755" s="48">
        <f t="shared" si="150"/>
        <v>678.34728000000007</v>
      </c>
      <c r="G755" s="167"/>
      <c r="H755" s="168"/>
      <c r="I755" s="44"/>
      <c r="J755" s="95"/>
      <c r="K755" s="95"/>
      <c r="L755" s="163"/>
      <c r="M755" s="163"/>
      <c r="N755" s="44"/>
    </row>
    <row r="756" spans="1:14" s="131" customFormat="1" ht="15.75" customHeight="1">
      <c r="A756" s="164">
        <f t="shared" si="151"/>
        <v>5</v>
      </c>
      <c r="B756" s="164"/>
      <c r="C756" s="132" t="s">
        <v>205</v>
      </c>
      <c r="D756" s="132">
        <f t="shared" ref="D756:D758" si="152">(33.35+0.75*(3+2.3+2.75))*10.764</f>
        <v>423.96705000000003</v>
      </c>
      <c r="E756" s="132">
        <v>0</v>
      </c>
      <c r="F756" s="48">
        <f t="shared" si="150"/>
        <v>678.34728000000007</v>
      </c>
      <c r="G756" s="167"/>
      <c r="H756" s="168"/>
      <c r="I756" s="44"/>
      <c r="L756" s="163"/>
      <c r="M756" s="163"/>
      <c r="N756" s="44"/>
    </row>
    <row r="757" spans="1:14" s="131" customFormat="1" ht="15.75" customHeight="1">
      <c r="A757" s="164">
        <f t="shared" si="151"/>
        <v>6</v>
      </c>
      <c r="B757" s="164"/>
      <c r="C757" s="132" t="s">
        <v>205</v>
      </c>
      <c r="D757" s="132">
        <f t="shared" si="152"/>
        <v>423.96705000000003</v>
      </c>
      <c r="E757" s="132">
        <v>0</v>
      </c>
      <c r="F757" s="48">
        <f t="shared" si="150"/>
        <v>678.34728000000007</v>
      </c>
      <c r="G757" s="167"/>
      <c r="H757" s="168"/>
      <c r="I757" s="44"/>
      <c r="L757" s="163"/>
      <c r="M757" s="163"/>
      <c r="N757" s="44"/>
    </row>
    <row r="758" spans="1:14" s="131" customFormat="1" ht="15.75" customHeight="1">
      <c r="A758" s="164">
        <f t="shared" si="151"/>
        <v>7</v>
      </c>
      <c r="B758" s="164"/>
      <c r="C758" s="132" t="s">
        <v>205</v>
      </c>
      <c r="D758" s="132">
        <f t="shared" si="152"/>
        <v>423.96705000000003</v>
      </c>
      <c r="E758" s="132">
        <v>0</v>
      </c>
      <c r="F758" s="48">
        <f t="shared" si="150"/>
        <v>678.34728000000007</v>
      </c>
      <c r="G758" s="167"/>
      <c r="H758" s="168"/>
      <c r="I758" s="44"/>
      <c r="L758" s="163"/>
      <c r="M758" s="163"/>
      <c r="N758" s="44"/>
    </row>
    <row r="759" spans="1:14" s="131" customFormat="1" ht="15.75" customHeight="1">
      <c r="A759" s="164">
        <f t="shared" si="151"/>
        <v>8</v>
      </c>
      <c r="B759" s="164"/>
      <c r="C759" s="132" t="s">
        <v>152</v>
      </c>
      <c r="D759" s="132">
        <f>(60.6+0.75*(3.2+2.1+2.75+3.02+1.35))*10.764</f>
        <v>752.56506000000002</v>
      </c>
      <c r="E759" s="132">
        <v>0</v>
      </c>
      <c r="F759" s="48">
        <f t="shared" si="150"/>
        <v>1204.104096</v>
      </c>
      <c r="G759" s="167"/>
      <c r="H759" s="168"/>
      <c r="I759" s="44"/>
      <c r="L759" s="163"/>
      <c r="M759" s="163"/>
      <c r="N759" s="44"/>
    </row>
    <row r="760" spans="1:14" s="131" customFormat="1" ht="15.75" customHeight="1">
      <c r="A760" s="164">
        <f t="shared" si="151"/>
        <v>9</v>
      </c>
      <c r="B760" s="164"/>
      <c r="C760" s="132" t="s">
        <v>152</v>
      </c>
      <c r="D760" s="132">
        <f>(58.65+0.75*(3+2.1+2.75+3.02+1.25))*10.764</f>
        <v>729.15335999999991</v>
      </c>
      <c r="E760" s="132">
        <v>0</v>
      </c>
      <c r="F760" s="48">
        <f t="shared" si="150"/>
        <v>1166.6453759999999</v>
      </c>
      <c r="G760" s="167"/>
      <c r="H760" s="168"/>
      <c r="I760" s="44"/>
      <c r="L760" s="163"/>
      <c r="M760" s="163"/>
      <c r="N760" s="44"/>
    </row>
    <row r="761" spans="1:14" s="131" customFormat="1" ht="15.75" customHeight="1">
      <c r="A761" s="164">
        <f t="shared" si="151"/>
        <v>10</v>
      </c>
      <c r="B761" s="164"/>
      <c r="C761" s="132" t="s">
        <v>204</v>
      </c>
      <c r="D761" s="132">
        <f>(50.65+0.75*(2.85+2.64+3.05+2.9))*10.764</f>
        <v>637.55171999999993</v>
      </c>
      <c r="E761" s="132">
        <v>0</v>
      </c>
      <c r="F761" s="48">
        <f t="shared" si="150"/>
        <v>1020.0827519999999</v>
      </c>
      <c r="G761" s="169"/>
      <c r="H761" s="170"/>
      <c r="I761" s="44"/>
      <c r="L761" s="163"/>
      <c r="M761" s="163"/>
      <c r="N761" s="44"/>
    </row>
    <row r="762" spans="1:14" s="131" customFormat="1">
      <c r="A762" s="162" t="s">
        <v>241</v>
      </c>
      <c r="B762" s="162"/>
      <c r="C762" s="162"/>
      <c r="D762" s="162"/>
      <c r="E762" s="162"/>
      <c r="F762" s="162"/>
      <c r="G762" s="162"/>
      <c r="H762" s="162"/>
      <c r="I762" s="44"/>
      <c r="J762" s="96"/>
      <c r="K762" s="95"/>
      <c r="L762" s="163"/>
      <c r="M762" s="163"/>
    </row>
    <row r="763" spans="1:14" s="131" customFormat="1" ht="15.75" customHeight="1">
      <c r="A763" s="164">
        <v>1</v>
      </c>
      <c r="B763" s="164"/>
      <c r="C763" s="132" t="s">
        <v>204</v>
      </c>
      <c r="D763" s="132">
        <f>(50.46+0.75*(2.25+2.4+2.75+2.75))*10.764</f>
        <v>625.09239000000002</v>
      </c>
      <c r="E763" s="132">
        <v>0</v>
      </c>
      <c r="F763" s="48">
        <f>D763*(($F$358)+1)+E763/5</f>
        <v>1000.1478240000001</v>
      </c>
      <c r="G763" s="165" t="str">
        <f>A762</f>
        <v>7th &amp; 11th Floor (Part Refuge Area)</v>
      </c>
      <c r="H763" s="166"/>
      <c r="I763" s="93"/>
      <c r="J763" s="95"/>
      <c r="K763" s="95"/>
      <c r="L763" s="163"/>
      <c r="M763" s="163"/>
      <c r="N763" s="44"/>
    </row>
    <row r="764" spans="1:14" s="131" customFormat="1" ht="15.75" customHeight="1">
      <c r="A764" s="164">
        <f>A763+1</f>
        <v>2</v>
      </c>
      <c r="B764" s="164"/>
      <c r="C764" s="132" t="s">
        <v>152</v>
      </c>
      <c r="D764" s="132">
        <f>(59.25+0.75*(3.2+2.1+2.75+3.02+1.25))*10.764</f>
        <v>737.22635999999989</v>
      </c>
      <c r="E764" s="132">
        <v>0</v>
      </c>
      <c r="F764" s="48">
        <f>D764*(($F$358)+1)+E764/4</f>
        <v>1179.5621759999999</v>
      </c>
      <c r="G764" s="167"/>
      <c r="H764" s="168"/>
      <c r="I764" s="44"/>
      <c r="J764" s="95"/>
      <c r="K764" s="95"/>
      <c r="L764" s="163"/>
      <c r="M764" s="163"/>
      <c r="N764" s="44"/>
    </row>
    <row r="765" spans="1:14" s="131" customFormat="1" ht="15.75" customHeight="1">
      <c r="A765" s="164">
        <f>A764+1</f>
        <v>3</v>
      </c>
      <c r="B765" s="164"/>
      <c r="C765" s="132" t="s">
        <v>152</v>
      </c>
      <c r="D765" s="132">
        <f>(60.7+0.75*(3.2+2.1+2.75+3.02+1.3))*10.764</f>
        <v>753.23780999999997</v>
      </c>
      <c r="E765" s="132">
        <v>0</v>
      </c>
      <c r="F765" s="48">
        <f>D765*(($F$358)+1)+E765</f>
        <v>1205.1804959999999</v>
      </c>
      <c r="G765" s="167"/>
      <c r="H765" s="168"/>
      <c r="I765" s="44"/>
      <c r="J765" s="95"/>
      <c r="K765" s="95"/>
      <c r="L765" s="163"/>
      <c r="M765" s="163"/>
      <c r="N765" s="44"/>
    </row>
    <row r="766" spans="1:14" s="131" customFormat="1" ht="15.75" customHeight="1">
      <c r="A766" s="164">
        <f t="shared" ref="A766:A772" si="153">A765+1</f>
        <v>4</v>
      </c>
      <c r="B766" s="164"/>
      <c r="C766" s="132" t="s">
        <v>205</v>
      </c>
      <c r="D766" s="132">
        <f>(33.35+0.75*(3+2.3+2.75))*10.764</f>
        <v>423.96705000000003</v>
      </c>
      <c r="E766" s="132">
        <v>0</v>
      </c>
      <c r="F766" s="48">
        <f>D766*(($F$358)+1)+E766</f>
        <v>678.34728000000007</v>
      </c>
      <c r="G766" s="167"/>
      <c r="H766" s="168"/>
      <c r="I766" s="44"/>
      <c r="J766" s="95"/>
      <c r="K766" s="95"/>
      <c r="L766" s="163"/>
      <c r="M766" s="163"/>
      <c r="N766" s="44"/>
    </row>
    <row r="767" spans="1:14" s="131" customFormat="1" ht="15.75" customHeight="1">
      <c r="A767" s="164">
        <f t="shared" si="153"/>
        <v>5</v>
      </c>
      <c r="B767" s="164"/>
      <c r="C767" s="185" t="s">
        <v>232</v>
      </c>
      <c r="D767" s="186"/>
      <c r="E767" s="186"/>
      <c r="F767" s="187"/>
      <c r="G767" s="167"/>
      <c r="H767" s="168"/>
      <c r="I767" s="44"/>
      <c r="L767" s="163"/>
      <c r="M767" s="163"/>
      <c r="N767" s="44"/>
    </row>
    <row r="768" spans="1:14" s="131" customFormat="1" ht="15.75" customHeight="1">
      <c r="A768" s="164">
        <f t="shared" si="153"/>
        <v>6</v>
      </c>
      <c r="B768" s="164"/>
      <c r="C768" s="132" t="s">
        <v>205</v>
      </c>
      <c r="D768" s="132">
        <f t="shared" ref="D768:D769" si="154">(33.35+0.75*(3+2.3+2.75))*10.764</f>
        <v>423.96705000000003</v>
      </c>
      <c r="E768" s="132">
        <v>0</v>
      </c>
      <c r="F768" s="48">
        <f>D768*(($F$358)+1)+E768</f>
        <v>678.34728000000007</v>
      </c>
      <c r="G768" s="167"/>
      <c r="H768" s="168"/>
      <c r="I768" s="44"/>
      <c r="L768" s="163"/>
      <c r="M768" s="163"/>
      <c r="N768" s="44"/>
    </row>
    <row r="769" spans="1:14" s="131" customFormat="1" ht="15.75" customHeight="1">
      <c r="A769" s="164">
        <f t="shared" si="153"/>
        <v>7</v>
      </c>
      <c r="B769" s="164"/>
      <c r="C769" s="132" t="s">
        <v>205</v>
      </c>
      <c r="D769" s="132">
        <f t="shared" si="154"/>
        <v>423.96705000000003</v>
      </c>
      <c r="E769" s="132">
        <v>0</v>
      </c>
      <c r="F769" s="48">
        <f>D769*(($F$358)+1)+E769</f>
        <v>678.34728000000007</v>
      </c>
      <c r="G769" s="167"/>
      <c r="H769" s="168"/>
      <c r="I769" s="44"/>
      <c r="L769" s="163"/>
      <c r="M769" s="163"/>
      <c r="N769" s="44"/>
    </row>
    <row r="770" spans="1:14" s="131" customFormat="1" ht="15.75" customHeight="1">
      <c r="A770" s="164">
        <f t="shared" si="153"/>
        <v>8</v>
      </c>
      <c r="B770" s="164"/>
      <c r="C770" s="132" t="s">
        <v>152</v>
      </c>
      <c r="D770" s="132">
        <f>(60.6+0.75*(3.2+2.1+2.75+3.02+1.35))*10.764</f>
        <v>752.56506000000002</v>
      </c>
      <c r="E770" s="132">
        <v>0</v>
      </c>
      <c r="F770" s="48">
        <f>D770*(($F$358)+1)+E770</f>
        <v>1204.104096</v>
      </c>
      <c r="G770" s="167"/>
      <c r="H770" s="168"/>
      <c r="I770" s="44"/>
      <c r="L770" s="163"/>
      <c r="M770" s="163"/>
      <c r="N770" s="44"/>
    </row>
    <row r="771" spans="1:14" s="131" customFormat="1" ht="15.75" customHeight="1">
      <c r="A771" s="164">
        <f t="shared" si="153"/>
        <v>9</v>
      </c>
      <c r="B771" s="164"/>
      <c r="C771" s="132" t="s">
        <v>152</v>
      </c>
      <c r="D771" s="132">
        <f>(58.65+0.75*(3+2.1+2.75+3.02+1.25))*10.764</f>
        <v>729.15335999999991</v>
      </c>
      <c r="E771" s="132">
        <v>0</v>
      </c>
      <c r="F771" s="48">
        <f>D771*(($F$358)+1)+E771</f>
        <v>1166.6453759999999</v>
      </c>
      <c r="G771" s="167"/>
      <c r="H771" s="168"/>
      <c r="I771" s="44"/>
      <c r="L771" s="163"/>
      <c r="M771" s="163"/>
      <c r="N771" s="44"/>
    </row>
    <row r="772" spans="1:14" s="131" customFormat="1" ht="15.75" customHeight="1">
      <c r="A772" s="164">
        <f t="shared" si="153"/>
        <v>10</v>
      </c>
      <c r="B772" s="164"/>
      <c r="C772" s="132" t="s">
        <v>204</v>
      </c>
      <c r="D772" s="132">
        <f>(50.65+0.75*(2.85+2.64+3.05+2.9))*10.764</f>
        <v>637.55171999999993</v>
      </c>
      <c r="E772" s="132">
        <v>0</v>
      </c>
      <c r="F772" s="48">
        <f>D772*(($F$358)+1)+E772</f>
        <v>1020.0827519999999</v>
      </c>
      <c r="G772" s="169"/>
      <c r="H772" s="170"/>
      <c r="I772" s="44"/>
      <c r="L772" s="163"/>
      <c r="M772" s="163"/>
      <c r="N772" s="44"/>
    </row>
    <row r="773" spans="1:14" s="131" customFormat="1">
      <c r="A773" s="162" t="s">
        <v>242</v>
      </c>
      <c r="B773" s="162"/>
      <c r="C773" s="162"/>
      <c r="D773" s="162"/>
      <c r="E773" s="162"/>
      <c r="F773" s="162"/>
      <c r="G773" s="162"/>
      <c r="H773" s="162"/>
      <c r="I773" s="44"/>
      <c r="J773" s="96"/>
      <c r="K773" s="95"/>
      <c r="L773" s="163"/>
      <c r="M773" s="163"/>
    </row>
    <row r="774" spans="1:14" s="131" customFormat="1" ht="15.75" customHeight="1">
      <c r="A774" s="164">
        <v>1</v>
      </c>
      <c r="B774" s="164"/>
      <c r="C774" s="132" t="s">
        <v>204</v>
      </c>
      <c r="D774" s="136">
        <f>(52.92+0.75*(2.25+2.4+2.75+2.75))*10.764</f>
        <v>651.57182999999998</v>
      </c>
      <c r="E774" s="132">
        <v>0</v>
      </c>
      <c r="F774" s="48">
        <f>D774*(($F$358)+1)+E774/5</f>
        <v>1042.5149280000001</v>
      </c>
      <c r="G774" s="165" t="str">
        <f>A773</f>
        <v>16th Floor (Part Refuge Area)</v>
      </c>
      <c r="H774" s="166"/>
      <c r="I774" s="93"/>
      <c r="J774" s="95"/>
      <c r="K774" s="95"/>
      <c r="L774" s="163"/>
      <c r="M774" s="163"/>
      <c r="N774" s="44"/>
    </row>
    <row r="775" spans="1:14" s="131" customFormat="1" ht="15.75" customHeight="1">
      <c r="A775" s="164">
        <f>A774+1</f>
        <v>2</v>
      </c>
      <c r="B775" s="164"/>
      <c r="C775" s="132" t="s">
        <v>152</v>
      </c>
      <c r="D775" s="132">
        <f>(59.25+0.75*(3.2+2.1+2.75+3.02+1.25))*10.764</f>
        <v>737.22635999999989</v>
      </c>
      <c r="E775" s="132">
        <v>0</v>
      </c>
      <c r="F775" s="48">
        <f>D775*(($F$358)+1)+E775/4</f>
        <v>1179.5621759999999</v>
      </c>
      <c r="G775" s="167"/>
      <c r="H775" s="168"/>
      <c r="I775" s="44"/>
      <c r="J775" s="95"/>
      <c r="K775" s="95"/>
      <c r="L775" s="163"/>
      <c r="M775" s="163"/>
      <c r="N775" s="44"/>
    </row>
    <row r="776" spans="1:14" s="131" customFormat="1" ht="15.75" customHeight="1">
      <c r="A776" s="164">
        <f>A775+1</f>
        <v>3</v>
      </c>
      <c r="B776" s="164"/>
      <c r="C776" s="132" t="s">
        <v>152</v>
      </c>
      <c r="D776" s="132">
        <f>(60.7+0.75*(3.2+2.1+2.75+3.02+1.3))*10.764</f>
        <v>753.23780999999997</v>
      </c>
      <c r="E776" s="132">
        <v>0</v>
      </c>
      <c r="F776" s="48">
        <f t="shared" ref="F776:F777" si="155">D776*(($F$358)+1)+E776</f>
        <v>1205.1804959999999</v>
      </c>
      <c r="G776" s="167"/>
      <c r="H776" s="168"/>
      <c r="I776" s="44"/>
      <c r="J776" s="95"/>
      <c r="K776" s="95"/>
      <c r="L776" s="163"/>
      <c r="M776" s="163"/>
      <c r="N776" s="44"/>
    </row>
    <row r="777" spans="1:14" s="131" customFormat="1" ht="15.75" customHeight="1">
      <c r="A777" s="164">
        <f t="shared" ref="A777:A783" si="156">A776+1</f>
        <v>4</v>
      </c>
      <c r="B777" s="164"/>
      <c r="C777" s="132" t="s">
        <v>205</v>
      </c>
      <c r="D777" s="132">
        <f>(33.55+0.75*(3+2.3+2.75))*10.764</f>
        <v>426.11984999999999</v>
      </c>
      <c r="E777" s="132">
        <v>0</v>
      </c>
      <c r="F777" s="48">
        <f t="shared" si="155"/>
        <v>681.79176000000007</v>
      </c>
      <c r="G777" s="167"/>
      <c r="H777" s="168"/>
      <c r="I777" s="44"/>
      <c r="J777" s="95"/>
      <c r="K777" s="95"/>
      <c r="L777" s="163"/>
      <c r="M777" s="163"/>
      <c r="N777" s="44"/>
    </row>
    <row r="778" spans="1:14" s="131" customFormat="1" ht="15.75" customHeight="1">
      <c r="A778" s="164">
        <f t="shared" si="156"/>
        <v>5</v>
      </c>
      <c r="B778" s="164"/>
      <c r="C778" s="185" t="s">
        <v>232</v>
      </c>
      <c r="D778" s="186"/>
      <c r="E778" s="186"/>
      <c r="F778" s="187"/>
      <c r="G778" s="167"/>
      <c r="H778" s="168"/>
      <c r="I778" s="44"/>
      <c r="L778" s="163"/>
      <c r="M778" s="163"/>
      <c r="N778" s="44"/>
    </row>
    <row r="779" spans="1:14" s="131" customFormat="1" ht="15.75" customHeight="1">
      <c r="A779" s="164">
        <f t="shared" si="156"/>
        <v>6</v>
      </c>
      <c r="B779" s="164"/>
      <c r="C779" s="132" t="s">
        <v>205</v>
      </c>
      <c r="D779" s="132">
        <f t="shared" ref="D779:D780" si="157">(33.55+0.75*(3+2.3+2.75))*10.764</f>
        <v>426.11984999999999</v>
      </c>
      <c r="E779" s="132">
        <v>0</v>
      </c>
      <c r="F779" s="48">
        <f t="shared" ref="F779:F783" si="158">D779*(($F$358)+1)+E779</f>
        <v>681.79176000000007</v>
      </c>
      <c r="G779" s="167"/>
      <c r="H779" s="168"/>
      <c r="I779" s="44"/>
      <c r="L779" s="163"/>
      <c r="M779" s="163"/>
      <c r="N779" s="44"/>
    </row>
    <row r="780" spans="1:14" s="131" customFormat="1" ht="15.75" customHeight="1">
      <c r="A780" s="164">
        <f t="shared" si="156"/>
        <v>7</v>
      </c>
      <c r="B780" s="164"/>
      <c r="C780" s="132" t="s">
        <v>205</v>
      </c>
      <c r="D780" s="132">
        <f t="shared" si="157"/>
        <v>426.11984999999999</v>
      </c>
      <c r="E780" s="132">
        <v>0</v>
      </c>
      <c r="F780" s="48">
        <f t="shared" si="158"/>
        <v>681.79176000000007</v>
      </c>
      <c r="G780" s="167"/>
      <c r="H780" s="168"/>
      <c r="I780" s="44"/>
      <c r="L780" s="163"/>
      <c r="M780" s="163"/>
      <c r="N780" s="44"/>
    </row>
    <row r="781" spans="1:14" s="131" customFormat="1" ht="15.75" customHeight="1">
      <c r="A781" s="164">
        <f t="shared" si="156"/>
        <v>8</v>
      </c>
      <c r="B781" s="164"/>
      <c r="C781" s="132" t="s">
        <v>152</v>
      </c>
      <c r="D781" s="132">
        <f>(60.6+0.75*(3.2+2.1+2.75+3.02+1.35))*10.764</f>
        <v>752.56506000000002</v>
      </c>
      <c r="E781" s="132">
        <v>0</v>
      </c>
      <c r="F781" s="48">
        <f t="shared" si="158"/>
        <v>1204.104096</v>
      </c>
      <c r="G781" s="167"/>
      <c r="H781" s="168"/>
      <c r="I781" s="44"/>
      <c r="L781" s="163"/>
      <c r="M781" s="163"/>
      <c r="N781" s="44"/>
    </row>
    <row r="782" spans="1:14" s="131" customFormat="1" ht="15.75" customHeight="1">
      <c r="A782" s="164">
        <f t="shared" si="156"/>
        <v>9</v>
      </c>
      <c r="B782" s="164"/>
      <c r="C782" s="132" t="s">
        <v>152</v>
      </c>
      <c r="D782" s="132">
        <f>(58.65+0.75*(3+2.1+2.75+3.02+1.25))*10.764</f>
        <v>729.15335999999991</v>
      </c>
      <c r="E782" s="132">
        <v>0</v>
      </c>
      <c r="F782" s="48">
        <f t="shared" si="158"/>
        <v>1166.6453759999999</v>
      </c>
      <c r="G782" s="167"/>
      <c r="H782" s="168"/>
      <c r="I782" s="44"/>
      <c r="L782" s="163"/>
      <c r="M782" s="163"/>
      <c r="N782" s="44"/>
    </row>
    <row r="783" spans="1:14" s="131" customFormat="1" ht="15.75" customHeight="1">
      <c r="A783" s="164">
        <f t="shared" si="156"/>
        <v>10</v>
      </c>
      <c r="B783" s="164"/>
      <c r="C783" s="132" t="s">
        <v>204</v>
      </c>
      <c r="D783" s="132">
        <f>(54.2+0.75*(2.85+2.64+3.05+2.9))*10.764</f>
        <v>675.76391999999998</v>
      </c>
      <c r="E783" s="132">
        <v>0</v>
      </c>
      <c r="F783" s="48">
        <f t="shared" si="158"/>
        <v>1081.222272</v>
      </c>
      <c r="G783" s="169"/>
      <c r="H783" s="170"/>
      <c r="I783" s="44"/>
      <c r="L783" s="163"/>
      <c r="M783" s="163"/>
      <c r="N783" s="44"/>
    </row>
    <row r="784" spans="1:14" s="131" customFormat="1">
      <c r="A784" s="162" t="s">
        <v>291</v>
      </c>
      <c r="B784" s="162"/>
      <c r="C784" s="162"/>
      <c r="D784" s="162"/>
      <c r="E784" s="162"/>
      <c r="F784" s="162"/>
      <c r="G784" s="162"/>
      <c r="H784" s="162"/>
      <c r="I784" s="44"/>
      <c r="J784" s="96"/>
      <c r="K784" s="95"/>
      <c r="L784" s="163"/>
      <c r="M784" s="163"/>
    </row>
    <row r="785" spans="1:14" s="131" customFormat="1" ht="15.75" customHeight="1">
      <c r="A785" s="164">
        <v>1</v>
      </c>
      <c r="B785" s="164"/>
      <c r="C785" s="132" t="s">
        <v>204</v>
      </c>
      <c r="D785" s="136">
        <f>(52.92+0.75*(2.25+2.4+2.75+2.75))*10.764</f>
        <v>651.57182999999998</v>
      </c>
      <c r="E785" s="132">
        <v>0</v>
      </c>
      <c r="F785" s="48">
        <f>D785*(($F$358)+1)+E785/5</f>
        <v>1042.5149280000001</v>
      </c>
      <c r="G785" s="165" t="str">
        <f>A784</f>
        <v>17th Floor</v>
      </c>
      <c r="H785" s="166"/>
      <c r="I785" s="93"/>
      <c r="J785" s="95"/>
      <c r="K785" s="95"/>
      <c r="L785" s="163"/>
      <c r="M785" s="163"/>
      <c r="N785" s="44"/>
    </row>
    <row r="786" spans="1:14" s="131" customFormat="1" ht="15.75" customHeight="1">
      <c r="A786" s="164">
        <f>A785+1</f>
        <v>2</v>
      </c>
      <c r="B786" s="164"/>
      <c r="C786" s="132" t="s">
        <v>152</v>
      </c>
      <c r="D786" s="132">
        <f>(59.25+0.75*(3.2+2.1+2.75+3.02+1.25))*10.764</f>
        <v>737.22635999999989</v>
      </c>
      <c r="E786" s="132">
        <v>0</v>
      </c>
      <c r="F786" s="48">
        <f>D786*(($F$358)+1)+E786/4</f>
        <v>1179.5621759999999</v>
      </c>
      <c r="G786" s="167"/>
      <c r="H786" s="168"/>
      <c r="I786" s="44"/>
      <c r="J786" s="95"/>
      <c r="K786" s="95"/>
      <c r="L786" s="163"/>
      <c r="M786" s="163"/>
      <c r="N786" s="44"/>
    </row>
    <row r="787" spans="1:14" s="131" customFormat="1" ht="15.75" customHeight="1">
      <c r="A787" s="164">
        <f>A786+1</f>
        <v>3</v>
      </c>
      <c r="B787" s="164"/>
      <c r="C787" s="132" t="s">
        <v>152</v>
      </c>
      <c r="D787" s="132">
        <f>(60.7+0.75*(3.2+2.1+2.75+3.02+1.35))*10.764</f>
        <v>753.64145999999994</v>
      </c>
      <c r="E787" s="132">
        <v>0</v>
      </c>
      <c r="F787" s="48">
        <f t="shared" ref="F787:F789" si="159">D787*(($F$358)+1)+E787</f>
        <v>1205.8263359999999</v>
      </c>
      <c r="G787" s="167"/>
      <c r="H787" s="168"/>
      <c r="I787" s="44"/>
      <c r="J787" s="95"/>
      <c r="K787" s="95"/>
      <c r="L787" s="163"/>
      <c r="M787" s="163"/>
      <c r="N787" s="44"/>
    </row>
    <row r="788" spans="1:14" s="131" customFormat="1" ht="15.75" customHeight="1">
      <c r="A788" s="164">
        <f t="shared" ref="A788:A794" si="160">A787+1</f>
        <v>4</v>
      </c>
      <c r="B788" s="164"/>
      <c r="C788" s="132" t="s">
        <v>205</v>
      </c>
      <c r="D788" s="132">
        <f>(33.55+0.75*(3+2.3+2.75))*10.764</f>
        <v>426.11984999999999</v>
      </c>
      <c r="E788" s="132">
        <v>0</v>
      </c>
      <c r="F788" s="48">
        <f t="shared" si="159"/>
        <v>681.79176000000007</v>
      </c>
      <c r="G788" s="167"/>
      <c r="H788" s="168"/>
      <c r="I788" s="44"/>
      <c r="J788" s="95"/>
      <c r="K788" s="95"/>
      <c r="L788" s="163"/>
      <c r="M788" s="163"/>
      <c r="N788" s="44"/>
    </row>
    <row r="789" spans="1:14" s="131" customFormat="1" ht="15.75" customHeight="1">
      <c r="A789" s="164">
        <f t="shared" si="160"/>
        <v>5</v>
      </c>
      <c r="B789" s="164"/>
      <c r="C789" s="132" t="s">
        <v>205</v>
      </c>
      <c r="D789" s="132">
        <f>(33.55+0.75*(3+2.3+2.75))*10.764</f>
        <v>426.11984999999999</v>
      </c>
      <c r="E789" s="132">
        <v>0</v>
      </c>
      <c r="F789" s="48">
        <f t="shared" si="159"/>
        <v>681.79176000000007</v>
      </c>
      <c r="G789" s="167"/>
      <c r="H789" s="168"/>
      <c r="I789" s="44"/>
      <c r="L789" s="163"/>
      <c r="M789" s="163"/>
      <c r="N789" s="44"/>
    </row>
    <row r="790" spans="1:14" s="131" customFormat="1" ht="15.75" customHeight="1">
      <c r="A790" s="164">
        <f t="shared" si="160"/>
        <v>6</v>
      </c>
      <c r="B790" s="164"/>
      <c r="C790" s="132" t="s">
        <v>205</v>
      </c>
      <c r="D790" s="132">
        <f t="shared" ref="D790:D791" si="161">(33.55+0.75*(3+2.3+2.75))*10.764</f>
        <v>426.11984999999999</v>
      </c>
      <c r="E790" s="132">
        <v>0</v>
      </c>
      <c r="F790" s="48">
        <f t="shared" ref="F790:F794" si="162">D790*(($F$358)+1)+E790</f>
        <v>681.79176000000007</v>
      </c>
      <c r="G790" s="167"/>
      <c r="H790" s="168"/>
      <c r="I790" s="44"/>
      <c r="L790" s="163"/>
      <c r="M790" s="163"/>
      <c r="N790" s="44"/>
    </row>
    <row r="791" spans="1:14" s="131" customFormat="1" ht="15.75" customHeight="1">
      <c r="A791" s="164">
        <f t="shared" si="160"/>
        <v>7</v>
      </c>
      <c r="B791" s="164"/>
      <c r="C791" s="132" t="s">
        <v>205</v>
      </c>
      <c r="D791" s="132">
        <f t="shared" si="161"/>
        <v>426.11984999999999</v>
      </c>
      <c r="E791" s="132">
        <v>0</v>
      </c>
      <c r="F791" s="48">
        <f t="shared" si="162"/>
        <v>681.79176000000007</v>
      </c>
      <c r="G791" s="167"/>
      <c r="H791" s="168"/>
      <c r="I791" s="44"/>
      <c r="L791" s="163"/>
      <c r="M791" s="163"/>
      <c r="N791" s="44"/>
    </row>
    <row r="792" spans="1:14" s="131" customFormat="1" ht="15.75" customHeight="1">
      <c r="A792" s="164">
        <f t="shared" si="160"/>
        <v>8</v>
      </c>
      <c r="B792" s="164"/>
      <c r="C792" s="132" t="s">
        <v>152</v>
      </c>
      <c r="D792" s="132">
        <f>(60.6+0.75*(3.2+2.1+2.75+3.02+1.35))*10.764</f>
        <v>752.56506000000002</v>
      </c>
      <c r="E792" s="132">
        <v>0</v>
      </c>
      <c r="F792" s="48">
        <f t="shared" si="162"/>
        <v>1204.104096</v>
      </c>
      <c r="G792" s="167"/>
      <c r="H792" s="168"/>
      <c r="I792" s="44"/>
      <c r="L792" s="163"/>
      <c r="M792" s="163"/>
      <c r="N792" s="44"/>
    </row>
    <row r="793" spans="1:14" s="131" customFormat="1" ht="15.75" customHeight="1">
      <c r="A793" s="164">
        <f t="shared" si="160"/>
        <v>9</v>
      </c>
      <c r="B793" s="164"/>
      <c r="C793" s="132" t="s">
        <v>152</v>
      </c>
      <c r="D793" s="132">
        <f>(58.65+0.75*(3+2.1+2.75+3.02+1.25))*10.764</f>
        <v>729.15335999999991</v>
      </c>
      <c r="E793" s="132">
        <v>0</v>
      </c>
      <c r="F793" s="48">
        <f t="shared" si="162"/>
        <v>1166.6453759999999</v>
      </c>
      <c r="G793" s="167"/>
      <c r="H793" s="168"/>
      <c r="I793" s="44"/>
      <c r="L793" s="163"/>
      <c r="M793" s="163"/>
      <c r="N793" s="44"/>
    </row>
    <row r="794" spans="1:14" s="131" customFormat="1" ht="15.75" customHeight="1">
      <c r="A794" s="164">
        <f t="shared" si="160"/>
        <v>10</v>
      </c>
      <c r="B794" s="164"/>
      <c r="C794" s="132" t="s">
        <v>204</v>
      </c>
      <c r="D794" s="132">
        <f>(54.2+0.75*(2.85+2.64+3.05+2.9))*10.764</f>
        <v>675.76391999999998</v>
      </c>
      <c r="E794" s="132">
        <v>0</v>
      </c>
      <c r="F794" s="48">
        <f t="shared" si="162"/>
        <v>1081.222272</v>
      </c>
      <c r="G794" s="169"/>
      <c r="H794" s="170"/>
      <c r="I794" s="44"/>
      <c r="L794" s="163"/>
      <c r="M794" s="163"/>
      <c r="N794" s="44"/>
    </row>
    <row r="795" spans="1:14" s="131" customFormat="1">
      <c r="A795" s="162" t="s">
        <v>292</v>
      </c>
      <c r="B795" s="162"/>
      <c r="C795" s="162"/>
      <c r="D795" s="162"/>
      <c r="E795" s="162"/>
      <c r="F795" s="162"/>
      <c r="G795" s="162"/>
      <c r="H795" s="162"/>
      <c r="I795" s="44"/>
      <c r="J795" s="96"/>
      <c r="K795" s="95"/>
      <c r="L795" s="163"/>
      <c r="M795" s="163"/>
    </row>
    <row r="796" spans="1:14" s="131" customFormat="1" ht="15.75" customHeight="1">
      <c r="A796" s="164">
        <v>1</v>
      </c>
      <c r="B796" s="164"/>
      <c r="C796" s="132" t="s">
        <v>204</v>
      </c>
      <c r="D796" s="136">
        <f>(52.92+0.75*(2.25+2.4+2.75+2.75))*10.764</f>
        <v>651.57182999999998</v>
      </c>
      <c r="E796" s="132">
        <v>0</v>
      </c>
      <c r="F796" s="48">
        <f>D796*(($F$358)+1)+E796/5</f>
        <v>1042.5149280000001</v>
      </c>
      <c r="G796" s="165" t="str">
        <f>A795</f>
        <v>18th to 20th Floor</v>
      </c>
      <c r="H796" s="166"/>
      <c r="I796" s="93"/>
      <c r="J796" s="95"/>
      <c r="K796" s="95"/>
      <c r="L796" s="163"/>
      <c r="M796" s="163"/>
      <c r="N796" s="44"/>
    </row>
    <row r="797" spans="1:14" s="131" customFormat="1" ht="15.75" customHeight="1">
      <c r="A797" s="164">
        <f>A796+1</f>
        <v>2</v>
      </c>
      <c r="B797" s="164"/>
      <c r="C797" s="132" t="s">
        <v>152</v>
      </c>
      <c r="D797" s="132">
        <f>(59.25+0.75*(3.2+2.1+2.75+3.02+1.25))*10.764</f>
        <v>737.22635999999989</v>
      </c>
      <c r="E797" s="132">
        <v>0</v>
      </c>
      <c r="F797" s="48">
        <f>D797*(($F$358)+1)+E797/4</f>
        <v>1179.5621759999999</v>
      </c>
      <c r="G797" s="167"/>
      <c r="H797" s="168"/>
      <c r="I797" s="44"/>
      <c r="J797" s="95"/>
      <c r="K797" s="95"/>
      <c r="L797" s="163"/>
      <c r="M797" s="163"/>
      <c r="N797" s="44"/>
    </row>
    <row r="798" spans="1:14" s="131" customFormat="1" ht="15.75" customHeight="1">
      <c r="A798" s="164">
        <f>A797+1</f>
        <v>3</v>
      </c>
      <c r="B798" s="164"/>
      <c r="C798" s="132" t="s">
        <v>152</v>
      </c>
      <c r="D798" s="132">
        <f>(64.1+0.75*(3.2+2.1+2.75+3.02+1.35))*10.764</f>
        <v>790.23905999999988</v>
      </c>
      <c r="E798" s="132">
        <v>0</v>
      </c>
      <c r="F798" s="48">
        <f t="shared" ref="F798:F805" si="163">D798*(($F$358)+1)+E798</f>
        <v>1264.3824959999999</v>
      </c>
      <c r="G798" s="167"/>
      <c r="H798" s="168"/>
      <c r="I798" s="44"/>
      <c r="J798" s="95"/>
      <c r="K798" s="95"/>
      <c r="L798" s="163"/>
      <c r="M798" s="163"/>
      <c r="N798" s="44"/>
    </row>
    <row r="799" spans="1:14" s="131" customFormat="1" ht="15.75" customHeight="1">
      <c r="A799" s="164">
        <f t="shared" ref="A799:A805" si="164">A798+1</f>
        <v>4</v>
      </c>
      <c r="B799" s="164"/>
      <c r="C799" s="132" t="s">
        <v>205</v>
      </c>
      <c r="D799" s="132">
        <f>(33.55+0.75*(3+2.3+2.75))*10.764</f>
        <v>426.11984999999999</v>
      </c>
      <c r="E799" s="132">
        <v>0</v>
      </c>
      <c r="F799" s="48">
        <f t="shared" si="163"/>
        <v>681.79176000000007</v>
      </c>
      <c r="G799" s="167"/>
      <c r="H799" s="168"/>
      <c r="I799" s="44"/>
      <c r="J799" s="95"/>
      <c r="K799" s="95"/>
      <c r="L799" s="163"/>
      <c r="M799" s="163"/>
      <c r="N799" s="44"/>
    </row>
    <row r="800" spans="1:14" s="131" customFormat="1" ht="15.75" customHeight="1">
      <c r="A800" s="164">
        <f t="shared" si="164"/>
        <v>5</v>
      </c>
      <c r="B800" s="164"/>
      <c r="C800" s="132" t="s">
        <v>205</v>
      </c>
      <c r="D800" s="132">
        <f t="shared" ref="D800:D802" si="165">(33.55+0.75*(3+2.3+2.75))*10.764</f>
        <v>426.11984999999999</v>
      </c>
      <c r="E800" s="132">
        <v>0</v>
      </c>
      <c r="F800" s="48">
        <f t="shared" si="163"/>
        <v>681.79176000000007</v>
      </c>
      <c r="G800" s="167"/>
      <c r="H800" s="168"/>
      <c r="I800" s="44"/>
      <c r="L800" s="163"/>
      <c r="M800" s="163"/>
      <c r="N800" s="44"/>
    </row>
    <row r="801" spans="1:14" s="131" customFormat="1" ht="15.75" customHeight="1">
      <c r="A801" s="164">
        <f t="shared" si="164"/>
        <v>6</v>
      </c>
      <c r="B801" s="164"/>
      <c r="C801" s="132" t="s">
        <v>205</v>
      </c>
      <c r="D801" s="132">
        <f t="shared" si="165"/>
        <v>426.11984999999999</v>
      </c>
      <c r="E801" s="132">
        <v>0</v>
      </c>
      <c r="F801" s="48">
        <f t="shared" si="163"/>
        <v>681.79176000000007</v>
      </c>
      <c r="G801" s="167"/>
      <c r="H801" s="168"/>
      <c r="I801" s="44"/>
      <c r="L801" s="163"/>
      <c r="M801" s="163"/>
      <c r="N801" s="44"/>
    </row>
    <row r="802" spans="1:14" s="131" customFormat="1" ht="15.75" customHeight="1">
      <c r="A802" s="164">
        <f t="shared" si="164"/>
        <v>7</v>
      </c>
      <c r="B802" s="164"/>
      <c r="C802" s="132" t="s">
        <v>205</v>
      </c>
      <c r="D802" s="132">
        <f t="shared" si="165"/>
        <v>426.11984999999999</v>
      </c>
      <c r="E802" s="132">
        <v>0</v>
      </c>
      <c r="F802" s="48">
        <f t="shared" si="163"/>
        <v>681.79176000000007</v>
      </c>
      <c r="G802" s="167"/>
      <c r="H802" s="168"/>
      <c r="I802" s="44"/>
      <c r="L802" s="163"/>
      <c r="M802" s="163"/>
      <c r="N802" s="44"/>
    </row>
    <row r="803" spans="1:14" s="131" customFormat="1" ht="15.75" customHeight="1">
      <c r="A803" s="164">
        <f t="shared" si="164"/>
        <v>8</v>
      </c>
      <c r="B803" s="164"/>
      <c r="C803" s="132" t="s">
        <v>152</v>
      </c>
      <c r="D803" s="132">
        <f>(64+0.75*(3.2+2.1+2.75+3.02+1.35))*10.764</f>
        <v>789.16265999999996</v>
      </c>
      <c r="E803" s="132">
        <v>0</v>
      </c>
      <c r="F803" s="48">
        <f t="shared" si="163"/>
        <v>1262.6602560000001</v>
      </c>
      <c r="G803" s="167"/>
      <c r="H803" s="168"/>
      <c r="I803" s="44"/>
      <c r="L803" s="163"/>
      <c r="M803" s="163"/>
      <c r="N803" s="44"/>
    </row>
    <row r="804" spans="1:14" s="131" customFormat="1" ht="15.75" customHeight="1">
      <c r="A804" s="164">
        <f t="shared" si="164"/>
        <v>9</v>
      </c>
      <c r="B804" s="164"/>
      <c r="C804" s="132" t="s">
        <v>152</v>
      </c>
      <c r="D804" s="132">
        <f>(58.65+0.75*(3+2.1+2.75+3.02+1.25))*10.764</f>
        <v>729.15335999999991</v>
      </c>
      <c r="E804" s="132">
        <v>0</v>
      </c>
      <c r="F804" s="48">
        <f t="shared" si="163"/>
        <v>1166.6453759999999</v>
      </c>
      <c r="G804" s="167"/>
      <c r="H804" s="168"/>
      <c r="I804" s="44"/>
      <c r="L804" s="163"/>
      <c r="M804" s="163"/>
      <c r="N804" s="44"/>
    </row>
    <row r="805" spans="1:14" s="131" customFormat="1" ht="15.75" customHeight="1">
      <c r="A805" s="164">
        <f t="shared" si="164"/>
        <v>10</v>
      </c>
      <c r="B805" s="164"/>
      <c r="C805" s="132" t="s">
        <v>204</v>
      </c>
      <c r="D805" s="132">
        <f>(54.2+0.75*(2.85+2.64+3.05+2.9))*10.764</f>
        <v>675.76391999999998</v>
      </c>
      <c r="E805" s="132">
        <v>0</v>
      </c>
      <c r="F805" s="48">
        <f t="shared" si="163"/>
        <v>1081.222272</v>
      </c>
      <c r="G805" s="169"/>
      <c r="H805" s="170"/>
      <c r="I805" s="44"/>
      <c r="L805" s="163"/>
      <c r="M805" s="163"/>
      <c r="N805" s="44"/>
    </row>
    <row r="806" spans="1:14" s="135" customFormat="1">
      <c r="A806" s="162" t="s">
        <v>296</v>
      </c>
      <c r="B806" s="162"/>
      <c r="C806" s="162"/>
      <c r="D806" s="162"/>
      <c r="E806" s="162"/>
      <c r="F806" s="162"/>
      <c r="G806" s="162"/>
      <c r="H806" s="162"/>
      <c r="I806" s="44"/>
      <c r="J806" s="96"/>
      <c r="K806" s="95"/>
      <c r="L806" s="163"/>
      <c r="M806" s="163"/>
    </row>
    <row r="807" spans="1:14" s="135" customFormat="1" ht="15.75" customHeight="1">
      <c r="A807" s="164">
        <v>1</v>
      </c>
      <c r="B807" s="164"/>
      <c r="C807" s="136" t="s">
        <v>204</v>
      </c>
      <c r="D807" s="136">
        <f>(52.92+0.75*(2.25+2.4+2.75+2.75))*10.764</f>
        <v>651.57182999999998</v>
      </c>
      <c r="E807" s="136">
        <v>0</v>
      </c>
      <c r="F807" s="48">
        <f>D807*(($F$358)+1)+E807/5</f>
        <v>1042.5149280000001</v>
      </c>
      <c r="G807" s="165" t="str">
        <f>A806</f>
        <v>21st Floor (Part Refuge Area)</v>
      </c>
      <c r="H807" s="166"/>
      <c r="I807" s="93"/>
      <c r="J807" s="95"/>
      <c r="K807" s="95"/>
      <c r="L807" s="163"/>
      <c r="M807" s="163"/>
      <c r="N807" s="44"/>
    </row>
    <row r="808" spans="1:14" s="135" customFormat="1" ht="15.75" customHeight="1">
      <c r="A808" s="164">
        <f>A807+1</f>
        <v>2</v>
      </c>
      <c r="B808" s="164"/>
      <c r="C808" s="136" t="s">
        <v>152</v>
      </c>
      <c r="D808" s="136">
        <f>(59.25+0.75*(3.2+2.1+2.75+3.02+1.25))*10.764</f>
        <v>737.22635999999989</v>
      </c>
      <c r="E808" s="136">
        <v>0</v>
      </c>
      <c r="F808" s="48">
        <f>D808*(($F$358)+1)+E808/4</f>
        <v>1179.5621759999999</v>
      </c>
      <c r="G808" s="167"/>
      <c r="H808" s="168"/>
      <c r="I808" s="44"/>
      <c r="J808" s="95"/>
      <c r="K808" s="95"/>
      <c r="L808" s="163"/>
      <c r="M808" s="163"/>
      <c r="N808" s="44"/>
    </row>
    <row r="809" spans="1:14" s="135" customFormat="1" ht="15.75" customHeight="1">
      <c r="A809" s="164">
        <f>A808+1</f>
        <v>3</v>
      </c>
      <c r="B809" s="164"/>
      <c r="C809" s="136" t="s">
        <v>152</v>
      </c>
      <c r="D809" s="136">
        <f>(64.1+0.75*(3.2+2.1+2.75+3.02+1.35))*10.764</f>
        <v>790.23905999999988</v>
      </c>
      <c r="E809" s="136">
        <v>0</v>
      </c>
      <c r="F809" s="48">
        <f t="shared" ref="F809:F816" si="166">D809*(($F$358)+1)+E809</f>
        <v>1264.3824959999999</v>
      </c>
      <c r="G809" s="167"/>
      <c r="H809" s="168"/>
      <c r="I809" s="44"/>
      <c r="J809" s="95"/>
      <c r="K809" s="95"/>
      <c r="L809" s="163"/>
      <c r="M809" s="163"/>
      <c r="N809" s="44"/>
    </row>
    <row r="810" spans="1:14" s="135" customFormat="1" ht="15.75" customHeight="1">
      <c r="A810" s="164">
        <f t="shared" ref="A810:A816" si="167">A809+1</f>
        <v>4</v>
      </c>
      <c r="B810" s="164"/>
      <c r="C810" s="136" t="s">
        <v>205</v>
      </c>
      <c r="D810" s="136">
        <f>(33.55+0.75*(3+2.3+2.75))*10.764</f>
        <v>426.11984999999999</v>
      </c>
      <c r="E810" s="136">
        <v>0</v>
      </c>
      <c r="F810" s="48">
        <f t="shared" si="166"/>
        <v>681.79176000000007</v>
      </c>
      <c r="G810" s="167"/>
      <c r="H810" s="168"/>
      <c r="I810" s="44"/>
      <c r="J810" s="95"/>
      <c r="K810" s="95"/>
      <c r="L810" s="163"/>
      <c r="M810" s="163"/>
      <c r="N810" s="44"/>
    </row>
    <row r="811" spans="1:14" s="135" customFormat="1" ht="15.75" customHeight="1">
      <c r="A811" s="164">
        <f t="shared" si="167"/>
        <v>5</v>
      </c>
      <c r="B811" s="164"/>
      <c r="C811" s="185" t="s">
        <v>232</v>
      </c>
      <c r="D811" s="186"/>
      <c r="E811" s="186"/>
      <c r="F811" s="187"/>
      <c r="G811" s="167"/>
      <c r="H811" s="168"/>
      <c r="I811" s="44"/>
      <c r="L811" s="163"/>
      <c r="M811" s="163"/>
      <c r="N811" s="44"/>
    </row>
    <row r="812" spans="1:14" s="135" customFormat="1" ht="15.75" customHeight="1">
      <c r="A812" s="164">
        <f t="shared" si="167"/>
        <v>6</v>
      </c>
      <c r="B812" s="164"/>
      <c r="C812" s="136" t="s">
        <v>205</v>
      </c>
      <c r="D812" s="136">
        <f t="shared" ref="D812:D813" si="168">(33.55+0.75*(3+2.3+2.75))*10.764</f>
        <v>426.11984999999999</v>
      </c>
      <c r="E812" s="136">
        <v>0</v>
      </c>
      <c r="F812" s="48">
        <f t="shared" si="166"/>
        <v>681.79176000000007</v>
      </c>
      <c r="G812" s="167"/>
      <c r="H812" s="168"/>
      <c r="I812" s="44"/>
      <c r="L812" s="163"/>
      <c r="M812" s="163"/>
      <c r="N812" s="44"/>
    </row>
    <row r="813" spans="1:14" s="135" customFormat="1" ht="15.75" customHeight="1">
      <c r="A813" s="164">
        <f t="shared" si="167"/>
        <v>7</v>
      </c>
      <c r="B813" s="164"/>
      <c r="C813" s="136" t="s">
        <v>205</v>
      </c>
      <c r="D813" s="136">
        <f t="shared" si="168"/>
        <v>426.11984999999999</v>
      </c>
      <c r="E813" s="136">
        <v>0</v>
      </c>
      <c r="F813" s="48">
        <f t="shared" si="166"/>
        <v>681.79176000000007</v>
      </c>
      <c r="G813" s="167"/>
      <c r="H813" s="168"/>
      <c r="I813" s="44"/>
      <c r="L813" s="163"/>
      <c r="M813" s="163"/>
      <c r="N813" s="44"/>
    </row>
    <row r="814" spans="1:14" s="135" customFormat="1" ht="15.75" customHeight="1">
      <c r="A814" s="164">
        <f t="shared" si="167"/>
        <v>8</v>
      </c>
      <c r="B814" s="164"/>
      <c r="C814" s="136" t="s">
        <v>152</v>
      </c>
      <c r="D814" s="136">
        <f>(64+0.75*(3.2+2.1+2.75+3.02+1.35))*10.764</f>
        <v>789.16265999999996</v>
      </c>
      <c r="E814" s="136">
        <v>0</v>
      </c>
      <c r="F814" s="48">
        <f t="shared" si="166"/>
        <v>1262.6602560000001</v>
      </c>
      <c r="G814" s="167"/>
      <c r="H814" s="168"/>
      <c r="I814" s="44"/>
      <c r="L814" s="163"/>
      <c r="M814" s="163"/>
      <c r="N814" s="44"/>
    </row>
    <row r="815" spans="1:14" s="135" customFormat="1" ht="15.75" customHeight="1">
      <c r="A815" s="164">
        <f t="shared" si="167"/>
        <v>9</v>
      </c>
      <c r="B815" s="164"/>
      <c r="C815" s="136" t="s">
        <v>152</v>
      </c>
      <c r="D815" s="136">
        <f>(58.65+0.75*(3+2.1+2.75+3.02+1.25))*10.764</f>
        <v>729.15335999999991</v>
      </c>
      <c r="E815" s="136">
        <v>0</v>
      </c>
      <c r="F815" s="48">
        <f t="shared" si="166"/>
        <v>1166.6453759999999</v>
      </c>
      <c r="G815" s="167"/>
      <c r="H815" s="168"/>
      <c r="I815" s="44"/>
      <c r="L815" s="163"/>
      <c r="M815" s="163"/>
      <c r="N815" s="44"/>
    </row>
    <row r="816" spans="1:14" s="135" customFormat="1" ht="15.75" customHeight="1">
      <c r="A816" s="164">
        <f t="shared" si="167"/>
        <v>10</v>
      </c>
      <c r="B816" s="164"/>
      <c r="C816" s="136" t="s">
        <v>204</v>
      </c>
      <c r="D816" s="136">
        <f>(54.25+0.75*(2.85+2.64+3.05+2.9))*10.764</f>
        <v>676.30211999999995</v>
      </c>
      <c r="E816" s="136">
        <v>0</v>
      </c>
      <c r="F816" s="48">
        <f t="shared" si="166"/>
        <v>1082.083392</v>
      </c>
      <c r="G816" s="169"/>
      <c r="H816" s="170"/>
      <c r="I816" s="44"/>
      <c r="L816" s="163"/>
      <c r="M816" s="163"/>
      <c r="N816" s="44"/>
    </row>
    <row r="817" spans="1:14" s="135" customFormat="1">
      <c r="A817" s="162" t="s">
        <v>297</v>
      </c>
      <c r="B817" s="162"/>
      <c r="C817" s="162"/>
      <c r="D817" s="162"/>
      <c r="E817" s="162"/>
      <c r="F817" s="162"/>
      <c r="G817" s="162"/>
      <c r="H817" s="162"/>
      <c r="I817" s="44"/>
      <c r="J817" s="96"/>
      <c r="K817" s="95"/>
      <c r="L817" s="163"/>
      <c r="M817" s="163"/>
    </row>
    <row r="818" spans="1:14" s="135" customFormat="1" ht="15.75" customHeight="1">
      <c r="A818" s="164">
        <v>1</v>
      </c>
      <c r="B818" s="164"/>
      <c r="C818" s="136" t="s">
        <v>204</v>
      </c>
      <c r="D818" s="136">
        <f>(52.92+0.75*(2.25+2.4+2.75+2.75))*10.764</f>
        <v>651.57182999999998</v>
      </c>
      <c r="E818" s="136">
        <v>0</v>
      </c>
      <c r="F818" s="48">
        <f>D818*(($F$358)+1)+E818/5</f>
        <v>1042.5149280000001</v>
      </c>
      <c r="G818" s="165" t="str">
        <f>A817</f>
        <v>22nd to 25th Floor</v>
      </c>
      <c r="H818" s="166"/>
      <c r="I818" s="93"/>
      <c r="J818" s="95"/>
      <c r="K818" s="95"/>
      <c r="L818" s="163"/>
      <c r="M818" s="163"/>
      <c r="N818" s="44"/>
    </row>
    <row r="819" spans="1:14" s="135" customFormat="1" ht="15.75" customHeight="1">
      <c r="A819" s="164">
        <f>A818+1</f>
        <v>2</v>
      </c>
      <c r="B819" s="164"/>
      <c r="C819" s="136" t="s">
        <v>152</v>
      </c>
      <c r="D819" s="136">
        <f>(64.25+0.75*(3.2+2.1+2.75+3.02+1.25))*10.764</f>
        <v>791.04635999999994</v>
      </c>
      <c r="E819" s="136">
        <v>0</v>
      </c>
      <c r="F819" s="48">
        <f>D819*(($F$358)+1)+E819/4</f>
        <v>1265.674176</v>
      </c>
      <c r="G819" s="167"/>
      <c r="H819" s="168"/>
      <c r="I819" s="44"/>
      <c r="J819" s="95"/>
      <c r="K819" s="95"/>
      <c r="L819" s="163"/>
      <c r="M819" s="163"/>
      <c r="N819" s="44"/>
    </row>
    <row r="820" spans="1:14" s="135" customFormat="1" ht="15.75" customHeight="1">
      <c r="A820" s="164">
        <f>A819+1</f>
        <v>3</v>
      </c>
      <c r="B820" s="164"/>
      <c r="C820" s="136" t="s">
        <v>152</v>
      </c>
      <c r="D820" s="136">
        <f>(64.1+0.75*(3.2+2.1+2.75+3.02+1.35))*10.764</f>
        <v>790.23905999999988</v>
      </c>
      <c r="E820" s="136">
        <v>0</v>
      </c>
      <c r="F820" s="48">
        <f t="shared" ref="F820:F827" si="169">D820*(($F$358)+1)+E820</f>
        <v>1264.3824959999999</v>
      </c>
      <c r="G820" s="167"/>
      <c r="H820" s="168"/>
      <c r="I820" s="44"/>
      <c r="J820" s="95"/>
      <c r="K820" s="95"/>
      <c r="L820" s="163"/>
      <c r="M820" s="163"/>
      <c r="N820" s="44"/>
    </row>
    <row r="821" spans="1:14" s="135" customFormat="1" ht="15.75" customHeight="1">
      <c r="A821" s="164">
        <f t="shared" ref="A821:A827" si="170">A820+1</f>
        <v>4</v>
      </c>
      <c r="B821" s="164"/>
      <c r="C821" s="136" t="s">
        <v>205</v>
      </c>
      <c r="D821" s="136">
        <f>(33.55+0.75*(3+2.3+2.75))*10.764</f>
        <v>426.11984999999999</v>
      </c>
      <c r="E821" s="136">
        <v>0</v>
      </c>
      <c r="F821" s="48">
        <f t="shared" si="169"/>
        <v>681.79176000000007</v>
      </c>
      <c r="G821" s="167"/>
      <c r="H821" s="168"/>
      <c r="I821" s="44"/>
      <c r="J821" s="95"/>
      <c r="K821" s="95"/>
      <c r="L821" s="163"/>
      <c r="M821" s="163"/>
      <c r="N821" s="44"/>
    </row>
    <row r="822" spans="1:14" s="135" customFormat="1" ht="15.75" customHeight="1">
      <c r="A822" s="164">
        <f t="shared" si="170"/>
        <v>5</v>
      </c>
      <c r="B822" s="164"/>
      <c r="C822" s="136" t="s">
        <v>205</v>
      </c>
      <c r="D822" s="136">
        <f t="shared" ref="D822:D824" si="171">(33.55+0.75*(3+2.3+2.75))*10.764</f>
        <v>426.11984999999999</v>
      </c>
      <c r="E822" s="136">
        <v>0</v>
      </c>
      <c r="F822" s="48">
        <f t="shared" si="169"/>
        <v>681.79176000000007</v>
      </c>
      <c r="G822" s="167"/>
      <c r="H822" s="168"/>
      <c r="I822" s="44"/>
      <c r="L822" s="163"/>
      <c r="M822" s="163"/>
      <c r="N822" s="44"/>
    </row>
    <row r="823" spans="1:14" s="135" customFormat="1" ht="15.75" customHeight="1">
      <c r="A823" s="164">
        <f t="shared" si="170"/>
        <v>6</v>
      </c>
      <c r="B823" s="164"/>
      <c r="C823" s="136" t="s">
        <v>205</v>
      </c>
      <c r="D823" s="136">
        <f t="shared" si="171"/>
        <v>426.11984999999999</v>
      </c>
      <c r="E823" s="136">
        <v>0</v>
      </c>
      <c r="F823" s="48">
        <f t="shared" si="169"/>
        <v>681.79176000000007</v>
      </c>
      <c r="G823" s="167"/>
      <c r="H823" s="168"/>
      <c r="I823" s="44"/>
      <c r="L823" s="163"/>
      <c r="M823" s="163"/>
      <c r="N823" s="44"/>
    </row>
    <row r="824" spans="1:14" s="135" customFormat="1" ht="15.75" customHeight="1">
      <c r="A824" s="164">
        <f t="shared" si="170"/>
        <v>7</v>
      </c>
      <c r="B824" s="164"/>
      <c r="C824" s="136" t="s">
        <v>205</v>
      </c>
      <c r="D824" s="136">
        <f t="shared" si="171"/>
        <v>426.11984999999999</v>
      </c>
      <c r="E824" s="136">
        <v>0</v>
      </c>
      <c r="F824" s="48">
        <f t="shared" si="169"/>
        <v>681.79176000000007</v>
      </c>
      <c r="G824" s="167"/>
      <c r="H824" s="168"/>
      <c r="I824" s="44"/>
      <c r="L824" s="163"/>
      <c r="M824" s="163"/>
      <c r="N824" s="44"/>
    </row>
    <row r="825" spans="1:14" s="135" customFormat="1" ht="15.75" customHeight="1">
      <c r="A825" s="164">
        <f t="shared" si="170"/>
        <v>8</v>
      </c>
      <c r="B825" s="164"/>
      <c r="C825" s="136" t="s">
        <v>152</v>
      </c>
      <c r="D825" s="136">
        <f>(64+0.75*(3.2+2.1+2.75+3.02+1.35))*10.764</f>
        <v>789.16265999999996</v>
      </c>
      <c r="E825" s="136">
        <v>0</v>
      </c>
      <c r="F825" s="48">
        <f t="shared" si="169"/>
        <v>1262.6602560000001</v>
      </c>
      <c r="G825" s="167"/>
      <c r="H825" s="168"/>
      <c r="I825" s="44"/>
      <c r="L825" s="163"/>
      <c r="M825" s="163"/>
      <c r="N825" s="44"/>
    </row>
    <row r="826" spans="1:14" s="135" customFormat="1" ht="15.75" customHeight="1">
      <c r="A826" s="164">
        <f t="shared" si="170"/>
        <v>9</v>
      </c>
      <c r="B826" s="164"/>
      <c r="C826" s="136" t="s">
        <v>152</v>
      </c>
      <c r="D826" s="136">
        <f>(63.55+0.75*(3+2.1+2.75+3.02+1.25))*10.764</f>
        <v>781.89695999999992</v>
      </c>
      <c r="E826" s="136">
        <v>0</v>
      </c>
      <c r="F826" s="48">
        <f t="shared" si="169"/>
        <v>1251.035136</v>
      </c>
      <c r="G826" s="167"/>
      <c r="H826" s="168"/>
      <c r="I826" s="44"/>
      <c r="L826" s="163"/>
      <c r="M826" s="163"/>
      <c r="N826" s="44"/>
    </row>
    <row r="827" spans="1:14" s="135" customFormat="1" ht="15.75" customHeight="1">
      <c r="A827" s="164">
        <f t="shared" si="170"/>
        <v>10</v>
      </c>
      <c r="B827" s="164"/>
      <c r="C827" s="136" t="s">
        <v>204</v>
      </c>
      <c r="D827" s="136">
        <f>(54.25+0.75*(2.85+2.64+3.05+2.9))*10.764</f>
        <v>676.30211999999995</v>
      </c>
      <c r="E827" s="136">
        <v>0</v>
      </c>
      <c r="F827" s="48">
        <f t="shared" si="169"/>
        <v>1082.083392</v>
      </c>
      <c r="G827" s="169"/>
      <c r="H827" s="170"/>
      <c r="I827" s="44"/>
      <c r="L827" s="163"/>
      <c r="M827" s="163"/>
      <c r="N827" s="44"/>
    </row>
    <row r="828" spans="1:14" s="135" customFormat="1">
      <c r="A828" s="162" t="s">
        <v>298</v>
      </c>
      <c r="B828" s="162"/>
      <c r="C828" s="162"/>
      <c r="D828" s="162"/>
      <c r="E828" s="162"/>
      <c r="F828" s="162"/>
      <c r="G828" s="162"/>
      <c r="H828" s="162"/>
      <c r="I828" s="44"/>
      <c r="J828" s="96"/>
      <c r="K828" s="95"/>
      <c r="L828" s="163"/>
      <c r="M828" s="163"/>
    </row>
    <row r="829" spans="1:14" s="135" customFormat="1" ht="15.75" customHeight="1">
      <c r="A829" s="164">
        <v>1</v>
      </c>
      <c r="B829" s="164"/>
      <c r="C829" s="136" t="s">
        <v>204</v>
      </c>
      <c r="D829" s="136">
        <f>(52.92+0.75*(2.25+2.4+2.75+2.75))*10.764</f>
        <v>651.57182999999998</v>
      </c>
      <c r="E829" s="136">
        <v>0</v>
      </c>
      <c r="F829" s="48">
        <f>D829*(($F$358)+1)+E829/5</f>
        <v>1042.5149280000001</v>
      </c>
      <c r="G829" s="165" t="str">
        <f>A828</f>
        <v>26th Floor (Part Refuge Area)</v>
      </c>
      <c r="H829" s="166"/>
      <c r="I829" s="93"/>
      <c r="J829" s="95"/>
      <c r="K829" s="95"/>
      <c r="L829" s="163"/>
      <c r="M829" s="163"/>
      <c r="N829" s="44"/>
    </row>
    <row r="830" spans="1:14" s="135" customFormat="1" ht="15.75" customHeight="1">
      <c r="A830" s="164">
        <f>A829+1</f>
        <v>2</v>
      </c>
      <c r="B830" s="164"/>
      <c r="C830" s="136" t="s">
        <v>152</v>
      </c>
      <c r="D830" s="136">
        <f>(59.25+0.75*(3.2+2.1+2.75+3.02+1.25))*10.764</f>
        <v>737.22635999999989</v>
      </c>
      <c r="E830" s="136">
        <v>0</v>
      </c>
      <c r="F830" s="48">
        <f>D830*(($F$358)+1)+E830/4</f>
        <v>1179.5621759999999</v>
      </c>
      <c r="G830" s="167"/>
      <c r="H830" s="168"/>
      <c r="I830" s="44"/>
      <c r="J830" s="95"/>
      <c r="K830" s="95"/>
      <c r="L830" s="163"/>
      <c r="M830" s="163"/>
      <c r="N830" s="44"/>
    </row>
    <row r="831" spans="1:14" s="135" customFormat="1" ht="15.75" customHeight="1">
      <c r="A831" s="164">
        <f>A830+1</f>
        <v>3</v>
      </c>
      <c r="B831" s="164"/>
      <c r="C831" s="136" t="s">
        <v>152</v>
      </c>
      <c r="D831" s="136">
        <f>(64.1+0.75*(3.2+2.1+2.75+3.02+1.35))*10.764</f>
        <v>790.23905999999988</v>
      </c>
      <c r="E831" s="136">
        <v>0</v>
      </c>
      <c r="F831" s="48">
        <f t="shared" ref="F831:F838" si="172">D831*(($F$358)+1)+E831</f>
        <v>1264.3824959999999</v>
      </c>
      <c r="G831" s="167"/>
      <c r="H831" s="168"/>
      <c r="I831" s="44"/>
      <c r="J831" s="95"/>
      <c r="K831" s="95"/>
      <c r="L831" s="163"/>
      <c r="M831" s="163"/>
      <c r="N831" s="44"/>
    </row>
    <row r="832" spans="1:14" s="135" customFormat="1" ht="15.75" customHeight="1">
      <c r="A832" s="164">
        <f t="shared" ref="A832:A838" si="173">A831+1</f>
        <v>4</v>
      </c>
      <c r="B832" s="164"/>
      <c r="C832" s="136" t="s">
        <v>205</v>
      </c>
      <c r="D832" s="136">
        <f>(33.55+0.75*(3+2.3+2.75))*10.764</f>
        <v>426.11984999999999</v>
      </c>
      <c r="E832" s="136">
        <v>0</v>
      </c>
      <c r="F832" s="48">
        <f t="shared" si="172"/>
        <v>681.79176000000007</v>
      </c>
      <c r="G832" s="167"/>
      <c r="H832" s="168"/>
      <c r="I832" s="44"/>
      <c r="J832" s="95"/>
      <c r="K832" s="95"/>
      <c r="L832" s="163"/>
      <c r="M832" s="163"/>
      <c r="N832" s="44"/>
    </row>
    <row r="833" spans="1:14" s="135" customFormat="1" ht="15.75" customHeight="1">
      <c r="A833" s="164">
        <f t="shared" si="173"/>
        <v>5</v>
      </c>
      <c r="B833" s="164"/>
      <c r="C833" s="185" t="s">
        <v>232</v>
      </c>
      <c r="D833" s="186"/>
      <c r="E833" s="186"/>
      <c r="F833" s="187"/>
      <c r="G833" s="167"/>
      <c r="H833" s="168"/>
      <c r="I833" s="44"/>
      <c r="L833" s="163"/>
      <c r="M833" s="163"/>
      <c r="N833" s="44"/>
    </row>
    <row r="834" spans="1:14" s="135" customFormat="1" ht="15.75" customHeight="1">
      <c r="A834" s="164">
        <f t="shared" si="173"/>
        <v>6</v>
      </c>
      <c r="B834" s="164"/>
      <c r="C834" s="136" t="s">
        <v>205</v>
      </c>
      <c r="D834" s="136">
        <f t="shared" ref="D834:D835" si="174">(33.55+0.75*(3+2.3+2.75))*10.764</f>
        <v>426.11984999999999</v>
      </c>
      <c r="E834" s="136">
        <v>0</v>
      </c>
      <c r="F834" s="48">
        <f t="shared" si="172"/>
        <v>681.79176000000007</v>
      </c>
      <c r="G834" s="167"/>
      <c r="H834" s="168"/>
      <c r="I834" s="44"/>
      <c r="L834" s="163"/>
      <c r="M834" s="163"/>
      <c r="N834" s="44"/>
    </row>
    <row r="835" spans="1:14" s="135" customFormat="1" ht="15.75" customHeight="1">
      <c r="A835" s="164">
        <f t="shared" si="173"/>
        <v>7</v>
      </c>
      <c r="B835" s="164"/>
      <c r="C835" s="136" t="s">
        <v>205</v>
      </c>
      <c r="D835" s="136">
        <f t="shared" si="174"/>
        <v>426.11984999999999</v>
      </c>
      <c r="E835" s="136">
        <v>0</v>
      </c>
      <c r="F835" s="48">
        <f t="shared" si="172"/>
        <v>681.79176000000007</v>
      </c>
      <c r="G835" s="167"/>
      <c r="H835" s="168"/>
      <c r="I835" s="44"/>
      <c r="L835" s="163"/>
      <c r="M835" s="163"/>
      <c r="N835" s="44"/>
    </row>
    <row r="836" spans="1:14" s="135" customFormat="1" ht="15.75" customHeight="1">
      <c r="A836" s="164">
        <f t="shared" si="173"/>
        <v>8</v>
      </c>
      <c r="B836" s="164"/>
      <c r="C836" s="136" t="s">
        <v>152</v>
      </c>
      <c r="D836" s="136">
        <f>(64+0.75*(3.2+2.1+2.75+3.02+1.35))*10.764</f>
        <v>789.16265999999996</v>
      </c>
      <c r="E836" s="136">
        <v>0</v>
      </c>
      <c r="F836" s="48">
        <f t="shared" si="172"/>
        <v>1262.6602560000001</v>
      </c>
      <c r="G836" s="167"/>
      <c r="H836" s="168"/>
      <c r="I836" s="44"/>
      <c r="L836" s="163"/>
      <c r="M836" s="163"/>
      <c r="N836" s="44"/>
    </row>
    <row r="837" spans="1:14" s="135" customFormat="1" ht="15.75" customHeight="1">
      <c r="A837" s="164">
        <f t="shared" si="173"/>
        <v>9</v>
      </c>
      <c r="B837" s="164"/>
      <c r="C837" s="136" t="s">
        <v>152</v>
      </c>
      <c r="D837" s="136">
        <f>(59.65+0.75*(3+2.1+2.75+3.02+1.25))*10.764</f>
        <v>739.91735999999992</v>
      </c>
      <c r="E837" s="136">
        <v>0</v>
      </c>
      <c r="F837" s="48">
        <f t="shared" si="172"/>
        <v>1183.8677759999998</v>
      </c>
      <c r="G837" s="167"/>
      <c r="H837" s="168"/>
      <c r="I837" s="44"/>
      <c r="L837" s="163"/>
      <c r="M837" s="163"/>
      <c r="N837" s="44"/>
    </row>
    <row r="838" spans="1:14" s="135" customFormat="1" ht="15.75" customHeight="1">
      <c r="A838" s="164">
        <f t="shared" si="173"/>
        <v>10</v>
      </c>
      <c r="B838" s="164"/>
      <c r="C838" s="136" t="s">
        <v>204</v>
      </c>
      <c r="D838" s="136">
        <f>(54.25+0.75*(2.85+2.64+3.05+2.9))*10.764</f>
        <v>676.30211999999995</v>
      </c>
      <c r="E838" s="136">
        <v>0</v>
      </c>
      <c r="F838" s="48">
        <f t="shared" si="172"/>
        <v>1082.083392</v>
      </c>
      <c r="G838" s="169"/>
      <c r="H838" s="170"/>
      <c r="I838" s="44"/>
      <c r="L838" s="163"/>
      <c r="M838" s="163"/>
      <c r="N838" s="44"/>
    </row>
    <row r="839" spans="1:14" s="135" customFormat="1">
      <c r="A839" s="162" t="s">
        <v>299</v>
      </c>
      <c r="B839" s="162"/>
      <c r="C839" s="162"/>
      <c r="D839" s="162"/>
      <c r="E839" s="162"/>
      <c r="F839" s="162"/>
      <c r="G839" s="162"/>
      <c r="H839" s="162"/>
      <c r="I839" s="44"/>
      <c r="J839" s="96"/>
      <c r="K839" s="95"/>
      <c r="L839" s="163"/>
      <c r="M839" s="163"/>
    </row>
    <row r="840" spans="1:14" s="135" customFormat="1" ht="15.75" customHeight="1">
      <c r="A840" s="164">
        <v>1</v>
      </c>
      <c r="B840" s="164"/>
      <c r="C840" s="136" t="s">
        <v>204</v>
      </c>
      <c r="D840" s="136">
        <f>(52.92+0.75*(2.25+2.4+2.75+2.75))*10.764</f>
        <v>651.57182999999998</v>
      </c>
      <c r="E840" s="136">
        <v>0</v>
      </c>
      <c r="F840" s="48">
        <f>D840*(($F$358)+1)+E840/5</f>
        <v>1042.5149280000001</v>
      </c>
      <c r="G840" s="165" t="str">
        <f>A839</f>
        <v>27th Floor (Part Terrace Area)</v>
      </c>
      <c r="H840" s="166"/>
      <c r="I840" s="93"/>
      <c r="J840" s="95"/>
      <c r="K840" s="95"/>
      <c r="L840" s="163"/>
      <c r="M840" s="163"/>
      <c r="N840" s="44"/>
    </row>
    <row r="841" spans="1:14" s="135" customFormat="1" ht="15.75" customHeight="1">
      <c r="A841" s="164">
        <f>A840+1</f>
        <v>2</v>
      </c>
      <c r="B841" s="164"/>
      <c r="C841" s="165" t="s">
        <v>300</v>
      </c>
      <c r="D841" s="317"/>
      <c r="E841" s="317"/>
      <c r="F841" s="166"/>
      <c r="G841" s="167"/>
      <c r="H841" s="168"/>
      <c r="I841" s="44"/>
      <c r="J841" s="95"/>
      <c r="K841" s="95"/>
      <c r="L841" s="163"/>
      <c r="M841" s="163"/>
      <c r="N841" s="44"/>
    </row>
    <row r="842" spans="1:14" s="135" customFormat="1" ht="15.75" customHeight="1">
      <c r="A842" s="164">
        <f>A841+1</f>
        <v>3</v>
      </c>
      <c r="B842" s="164"/>
      <c r="C842" s="169"/>
      <c r="D842" s="318"/>
      <c r="E842" s="318"/>
      <c r="F842" s="170"/>
      <c r="G842" s="167"/>
      <c r="H842" s="168"/>
      <c r="I842" s="44"/>
      <c r="J842" s="95"/>
      <c r="K842" s="95"/>
      <c r="L842" s="163"/>
      <c r="M842" s="163"/>
      <c r="N842" s="44"/>
    </row>
    <row r="843" spans="1:14" s="135" customFormat="1" ht="15.75" customHeight="1">
      <c r="A843" s="164">
        <f t="shared" ref="A843:A849" si="175">A842+1</f>
        <v>4</v>
      </c>
      <c r="B843" s="164"/>
      <c r="C843" s="136" t="s">
        <v>205</v>
      </c>
      <c r="D843" s="136">
        <f>(33.55+0.75*(3+2.3+2.75))*10.764</f>
        <v>426.11984999999999</v>
      </c>
      <c r="E843" s="136">
        <v>0</v>
      </c>
      <c r="F843" s="48">
        <f t="shared" ref="F843:F845" si="176">D843*(($F$358)+1)+E843</f>
        <v>681.79176000000007</v>
      </c>
      <c r="G843" s="167"/>
      <c r="H843" s="168"/>
      <c r="I843" s="44"/>
      <c r="J843" s="95"/>
      <c r="K843" s="95"/>
      <c r="L843" s="163"/>
      <c r="M843" s="163"/>
      <c r="N843" s="44"/>
    </row>
    <row r="844" spans="1:14" s="135" customFormat="1" ht="15.75" customHeight="1">
      <c r="A844" s="164">
        <f t="shared" si="175"/>
        <v>5</v>
      </c>
      <c r="B844" s="164"/>
      <c r="C844" s="136" t="s">
        <v>205</v>
      </c>
      <c r="D844" s="136">
        <f t="shared" ref="D844:D845" si="177">(33.55+0.75*(3+2.3+2.75))*10.764</f>
        <v>426.11984999999999</v>
      </c>
      <c r="E844" s="136">
        <v>0</v>
      </c>
      <c r="F844" s="48">
        <f t="shared" si="176"/>
        <v>681.79176000000007</v>
      </c>
      <c r="G844" s="167"/>
      <c r="H844" s="168"/>
      <c r="I844" s="44"/>
      <c r="L844" s="163"/>
      <c r="M844" s="163"/>
      <c r="N844" s="44"/>
    </row>
    <row r="845" spans="1:14" s="135" customFormat="1" ht="15.75" customHeight="1">
      <c r="A845" s="164">
        <f t="shared" si="175"/>
        <v>6</v>
      </c>
      <c r="B845" s="164"/>
      <c r="C845" s="136" t="s">
        <v>205</v>
      </c>
      <c r="D845" s="136">
        <f t="shared" si="177"/>
        <v>426.11984999999999</v>
      </c>
      <c r="E845" s="136">
        <v>0</v>
      </c>
      <c r="F845" s="48">
        <f t="shared" si="176"/>
        <v>681.79176000000007</v>
      </c>
      <c r="G845" s="167"/>
      <c r="H845" s="168"/>
      <c r="I845" s="44"/>
      <c r="L845" s="163"/>
      <c r="M845" s="163"/>
      <c r="N845" s="44"/>
    </row>
    <row r="846" spans="1:14" s="135" customFormat="1" ht="15.75" customHeight="1">
      <c r="A846" s="164">
        <f t="shared" si="175"/>
        <v>7</v>
      </c>
      <c r="B846" s="164"/>
      <c r="C846" s="165" t="s">
        <v>300</v>
      </c>
      <c r="D846" s="317"/>
      <c r="E846" s="317"/>
      <c r="F846" s="166"/>
      <c r="G846" s="167"/>
      <c r="H846" s="168"/>
      <c r="I846" s="44"/>
      <c r="L846" s="163"/>
      <c r="M846" s="163"/>
      <c r="N846" s="44"/>
    </row>
    <row r="847" spans="1:14" s="135" customFormat="1" ht="15.75" customHeight="1">
      <c r="A847" s="164">
        <f t="shared" si="175"/>
        <v>8</v>
      </c>
      <c r="B847" s="164"/>
      <c r="C847" s="167"/>
      <c r="D847" s="319"/>
      <c r="E847" s="319"/>
      <c r="F847" s="168"/>
      <c r="G847" s="167"/>
      <c r="H847" s="168"/>
      <c r="I847" s="44"/>
      <c r="L847" s="163"/>
      <c r="M847" s="163"/>
      <c r="N847" s="44"/>
    </row>
    <row r="848" spans="1:14" s="135" customFormat="1" ht="15.75" customHeight="1">
      <c r="A848" s="164">
        <f t="shared" si="175"/>
        <v>9</v>
      </c>
      <c r="B848" s="164"/>
      <c r="C848" s="167"/>
      <c r="D848" s="319"/>
      <c r="E848" s="319"/>
      <c r="F848" s="168"/>
      <c r="G848" s="167"/>
      <c r="H848" s="168"/>
      <c r="I848" s="44"/>
      <c r="L848" s="163"/>
      <c r="M848" s="163"/>
      <c r="N848" s="44"/>
    </row>
    <row r="849" spans="1:14" s="135" customFormat="1" ht="15.75" customHeight="1">
      <c r="A849" s="164">
        <f t="shared" si="175"/>
        <v>10</v>
      </c>
      <c r="B849" s="164"/>
      <c r="C849" s="169"/>
      <c r="D849" s="318"/>
      <c r="E849" s="318"/>
      <c r="F849" s="170"/>
      <c r="G849" s="169"/>
      <c r="H849" s="170"/>
      <c r="I849" s="44"/>
      <c r="L849" s="163"/>
      <c r="M849" s="163"/>
      <c r="N849" s="44"/>
    </row>
    <row r="850" spans="1:14" s="1" customFormat="1">
      <c r="A850" s="292" t="s">
        <v>76</v>
      </c>
      <c r="B850" s="292"/>
      <c r="C850" s="292"/>
      <c r="D850" s="292"/>
      <c r="E850" s="292"/>
      <c r="F850" s="292"/>
      <c r="G850" s="292"/>
      <c r="H850" s="292"/>
    </row>
    <row r="851" spans="1:14" s="1" customFormat="1" ht="49" customHeight="1">
      <c r="A851" s="57">
        <v>1</v>
      </c>
      <c r="B851" s="158" t="s">
        <v>334</v>
      </c>
      <c r="C851" s="159"/>
      <c r="D851" s="159"/>
      <c r="E851" s="159"/>
      <c r="F851" s="159"/>
      <c r="G851" s="159"/>
      <c r="H851" s="160"/>
    </row>
    <row r="852" spans="1:14" s="1" customFormat="1">
      <c r="A852" s="57">
        <f>A851+1</f>
        <v>2</v>
      </c>
      <c r="B852" s="158" t="s">
        <v>212</v>
      </c>
      <c r="C852" s="159"/>
      <c r="D852" s="159"/>
      <c r="E852" s="159"/>
      <c r="F852" s="159"/>
      <c r="G852" s="159"/>
      <c r="H852" s="160"/>
    </row>
    <row r="853" spans="1:14" s="1" customFormat="1">
      <c r="A853" s="122">
        <f t="shared" ref="A853:A865" si="178">A852+1</f>
        <v>3</v>
      </c>
      <c r="B853" s="158" t="s">
        <v>167</v>
      </c>
      <c r="C853" s="159"/>
      <c r="D853" s="159"/>
      <c r="E853" s="159"/>
      <c r="F853" s="159"/>
      <c r="G853" s="159"/>
      <c r="H853" s="160"/>
    </row>
    <row r="854" spans="1:14" s="1" customFormat="1">
      <c r="A854" s="122">
        <f t="shared" si="178"/>
        <v>4</v>
      </c>
      <c r="B854" s="158" t="s">
        <v>237</v>
      </c>
      <c r="C854" s="159"/>
      <c r="D854" s="159"/>
      <c r="E854" s="159"/>
      <c r="F854" s="159"/>
      <c r="G854" s="159"/>
      <c r="H854" s="160"/>
    </row>
    <row r="855" spans="1:14" s="1" customFormat="1">
      <c r="A855" s="122">
        <f t="shared" si="178"/>
        <v>5</v>
      </c>
      <c r="B855" s="158" t="s">
        <v>168</v>
      </c>
      <c r="C855" s="159"/>
      <c r="D855" s="159"/>
      <c r="E855" s="159"/>
      <c r="F855" s="159"/>
      <c r="G855" s="159"/>
      <c r="H855" s="160"/>
    </row>
    <row r="856" spans="1:14" s="1" customFormat="1">
      <c r="A856" s="122">
        <f t="shared" si="178"/>
        <v>6</v>
      </c>
      <c r="B856" s="232" t="s">
        <v>169</v>
      </c>
      <c r="C856" s="233"/>
      <c r="D856" s="233"/>
      <c r="E856" s="233"/>
      <c r="F856" s="233"/>
      <c r="G856" s="233"/>
      <c r="H856" s="234"/>
    </row>
    <row r="857" spans="1:14" s="1" customFormat="1" ht="17.25" customHeight="1">
      <c r="A857" s="122">
        <f t="shared" si="178"/>
        <v>7</v>
      </c>
      <c r="B857" s="158" t="s">
        <v>276</v>
      </c>
      <c r="C857" s="159"/>
      <c r="D857" s="159"/>
      <c r="E857" s="159"/>
      <c r="F857" s="159"/>
      <c r="G857" s="159"/>
      <c r="H857" s="160"/>
    </row>
    <row r="858" spans="1:14" s="1" customFormat="1">
      <c r="A858" s="122">
        <f t="shared" si="178"/>
        <v>8</v>
      </c>
      <c r="B858" s="158" t="s">
        <v>280</v>
      </c>
      <c r="C858" s="159"/>
      <c r="D858" s="159"/>
      <c r="E858" s="159"/>
      <c r="F858" s="159"/>
      <c r="G858" s="159"/>
      <c r="H858" s="160"/>
    </row>
    <row r="859" spans="1:14" s="1" customFormat="1">
      <c r="A859" s="125">
        <f t="shared" si="178"/>
        <v>9</v>
      </c>
      <c r="B859" s="158" t="s">
        <v>288</v>
      </c>
      <c r="C859" s="159"/>
      <c r="D859" s="159"/>
      <c r="E859" s="159"/>
      <c r="F859" s="159"/>
      <c r="G859" s="159"/>
      <c r="H859" s="160"/>
    </row>
    <row r="860" spans="1:14" s="1" customFormat="1">
      <c r="A860" s="134">
        <f t="shared" si="178"/>
        <v>10</v>
      </c>
      <c r="B860" s="158" t="s">
        <v>294</v>
      </c>
      <c r="C860" s="159"/>
      <c r="D860" s="159"/>
      <c r="E860" s="159"/>
      <c r="F860" s="159"/>
      <c r="G860" s="159"/>
      <c r="H860" s="160"/>
    </row>
    <row r="861" spans="1:14" s="1" customFormat="1" ht="64.5" customHeight="1">
      <c r="A861" s="134">
        <f t="shared" si="178"/>
        <v>11</v>
      </c>
      <c r="B861" s="158" t="s">
        <v>295</v>
      </c>
      <c r="C861" s="159"/>
      <c r="D861" s="159"/>
      <c r="E861" s="159"/>
      <c r="F861" s="159"/>
      <c r="G861" s="159"/>
      <c r="H861" s="160"/>
    </row>
    <row r="862" spans="1:14" s="1" customFormat="1" ht="35.25" customHeight="1">
      <c r="A862" s="138">
        <f t="shared" si="178"/>
        <v>12</v>
      </c>
      <c r="B862" s="158" t="s">
        <v>303</v>
      </c>
      <c r="C862" s="159"/>
      <c r="D862" s="159"/>
      <c r="E862" s="159"/>
      <c r="F862" s="159"/>
      <c r="G862" s="159"/>
      <c r="H862" s="160"/>
      <c r="I862" s="174" t="s">
        <v>304</v>
      </c>
      <c r="J862" s="175"/>
      <c r="K862" s="175"/>
    </row>
    <row r="863" spans="1:14" s="1" customFormat="1" ht="32" customHeight="1">
      <c r="A863" s="141">
        <f t="shared" si="178"/>
        <v>13</v>
      </c>
      <c r="B863" s="171" t="s">
        <v>337</v>
      </c>
      <c r="C863" s="172"/>
      <c r="D863" s="172"/>
      <c r="E863" s="172"/>
      <c r="F863" s="172"/>
      <c r="G863" s="172"/>
      <c r="H863" s="173"/>
    </row>
    <row r="864" spans="1:14" s="1" customFormat="1">
      <c r="A864" s="139">
        <f t="shared" si="178"/>
        <v>14</v>
      </c>
      <c r="B864" s="158" t="s">
        <v>306</v>
      </c>
      <c r="C864" s="159"/>
      <c r="D864" s="159"/>
      <c r="E864" s="159"/>
      <c r="F864" s="159"/>
      <c r="G864" s="159"/>
      <c r="H864" s="160"/>
      <c r="I864" s="143"/>
      <c r="J864" s="144"/>
      <c r="K864" s="144"/>
    </row>
    <row r="865" spans="1:11" s="1" customFormat="1">
      <c r="A865" s="151">
        <f t="shared" si="178"/>
        <v>15</v>
      </c>
      <c r="B865" s="158" t="s">
        <v>318</v>
      </c>
      <c r="C865" s="159"/>
      <c r="D865" s="159"/>
      <c r="E865" s="159"/>
      <c r="F865" s="159"/>
      <c r="G865" s="159"/>
      <c r="H865" s="160"/>
      <c r="I865" s="143"/>
      <c r="J865" s="144"/>
      <c r="K865" s="144"/>
    </row>
    <row r="866" spans="1:11">
      <c r="A866" s="293" t="s">
        <v>69</v>
      </c>
      <c r="B866" s="293"/>
      <c r="C866" s="293"/>
      <c r="D866" s="293"/>
      <c r="E866" s="293"/>
      <c r="F866" s="293"/>
      <c r="G866" s="293"/>
      <c r="H866" s="293"/>
    </row>
    <row r="867" spans="1:11" ht="18" customHeight="1">
      <c r="A867" s="268" t="s">
        <v>70</v>
      </c>
      <c r="B867" s="268"/>
      <c r="C867" s="268"/>
      <c r="D867" s="268"/>
      <c r="E867" s="268"/>
      <c r="F867" s="268"/>
      <c r="G867" s="268"/>
      <c r="H867" s="268"/>
      <c r="I867" s="118"/>
    </row>
    <row r="868" spans="1:11" ht="15.75" customHeight="1">
      <c r="A868" s="286" t="s">
        <v>71</v>
      </c>
      <c r="B868" s="286"/>
      <c r="C868" s="286"/>
      <c r="D868" s="286"/>
      <c r="E868" s="286"/>
      <c r="F868" s="286"/>
      <c r="G868" s="286"/>
      <c r="H868" s="286"/>
      <c r="I868" s="119"/>
    </row>
    <row r="869" spans="1:11">
      <c r="A869" s="268" t="s">
        <v>72</v>
      </c>
      <c r="B869" s="268"/>
      <c r="C869" s="268"/>
      <c r="D869" s="268"/>
      <c r="E869" s="268"/>
      <c r="F869" s="268"/>
      <c r="G869" s="268"/>
      <c r="H869" s="268"/>
    </row>
    <row r="870" spans="1:11">
      <c r="A870" s="268" t="s">
        <v>73</v>
      </c>
      <c r="B870" s="268"/>
      <c r="C870" s="268"/>
      <c r="D870" s="268"/>
      <c r="E870" s="268"/>
      <c r="F870" s="268"/>
      <c r="G870" s="268"/>
      <c r="H870" s="268"/>
    </row>
    <row r="871" spans="1:11">
      <c r="A871" s="268" t="s">
        <v>170</v>
      </c>
      <c r="B871" s="268"/>
      <c r="C871" s="268"/>
      <c r="D871" s="268"/>
      <c r="E871" s="268"/>
      <c r="F871" s="268"/>
      <c r="G871" s="268"/>
      <c r="H871" s="268"/>
    </row>
    <row r="872" spans="1:11" ht="35.25" customHeight="1">
      <c r="A872" s="278" t="s">
        <v>171</v>
      </c>
      <c r="B872" s="278"/>
      <c r="C872" s="278"/>
      <c r="D872" s="278"/>
      <c r="E872" s="278"/>
      <c r="F872" s="278"/>
      <c r="G872" s="278"/>
      <c r="H872" s="278"/>
    </row>
    <row r="873" spans="1:11">
      <c r="A873" s="283" t="s">
        <v>109</v>
      </c>
      <c r="B873" s="283"/>
      <c r="C873" s="283" t="s">
        <v>333</v>
      </c>
      <c r="D873" s="283"/>
      <c r="E873" s="283" t="s">
        <v>145</v>
      </c>
      <c r="F873" s="283"/>
      <c r="G873" s="283" t="s">
        <v>332</v>
      </c>
      <c r="H873" s="283"/>
    </row>
    <row r="874" spans="1:11">
      <c r="A874" s="282" t="s">
        <v>111</v>
      </c>
      <c r="B874" s="282"/>
      <c r="C874" s="282"/>
      <c r="D874" s="282"/>
      <c r="E874" s="282"/>
      <c r="F874" s="282"/>
      <c r="G874" s="282"/>
      <c r="H874" s="282"/>
    </row>
    <row r="875" spans="1:11">
      <c r="A875" s="282"/>
      <c r="B875" s="282"/>
      <c r="C875" s="282"/>
      <c r="D875" s="282"/>
      <c r="E875" s="282"/>
      <c r="F875" s="282"/>
      <c r="G875" s="282"/>
      <c r="H875" s="282"/>
    </row>
    <row r="876" spans="1:11">
      <c r="A876" s="282"/>
      <c r="B876" s="282"/>
      <c r="C876" s="282"/>
      <c r="D876" s="282"/>
      <c r="E876" s="282"/>
      <c r="F876" s="282"/>
      <c r="G876" s="282"/>
      <c r="H876" s="282"/>
    </row>
    <row r="877" spans="1:11">
      <c r="A877" s="282"/>
      <c r="B877" s="282"/>
      <c r="C877" s="282"/>
      <c r="D877" s="282"/>
      <c r="E877" s="282"/>
      <c r="F877" s="282"/>
      <c r="G877" s="282"/>
      <c r="H877" s="282"/>
    </row>
    <row r="878" spans="1:11">
      <c r="A878" s="14" t="s">
        <v>74</v>
      </c>
      <c r="B878" s="15"/>
      <c r="C878" s="15"/>
      <c r="D878" s="14" t="str">
        <f>E8</f>
        <v>Ritz</v>
      </c>
      <c r="F878" s="15"/>
      <c r="G878" s="15"/>
      <c r="H878" s="15"/>
    </row>
    <row r="879" spans="1:11">
      <c r="A879" s="15"/>
      <c r="B879" s="15"/>
      <c r="C879" s="15"/>
      <c r="D879" s="15"/>
      <c r="E879" s="15"/>
      <c r="F879" s="15"/>
      <c r="G879" s="15"/>
      <c r="H879" s="15"/>
    </row>
    <row r="880" spans="1:11">
      <c r="A880" s="15"/>
      <c r="B880" s="15"/>
      <c r="C880" s="15"/>
      <c r="D880" s="15"/>
      <c r="E880" s="15"/>
      <c r="F880" s="15"/>
      <c r="G880" s="15"/>
      <c r="H880" s="15"/>
    </row>
    <row r="881" ht="15" customHeight="1"/>
    <row r="922" spans="1:8">
      <c r="A922" s="14" t="s">
        <v>258</v>
      </c>
      <c r="B922" s="15"/>
      <c r="C922" s="15"/>
      <c r="D922" s="14"/>
      <c r="F922" s="15"/>
      <c r="G922" s="15"/>
      <c r="H922" s="15"/>
    </row>
    <row r="923" spans="1:8">
      <c r="A923" s="15"/>
      <c r="B923" s="15"/>
      <c r="C923" s="15"/>
      <c r="D923" s="15"/>
      <c r="E923" s="15"/>
      <c r="F923" s="15"/>
      <c r="G923" s="15"/>
      <c r="H923" s="15"/>
    </row>
    <row r="924" spans="1:8">
      <c r="A924" s="15"/>
      <c r="B924" s="15"/>
      <c r="C924" s="15"/>
      <c r="D924" s="15"/>
      <c r="E924" s="15"/>
      <c r="F924" s="15"/>
      <c r="G924" s="15"/>
      <c r="H924" s="15"/>
    </row>
    <row r="925" spans="1:8" ht="15" customHeight="1"/>
    <row r="949" hidden="1"/>
    <row r="950" hidden="1"/>
    <row r="951" hidden="1"/>
    <row r="952" hidden="1"/>
    <row r="953" hidden="1"/>
    <row r="954" hidden="1"/>
    <row r="955" hidden="1"/>
    <row r="956" hidden="1"/>
    <row r="957" hidden="1"/>
    <row r="958" hidden="1"/>
    <row r="959" hidden="1"/>
    <row r="960" hidden="1"/>
    <row r="961" spans="1:1">
      <c r="A961" s="17" t="s">
        <v>75</v>
      </c>
    </row>
  </sheetData>
  <mergeCells count="1786">
    <mergeCell ref="A169:E169"/>
    <mergeCell ref="F169:H169"/>
    <mergeCell ref="A49:H49"/>
    <mergeCell ref="A54:H54"/>
    <mergeCell ref="A695:H695"/>
    <mergeCell ref="L695:M695"/>
    <mergeCell ref="A696:B696"/>
    <mergeCell ref="G696:H700"/>
    <mergeCell ref="L696:M696"/>
    <mergeCell ref="A697:B697"/>
    <mergeCell ref="L697:M697"/>
    <mergeCell ref="A698:B698"/>
    <mergeCell ref="L698:M698"/>
    <mergeCell ref="A699:B699"/>
    <mergeCell ref="L699:M699"/>
    <mergeCell ref="A700:B700"/>
    <mergeCell ref="L700:M700"/>
    <mergeCell ref="A683:H683"/>
    <mergeCell ref="L683:M683"/>
    <mergeCell ref="A684:B684"/>
    <mergeCell ref="G684:H688"/>
    <mergeCell ref="L684:M684"/>
    <mergeCell ref="A685:B685"/>
    <mergeCell ref="L685:M685"/>
    <mergeCell ref="A686:B686"/>
    <mergeCell ref="L686:M686"/>
    <mergeCell ref="A687:B687"/>
    <mergeCell ref="L687:M687"/>
    <mergeCell ref="A688:B688"/>
    <mergeCell ref="L688:M688"/>
    <mergeCell ref="A689:H689"/>
    <mergeCell ref="L689:M689"/>
    <mergeCell ref="A690:B690"/>
    <mergeCell ref="G690:H694"/>
    <mergeCell ref="A725:H725"/>
    <mergeCell ref="L725:M725"/>
    <mergeCell ref="A726:B726"/>
    <mergeCell ref="G726:H730"/>
    <mergeCell ref="L726:M726"/>
    <mergeCell ref="A727:B727"/>
    <mergeCell ref="L727:M727"/>
    <mergeCell ref="A728:B728"/>
    <mergeCell ref="L728:M728"/>
    <mergeCell ref="A729:B729"/>
    <mergeCell ref="L729:M729"/>
    <mergeCell ref="A730:B730"/>
    <mergeCell ref="L730:M730"/>
    <mergeCell ref="C728:F728"/>
    <mergeCell ref="L721:M721"/>
    <mergeCell ref="A722:B722"/>
    <mergeCell ref="L722:M722"/>
    <mergeCell ref="A723:B723"/>
    <mergeCell ref="L723:M723"/>
    <mergeCell ref="A724:B724"/>
    <mergeCell ref="L724:M724"/>
    <mergeCell ref="A731:H731"/>
    <mergeCell ref="L731:M731"/>
    <mergeCell ref="A732:B732"/>
    <mergeCell ref="G732:H736"/>
    <mergeCell ref="L732:M732"/>
    <mergeCell ref="A733:B733"/>
    <mergeCell ref="L733:M733"/>
    <mergeCell ref="A734:B734"/>
    <mergeCell ref="L734:M734"/>
    <mergeCell ref="A735:B735"/>
    <mergeCell ref="L735:M735"/>
    <mergeCell ref="A736:B736"/>
    <mergeCell ref="L736:M736"/>
    <mergeCell ref="A713:H713"/>
    <mergeCell ref="L713:M713"/>
    <mergeCell ref="A714:B714"/>
    <mergeCell ref="G714:H718"/>
    <mergeCell ref="L714:M714"/>
    <mergeCell ref="A715:B715"/>
    <mergeCell ref="L715:M715"/>
    <mergeCell ref="A716:B716"/>
    <mergeCell ref="L716:M716"/>
    <mergeCell ref="A717:B717"/>
    <mergeCell ref="L717:M717"/>
    <mergeCell ref="A718:B718"/>
    <mergeCell ref="L718:M718"/>
    <mergeCell ref="A719:H719"/>
    <mergeCell ref="L719:M719"/>
    <mergeCell ref="A720:B720"/>
    <mergeCell ref="G720:H724"/>
    <mergeCell ref="L720:M720"/>
    <mergeCell ref="A721:B721"/>
    <mergeCell ref="A701:H701"/>
    <mergeCell ref="L701:M701"/>
    <mergeCell ref="A702:B702"/>
    <mergeCell ref="G702:H706"/>
    <mergeCell ref="L702:M702"/>
    <mergeCell ref="A703:B703"/>
    <mergeCell ref="L703:M703"/>
    <mergeCell ref="A704:B704"/>
    <mergeCell ref="L704:M704"/>
    <mergeCell ref="A705:B705"/>
    <mergeCell ref="L705:M705"/>
    <mergeCell ref="A706:B706"/>
    <mergeCell ref="L706:M706"/>
    <mergeCell ref="A707:H707"/>
    <mergeCell ref="L707:M707"/>
    <mergeCell ref="A708:B708"/>
    <mergeCell ref="G708:H712"/>
    <mergeCell ref="L708:M708"/>
    <mergeCell ref="A709:B709"/>
    <mergeCell ref="L709:M709"/>
    <mergeCell ref="A710:B710"/>
    <mergeCell ref="L710:M710"/>
    <mergeCell ref="A711:B711"/>
    <mergeCell ref="L711:M711"/>
    <mergeCell ref="A712:B712"/>
    <mergeCell ref="L712:M712"/>
    <mergeCell ref="C710:F710"/>
    <mergeCell ref="L690:M690"/>
    <mergeCell ref="A691:B691"/>
    <mergeCell ref="L691:M691"/>
    <mergeCell ref="A692:B692"/>
    <mergeCell ref="L692:M692"/>
    <mergeCell ref="A693:B693"/>
    <mergeCell ref="L693:M693"/>
    <mergeCell ref="A694:B694"/>
    <mergeCell ref="L694:M694"/>
    <mergeCell ref="A680:H680"/>
    <mergeCell ref="A681:H681"/>
    <mergeCell ref="A682:H682"/>
    <mergeCell ref="D68:H68"/>
    <mergeCell ref="A132:B132"/>
    <mergeCell ref="C132:H132"/>
    <mergeCell ref="A134:B134"/>
    <mergeCell ref="C134:H134"/>
    <mergeCell ref="A135:B135"/>
    <mergeCell ref="E135:F135"/>
    <mergeCell ref="G135:H135"/>
    <mergeCell ref="A136:B136"/>
    <mergeCell ref="E136:F145"/>
    <mergeCell ref="G136:H145"/>
    <mergeCell ref="A137:B137"/>
    <mergeCell ref="A138:B138"/>
    <mergeCell ref="A139:B139"/>
    <mergeCell ref="A140:B140"/>
    <mergeCell ref="A141:B141"/>
    <mergeCell ref="A142:B142"/>
    <mergeCell ref="A143:B143"/>
    <mergeCell ref="A144:B144"/>
    <mergeCell ref="A145:B145"/>
    <mergeCell ref="B864:H864"/>
    <mergeCell ref="A839:H839"/>
    <mergeCell ref="L839:M839"/>
    <mergeCell ref="A840:B840"/>
    <mergeCell ref="G840:H849"/>
    <mergeCell ref="L840:M840"/>
    <mergeCell ref="A841:B841"/>
    <mergeCell ref="L841:M841"/>
    <mergeCell ref="A842:B842"/>
    <mergeCell ref="L842:M842"/>
    <mergeCell ref="A843:B843"/>
    <mergeCell ref="L843:M843"/>
    <mergeCell ref="A844:B844"/>
    <mergeCell ref="L844:M844"/>
    <mergeCell ref="A845:B845"/>
    <mergeCell ref="L845:M845"/>
    <mergeCell ref="A846:B846"/>
    <mergeCell ref="L846:M846"/>
    <mergeCell ref="A847:B847"/>
    <mergeCell ref="L847:M847"/>
    <mergeCell ref="A848:B848"/>
    <mergeCell ref="L848:M848"/>
    <mergeCell ref="A849:B849"/>
    <mergeCell ref="L849:M849"/>
    <mergeCell ref="C841:F842"/>
    <mergeCell ref="C846:F849"/>
    <mergeCell ref="B859:H859"/>
    <mergeCell ref="A828:H828"/>
    <mergeCell ref="L828:M828"/>
    <mergeCell ref="A829:B829"/>
    <mergeCell ref="G829:H838"/>
    <mergeCell ref="L829:M829"/>
    <mergeCell ref="A830:B830"/>
    <mergeCell ref="L830:M830"/>
    <mergeCell ref="A831:B831"/>
    <mergeCell ref="L831:M831"/>
    <mergeCell ref="A832:B832"/>
    <mergeCell ref="L832:M832"/>
    <mergeCell ref="A833:B833"/>
    <mergeCell ref="L833:M833"/>
    <mergeCell ref="A834:B834"/>
    <mergeCell ref="L834:M834"/>
    <mergeCell ref="A835:B835"/>
    <mergeCell ref="L835:M835"/>
    <mergeCell ref="A836:B836"/>
    <mergeCell ref="L836:M836"/>
    <mergeCell ref="A837:B837"/>
    <mergeCell ref="L837:M837"/>
    <mergeCell ref="A838:B838"/>
    <mergeCell ref="L838:M838"/>
    <mergeCell ref="C833:F833"/>
    <mergeCell ref="A817:H817"/>
    <mergeCell ref="L817:M817"/>
    <mergeCell ref="A818:B818"/>
    <mergeCell ref="G818:H827"/>
    <mergeCell ref="L818:M818"/>
    <mergeCell ref="A819:B819"/>
    <mergeCell ref="L819:M819"/>
    <mergeCell ref="A820:B820"/>
    <mergeCell ref="L820:M820"/>
    <mergeCell ref="A821:B821"/>
    <mergeCell ref="L821:M821"/>
    <mergeCell ref="A822:B822"/>
    <mergeCell ref="L822:M822"/>
    <mergeCell ref="A823:B823"/>
    <mergeCell ref="L823:M823"/>
    <mergeCell ref="A824:B824"/>
    <mergeCell ref="L824:M824"/>
    <mergeCell ref="A825:B825"/>
    <mergeCell ref="L825:M825"/>
    <mergeCell ref="A826:B826"/>
    <mergeCell ref="L826:M826"/>
    <mergeCell ref="A827:B827"/>
    <mergeCell ref="L827:M827"/>
    <mergeCell ref="L806:M806"/>
    <mergeCell ref="A807:B807"/>
    <mergeCell ref="G807:H816"/>
    <mergeCell ref="L807:M807"/>
    <mergeCell ref="A808:B808"/>
    <mergeCell ref="L808:M808"/>
    <mergeCell ref="A809:B809"/>
    <mergeCell ref="L809:M809"/>
    <mergeCell ref="A810:B810"/>
    <mergeCell ref="L810:M810"/>
    <mergeCell ref="A811:B811"/>
    <mergeCell ref="L811:M811"/>
    <mergeCell ref="A812:B812"/>
    <mergeCell ref="L812:M812"/>
    <mergeCell ref="A813:B813"/>
    <mergeCell ref="L813:M813"/>
    <mergeCell ref="A814:B814"/>
    <mergeCell ref="L814:M814"/>
    <mergeCell ref="A815:B815"/>
    <mergeCell ref="L815:M815"/>
    <mergeCell ref="A816:B816"/>
    <mergeCell ref="L816:M816"/>
    <mergeCell ref="C811:F811"/>
    <mergeCell ref="G191:H191"/>
    <mergeCell ref="C188:D188"/>
    <mergeCell ref="B857:H857"/>
    <mergeCell ref="A12:D12"/>
    <mergeCell ref="E12:H12"/>
    <mergeCell ref="C16:H16"/>
    <mergeCell ref="A17:B17"/>
    <mergeCell ref="C17:H17"/>
    <mergeCell ref="A18:B18"/>
    <mergeCell ref="C18:D18"/>
    <mergeCell ref="E18:F18"/>
    <mergeCell ref="G18:H18"/>
    <mergeCell ref="A19:B19"/>
    <mergeCell ref="C19:D19"/>
    <mergeCell ref="E19:F19"/>
    <mergeCell ref="G19:H19"/>
    <mergeCell ref="A20:B20"/>
    <mergeCell ref="C20:D20"/>
    <mergeCell ref="E20:F20"/>
    <mergeCell ref="G20:H20"/>
    <mergeCell ref="A21:B21"/>
    <mergeCell ref="C21:D21"/>
    <mergeCell ref="E21:F21"/>
    <mergeCell ref="G21:H21"/>
    <mergeCell ref="G192:H192"/>
    <mergeCell ref="G571:H580"/>
    <mergeCell ref="A581:H581"/>
    <mergeCell ref="E188:F188"/>
    <mergeCell ref="G188:H188"/>
    <mergeCell ref="A345:B345"/>
    <mergeCell ref="G345:H345"/>
    <mergeCell ref="A806:H806"/>
    <mergeCell ref="L655:M655"/>
    <mergeCell ref="A656:B656"/>
    <mergeCell ref="A579:B579"/>
    <mergeCell ref="L581:M581"/>
    <mergeCell ref="A582:B582"/>
    <mergeCell ref="G582:H591"/>
    <mergeCell ref="L582:M582"/>
    <mergeCell ref="A583:B583"/>
    <mergeCell ref="L583:M583"/>
    <mergeCell ref="A584:B584"/>
    <mergeCell ref="L585:M585"/>
    <mergeCell ref="A55:B55"/>
    <mergeCell ref="C55:E55"/>
    <mergeCell ref="G55:H55"/>
    <mergeCell ref="A56:B57"/>
    <mergeCell ref="C56:E56"/>
    <mergeCell ref="G56:H56"/>
    <mergeCell ref="C57:H57"/>
    <mergeCell ref="A195:B195"/>
    <mergeCell ref="C195:D195"/>
    <mergeCell ref="E195:F195"/>
    <mergeCell ref="G195:H195"/>
    <mergeCell ref="A181:A183"/>
    <mergeCell ref="A184:A185"/>
    <mergeCell ref="A190:B190"/>
    <mergeCell ref="C190:D190"/>
    <mergeCell ref="L570:M570"/>
    <mergeCell ref="E190:F190"/>
    <mergeCell ref="G190:H190"/>
    <mergeCell ref="A191:B191"/>
    <mergeCell ref="C191:D191"/>
    <mergeCell ref="E191:F191"/>
    <mergeCell ref="L579:M579"/>
    <mergeCell ref="A580:B580"/>
    <mergeCell ref="L580:M580"/>
    <mergeCell ref="L657:M657"/>
    <mergeCell ref="C184:D184"/>
    <mergeCell ref="E184:F184"/>
    <mergeCell ref="G184:H184"/>
    <mergeCell ref="C185:D185"/>
    <mergeCell ref="E185:F185"/>
    <mergeCell ref="G185:H185"/>
    <mergeCell ref="A186:B186"/>
    <mergeCell ref="C186:D186"/>
    <mergeCell ref="E186:F186"/>
    <mergeCell ref="G186:H186"/>
    <mergeCell ref="A192:B192"/>
    <mergeCell ref="A590:B590"/>
    <mergeCell ref="L590:M590"/>
    <mergeCell ref="A591:B591"/>
    <mergeCell ref="L591:M591"/>
    <mergeCell ref="A647:H647"/>
    <mergeCell ref="L647:M647"/>
    <mergeCell ref="A648:B648"/>
    <mergeCell ref="G648:H657"/>
    <mergeCell ref="L648:M648"/>
    <mergeCell ref="L578:M578"/>
    <mergeCell ref="L651:M651"/>
    <mergeCell ref="C192:D192"/>
    <mergeCell ref="E192:F192"/>
    <mergeCell ref="L653:M653"/>
    <mergeCell ref="A654:B654"/>
    <mergeCell ref="L654:M654"/>
    <mergeCell ref="A655:B655"/>
    <mergeCell ref="A575:B575"/>
    <mergeCell ref="L575:M575"/>
    <mergeCell ref="A576:B576"/>
    <mergeCell ref="L576:M576"/>
    <mergeCell ref="A577:B577"/>
    <mergeCell ref="L577:M577"/>
    <mergeCell ref="L557:M557"/>
    <mergeCell ref="A558:B558"/>
    <mergeCell ref="L558:M558"/>
    <mergeCell ref="L584:M584"/>
    <mergeCell ref="A586:B586"/>
    <mergeCell ref="L586:M586"/>
    <mergeCell ref="A587:B587"/>
    <mergeCell ref="L587:M587"/>
    <mergeCell ref="L588:M588"/>
    <mergeCell ref="L589:M589"/>
    <mergeCell ref="A349:B349"/>
    <mergeCell ref="L349:M349"/>
    <mergeCell ref="A350:B350"/>
    <mergeCell ref="L350:M350"/>
    <mergeCell ref="A351:B351"/>
    <mergeCell ref="L351:M351"/>
    <mergeCell ref="A352:B352"/>
    <mergeCell ref="L352:M352"/>
    <mergeCell ref="A353:B353"/>
    <mergeCell ref="G353:H353"/>
    <mergeCell ref="L353:M353"/>
    <mergeCell ref="G551:H558"/>
    <mergeCell ref="L551:M551"/>
    <mergeCell ref="A552:B552"/>
    <mergeCell ref="L552:M552"/>
    <mergeCell ref="A553:B553"/>
    <mergeCell ref="A354:B354"/>
    <mergeCell ref="G354:H354"/>
    <mergeCell ref="L354:M354"/>
    <mergeCell ref="A355:B355"/>
    <mergeCell ref="G355:H355"/>
    <mergeCell ref="L355:M355"/>
    <mergeCell ref="A568:H568"/>
    <mergeCell ref="L568:M568"/>
    <mergeCell ref="A569:H569"/>
    <mergeCell ref="A571:B571"/>
    <mergeCell ref="L571:M571"/>
    <mergeCell ref="A572:B572"/>
    <mergeCell ref="L572:M572"/>
    <mergeCell ref="A573:B573"/>
    <mergeCell ref="L573:M573"/>
    <mergeCell ref="A574:B574"/>
    <mergeCell ref="L574:M574"/>
    <mergeCell ref="L553:M553"/>
    <mergeCell ref="L533:M533"/>
    <mergeCell ref="A534:B534"/>
    <mergeCell ref="L534:M534"/>
    <mergeCell ref="A541:H541"/>
    <mergeCell ref="L541:M541"/>
    <mergeCell ref="A542:B542"/>
    <mergeCell ref="L542:M542"/>
    <mergeCell ref="A543:B543"/>
    <mergeCell ref="L543:M543"/>
    <mergeCell ref="L544:M544"/>
    <mergeCell ref="A545:B545"/>
    <mergeCell ref="L545:M545"/>
    <mergeCell ref="A546:B546"/>
    <mergeCell ref="L546:M546"/>
    <mergeCell ref="L345:M345"/>
    <mergeCell ref="A346:B346"/>
    <mergeCell ref="L346:M346"/>
    <mergeCell ref="A347:B347"/>
    <mergeCell ref="L347:M347"/>
    <mergeCell ref="A348:B348"/>
    <mergeCell ref="L348:M348"/>
    <mergeCell ref="A341:B341"/>
    <mergeCell ref="G341:H341"/>
    <mergeCell ref="L341:M341"/>
    <mergeCell ref="A342:B342"/>
    <mergeCell ref="L342:M342"/>
    <mergeCell ref="A343:B343"/>
    <mergeCell ref="G343:H343"/>
    <mergeCell ref="L343:M343"/>
    <mergeCell ref="A344:B344"/>
    <mergeCell ref="G344:H344"/>
    <mergeCell ref="L344:M344"/>
    <mergeCell ref="L338:M338"/>
    <mergeCell ref="A339:B339"/>
    <mergeCell ref="G339:H339"/>
    <mergeCell ref="L339:M339"/>
    <mergeCell ref="A340:B340"/>
    <mergeCell ref="G340:H340"/>
    <mergeCell ref="L340:M340"/>
    <mergeCell ref="A335:B335"/>
    <mergeCell ref="G335:H335"/>
    <mergeCell ref="L335:M335"/>
    <mergeCell ref="A336:B336"/>
    <mergeCell ref="G336:H336"/>
    <mergeCell ref="L336:M336"/>
    <mergeCell ref="A337:B337"/>
    <mergeCell ref="G337:H337"/>
    <mergeCell ref="L337:M337"/>
    <mergeCell ref="A332:B332"/>
    <mergeCell ref="G332:H332"/>
    <mergeCell ref="L332:M332"/>
    <mergeCell ref="A333:B333"/>
    <mergeCell ref="G333:H333"/>
    <mergeCell ref="L333:M333"/>
    <mergeCell ref="A334:B334"/>
    <mergeCell ref="G334:H334"/>
    <mergeCell ref="L334:M334"/>
    <mergeCell ref="A338:B338"/>
    <mergeCell ref="G338:H338"/>
    <mergeCell ref="G329:H329"/>
    <mergeCell ref="L329:M329"/>
    <mergeCell ref="A330:B330"/>
    <mergeCell ref="G330:H330"/>
    <mergeCell ref="L330:M330"/>
    <mergeCell ref="A331:B331"/>
    <mergeCell ref="G331:H331"/>
    <mergeCell ref="L331:M331"/>
    <mergeCell ref="A326:B326"/>
    <mergeCell ref="G326:H326"/>
    <mergeCell ref="L326:M326"/>
    <mergeCell ref="A327:B327"/>
    <mergeCell ref="G327:H327"/>
    <mergeCell ref="L327:M327"/>
    <mergeCell ref="A328:B328"/>
    <mergeCell ref="G328:H328"/>
    <mergeCell ref="L328:M328"/>
    <mergeCell ref="A329:B329"/>
    <mergeCell ref="A323:B323"/>
    <mergeCell ref="G323:H323"/>
    <mergeCell ref="L323:M323"/>
    <mergeCell ref="A324:B324"/>
    <mergeCell ref="G324:H324"/>
    <mergeCell ref="L324:M324"/>
    <mergeCell ref="A325:B325"/>
    <mergeCell ref="G325:H325"/>
    <mergeCell ref="L325:M325"/>
    <mergeCell ref="A320:B320"/>
    <mergeCell ref="G320:H320"/>
    <mergeCell ref="L320:M320"/>
    <mergeCell ref="A321:B321"/>
    <mergeCell ref="G321:H321"/>
    <mergeCell ref="L321:M321"/>
    <mergeCell ref="A322:B322"/>
    <mergeCell ref="G322:H322"/>
    <mergeCell ref="L322:M322"/>
    <mergeCell ref="A316:H316"/>
    <mergeCell ref="A317:B317"/>
    <mergeCell ref="G317:H317"/>
    <mergeCell ref="L317:M317"/>
    <mergeCell ref="A318:B318"/>
    <mergeCell ref="G318:H318"/>
    <mergeCell ref="L318:M318"/>
    <mergeCell ref="A319:B319"/>
    <mergeCell ref="G319:H319"/>
    <mergeCell ref="L319:M319"/>
    <mergeCell ref="A313:B313"/>
    <mergeCell ref="G313:H313"/>
    <mergeCell ref="L313:M313"/>
    <mergeCell ref="A314:B314"/>
    <mergeCell ref="G314:H314"/>
    <mergeCell ref="L314:M314"/>
    <mergeCell ref="A315:B315"/>
    <mergeCell ref="G315:H315"/>
    <mergeCell ref="L315:M315"/>
    <mergeCell ref="A310:B310"/>
    <mergeCell ref="G310:H310"/>
    <mergeCell ref="L310:M310"/>
    <mergeCell ref="A311:B311"/>
    <mergeCell ref="G311:H311"/>
    <mergeCell ref="L311:M311"/>
    <mergeCell ref="A312:B312"/>
    <mergeCell ref="G312:H312"/>
    <mergeCell ref="L312:M312"/>
    <mergeCell ref="A307:B307"/>
    <mergeCell ref="G307:H307"/>
    <mergeCell ref="L307:M307"/>
    <mergeCell ref="A308:B308"/>
    <mergeCell ref="G308:H308"/>
    <mergeCell ref="L308:M308"/>
    <mergeCell ref="A309:B309"/>
    <mergeCell ref="G309:H309"/>
    <mergeCell ref="L309:M309"/>
    <mergeCell ref="A304:B304"/>
    <mergeCell ref="G304:H304"/>
    <mergeCell ref="L304:M304"/>
    <mergeCell ref="A305:B305"/>
    <mergeCell ref="G305:H305"/>
    <mergeCell ref="L305:M305"/>
    <mergeCell ref="A306:B306"/>
    <mergeCell ref="G306:H306"/>
    <mergeCell ref="L306:M306"/>
    <mergeCell ref="A301:B301"/>
    <mergeCell ref="G301:H301"/>
    <mergeCell ref="L301:M301"/>
    <mergeCell ref="A302:B302"/>
    <mergeCell ref="G302:H302"/>
    <mergeCell ref="L302:M302"/>
    <mergeCell ref="A303:B303"/>
    <mergeCell ref="G303:H303"/>
    <mergeCell ref="L303:M303"/>
    <mergeCell ref="A298:B298"/>
    <mergeCell ref="G298:H298"/>
    <mergeCell ref="L298:M298"/>
    <mergeCell ref="A299:B299"/>
    <mergeCell ref="G299:H299"/>
    <mergeCell ref="L299:M299"/>
    <mergeCell ref="A300:B300"/>
    <mergeCell ref="G300:H300"/>
    <mergeCell ref="L300:M300"/>
    <mergeCell ref="A295:B295"/>
    <mergeCell ref="G295:H295"/>
    <mergeCell ref="L295:M295"/>
    <mergeCell ref="A296:B296"/>
    <mergeCell ref="G296:H296"/>
    <mergeCell ref="L296:M296"/>
    <mergeCell ref="A297:B297"/>
    <mergeCell ref="G297:H297"/>
    <mergeCell ref="L297:M297"/>
    <mergeCell ref="A292:B292"/>
    <mergeCell ref="G292:H292"/>
    <mergeCell ref="L292:M292"/>
    <mergeCell ref="A293:B293"/>
    <mergeCell ref="G293:H293"/>
    <mergeCell ref="L293:M293"/>
    <mergeCell ref="A294:B294"/>
    <mergeCell ref="G294:H294"/>
    <mergeCell ref="L294:M294"/>
    <mergeCell ref="L291:M291"/>
    <mergeCell ref="A279:B279"/>
    <mergeCell ref="G279:H279"/>
    <mergeCell ref="L279:M279"/>
    <mergeCell ref="A280:B280"/>
    <mergeCell ref="G280:H280"/>
    <mergeCell ref="L280:M280"/>
    <mergeCell ref="A281:B281"/>
    <mergeCell ref="L281:M281"/>
    <mergeCell ref="A282:B282"/>
    <mergeCell ref="L282:M282"/>
    <mergeCell ref="G286:H286"/>
    <mergeCell ref="L286:M286"/>
    <mergeCell ref="A287:B287"/>
    <mergeCell ref="G287:H287"/>
    <mergeCell ref="L287:M287"/>
    <mergeCell ref="A288:B288"/>
    <mergeCell ref="G288:H288"/>
    <mergeCell ref="A275:B275"/>
    <mergeCell ref="G275:H275"/>
    <mergeCell ref="L275:M275"/>
    <mergeCell ref="A276:H276"/>
    <mergeCell ref="A277:B277"/>
    <mergeCell ref="G277:H277"/>
    <mergeCell ref="L277:M277"/>
    <mergeCell ref="A278:B278"/>
    <mergeCell ref="G278:H278"/>
    <mergeCell ref="L278:M278"/>
    <mergeCell ref="A272:B272"/>
    <mergeCell ref="G272:H272"/>
    <mergeCell ref="L272:M272"/>
    <mergeCell ref="A273:B273"/>
    <mergeCell ref="G273:H273"/>
    <mergeCell ref="L273:M273"/>
    <mergeCell ref="A274:B274"/>
    <mergeCell ref="G274:H274"/>
    <mergeCell ref="L274:M274"/>
    <mergeCell ref="L268:M268"/>
    <mergeCell ref="A269:B269"/>
    <mergeCell ref="G269:H269"/>
    <mergeCell ref="L269:M269"/>
    <mergeCell ref="A270:B270"/>
    <mergeCell ref="L270:M270"/>
    <mergeCell ref="A271:B271"/>
    <mergeCell ref="L271:M271"/>
    <mergeCell ref="A264:B264"/>
    <mergeCell ref="L264:M264"/>
    <mergeCell ref="A265:B265"/>
    <mergeCell ref="G265:H265"/>
    <mergeCell ref="L265:M265"/>
    <mergeCell ref="A266:B266"/>
    <mergeCell ref="G266:H266"/>
    <mergeCell ref="L266:M266"/>
    <mergeCell ref="A267:B267"/>
    <mergeCell ref="G267:H267"/>
    <mergeCell ref="L267:M267"/>
    <mergeCell ref="L532:M532"/>
    <mergeCell ref="A533:B533"/>
    <mergeCell ref="G260:H260"/>
    <mergeCell ref="L260:M260"/>
    <mergeCell ref="A261:B261"/>
    <mergeCell ref="L261:M261"/>
    <mergeCell ref="A262:B262"/>
    <mergeCell ref="L262:M262"/>
    <mergeCell ref="A263:B263"/>
    <mergeCell ref="L263:M263"/>
    <mergeCell ref="A559:H559"/>
    <mergeCell ref="L559:M559"/>
    <mergeCell ref="A560:B560"/>
    <mergeCell ref="G560:H567"/>
    <mergeCell ref="L560:M560"/>
    <mergeCell ref="A561:B561"/>
    <mergeCell ref="L561:M561"/>
    <mergeCell ref="A562:B562"/>
    <mergeCell ref="L562:M562"/>
    <mergeCell ref="A563:B563"/>
    <mergeCell ref="L563:M563"/>
    <mergeCell ref="A564:B564"/>
    <mergeCell ref="L564:M564"/>
    <mergeCell ref="A565:B565"/>
    <mergeCell ref="L565:M565"/>
    <mergeCell ref="A566:B566"/>
    <mergeCell ref="L566:M566"/>
    <mergeCell ref="A567:B567"/>
    <mergeCell ref="L567:M567"/>
    <mergeCell ref="A550:H550"/>
    <mergeCell ref="L550:M550"/>
    <mergeCell ref="A551:B551"/>
    <mergeCell ref="L547:M547"/>
    <mergeCell ref="A548:B548"/>
    <mergeCell ref="L548:M548"/>
    <mergeCell ref="A549:B549"/>
    <mergeCell ref="L549:M549"/>
    <mergeCell ref="A554:B554"/>
    <mergeCell ref="L554:M554"/>
    <mergeCell ref="L555:M555"/>
    <mergeCell ref="A556:B556"/>
    <mergeCell ref="L556:M556"/>
    <mergeCell ref="G542:H549"/>
    <mergeCell ref="L535:M535"/>
    <mergeCell ref="A536:B536"/>
    <mergeCell ref="L536:M536"/>
    <mergeCell ref="A537:B537"/>
    <mergeCell ref="L537:M537"/>
    <mergeCell ref="A538:B538"/>
    <mergeCell ref="L538:M538"/>
    <mergeCell ref="A539:B539"/>
    <mergeCell ref="L539:M539"/>
    <mergeCell ref="A540:B540"/>
    <mergeCell ref="L540:M540"/>
    <mergeCell ref="L523:M523"/>
    <mergeCell ref="A524:B524"/>
    <mergeCell ref="G524:H531"/>
    <mergeCell ref="L524:M524"/>
    <mergeCell ref="A525:B525"/>
    <mergeCell ref="L525:M525"/>
    <mergeCell ref="A526:B526"/>
    <mergeCell ref="L526:M526"/>
    <mergeCell ref="A527:B527"/>
    <mergeCell ref="L527:M527"/>
    <mergeCell ref="A528:B528"/>
    <mergeCell ref="L528:M528"/>
    <mergeCell ref="A529:B529"/>
    <mergeCell ref="L529:M529"/>
    <mergeCell ref="A530:B530"/>
    <mergeCell ref="L530:M530"/>
    <mergeCell ref="A531:B531"/>
    <mergeCell ref="L531:M531"/>
    <mergeCell ref="L514:M514"/>
    <mergeCell ref="A515:B515"/>
    <mergeCell ref="G515:H522"/>
    <mergeCell ref="L515:M515"/>
    <mergeCell ref="A516:B516"/>
    <mergeCell ref="L516:M516"/>
    <mergeCell ref="A517:B517"/>
    <mergeCell ref="L517:M517"/>
    <mergeCell ref="A518:B518"/>
    <mergeCell ref="L518:M518"/>
    <mergeCell ref="A519:B519"/>
    <mergeCell ref="L519:M519"/>
    <mergeCell ref="A520:B520"/>
    <mergeCell ref="L520:M520"/>
    <mergeCell ref="A521:B521"/>
    <mergeCell ref="L521:M521"/>
    <mergeCell ref="A522:B522"/>
    <mergeCell ref="L522:M522"/>
    <mergeCell ref="L512:M512"/>
    <mergeCell ref="A513:B513"/>
    <mergeCell ref="L513:M513"/>
    <mergeCell ref="G506:H513"/>
    <mergeCell ref="G478:H484"/>
    <mergeCell ref="G470:H476"/>
    <mergeCell ref="G462:H468"/>
    <mergeCell ref="G452:H460"/>
    <mergeCell ref="A502:H502"/>
    <mergeCell ref="L502:M502"/>
    <mergeCell ref="A503:H503"/>
    <mergeCell ref="L503:M503"/>
    <mergeCell ref="A504:H504"/>
    <mergeCell ref="L504:M504"/>
    <mergeCell ref="A505:H505"/>
    <mergeCell ref="L505:M505"/>
    <mergeCell ref="A506:B506"/>
    <mergeCell ref="L506:M506"/>
    <mergeCell ref="A507:B507"/>
    <mergeCell ref="L507:M507"/>
    <mergeCell ref="A508:B508"/>
    <mergeCell ref="L508:M508"/>
    <mergeCell ref="A509:B509"/>
    <mergeCell ref="L509:M509"/>
    <mergeCell ref="A510:B510"/>
    <mergeCell ref="L510:M510"/>
    <mergeCell ref="A511:B511"/>
    <mergeCell ref="L511:M511"/>
    <mergeCell ref="L501:M501"/>
    <mergeCell ref="C499:F499"/>
    <mergeCell ref="A486:H486"/>
    <mergeCell ref="L486:M486"/>
    <mergeCell ref="L487:M487"/>
    <mergeCell ref="A359:H359"/>
    <mergeCell ref="L359:M359"/>
    <mergeCell ref="A200:H200"/>
    <mergeCell ref="L200:M200"/>
    <mergeCell ref="G442:H450"/>
    <mergeCell ref="G432:H440"/>
    <mergeCell ref="G422:H430"/>
    <mergeCell ref="G412:H420"/>
    <mergeCell ref="G402:H410"/>
    <mergeCell ref="G392:H400"/>
    <mergeCell ref="G382:H390"/>
    <mergeCell ref="G372:H380"/>
    <mergeCell ref="G362:H370"/>
    <mergeCell ref="A250:H250"/>
    <mergeCell ref="L250:M250"/>
    <mergeCell ref="A251:H251"/>
    <mergeCell ref="A252:H252"/>
    <mergeCell ref="A253:B253"/>
    <mergeCell ref="A360:H360"/>
    <mergeCell ref="L360:M360"/>
    <mergeCell ref="A201:H201"/>
    <mergeCell ref="A485:H485"/>
    <mergeCell ref="L485:M485"/>
    <mergeCell ref="A430:B430"/>
    <mergeCell ref="A421:H421"/>
    <mergeCell ref="L421:M421"/>
    <mergeCell ref="A422:B422"/>
    <mergeCell ref="A423:B423"/>
    <mergeCell ref="A424:B424"/>
    <mergeCell ref="A476:B476"/>
    <mergeCell ref="L259:M259"/>
    <mergeCell ref="L490:M490"/>
    <mergeCell ref="L491:M491"/>
    <mergeCell ref="L492:M492"/>
    <mergeCell ref="L493:M493"/>
    <mergeCell ref="L494:M494"/>
    <mergeCell ref="L495:M495"/>
    <mergeCell ref="L496:M496"/>
    <mergeCell ref="L497:M497"/>
    <mergeCell ref="G489:H494"/>
    <mergeCell ref="A495:H495"/>
    <mergeCell ref="G496:H501"/>
    <mergeCell ref="A498:B498"/>
    <mergeCell ref="L498:M498"/>
    <mergeCell ref="A499:B499"/>
    <mergeCell ref="L499:M499"/>
    <mergeCell ref="A500:B500"/>
    <mergeCell ref="L500:M500"/>
    <mergeCell ref="A501:B501"/>
    <mergeCell ref="L488:M488"/>
    <mergeCell ref="A489:B489"/>
    <mergeCell ref="G253:H253"/>
    <mergeCell ref="L253:M253"/>
    <mergeCell ref="A254:B254"/>
    <mergeCell ref="G254:H254"/>
    <mergeCell ref="L254:M254"/>
    <mergeCell ref="A255:B255"/>
    <mergeCell ref="G255:H255"/>
    <mergeCell ref="L255:M255"/>
    <mergeCell ref="A256:B256"/>
    <mergeCell ref="L256:M256"/>
    <mergeCell ref="A257:B257"/>
    <mergeCell ref="L257:M257"/>
    <mergeCell ref="A258:B258"/>
    <mergeCell ref="L258:M258"/>
    <mergeCell ref="A259:B259"/>
    <mergeCell ref="L461:M461"/>
    <mergeCell ref="L441:M441"/>
    <mergeCell ref="A439:B439"/>
    <mergeCell ref="A440:B440"/>
    <mergeCell ref="A431:H431"/>
    <mergeCell ref="L431:M431"/>
    <mergeCell ref="A432:B432"/>
    <mergeCell ref="A433:B433"/>
    <mergeCell ref="A434:B434"/>
    <mergeCell ref="A435:B435"/>
    <mergeCell ref="A426:B426"/>
    <mergeCell ref="A427:B427"/>
    <mergeCell ref="A428:B428"/>
    <mergeCell ref="A429:B429"/>
    <mergeCell ref="L489:M489"/>
    <mergeCell ref="C182:D182"/>
    <mergeCell ref="E182:F182"/>
    <mergeCell ref="G182:H182"/>
    <mergeCell ref="C183:D183"/>
    <mergeCell ref="E183:F183"/>
    <mergeCell ref="G183:H183"/>
    <mergeCell ref="A466:B466"/>
    <mergeCell ref="A467:B467"/>
    <mergeCell ref="A468:B468"/>
    <mergeCell ref="A461:H461"/>
    <mergeCell ref="A448:B448"/>
    <mergeCell ref="G342:H342"/>
    <mergeCell ref="A449:B449"/>
    <mergeCell ref="A462:B462"/>
    <mergeCell ref="A463:B463"/>
    <mergeCell ref="A464:B464"/>
    <mergeCell ref="A465:B465"/>
    <mergeCell ref="A441:H441"/>
    <mergeCell ref="A442:B442"/>
    <mergeCell ref="A450:B450"/>
    <mergeCell ref="A443:B443"/>
    <mergeCell ref="A444:B444"/>
    <mergeCell ref="A445:B445"/>
    <mergeCell ref="A446:B446"/>
    <mergeCell ref="A447:B447"/>
    <mergeCell ref="A436:B436"/>
    <mergeCell ref="A437:B437"/>
    <mergeCell ref="A438:B438"/>
    <mergeCell ref="A268:B268"/>
    <mergeCell ref="G268:H268"/>
    <mergeCell ref="A425:B425"/>
    <mergeCell ref="A260:B260"/>
    <mergeCell ref="A396:B396"/>
    <mergeCell ref="G281:H281"/>
    <mergeCell ref="A388:B388"/>
    <mergeCell ref="G282:H282"/>
    <mergeCell ref="A389:B389"/>
    <mergeCell ref="G283:H283"/>
    <mergeCell ref="A390:B390"/>
    <mergeCell ref="G284:H284"/>
    <mergeCell ref="A391:H391"/>
    <mergeCell ref="A416:B416"/>
    <mergeCell ref="A417:B417"/>
    <mergeCell ref="A418:B418"/>
    <mergeCell ref="A419:B419"/>
    <mergeCell ref="A420:B420"/>
    <mergeCell ref="A411:H411"/>
    <mergeCell ref="L411:M411"/>
    <mergeCell ref="A412:B412"/>
    <mergeCell ref="A413:B413"/>
    <mergeCell ref="A414:B414"/>
    <mergeCell ref="A415:B415"/>
    <mergeCell ref="A406:B406"/>
    <mergeCell ref="A407:B407"/>
    <mergeCell ref="A408:B408"/>
    <mergeCell ref="A409:B409"/>
    <mergeCell ref="A410:B410"/>
    <mergeCell ref="L401:M401"/>
    <mergeCell ref="A402:B402"/>
    <mergeCell ref="A403:B403"/>
    <mergeCell ref="A404:B404"/>
    <mergeCell ref="A405:B405"/>
    <mergeCell ref="L288:M288"/>
    <mergeCell ref="A289:B289"/>
    <mergeCell ref="L391:M391"/>
    <mergeCell ref="A283:B283"/>
    <mergeCell ref="L283:M283"/>
    <mergeCell ref="A284:B284"/>
    <mergeCell ref="L284:M284"/>
    <mergeCell ref="A285:B285"/>
    <mergeCell ref="G285:H285"/>
    <mergeCell ref="L285:M285"/>
    <mergeCell ref="A286:B286"/>
    <mergeCell ref="L381:M381"/>
    <mergeCell ref="A382:B382"/>
    <mergeCell ref="A383:B383"/>
    <mergeCell ref="A384:B384"/>
    <mergeCell ref="A385:B385"/>
    <mergeCell ref="L371:M371"/>
    <mergeCell ref="A372:B372"/>
    <mergeCell ref="A373:B373"/>
    <mergeCell ref="A374:B374"/>
    <mergeCell ref="A375:B375"/>
    <mergeCell ref="G350:H350"/>
    <mergeCell ref="G351:H351"/>
    <mergeCell ref="G352:H352"/>
    <mergeCell ref="A366:B366"/>
    <mergeCell ref="A363:B363"/>
    <mergeCell ref="A364:B364"/>
    <mergeCell ref="G289:H289"/>
    <mergeCell ref="L289:M289"/>
    <mergeCell ref="A290:B290"/>
    <mergeCell ref="G290:H290"/>
    <mergeCell ref="L290:M290"/>
    <mergeCell ref="A291:B291"/>
    <mergeCell ref="G291:H291"/>
    <mergeCell ref="L243:M243"/>
    <mergeCell ref="A244:B244"/>
    <mergeCell ref="G244:H244"/>
    <mergeCell ref="L244:M244"/>
    <mergeCell ref="A248:B248"/>
    <mergeCell ref="G248:H248"/>
    <mergeCell ref="L248:M248"/>
    <mergeCell ref="A249:B249"/>
    <mergeCell ref="G249:H249"/>
    <mergeCell ref="L249:M249"/>
    <mergeCell ref="A245:B245"/>
    <mergeCell ref="G245:H245"/>
    <mergeCell ref="L245:M245"/>
    <mergeCell ref="A246:B246"/>
    <mergeCell ref="G246:H246"/>
    <mergeCell ref="L246:M246"/>
    <mergeCell ref="A247:B247"/>
    <mergeCell ref="G247:H247"/>
    <mergeCell ref="L247:M247"/>
    <mergeCell ref="L239:M239"/>
    <mergeCell ref="A240:B240"/>
    <mergeCell ref="G240:H240"/>
    <mergeCell ref="L240:M240"/>
    <mergeCell ref="A241:B241"/>
    <mergeCell ref="G241:H241"/>
    <mergeCell ref="L241:M241"/>
    <mergeCell ref="A242:B242"/>
    <mergeCell ref="G242:H242"/>
    <mergeCell ref="L242:M242"/>
    <mergeCell ref="L235:M235"/>
    <mergeCell ref="A236:B236"/>
    <mergeCell ref="G236:H236"/>
    <mergeCell ref="L236:M236"/>
    <mergeCell ref="A237:B237"/>
    <mergeCell ref="G237:H237"/>
    <mergeCell ref="L237:M237"/>
    <mergeCell ref="A238:B238"/>
    <mergeCell ref="G238:H238"/>
    <mergeCell ref="L238:M238"/>
    <mergeCell ref="A235:B235"/>
    <mergeCell ref="L231:M231"/>
    <mergeCell ref="A232:B232"/>
    <mergeCell ref="G232:H232"/>
    <mergeCell ref="L232:M232"/>
    <mergeCell ref="A233:B233"/>
    <mergeCell ref="G233:H233"/>
    <mergeCell ref="L233:M233"/>
    <mergeCell ref="A234:B234"/>
    <mergeCell ref="G234:H234"/>
    <mergeCell ref="L234:M234"/>
    <mergeCell ref="L227:M227"/>
    <mergeCell ref="A228:B228"/>
    <mergeCell ref="G228:H228"/>
    <mergeCell ref="L228:M228"/>
    <mergeCell ref="A229:B229"/>
    <mergeCell ref="G229:H229"/>
    <mergeCell ref="L229:M229"/>
    <mergeCell ref="A230:B230"/>
    <mergeCell ref="G230:H230"/>
    <mergeCell ref="L230:M230"/>
    <mergeCell ref="A227:B227"/>
    <mergeCell ref="G227:H227"/>
    <mergeCell ref="A231:B231"/>
    <mergeCell ref="G231:H231"/>
    <mergeCell ref="L225:M225"/>
    <mergeCell ref="A226:B226"/>
    <mergeCell ref="G226:H226"/>
    <mergeCell ref="L226:M226"/>
    <mergeCell ref="L218:M218"/>
    <mergeCell ref="A219:B219"/>
    <mergeCell ref="G219:H219"/>
    <mergeCell ref="L219:M219"/>
    <mergeCell ref="A220:B220"/>
    <mergeCell ref="G220:H220"/>
    <mergeCell ref="L220:M220"/>
    <mergeCell ref="A221:B221"/>
    <mergeCell ref="G221:H221"/>
    <mergeCell ref="L221:M221"/>
    <mergeCell ref="A222:H222"/>
    <mergeCell ref="A223:B223"/>
    <mergeCell ref="G223:H223"/>
    <mergeCell ref="L216:M216"/>
    <mergeCell ref="A217:B217"/>
    <mergeCell ref="G217:H217"/>
    <mergeCell ref="L217:M217"/>
    <mergeCell ref="L210:M210"/>
    <mergeCell ref="A211:B211"/>
    <mergeCell ref="G211:H211"/>
    <mergeCell ref="L211:M211"/>
    <mergeCell ref="A212:B212"/>
    <mergeCell ref="G212:H212"/>
    <mergeCell ref="L212:M212"/>
    <mergeCell ref="A213:B213"/>
    <mergeCell ref="G213:H213"/>
    <mergeCell ref="L213:M213"/>
    <mergeCell ref="L223:M223"/>
    <mergeCell ref="A224:B224"/>
    <mergeCell ref="G224:H224"/>
    <mergeCell ref="L224:M224"/>
    <mergeCell ref="A872:H872"/>
    <mergeCell ref="F164:H164"/>
    <mergeCell ref="A161:H161"/>
    <mergeCell ref="A162:B162"/>
    <mergeCell ref="C162:H162"/>
    <mergeCell ref="F165:H165"/>
    <mergeCell ref="A165:E165"/>
    <mergeCell ref="F167:H167"/>
    <mergeCell ref="A173:E173"/>
    <mergeCell ref="F173:H173"/>
    <mergeCell ref="A168:E168"/>
    <mergeCell ref="F168:H168"/>
    <mergeCell ref="A170:E170"/>
    <mergeCell ref="F170:H170"/>
    <mergeCell ref="A870:H870"/>
    <mergeCell ref="A850:H850"/>
    <mergeCell ref="A866:H866"/>
    <mergeCell ref="A867:H867"/>
    <mergeCell ref="A210:B210"/>
    <mergeCell ref="G210:H210"/>
    <mergeCell ref="A214:B214"/>
    <mergeCell ref="G214:H214"/>
    <mergeCell ref="A218:B218"/>
    <mergeCell ref="A239:B239"/>
    <mergeCell ref="C198:C199"/>
    <mergeCell ref="B357:B358"/>
    <mergeCell ref="A469:H469"/>
    <mergeCell ref="A471:B471"/>
    <mergeCell ref="A197:H197"/>
    <mergeCell ref="A175:E175"/>
    <mergeCell ref="C181:D181"/>
    <mergeCell ref="E181:F181"/>
    <mergeCell ref="G189:H189"/>
    <mergeCell ref="D63:H63"/>
    <mergeCell ref="A63:C63"/>
    <mergeCell ref="G50:H50"/>
    <mergeCell ref="A51:B52"/>
    <mergeCell ref="C52:H52"/>
    <mergeCell ref="E44:H44"/>
    <mergeCell ref="E45:H45"/>
    <mergeCell ref="E46:H46"/>
    <mergeCell ref="A871:H871"/>
    <mergeCell ref="G239:H239"/>
    <mergeCell ref="A243:B243"/>
    <mergeCell ref="G243:H243"/>
    <mergeCell ref="A368:B368"/>
    <mergeCell ref="G262:H262"/>
    <mergeCell ref="A369:B369"/>
    <mergeCell ref="G263:H263"/>
    <mergeCell ref="A370:B370"/>
    <mergeCell ref="G264:H264"/>
    <mergeCell ref="A371:H371"/>
    <mergeCell ref="A376:B376"/>
    <mergeCell ref="G270:H270"/>
    <mergeCell ref="A377:B377"/>
    <mergeCell ref="G271:H271"/>
    <mergeCell ref="A378:B378"/>
    <mergeCell ref="A59:B59"/>
    <mergeCell ref="C59:E59"/>
    <mergeCell ref="A50:B50"/>
    <mergeCell ref="A60:H60"/>
    <mergeCell ref="A61:C61"/>
    <mergeCell ref="A62:C62"/>
    <mergeCell ref="D62:H62"/>
    <mergeCell ref="G180:H180"/>
    <mergeCell ref="A48:B48"/>
    <mergeCell ref="C48:E48"/>
    <mergeCell ref="G48:H48"/>
    <mergeCell ref="A874:H877"/>
    <mergeCell ref="A873:B873"/>
    <mergeCell ref="E873:F873"/>
    <mergeCell ref="C873:D873"/>
    <mergeCell ref="G873:H873"/>
    <mergeCell ref="A179:H179"/>
    <mergeCell ref="A177:E177"/>
    <mergeCell ref="F177:H177"/>
    <mergeCell ref="A178:E178"/>
    <mergeCell ref="F178:H178"/>
    <mergeCell ref="A361:H361"/>
    <mergeCell ref="A189:B189"/>
    <mergeCell ref="A472:B472"/>
    <mergeCell ref="A869:H869"/>
    <mergeCell ref="A187:H187"/>
    <mergeCell ref="A367:B367"/>
    <mergeCell ref="A868:H868"/>
    <mergeCell ref="A362:B362"/>
    <mergeCell ref="A188:B188"/>
    <mergeCell ref="D357:D358"/>
    <mergeCell ref="E357:E358"/>
    <mergeCell ref="G235:H235"/>
    <mergeCell ref="G357:H358"/>
    <mergeCell ref="A196:H196"/>
    <mergeCell ref="G258:H258"/>
    <mergeCell ref="G261:H261"/>
    <mergeCell ref="C189:D189"/>
    <mergeCell ref="E189:F189"/>
    <mergeCell ref="A87:B87"/>
    <mergeCell ref="F176:H176"/>
    <mergeCell ref="F174:H174"/>
    <mergeCell ref="F172:H172"/>
    <mergeCell ref="A164:E164"/>
    <mergeCell ref="G59:H59"/>
    <mergeCell ref="A166:E166"/>
    <mergeCell ref="F166:H166"/>
    <mergeCell ref="D64:H64"/>
    <mergeCell ref="A70:C70"/>
    <mergeCell ref="A71:C71"/>
    <mergeCell ref="D70:H70"/>
    <mergeCell ref="A73:C73"/>
    <mergeCell ref="D73:H73"/>
    <mergeCell ref="A80:B80"/>
    <mergeCell ref="G79:H79"/>
    <mergeCell ref="A76:B76"/>
    <mergeCell ref="A74:B74"/>
    <mergeCell ref="C74:H74"/>
    <mergeCell ref="A84:B84"/>
    <mergeCell ref="A107:B107"/>
    <mergeCell ref="A85:B85"/>
    <mergeCell ref="A86:B86"/>
    <mergeCell ref="A72:C72"/>
    <mergeCell ref="D72:H72"/>
    <mergeCell ref="C76:H76"/>
    <mergeCell ref="A79:B79"/>
    <mergeCell ref="A82:B82"/>
    <mergeCell ref="D65:H65"/>
    <mergeCell ref="D61:H61"/>
    <mergeCell ref="A110:B110"/>
    <mergeCell ref="A111:B111"/>
    <mergeCell ref="A1:H1"/>
    <mergeCell ref="A2:H2"/>
    <mergeCell ref="A3:D3"/>
    <mergeCell ref="E3:H3"/>
    <mergeCell ref="A4:D4"/>
    <mergeCell ref="A8:D8"/>
    <mergeCell ref="E8:H8"/>
    <mergeCell ref="A9:D9"/>
    <mergeCell ref="E9:H9"/>
    <mergeCell ref="E4:H4"/>
    <mergeCell ref="A11:D11"/>
    <mergeCell ref="E11:H11"/>
    <mergeCell ref="A5:D5"/>
    <mergeCell ref="E5:H5"/>
    <mergeCell ref="A6:D6"/>
    <mergeCell ref="E6:H6"/>
    <mergeCell ref="A7:D7"/>
    <mergeCell ref="E7:H7"/>
    <mergeCell ref="A10:D10"/>
    <mergeCell ref="E10:H10"/>
    <mergeCell ref="A15:B15"/>
    <mergeCell ref="C15:H15"/>
    <mergeCell ref="A16:B16"/>
    <mergeCell ref="A27:D27"/>
    <mergeCell ref="E27:H27"/>
    <mergeCell ref="E26:H26"/>
    <mergeCell ref="A28:D28"/>
    <mergeCell ref="E28:H28"/>
    <mergeCell ref="A25:D25"/>
    <mergeCell ref="E25:H25"/>
    <mergeCell ref="A29:D29"/>
    <mergeCell ref="E29:H29"/>
    <mergeCell ref="A26:D26"/>
    <mergeCell ref="A35:B35"/>
    <mergeCell ref="C35:E35"/>
    <mergeCell ref="C36:E36"/>
    <mergeCell ref="A13:D13"/>
    <mergeCell ref="E13:H13"/>
    <mergeCell ref="A14:D14"/>
    <mergeCell ref="A22:D23"/>
    <mergeCell ref="E22:H23"/>
    <mergeCell ref="E14:H14"/>
    <mergeCell ref="A24:D24"/>
    <mergeCell ref="E24:H24"/>
    <mergeCell ref="C32:E32"/>
    <mergeCell ref="F35:H35"/>
    <mergeCell ref="F36:H36"/>
    <mergeCell ref="F32:H32"/>
    <mergeCell ref="C51:E51"/>
    <mergeCell ref="A43:D43"/>
    <mergeCell ref="A44:D44"/>
    <mergeCell ref="E43:H43"/>
    <mergeCell ref="D71:H71"/>
    <mergeCell ref="C50:E50"/>
    <mergeCell ref="A33:B33"/>
    <mergeCell ref="A32:B32"/>
    <mergeCell ref="C33:E33"/>
    <mergeCell ref="A34:B34"/>
    <mergeCell ref="C34:E34"/>
    <mergeCell ref="C39:H39"/>
    <mergeCell ref="A39:B39"/>
    <mergeCell ref="A30:D30"/>
    <mergeCell ref="E30:H30"/>
    <mergeCell ref="A37:H37"/>
    <mergeCell ref="A36:B36"/>
    <mergeCell ref="A31:D31"/>
    <mergeCell ref="E31:H31"/>
    <mergeCell ref="A45:D45"/>
    <mergeCell ref="A46:D46"/>
    <mergeCell ref="A47:H47"/>
    <mergeCell ref="D66:H66"/>
    <mergeCell ref="D67:H67"/>
    <mergeCell ref="D69:H69"/>
    <mergeCell ref="A64:C69"/>
    <mergeCell ref="A58:B58"/>
    <mergeCell ref="C58:E58"/>
    <mergeCell ref="G58:H58"/>
    <mergeCell ref="A53:B53"/>
    <mergeCell ref="C53:E53"/>
    <mergeCell ref="G53:H53"/>
    <mergeCell ref="A399:B399"/>
    <mergeCell ref="A400:B400"/>
    <mergeCell ref="A401:H401"/>
    <mergeCell ref="A392:B392"/>
    <mergeCell ref="A393:B393"/>
    <mergeCell ref="A394:B394"/>
    <mergeCell ref="A395:B395"/>
    <mergeCell ref="A41:D41"/>
    <mergeCell ref="E41:H41"/>
    <mergeCell ref="F33:H33"/>
    <mergeCell ref="F34:H34"/>
    <mergeCell ref="A40:H40"/>
    <mergeCell ref="E42:H42"/>
    <mergeCell ref="A42:D42"/>
    <mergeCell ref="A81:B81"/>
    <mergeCell ref="A83:B83"/>
    <mergeCell ref="E79:F79"/>
    <mergeCell ref="A174:E174"/>
    <mergeCell ref="A176:E176"/>
    <mergeCell ref="A167:E167"/>
    <mergeCell ref="A163:H163"/>
    <mergeCell ref="G181:H181"/>
    <mergeCell ref="C180:D180"/>
    <mergeCell ref="A180:B180"/>
    <mergeCell ref="E180:F180"/>
    <mergeCell ref="A160:E160"/>
    <mergeCell ref="A38:B38"/>
    <mergeCell ref="E38:F38"/>
    <mergeCell ref="C38:D38"/>
    <mergeCell ref="G38:H38"/>
    <mergeCell ref="F160:H160"/>
    <mergeCell ref="G51:H51"/>
    <mergeCell ref="A588:B588"/>
    <mergeCell ref="A589:B589"/>
    <mergeCell ref="A535:B535"/>
    <mergeCell ref="A578:B578"/>
    <mergeCell ref="A555:B555"/>
    <mergeCell ref="A585:B585"/>
    <mergeCell ref="A592:H592"/>
    <mergeCell ref="A455:B455"/>
    <mergeCell ref="G349:H349"/>
    <mergeCell ref="G257:H257"/>
    <mergeCell ref="B198:B199"/>
    <mergeCell ref="A198:A199"/>
    <mergeCell ref="A208:B208"/>
    <mergeCell ref="A209:B209"/>
    <mergeCell ref="A203:B203"/>
    <mergeCell ref="A204:B204"/>
    <mergeCell ref="A205:B205"/>
    <mergeCell ref="A202:H202"/>
    <mergeCell ref="E198:E199"/>
    <mergeCell ref="G198:H199"/>
    <mergeCell ref="C357:C358"/>
    <mergeCell ref="G218:H218"/>
    <mergeCell ref="G208:H208"/>
    <mergeCell ref="G204:H204"/>
    <mergeCell ref="G207:H207"/>
    <mergeCell ref="G206:H206"/>
    <mergeCell ref="G259:H259"/>
    <mergeCell ref="G256:H256"/>
    <mergeCell ref="A225:B225"/>
    <mergeCell ref="G225:H225"/>
    <mergeCell ref="A397:B397"/>
    <mergeCell ref="A398:B398"/>
    <mergeCell ref="A478:B478"/>
    <mergeCell ref="A479:B479"/>
    <mergeCell ref="A488:H488"/>
    <mergeCell ref="A496:B496"/>
    <mergeCell ref="A497:B497"/>
    <mergeCell ref="A512:B512"/>
    <mergeCell ref="A514:H514"/>
    <mergeCell ref="A523:H523"/>
    <mergeCell ref="A532:H532"/>
    <mergeCell ref="A557:B557"/>
    <mergeCell ref="A570:H570"/>
    <mergeCell ref="A475:B475"/>
    <mergeCell ref="A474:B474"/>
    <mergeCell ref="A473:B473"/>
    <mergeCell ref="A470:B470"/>
    <mergeCell ref="A456:B456"/>
    <mergeCell ref="A457:B457"/>
    <mergeCell ref="A458:B458"/>
    <mergeCell ref="A459:B459"/>
    <mergeCell ref="A460:B460"/>
    <mergeCell ref="A484:B484"/>
    <mergeCell ref="A487:H487"/>
    <mergeCell ref="A544:B544"/>
    <mergeCell ref="G533:H540"/>
    <mergeCell ref="A547:B547"/>
    <mergeCell ref="A454:B454"/>
    <mergeCell ref="G348:H348"/>
    <mergeCell ref="L361:M361"/>
    <mergeCell ref="A356:H356"/>
    <mergeCell ref="A357:A358"/>
    <mergeCell ref="L207:M207"/>
    <mergeCell ref="L206:M206"/>
    <mergeCell ref="L205:M205"/>
    <mergeCell ref="L204:M204"/>
    <mergeCell ref="L203:M203"/>
    <mergeCell ref="L209:M209"/>
    <mergeCell ref="L208:M208"/>
    <mergeCell ref="G205:H205"/>
    <mergeCell ref="G203:H203"/>
    <mergeCell ref="G209:H209"/>
    <mergeCell ref="A365:B365"/>
    <mergeCell ref="B856:H856"/>
    <mergeCell ref="A482:B482"/>
    <mergeCell ref="A483:B483"/>
    <mergeCell ref="A481:B481"/>
    <mergeCell ref="B851:H851"/>
    <mergeCell ref="B852:H852"/>
    <mergeCell ref="B853:H853"/>
    <mergeCell ref="B854:H854"/>
    <mergeCell ref="B855:H855"/>
    <mergeCell ref="A490:B490"/>
    <mergeCell ref="A491:B491"/>
    <mergeCell ref="A492:B492"/>
    <mergeCell ref="A493:B493"/>
    <mergeCell ref="A494:B494"/>
    <mergeCell ref="A480:B480"/>
    <mergeCell ref="A477:H477"/>
    <mergeCell ref="L451:M451"/>
    <mergeCell ref="A452:B452"/>
    <mergeCell ref="G346:H346"/>
    <mergeCell ref="A453:B453"/>
    <mergeCell ref="G347:H347"/>
    <mergeCell ref="A379:B379"/>
    <mergeCell ref="A380:B380"/>
    <mergeCell ref="A381:H381"/>
    <mergeCell ref="A386:B386"/>
    <mergeCell ref="A387:B387"/>
    <mergeCell ref="A451:H451"/>
    <mergeCell ref="A88:B88"/>
    <mergeCell ref="A89:B89"/>
    <mergeCell ref="F175:H175"/>
    <mergeCell ref="A171:E171"/>
    <mergeCell ref="F171:H171"/>
    <mergeCell ref="A172:E172"/>
    <mergeCell ref="D198:D199"/>
    <mergeCell ref="E80:F89"/>
    <mergeCell ref="G80:H89"/>
    <mergeCell ref="C120:H120"/>
    <mergeCell ref="A206:B206"/>
    <mergeCell ref="A207:B207"/>
    <mergeCell ref="L214:M214"/>
    <mergeCell ref="A215:B215"/>
    <mergeCell ref="G215:H215"/>
    <mergeCell ref="L215:M215"/>
    <mergeCell ref="A216:B216"/>
    <mergeCell ref="G216:H216"/>
    <mergeCell ref="A112:B112"/>
    <mergeCell ref="G108:H117"/>
    <mergeCell ref="A109:B109"/>
    <mergeCell ref="A113:B113"/>
    <mergeCell ref="A114:B114"/>
    <mergeCell ref="A115:B115"/>
    <mergeCell ref="A116:B116"/>
    <mergeCell ref="A90:B90"/>
    <mergeCell ref="C90:H90"/>
    <mergeCell ref="A92:B92"/>
    <mergeCell ref="C92:H92"/>
    <mergeCell ref="A93:B93"/>
    <mergeCell ref="E93:F93"/>
    <mergeCell ref="G93:H93"/>
    <mergeCell ref="A94:B94"/>
    <mergeCell ref="E94:F103"/>
    <mergeCell ref="G94:H103"/>
    <mergeCell ref="A95:B95"/>
    <mergeCell ref="A96:B96"/>
    <mergeCell ref="A97:B97"/>
    <mergeCell ref="A98:B98"/>
    <mergeCell ref="A99:B99"/>
    <mergeCell ref="A100:B100"/>
    <mergeCell ref="A101:B101"/>
    <mergeCell ref="A102:B102"/>
    <mergeCell ref="A103:B103"/>
    <mergeCell ref="A117:B117"/>
    <mergeCell ref="A118:B118"/>
    <mergeCell ref="C118:H118"/>
    <mergeCell ref="A120:B120"/>
    <mergeCell ref="B858:H858"/>
    <mergeCell ref="A104:B104"/>
    <mergeCell ref="C104:H104"/>
    <mergeCell ref="A106:B106"/>
    <mergeCell ref="C106:H106"/>
    <mergeCell ref="A121:B121"/>
    <mergeCell ref="E121:F121"/>
    <mergeCell ref="G121:H121"/>
    <mergeCell ref="A122:B122"/>
    <mergeCell ref="E122:F131"/>
    <mergeCell ref="G122:H131"/>
    <mergeCell ref="A123:B123"/>
    <mergeCell ref="A124:B124"/>
    <mergeCell ref="A125:B125"/>
    <mergeCell ref="A126:B126"/>
    <mergeCell ref="A127:B127"/>
    <mergeCell ref="A128:B128"/>
    <mergeCell ref="A129:B129"/>
    <mergeCell ref="A130:B130"/>
    <mergeCell ref="A131:B131"/>
    <mergeCell ref="E107:F107"/>
    <mergeCell ref="G107:H107"/>
    <mergeCell ref="A108:B108"/>
    <mergeCell ref="E108:F117"/>
    <mergeCell ref="A603:H603"/>
    <mergeCell ref="A614:H614"/>
    <mergeCell ref="A625:H625"/>
    <mergeCell ref="A738:H738"/>
    <mergeCell ref="L592:M592"/>
    <mergeCell ref="A593:B593"/>
    <mergeCell ref="G593:H602"/>
    <mergeCell ref="L593:M593"/>
    <mergeCell ref="A594:B594"/>
    <mergeCell ref="L594:M594"/>
    <mergeCell ref="A595:B595"/>
    <mergeCell ref="L595:M595"/>
    <mergeCell ref="A596:B596"/>
    <mergeCell ref="L596:M596"/>
    <mergeCell ref="A597:B597"/>
    <mergeCell ref="L597:M597"/>
    <mergeCell ref="A598:B598"/>
    <mergeCell ref="L598:M598"/>
    <mergeCell ref="A599:B599"/>
    <mergeCell ref="L599:M599"/>
    <mergeCell ref="A600:B600"/>
    <mergeCell ref="L600:M600"/>
    <mergeCell ref="A601:B601"/>
    <mergeCell ref="L601:M601"/>
    <mergeCell ref="A602:B602"/>
    <mergeCell ref="L602:M602"/>
    <mergeCell ref="L603:M603"/>
    <mergeCell ref="A604:B604"/>
    <mergeCell ref="G604:H613"/>
    <mergeCell ref="L604:M604"/>
    <mergeCell ref="A605:B605"/>
    <mergeCell ref="L605:M605"/>
    <mergeCell ref="A606:B606"/>
    <mergeCell ref="L606:M606"/>
    <mergeCell ref="A607:B607"/>
    <mergeCell ref="L607:M607"/>
    <mergeCell ref="A608:B608"/>
    <mergeCell ref="L608:M608"/>
    <mergeCell ref="A609:B609"/>
    <mergeCell ref="L609:M609"/>
    <mergeCell ref="A610:B610"/>
    <mergeCell ref="L610:M610"/>
    <mergeCell ref="A611:B611"/>
    <mergeCell ref="L611:M611"/>
    <mergeCell ref="A612:B612"/>
    <mergeCell ref="L612:M612"/>
    <mergeCell ref="A613:B613"/>
    <mergeCell ref="L613:M613"/>
    <mergeCell ref="C609:F609"/>
    <mergeCell ref="L614:M614"/>
    <mergeCell ref="A615:B615"/>
    <mergeCell ref="G615:H624"/>
    <mergeCell ref="L615:M615"/>
    <mergeCell ref="A616:B616"/>
    <mergeCell ref="L616:M616"/>
    <mergeCell ref="A617:B617"/>
    <mergeCell ref="L617:M617"/>
    <mergeCell ref="A618:B618"/>
    <mergeCell ref="L618:M618"/>
    <mergeCell ref="A619:B619"/>
    <mergeCell ref="L619:M619"/>
    <mergeCell ref="A620:B620"/>
    <mergeCell ref="L620:M620"/>
    <mergeCell ref="A621:B621"/>
    <mergeCell ref="L621:M621"/>
    <mergeCell ref="A622:B622"/>
    <mergeCell ref="L622:M622"/>
    <mergeCell ref="A623:B623"/>
    <mergeCell ref="L623:M623"/>
    <mergeCell ref="A624:B624"/>
    <mergeCell ref="L624:M624"/>
    <mergeCell ref="L625:M625"/>
    <mergeCell ref="A626:B626"/>
    <mergeCell ref="G626:H635"/>
    <mergeCell ref="L626:M626"/>
    <mergeCell ref="A627:B627"/>
    <mergeCell ref="L627:M627"/>
    <mergeCell ref="A628:B628"/>
    <mergeCell ref="L628:M628"/>
    <mergeCell ref="A629:B629"/>
    <mergeCell ref="L629:M629"/>
    <mergeCell ref="A630:B630"/>
    <mergeCell ref="L630:M630"/>
    <mergeCell ref="A631:B631"/>
    <mergeCell ref="L631:M631"/>
    <mergeCell ref="A632:B632"/>
    <mergeCell ref="L632:M632"/>
    <mergeCell ref="A633:B633"/>
    <mergeCell ref="L633:M633"/>
    <mergeCell ref="A634:B634"/>
    <mergeCell ref="L634:M634"/>
    <mergeCell ref="A635:B635"/>
    <mergeCell ref="L635:M635"/>
    <mergeCell ref="L652:M652"/>
    <mergeCell ref="A653:B653"/>
    <mergeCell ref="A650:B650"/>
    <mergeCell ref="A636:H636"/>
    <mergeCell ref="L636:M636"/>
    <mergeCell ref="A637:B637"/>
    <mergeCell ref="G637:H646"/>
    <mergeCell ref="L637:M637"/>
    <mergeCell ref="A638:B638"/>
    <mergeCell ref="L638:M638"/>
    <mergeCell ref="A639:B639"/>
    <mergeCell ref="L639:M639"/>
    <mergeCell ref="A640:B640"/>
    <mergeCell ref="L640:M640"/>
    <mergeCell ref="A641:B641"/>
    <mergeCell ref="L641:M641"/>
    <mergeCell ref="A642:B642"/>
    <mergeCell ref="L642:M642"/>
    <mergeCell ref="A643:B643"/>
    <mergeCell ref="L643:M643"/>
    <mergeCell ref="A644:B644"/>
    <mergeCell ref="L644:M644"/>
    <mergeCell ref="A645:B645"/>
    <mergeCell ref="L645:M645"/>
    <mergeCell ref="A646:B646"/>
    <mergeCell ref="L646:M646"/>
    <mergeCell ref="C642:F642"/>
    <mergeCell ref="L650:M650"/>
    <mergeCell ref="A651:B651"/>
    <mergeCell ref="L656:M656"/>
    <mergeCell ref="A657:B657"/>
    <mergeCell ref="A658:H658"/>
    <mergeCell ref="L658:M658"/>
    <mergeCell ref="A659:B659"/>
    <mergeCell ref="G659:H668"/>
    <mergeCell ref="L659:M659"/>
    <mergeCell ref="A660:B660"/>
    <mergeCell ref="L660:M660"/>
    <mergeCell ref="A661:B661"/>
    <mergeCell ref="L661:M661"/>
    <mergeCell ref="A662:B662"/>
    <mergeCell ref="L662:M662"/>
    <mergeCell ref="A663:B663"/>
    <mergeCell ref="L663:M663"/>
    <mergeCell ref="A664:B664"/>
    <mergeCell ref="L664:M664"/>
    <mergeCell ref="A665:B665"/>
    <mergeCell ref="L665:M665"/>
    <mergeCell ref="A666:B666"/>
    <mergeCell ref="L666:M666"/>
    <mergeCell ref="A667:B667"/>
    <mergeCell ref="L667:M667"/>
    <mergeCell ref="A668:B668"/>
    <mergeCell ref="L668:M668"/>
    <mergeCell ref="C664:F664"/>
    <mergeCell ref="A739:H739"/>
    <mergeCell ref="A77:B78"/>
    <mergeCell ref="C77:D78"/>
    <mergeCell ref="E77:F78"/>
    <mergeCell ref="G77:H78"/>
    <mergeCell ref="A669:H669"/>
    <mergeCell ref="L669:M669"/>
    <mergeCell ref="A670:B670"/>
    <mergeCell ref="G670:H679"/>
    <mergeCell ref="L670:M670"/>
    <mergeCell ref="A671:B671"/>
    <mergeCell ref="L671:M671"/>
    <mergeCell ref="A672:B672"/>
    <mergeCell ref="L672:M672"/>
    <mergeCell ref="A673:B673"/>
    <mergeCell ref="L673:M673"/>
    <mergeCell ref="A674:B674"/>
    <mergeCell ref="L674:M674"/>
    <mergeCell ref="A675:B675"/>
    <mergeCell ref="L675:M675"/>
    <mergeCell ref="A676:B676"/>
    <mergeCell ref="L676:M676"/>
    <mergeCell ref="A677:B677"/>
    <mergeCell ref="L677:M677"/>
    <mergeCell ref="A678:B678"/>
    <mergeCell ref="L678:M678"/>
    <mergeCell ref="A679:B679"/>
    <mergeCell ref="L679:M679"/>
    <mergeCell ref="A649:B649"/>
    <mergeCell ref="L649:M649"/>
    <mergeCell ref="A652:B652"/>
    <mergeCell ref="A737:H737"/>
    <mergeCell ref="L740:M740"/>
    <mergeCell ref="A741:B741"/>
    <mergeCell ref="G741:H750"/>
    <mergeCell ref="L741:M741"/>
    <mergeCell ref="A742:B742"/>
    <mergeCell ref="L742:M742"/>
    <mergeCell ref="A743:B743"/>
    <mergeCell ref="L743:M743"/>
    <mergeCell ref="A744:B744"/>
    <mergeCell ref="L744:M744"/>
    <mergeCell ref="A745:B745"/>
    <mergeCell ref="L745:M745"/>
    <mergeCell ref="A746:B746"/>
    <mergeCell ref="L746:M746"/>
    <mergeCell ref="A747:B747"/>
    <mergeCell ref="L747:M747"/>
    <mergeCell ref="A748:B748"/>
    <mergeCell ref="L748:M748"/>
    <mergeCell ref="A749:B749"/>
    <mergeCell ref="L749:M749"/>
    <mergeCell ref="A750:B750"/>
    <mergeCell ref="L750:M750"/>
    <mergeCell ref="A740:H740"/>
    <mergeCell ref="L751:M751"/>
    <mergeCell ref="A752:B752"/>
    <mergeCell ref="G752:H761"/>
    <mergeCell ref="L752:M752"/>
    <mergeCell ref="A753:B753"/>
    <mergeCell ref="L753:M753"/>
    <mergeCell ref="A754:B754"/>
    <mergeCell ref="L754:M754"/>
    <mergeCell ref="A755:B755"/>
    <mergeCell ref="L755:M755"/>
    <mergeCell ref="A756:B756"/>
    <mergeCell ref="L756:M756"/>
    <mergeCell ref="A757:B757"/>
    <mergeCell ref="L757:M757"/>
    <mergeCell ref="A758:B758"/>
    <mergeCell ref="L758:M758"/>
    <mergeCell ref="A759:B759"/>
    <mergeCell ref="L759:M759"/>
    <mergeCell ref="A760:B760"/>
    <mergeCell ref="L760:M760"/>
    <mergeCell ref="A761:B761"/>
    <mergeCell ref="L761:M761"/>
    <mergeCell ref="A751:H751"/>
    <mergeCell ref="A781:B781"/>
    <mergeCell ref="L781:M781"/>
    <mergeCell ref="A782:B782"/>
    <mergeCell ref="L782:M782"/>
    <mergeCell ref="A783:B783"/>
    <mergeCell ref="L783:M783"/>
    <mergeCell ref="L762:M762"/>
    <mergeCell ref="A763:B763"/>
    <mergeCell ref="G763:H772"/>
    <mergeCell ref="L763:M763"/>
    <mergeCell ref="A764:B764"/>
    <mergeCell ref="L764:M764"/>
    <mergeCell ref="A765:B765"/>
    <mergeCell ref="L765:M765"/>
    <mergeCell ref="A766:B766"/>
    <mergeCell ref="L766:M766"/>
    <mergeCell ref="A767:B767"/>
    <mergeCell ref="L767:M767"/>
    <mergeCell ref="A768:B768"/>
    <mergeCell ref="L768:M768"/>
    <mergeCell ref="A769:B769"/>
    <mergeCell ref="L769:M769"/>
    <mergeCell ref="A770:B770"/>
    <mergeCell ref="L770:M770"/>
    <mergeCell ref="A771:B771"/>
    <mergeCell ref="L771:M771"/>
    <mergeCell ref="A772:B772"/>
    <mergeCell ref="L772:M772"/>
    <mergeCell ref="C767:F767"/>
    <mergeCell ref="A778:B778"/>
    <mergeCell ref="L778:M778"/>
    <mergeCell ref="L779:M779"/>
    <mergeCell ref="A800:B800"/>
    <mergeCell ref="L800:M800"/>
    <mergeCell ref="A801:B801"/>
    <mergeCell ref="L801:M801"/>
    <mergeCell ref="A802:B802"/>
    <mergeCell ref="L802:M802"/>
    <mergeCell ref="A803:B803"/>
    <mergeCell ref="L803:M803"/>
    <mergeCell ref="A804:B804"/>
    <mergeCell ref="L804:M804"/>
    <mergeCell ref="A805:B805"/>
    <mergeCell ref="L805:M805"/>
    <mergeCell ref="L787:M787"/>
    <mergeCell ref="A788:B788"/>
    <mergeCell ref="L788:M788"/>
    <mergeCell ref="A789:B789"/>
    <mergeCell ref="L789:M789"/>
    <mergeCell ref="A790:B790"/>
    <mergeCell ref="L790:M790"/>
    <mergeCell ref="A791:B791"/>
    <mergeCell ref="L791:M791"/>
    <mergeCell ref="A792:B792"/>
    <mergeCell ref="L792:M792"/>
    <mergeCell ref="A793:B793"/>
    <mergeCell ref="L793:M793"/>
    <mergeCell ref="A794:B794"/>
    <mergeCell ref="L794:M794"/>
    <mergeCell ref="L797:M797"/>
    <mergeCell ref="A780:B780"/>
    <mergeCell ref="L798:M798"/>
    <mergeCell ref="L780:M780"/>
    <mergeCell ref="L799:M799"/>
    <mergeCell ref="A146:B146"/>
    <mergeCell ref="C146:H146"/>
    <mergeCell ref="A148:B148"/>
    <mergeCell ref="C148:H148"/>
    <mergeCell ref="A149:B149"/>
    <mergeCell ref="E149:F149"/>
    <mergeCell ref="G149:H149"/>
    <mergeCell ref="A150:B150"/>
    <mergeCell ref="E150:F159"/>
    <mergeCell ref="G150:H159"/>
    <mergeCell ref="A151:B151"/>
    <mergeCell ref="A152:B152"/>
    <mergeCell ref="A153:B153"/>
    <mergeCell ref="A154:B154"/>
    <mergeCell ref="A155:B155"/>
    <mergeCell ref="A156:B156"/>
    <mergeCell ref="L795:M795"/>
    <mergeCell ref="L773:M773"/>
    <mergeCell ref="A774:B774"/>
    <mergeCell ref="G774:H783"/>
    <mergeCell ref="L774:M774"/>
    <mergeCell ref="A775:B775"/>
    <mergeCell ref="L775:M775"/>
    <mergeCell ref="A776:B776"/>
    <mergeCell ref="L776:M776"/>
    <mergeCell ref="A777:B777"/>
    <mergeCell ref="L777:M777"/>
    <mergeCell ref="A193:B193"/>
    <mergeCell ref="C778:F778"/>
    <mergeCell ref="C193:D193"/>
    <mergeCell ref="A779:B779"/>
    <mergeCell ref="E193:F193"/>
    <mergeCell ref="G193:H193"/>
    <mergeCell ref="B865:H865"/>
    <mergeCell ref="A157:B157"/>
    <mergeCell ref="A158:B158"/>
    <mergeCell ref="A159:B159"/>
    <mergeCell ref="A795:H795"/>
    <mergeCell ref="A784:H784"/>
    <mergeCell ref="A773:H773"/>
    <mergeCell ref="A762:H762"/>
    <mergeCell ref="L784:M784"/>
    <mergeCell ref="A785:B785"/>
    <mergeCell ref="G785:H794"/>
    <mergeCell ref="L785:M785"/>
    <mergeCell ref="A786:B786"/>
    <mergeCell ref="L786:M786"/>
    <mergeCell ref="A787:B787"/>
    <mergeCell ref="B862:H862"/>
    <mergeCell ref="B863:H863"/>
    <mergeCell ref="I862:K862"/>
    <mergeCell ref="A194:B194"/>
    <mergeCell ref="C194:D194"/>
    <mergeCell ref="E194:F194"/>
    <mergeCell ref="G194:H194"/>
    <mergeCell ref="B860:H860"/>
    <mergeCell ref="B861:H861"/>
    <mergeCell ref="A796:B796"/>
    <mergeCell ref="G796:H805"/>
    <mergeCell ref="L796:M796"/>
    <mergeCell ref="A797:B797"/>
    <mergeCell ref="A798:B798"/>
    <mergeCell ref="A799:B799"/>
  </mergeCells>
  <hyperlinks>
    <hyperlink ref="C39" r:id="rId1"/>
  </hyperlinks>
  <printOptions horizontalCentered="1"/>
  <pageMargins left="0.39370078740157483" right="0.39370078740157483" top="0.78740157480314965" bottom="0.78740157480314965" header="0.19685039370078741" footer="0.19685039370078741"/>
  <pageSetup scale="95" fitToHeight="0" orientation="portrait" r:id="rId2"/>
  <headerFooter>
    <oddHeader>&amp;C&amp;G</oddHeader>
    <oddFooter>&amp;L&amp;"Times New Roman,Bold"&amp;12Ref No: &amp;F&amp;C&amp;G&amp;R&amp;"Times New Roman,Bold"&amp;12
                                                           &amp;P</oddFooter>
  </headerFooter>
  <rowBreaks count="3" manualBreakCount="3">
    <brk id="877" max="16383" man="1"/>
    <brk id="921" max="16383" man="1"/>
    <brk id="960"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L36"/>
  <sheetViews>
    <sheetView topLeftCell="A7" workbookViewId="0">
      <selection activeCell="C21" sqref="C21:D25"/>
    </sheetView>
  </sheetViews>
  <sheetFormatPr defaultRowHeight="14.5"/>
  <cols>
    <col min="2" max="2" width="12.1796875" customWidth="1"/>
  </cols>
  <sheetData>
    <row r="2" spans="1:12">
      <c r="B2" s="3" t="s">
        <v>77</v>
      </c>
      <c r="C2" s="330"/>
      <c r="D2" s="330"/>
    </row>
    <row r="3" spans="1:12">
      <c r="D3" s="4"/>
      <c r="E3" s="4"/>
      <c r="F3" s="4"/>
      <c r="G3" s="4"/>
      <c r="H3" s="4"/>
      <c r="I3" s="4"/>
    </row>
    <row r="4" spans="1:12">
      <c r="A4" s="3" t="s">
        <v>78</v>
      </c>
      <c r="B4" s="5" t="s">
        <v>79</v>
      </c>
      <c r="C4" s="331" t="s">
        <v>80</v>
      </c>
      <c r="D4" s="331"/>
      <c r="E4" s="331"/>
      <c r="F4" s="6"/>
      <c r="G4" s="331" t="s">
        <v>81</v>
      </c>
      <c r="H4" s="331"/>
      <c r="I4" s="331"/>
      <c r="J4" s="331" t="s">
        <v>82</v>
      </c>
      <c r="K4" s="331"/>
      <c r="L4" s="331"/>
    </row>
    <row r="5" spans="1:12">
      <c r="A5" s="3">
        <v>202</v>
      </c>
      <c r="B5" s="5"/>
      <c r="C5" s="5" t="s">
        <v>83</v>
      </c>
      <c r="D5" s="5" t="s">
        <v>84</v>
      </c>
      <c r="E5" s="5" t="s">
        <v>61</v>
      </c>
      <c r="F5" s="5"/>
      <c r="G5" s="5" t="s">
        <v>83</v>
      </c>
      <c r="H5" s="5" t="s">
        <v>84</v>
      </c>
      <c r="I5" s="5" t="s">
        <v>61</v>
      </c>
      <c r="J5" s="5" t="s">
        <v>83</v>
      </c>
      <c r="K5" s="5" t="s">
        <v>84</v>
      </c>
      <c r="L5" s="5" t="s">
        <v>61</v>
      </c>
    </row>
    <row r="6" spans="1:12">
      <c r="B6" s="7" t="s">
        <v>85</v>
      </c>
      <c r="C6" s="7"/>
      <c r="D6" s="7"/>
      <c r="E6" s="7">
        <f>C6*D6</f>
        <v>0</v>
      </c>
      <c r="F6" s="7" t="s">
        <v>86</v>
      </c>
      <c r="G6" s="7"/>
      <c r="H6" s="7"/>
      <c r="I6" s="7">
        <f>G6*H6</f>
        <v>0</v>
      </c>
      <c r="J6" s="7"/>
      <c r="K6" s="7"/>
      <c r="L6" s="7">
        <f>J6*K6</f>
        <v>0</v>
      </c>
    </row>
    <row r="7" spans="1:12">
      <c r="B7" s="7"/>
      <c r="C7" s="7"/>
      <c r="D7" s="7"/>
      <c r="E7" s="7">
        <f t="shared" ref="E7:E33" si="0">C7*D7</f>
        <v>0</v>
      </c>
      <c r="F7" s="7" t="s">
        <v>87</v>
      </c>
      <c r="G7" s="7"/>
      <c r="H7" s="7"/>
      <c r="I7" s="7">
        <f t="shared" ref="I7:I29" si="1">G7*H7</f>
        <v>0</v>
      </c>
      <c r="J7" s="7"/>
      <c r="K7" s="7"/>
      <c r="L7" s="7">
        <f t="shared" ref="L7:L29" si="2">J7*K7</f>
        <v>0</v>
      </c>
    </row>
    <row r="8" spans="1:12">
      <c r="B8" s="7"/>
      <c r="C8" s="7"/>
      <c r="D8" s="7"/>
      <c r="E8" s="7">
        <f t="shared" si="0"/>
        <v>0</v>
      </c>
      <c r="F8" s="7"/>
      <c r="G8" s="7"/>
      <c r="H8" s="7"/>
      <c r="I8" s="7">
        <f t="shared" si="1"/>
        <v>0</v>
      </c>
      <c r="J8" s="7"/>
      <c r="K8" s="7"/>
      <c r="L8" s="7">
        <f t="shared" si="2"/>
        <v>0</v>
      </c>
    </row>
    <row r="9" spans="1:12">
      <c r="B9" s="7" t="s">
        <v>88</v>
      </c>
      <c r="C9" s="7"/>
      <c r="D9" s="7"/>
      <c r="E9" s="7">
        <f t="shared" si="0"/>
        <v>0</v>
      </c>
      <c r="F9" s="7" t="s">
        <v>86</v>
      </c>
      <c r="G9" s="7"/>
      <c r="H9" s="7"/>
      <c r="I9" s="7">
        <f t="shared" si="1"/>
        <v>0</v>
      </c>
      <c r="J9" s="7"/>
      <c r="K9" s="7"/>
      <c r="L9" s="7">
        <f t="shared" si="2"/>
        <v>0</v>
      </c>
    </row>
    <row r="10" spans="1:12">
      <c r="B10" s="7"/>
      <c r="C10" s="7"/>
      <c r="D10" s="7"/>
      <c r="E10" s="7">
        <f t="shared" si="0"/>
        <v>0</v>
      </c>
      <c r="F10" s="7" t="s">
        <v>87</v>
      </c>
      <c r="G10" s="7"/>
      <c r="H10" s="7"/>
      <c r="I10" s="7">
        <f t="shared" si="1"/>
        <v>0</v>
      </c>
      <c r="J10" s="7"/>
      <c r="K10" s="7"/>
      <c r="L10" s="7">
        <f t="shared" si="2"/>
        <v>0</v>
      </c>
    </row>
    <row r="11" spans="1:12">
      <c r="B11" s="7"/>
      <c r="C11" s="7"/>
      <c r="D11" s="7"/>
      <c r="E11" s="7">
        <f t="shared" si="0"/>
        <v>0</v>
      </c>
      <c r="F11" s="7"/>
      <c r="G11" s="7"/>
      <c r="H11" s="7"/>
      <c r="I11" s="7">
        <f t="shared" si="1"/>
        <v>0</v>
      </c>
      <c r="J11" s="7"/>
      <c r="K11" s="7"/>
      <c r="L11" s="7">
        <f t="shared" si="2"/>
        <v>0</v>
      </c>
    </row>
    <row r="12" spans="1:12">
      <c r="B12" s="7"/>
      <c r="C12" s="7"/>
      <c r="D12" s="7"/>
      <c r="E12" s="7">
        <f t="shared" si="0"/>
        <v>0</v>
      </c>
      <c r="F12" s="7"/>
      <c r="G12" s="7"/>
      <c r="H12" s="7"/>
      <c r="I12" s="7">
        <f t="shared" si="1"/>
        <v>0</v>
      </c>
      <c r="J12" s="7"/>
      <c r="K12" s="7"/>
      <c r="L12" s="7">
        <f t="shared" si="2"/>
        <v>0</v>
      </c>
    </row>
    <row r="13" spans="1:12">
      <c r="B13" s="7" t="s">
        <v>89</v>
      </c>
      <c r="C13" s="7"/>
      <c r="D13" s="7"/>
      <c r="E13" s="7">
        <f t="shared" si="0"/>
        <v>0</v>
      </c>
      <c r="F13" s="7" t="s">
        <v>86</v>
      </c>
      <c r="G13" s="7"/>
      <c r="H13" s="7"/>
      <c r="I13" s="7">
        <f t="shared" si="1"/>
        <v>0</v>
      </c>
      <c r="J13" s="7"/>
      <c r="K13" s="7"/>
      <c r="L13" s="7">
        <f t="shared" si="2"/>
        <v>0</v>
      </c>
    </row>
    <row r="14" spans="1:12">
      <c r="B14" s="7"/>
      <c r="C14" s="7"/>
      <c r="D14" s="7"/>
      <c r="E14" s="7">
        <f t="shared" si="0"/>
        <v>0</v>
      </c>
      <c r="F14" s="7" t="s">
        <v>87</v>
      </c>
      <c r="G14" s="7"/>
      <c r="H14" s="7"/>
      <c r="I14" s="7">
        <f t="shared" si="1"/>
        <v>0</v>
      </c>
      <c r="J14" s="7"/>
      <c r="K14" s="7"/>
      <c r="L14" s="7">
        <f t="shared" si="2"/>
        <v>0</v>
      </c>
    </row>
    <row r="15" spans="1:12">
      <c r="B15" s="7"/>
      <c r="C15" s="7"/>
      <c r="D15" s="7"/>
      <c r="E15" s="7">
        <f t="shared" si="0"/>
        <v>0</v>
      </c>
      <c r="F15" s="7"/>
      <c r="G15" s="7"/>
      <c r="H15" s="7"/>
      <c r="I15" s="7">
        <f t="shared" si="1"/>
        <v>0</v>
      </c>
      <c r="J15" s="7"/>
      <c r="K15" s="7"/>
      <c r="L15" s="7">
        <f t="shared" si="2"/>
        <v>0</v>
      </c>
    </row>
    <row r="16" spans="1:12">
      <c r="B16" s="7"/>
      <c r="C16" s="7"/>
      <c r="D16" s="7"/>
      <c r="E16" s="7">
        <f t="shared" si="0"/>
        <v>0</v>
      </c>
      <c r="F16" s="7"/>
      <c r="G16" s="7"/>
      <c r="H16" s="7"/>
      <c r="I16" s="7">
        <f t="shared" si="1"/>
        <v>0</v>
      </c>
      <c r="J16" s="7"/>
      <c r="K16" s="7"/>
      <c r="L16" s="7">
        <f t="shared" si="2"/>
        <v>0</v>
      </c>
    </row>
    <row r="17" spans="2:12">
      <c r="B17" s="7" t="s">
        <v>90</v>
      </c>
      <c r="C17" s="7"/>
      <c r="D17" s="7"/>
      <c r="E17" s="7">
        <f t="shared" si="0"/>
        <v>0</v>
      </c>
      <c r="F17" s="7" t="s">
        <v>86</v>
      </c>
      <c r="G17" s="7"/>
      <c r="H17" s="7"/>
      <c r="I17" s="7">
        <f t="shared" si="1"/>
        <v>0</v>
      </c>
      <c r="J17" s="7"/>
      <c r="K17" s="7"/>
      <c r="L17" s="7">
        <f t="shared" si="2"/>
        <v>0</v>
      </c>
    </row>
    <row r="18" spans="2:12">
      <c r="B18" s="7"/>
      <c r="C18" s="7"/>
      <c r="D18" s="7"/>
      <c r="E18" s="7">
        <f t="shared" si="0"/>
        <v>0</v>
      </c>
      <c r="F18" s="7" t="s">
        <v>87</v>
      </c>
      <c r="G18" s="7"/>
      <c r="H18" s="7"/>
      <c r="I18" s="7">
        <f t="shared" si="1"/>
        <v>0</v>
      </c>
      <c r="J18" s="7"/>
      <c r="K18" s="7"/>
      <c r="L18" s="7">
        <f t="shared" si="2"/>
        <v>0</v>
      </c>
    </row>
    <row r="19" spans="2:12">
      <c r="B19" s="7"/>
      <c r="C19" s="7"/>
      <c r="D19" s="7"/>
      <c r="E19" s="7">
        <f t="shared" si="0"/>
        <v>0</v>
      </c>
      <c r="F19" s="7"/>
      <c r="G19" s="7"/>
      <c r="H19" s="7"/>
      <c r="I19" s="7">
        <f t="shared" si="1"/>
        <v>0</v>
      </c>
      <c r="J19" s="7"/>
      <c r="K19" s="7"/>
      <c r="L19" s="7">
        <f t="shared" si="2"/>
        <v>0</v>
      </c>
    </row>
    <row r="20" spans="2:12">
      <c r="B20" s="7" t="s">
        <v>90</v>
      </c>
      <c r="C20" s="7"/>
      <c r="D20" s="7"/>
      <c r="E20" s="7">
        <f t="shared" si="0"/>
        <v>0</v>
      </c>
      <c r="F20" s="7" t="s">
        <v>86</v>
      </c>
      <c r="G20" s="7"/>
      <c r="H20" s="7"/>
      <c r="I20" s="7">
        <f t="shared" si="1"/>
        <v>0</v>
      </c>
      <c r="J20" s="7"/>
      <c r="K20" s="7"/>
      <c r="L20" s="7">
        <f t="shared" si="2"/>
        <v>0</v>
      </c>
    </row>
    <row r="21" spans="2:12">
      <c r="B21" s="7"/>
      <c r="C21" s="7"/>
      <c r="D21" s="7"/>
      <c r="E21" s="7">
        <f t="shared" si="0"/>
        <v>0</v>
      </c>
      <c r="F21" s="7" t="s">
        <v>87</v>
      </c>
      <c r="G21" s="7"/>
      <c r="H21" s="7"/>
      <c r="I21" s="7">
        <f t="shared" si="1"/>
        <v>0</v>
      </c>
      <c r="J21" s="7"/>
      <c r="K21" s="7"/>
      <c r="L21" s="7">
        <f t="shared" si="2"/>
        <v>0</v>
      </c>
    </row>
    <row r="22" spans="2:12">
      <c r="B22" s="7"/>
      <c r="C22" s="7"/>
      <c r="D22" s="7"/>
      <c r="E22" s="7">
        <f t="shared" si="0"/>
        <v>0</v>
      </c>
      <c r="F22" s="7"/>
      <c r="G22" s="7"/>
      <c r="H22" s="7"/>
      <c r="I22" s="7">
        <f t="shared" si="1"/>
        <v>0</v>
      </c>
      <c r="J22" s="7"/>
      <c r="K22" s="7"/>
      <c r="L22" s="7">
        <f t="shared" si="2"/>
        <v>0</v>
      </c>
    </row>
    <row r="23" spans="2:12">
      <c r="B23" s="7" t="s">
        <v>91</v>
      </c>
      <c r="C23" s="7"/>
      <c r="D23" s="7"/>
      <c r="E23" s="7">
        <f t="shared" si="0"/>
        <v>0</v>
      </c>
      <c r="F23" s="7" t="s">
        <v>92</v>
      </c>
      <c r="G23" s="7"/>
      <c r="H23" s="7"/>
      <c r="I23" s="7">
        <f t="shared" si="1"/>
        <v>0</v>
      </c>
      <c r="J23" s="7"/>
      <c r="K23" s="7"/>
      <c r="L23" s="7">
        <f t="shared" si="2"/>
        <v>0</v>
      </c>
    </row>
    <row r="24" spans="2:12">
      <c r="B24" s="7" t="s">
        <v>93</v>
      </c>
      <c r="C24" s="7"/>
      <c r="D24" s="7"/>
      <c r="E24" s="7">
        <f t="shared" si="0"/>
        <v>0</v>
      </c>
      <c r="F24" s="7" t="s">
        <v>92</v>
      </c>
      <c r="G24" s="7"/>
      <c r="H24" s="7"/>
      <c r="I24" s="7">
        <f t="shared" si="1"/>
        <v>0</v>
      </c>
      <c r="J24" s="7"/>
      <c r="K24" s="7"/>
      <c r="L24" s="7">
        <f t="shared" si="2"/>
        <v>0</v>
      </c>
    </row>
    <row r="25" spans="2:12">
      <c r="B25" s="7" t="s">
        <v>94</v>
      </c>
      <c r="C25" s="7"/>
      <c r="D25" s="7"/>
      <c r="E25" s="7">
        <f t="shared" si="0"/>
        <v>0</v>
      </c>
      <c r="F25" s="7" t="s">
        <v>92</v>
      </c>
      <c r="G25" s="7"/>
      <c r="H25" s="7"/>
      <c r="I25" s="7">
        <f t="shared" si="1"/>
        <v>0</v>
      </c>
      <c r="J25" s="7"/>
      <c r="K25" s="7"/>
      <c r="L25" s="7">
        <f t="shared" si="2"/>
        <v>0</v>
      </c>
    </row>
    <row r="26" spans="2:12">
      <c r="B26" s="7"/>
      <c r="C26" s="7"/>
      <c r="D26" s="7"/>
      <c r="E26" s="7">
        <f t="shared" si="0"/>
        <v>0</v>
      </c>
      <c r="F26" s="7"/>
      <c r="G26" s="7"/>
      <c r="H26" s="7"/>
      <c r="I26" s="7">
        <f t="shared" si="1"/>
        <v>0</v>
      </c>
      <c r="J26" s="7"/>
      <c r="K26" s="7"/>
      <c r="L26" s="7">
        <f t="shared" si="2"/>
        <v>0</v>
      </c>
    </row>
    <row r="27" spans="2:12">
      <c r="B27" s="7" t="s">
        <v>95</v>
      </c>
      <c r="C27" s="7"/>
      <c r="D27" s="7"/>
      <c r="E27" s="7">
        <f t="shared" si="0"/>
        <v>0</v>
      </c>
      <c r="F27" s="7"/>
      <c r="G27" s="7"/>
      <c r="H27" s="7"/>
      <c r="I27" s="7">
        <f t="shared" si="1"/>
        <v>0</v>
      </c>
      <c r="J27" s="7"/>
      <c r="K27" s="7"/>
      <c r="L27" s="7">
        <f t="shared" si="2"/>
        <v>0</v>
      </c>
    </row>
    <row r="28" spans="2:12">
      <c r="B28" s="7" t="s">
        <v>96</v>
      </c>
      <c r="C28" s="7"/>
      <c r="D28" s="7"/>
      <c r="E28" s="7">
        <f t="shared" si="0"/>
        <v>0</v>
      </c>
      <c r="F28" s="7"/>
      <c r="G28" s="7"/>
      <c r="H28" s="7"/>
      <c r="I28" s="7">
        <f t="shared" si="1"/>
        <v>0</v>
      </c>
      <c r="J28" s="7"/>
      <c r="K28" s="7"/>
      <c r="L28" s="7">
        <f t="shared" si="2"/>
        <v>0</v>
      </c>
    </row>
    <row r="29" spans="2:12">
      <c r="B29" s="7" t="s">
        <v>97</v>
      </c>
      <c r="C29" s="7"/>
      <c r="D29" s="7"/>
      <c r="E29" s="7">
        <f t="shared" si="0"/>
        <v>0</v>
      </c>
      <c r="F29" s="7"/>
      <c r="G29" s="7"/>
      <c r="H29" s="7"/>
      <c r="I29" s="7">
        <f t="shared" si="1"/>
        <v>0</v>
      </c>
      <c r="J29" s="7"/>
      <c r="K29" s="7"/>
      <c r="L29" s="7">
        <f t="shared" si="2"/>
        <v>0</v>
      </c>
    </row>
    <row r="30" spans="2:12">
      <c r="B30" s="7" t="s">
        <v>98</v>
      </c>
      <c r="C30" s="7"/>
      <c r="D30" s="7"/>
      <c r="E30" s="7">
        <f t="shared" si="0"/>
        <v>0</v>
      </c>
      <c r="F30" s="7"/>
      <c r="G30" s="7"/>
      <c r="H30" s="7"/>
      <c r="I30" s="7">
        <f>G30*H30</f>
        <v>0</v>
      </c>
      <c r="J30" s="7"/>
      <c r="K30" s="7"/>
      <c r="L30" s="7">
        <f>J30*K30</f>
        <v>0</v>
      </c>
    </row>
    <row r="31" spans="2:12">
      <c r="B31" s="7"/>
      <c r="C31" s="7"/>
      <c r="D31" s="7"/>
      <c r="E31" s="7">
        <f t="shared" si="0"/>
        <v>0</v>
      </c>
      <c r="F31" s="7"/>
      <c r="G31" s="7"/>
      <c r="H31" s="7"/>
      <c r="I31" s="7">
        <f>G31*H31</f>
        <v>0</v>
      </c>
      <c r="J31" s="7"/>
      <c r="K31" s="7"/>
      <c r="L31" s="7">
        <f>J31*K31</f>
        <v>0</v>
      </c>
    </row>
    <row r="32" spans="2:12">
      <c r="B32" s="7"/>
      <c r="C32" s="7"/>
      <c r="D32" s="7"/>
      <c r="E32" s="7">
        <f t="shared" si="0"/>
        <v>0</v>
      </c>
      <c r="F32" s="7"/>
      <c r="G32" s="7"/>
      <c r="H32" s="7"/>
      <c r="I32" s="7">
        <f>G32*H32</f>
        <v>0</v>
      </c>
      <c r="J32" s="7"/>
      <c r="K32" s="7"/>
      <c r="L32" s="7">
        <f>J32*K32</f>
        <v>0</v>
      </c>
    </row>
    <row r="33" spans="2:12">
      <c r="B33" s="7"/>
      <c r="C33" s="7"/>
      <c r="D33" s="7"/>
      <c r="E33" s="7">
        <f t="shared" si="0"/>
        <v>0</v>
      </c>
      <c r="F33" s="7"/>
      <c r="G33" s="7"/>
      <c r="H33" s="7"/>
      <c r="I33" s="7">
        <f>G33*H33</f>
        <v>0</v>
      </c>
      <c r="J33" s="7"/>
      <c r="K33" s="7"/>
      <c r="L33" s="7">
        <f>J33*K33</f>
        <v>0</v>
      </c>
    </row>
    <row r="34" spans="2:12">
      <c r="B34" s="7" t="s">
        <v>62</v>
      </c>
      <c r="C34" s="7"/>
      <c r="D34" s="7">
        <f>E34*10.764</f>
        <v>0</v>
      </c>
      <c r="E34" s="7">
        <f>SUM(E6:E33)</f>
        <v>0</v>
      </c>
      <c r="F34" s="7"/>
      <c r="G34" s="7"/>
      <c r="H34" s="7">
        <f>I34*10.764</f>
        <v>0</v>
      </c>
      <c r="I34" s="7">
        <f>SUM(I6:I33)</f>
        <v>0</v>
      </c>
      <c r="J34" s="7"/>
      <c r="K34" s="7">
        <f>L34*10.764</f>
        <v>0</v>
      </c>
      <c r="L34" s="7">
        <f>SUM(L6:L33)</f>
        <v>0</v>
      </c>
    </row>
    <row r="36" spans="2:12">
      <c r="D36">
        <f>D34+H34</f>
        <v>0</v>
      </c>
      <c r="E36">
        <f>E34+I34</f>
        <v>0</v>
      </c>
    </row>
  </sheetData>
  <mergeCells count="4">
    <mergeCell ref="C2:D2"/>
    <mergeCell ref="C4:E4"/>
    <mergeCell ref="G4:I4"/>
    <mergeCell ref="J4:L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115" zoomScaleNormal="115" workbookViewId="0">
      <selection activeCell="D15" sqref="D15"/>
    </sheetView>
  </sheetViews>
  <sheetFormatPr defaultColWidth="8.81640625" defaultRowHeight="14.5"/>
  <cols>
    <col min="1" max="1" width="8.81640625" style="28"/>
    <col min="2" max="2" width="22.1796875" style="28" customWidth="1"/>
    <col min="3" max="3" width="37" style="28" customWidth="1"/>
    <col min="4" max="5" width="11.453125" style="28" customWidth="1"/>
    <col min="6" max="6" width="14" style="28" customWidth="1"/>
    <col min="7" max="7" width="20" style="28" customWidth="1"/>
    <col min="8" max="8" width="16.453125" style="28" customWidth="1"/>
    <col min="9" max="16384" width="8.81640625" style="28"/>
  </cols>
  <sheetData>
    <row r="1" spans="1:9" ht="15" customHeight="1">
      <c r="A1" s="27"/>
      <c r="B1" s="27"/>
      <c r="C1" s="27"/>
      <c r="D1" s="27"/>
      <c r="E1" s="27"/>
      <c r="F1" s="27"/>
      <c r="G1" s="27"/>
      <c r="H1" s="27"/>
    </row>
    <row r="2" spans="1:9" ht="15" customHeight="1">
      <c r="A2" s="29"/>
      <c r="B2" s="29"/>
      <c r="C2" s="29"/>
      <c r="D2" s="29"/>
      <c r="E2" s="29"/>
      <c r="F2" s="29"/>
      <c r="G2" s="29"/>
      <c r="H2" s="29"/>
    </row>
    <row r="3" spans="1:9" ht="15.75" customHeight="1">
      <c r="A3" s="29"/>
      <c r="B3" s="332" t="s">
        <v>146</v>
      </c>
      <c r="C3" s="332"/>
      <c r="D3" s="332"/>
      <c r="E3" s="332"/>
      <c r="F3" s="332"/>
      <c r="G3" s="332"/>
      <c r="H3" s="332"/>
    </row>
    <row r="4" spans="1:9">
      <c r="A4" s="29"/>
      <c r="B4" s="30" t="s">
        <v>147</v>
      </c>
      <c r="C4" s="30" t="s">
        <v>148</v>
      </c>
      <c r="D4" s="30" t="s">
        <v>78</v>
      </c>
      <c r="E4" s="30" t="s">
        <v>149</v>
      </c>
      <c r="F4" s="30" t="s">
        <v>156</v>
      </c>
      <c r="G4" s="30" t="s">
        <v>157</v>
      </c>
      <c r="H4" s="30" t="s">
        <v>150</v>
      </c>
    </row>
    <row r="5" spans="1:9" ht="15" customHeight="1">
      <c r="A5" s="29"/>
      <c r="B5" s="32" t="s">
        <v>151</v>
      </c>
      <c r="C5" s="33"/>
      <c r="D5" s="32"/>
      <c r="E5" s="32"/>
      <c r="F5" s="34"/>
      <c r="G5" s="34" t="e">
        <f>H5/F5</f>
        <v>#DIV/0!</v>
      </c>
      <c r="H5" s="35"/>
    </row>
    <row r="6" spans="1:9">
      <c r="A6" s="29"/>
      <c r="B6" s="32" t="s">
        <v>151</v>
      </c>
      <c r="C6" s="36"/>
      <c r="D6" s="32"/>
      <c r="E6" s="32"/>
      <c r="F6" s="34">
        <f t="shared" ref="F6:F11" si="0">E6*1.6</f>
        <v>0</v>
      </c>
      <c r="G6" s="34" t="e">
        <f t="shared" ref="G6:G11" si="1">H6/F6</f>
        <v>#DIV/0!</v>
      </c>
      <c r="H6" s="35"/>
    </row>
    <row r="7" spans="1:9" ht="15" customHeight="1">
      <c r="A7" s="29"/>
      <c r="B7" s="32" t="s">
        <v>151</v>
      </c>
      <c r="C7" s="33"/>
      <c r="D7" s="32"/>
      <c r="E7" s="32"/>
      <c r="F7" s="34">
        <f t="shared" si="0"/>
        <v>0</v>
      </c>
      <c r="G7" s="34" t="e">
        <f t="shared" si="1"/>
        <v>#DIV/0!</v>
      </c>
      <c r="H7" s="35"/>
    </row>
    <row r="8" spans="1:9">
      <c r="A8" s="29"/>
      <c r="B8" s="32" t="s">
        <v>151</v>
      </c>
      <c r="C8" s="36"/>
      <c r="D8" s="32"/>
      <c r="E8" s="32"/>
      <c r="F8" s="34">
        <f t="shared" si="0"/>
        <v>0</v>
      </c>
      <c r="G8" s="34" t="e">
        <f t="shared" si="1"/>
        <v>#DIV/0!</v>
      </c>
      <c r="H8" s="35"/>
    </row>
    <row r="9" spans="1:9" ht="15" customHeight="1">
      <c r="A9" s="29"/>
      <c r="B9" s="32" t="s">
        <v>151</v>
      </c>
      <c r="C9" s="36"/>
      <c r="D9" s="32"/>
      <c r="E9" s="32"/>
      <c r="F9" s="34">
        <f t="shared" si="0"/>
        <v>0</v>
      </c>
      <c r="G9" s="34" t="e">
        <f t="shared" si="1"/>
        <v>#DIV/0!</v>
      </c>
      <c r="H9" s="35"/>
    </row>
    <row r="10" spans="1:9" ht="15" customHeight="1">
      <c r="A10" s="29"/>
      <c r="B10" s="32" t="s">
        <v>153</v>
      </c>
      <c r="C10" s="33"/>
      <c r="D10" s="32"/>
      <c r="E10" s="32"/>
      <c r="F10" s="34">
        <f t="shared" si="0"/>
        <v>0</v>
      </c>
      <c r="G10" s="34" t="e">
        <f t="shared" si="1"/>
        <v>#DIV/0!</v>
      </c>
      <c r="H10" s="35"/>
    </row>
    <row r="11" spans="1:9" ht="15" customHeight="1">
      <c r="A11" s="29"/>
      <c r="B11" s="32" t="s">
        <v>153</v>
      </c>
      <c r="C11" s="33"/>
      <c r="D11" s="32"/>
      <c r="E11" s="32"/>
      <c r="F11" s="34">
        <f t="shared" si="0"/>
        <v>0</v>
      </c>
      <c r="G11" s="34" t="e">
        <f t="shared" si="1"/>
        <v>#DIV/0!</v>
      </c>
      <c r="H11" s="35"/>
    </row>
    <row r="12" spans="1:9" ht="15" customHeight="1">
      <c r="A12" s="29"/>
      <c r="B12" s="37" t="s">
        <v>154</v>
      </c>
      <c r="C12" s="32"/>
      <c r="D12" s="32"/>
      <c r="E12" s="32"/>
      <c r="F12" s="32"/>
      <c r="G12" s="38" t="e">
        <f>AVERAGE(G5:G11)</f>
        <v>#DIV/0!</v>
      </c>
      <c r="H12" s="32"/>
    </row>
    <row r="13" spans="1:9" ht="15" customHeight="1">
      <c r="A13" s="27"/>
      <c r="B13" s="37" t="s">
        <v>155</v>
      </c>
      <c r="C13" s="39"/>
      <c r="D13" s="39"/>
      <c r="E13" s="39"/>
      <c r="F13" s="40"/>
      <c r="G13" s="37"/>
      <c r="H13" s="37"/>
      <c r="I13" s="31"/>
    </row>
    <row r="14" spans="1:9" ht="15" customHeight="1">
      <c r="B14" s="27"/>
      <c r="C14" s="27"/>
      <c r="D14" s="27"/>
      <c r="E14" s="27"/>
    </row>
    <row r="15" spans="1:9" ht="15" customHeight="1">
      <c r="B15" s="27"/>
      <c r="C15" s="27"/>
      <c r="D15" s="27"/>
      <c r="E15" s="27"/>
    </row>
    <row r="16" spans="1:9" ht="15" customHeight="1">
      <c r="B16" s="27"/>
      <c r="C16" s="27"/>
      <c r="D16" s="27"/>
      <c r="E16" s="27"/>
    </row>
  </sheetData>
  <mergeCells count="1">
    <mergeCell ref="B3:H3"/>
  </mergeCells>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election activeCell="G16" sqref="G16"/>
    </sheetView>
  </sheetViews>
  <sheetFormatPr defaultRowHeight="14.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Flat detail</vt:lpstr>
      <vt:lpstr>valuation</vt:lpstr>
      <vt:lpstr>Note</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2025-07-15T13:09:02Z</cp:lastPrinted>
  <dcterms:created xsi:type="dcterms:W3CDTF">2019-07-16T09:29:46Z</dcterms:created>
  <dcterms:modified xsi:type="dcterms:W3CDTF">2025-09-15T13:34:18Z</dcterms:modified>
</cp:coreProperties>
</file>