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868"/>
  </bookViews>
  <sheets>
    <sheet name="Report (2)" sheetId="1" r:id="rId1"/>
    <sheet name="Note" sheetId="9" r:id="rId2"/>
    <sheet name="Flat detail" sheetId="3" r:id="rId3"/>
    <sheet name="VALUATION" sheetId="10" r:id="rId4"/>
  </sheets>
  <definedNames>
    <definedName name="_xlnm.Print_Area" localSheetId="0">'Report (2)'!$A$1:$J$327</definedName>
  </definedNames>
  <calcPr calcId="162913"/>
</workbook>
</file>

<file path=xl/calcChain.xml><?xml version="1.0" encoding="utf-8"?>
<calcChain xmlns="http://schemas.openxmlformats.org/spreadsheetml/2006/main">
  <c r="C13" i="1" l="1"/>
  <c r="N166" i="1" l="1"/>
  <c r="F3" i="1" l="1"/>
  <c r="C46" i="1" l="1"/>
  <c r="C130" i="1" l="1"/>
  <c r="M141" i="1"/>
  <c r="M140" i="1"/>
  <c r="M139" i="1"/>
  <c r="M138" i="1"/>
  <c r="M127" i="1"/>
  <c r="M126" i="1"/>
  <c r="M125" i="1"/>
  <c r="M124" i="1"/>
  <c r="M113" i="1"/>
  <c r="M112" i="1"/>
  <c r="M111" i="1"/>
  <c r="M110" i="1"/>
  <c r="M99" i="1"/>
  <c r="M98" i="1"/>
  <c r="M97" i="1"/>
  <c r="M96" i="1"/>
  <c r="M85" i="1"/>
  <c r="M84" i="1"/>
  <c r="M83" i="1"/>
  <c r="M82" i="1"/>
  <c r="M71" i="1"/>
  <c r="M70" i="1"/>
  <c r="M69" i="1"/>
  <c r="M68" i="1"/>
  <c r="I61" i="1"/>
  <c r="C66" i="1" l="1"/>
  <c r="D66" i="1" s="1"/>
  <c r="M64" i="1"/>
  <c r="D73" i="1"/>
  <c r="D71" i="1"/>
  <c r="D69" i="1"/>
  <c r="D67" i="1"/>
  <c r="M65" i="1"/>
  <c r="C64" i="1" s="1"/>
  <c r="D64" i="1" s="1"/>
  <c r="M63" i="1"/>
  <c r="D72" i="1"/>
  <c r="D68" i="1"/>
  <c r="M66" i="1"/>
  <c r="M67" i="1" s="1"/>
  <c r="M72" i="1" s="1"/>
  <c r="M73" i="1" s="1"/>
  <c r="C65" i="1" s="1"/>
  <c r="D70" i="1"/>
  <c r="G6" i="10"/>
  <c r="G7" i="10"/>
  <c r="G5" i="10"/>
  <c r="G8" i="10" l="1"/>
  <c r="D65" i="1"/>
  <c r="K60" i="1"/>
  <c r="C62" i="1" s="1"/>
  <c r="F64" i="1" s="1"/>
  <c r="H64" i="1"/>
  <c r="D234" i="1"/>
  <c r="G234" i="1" s="1"/>
  <c r="D233" i="1"/>
  <c r="G233" i="1" s="1"/>
  <c r="D232" i="1"/>
  <c r="G232" i="1" s="1"/>
  <c r="D231" i="1"/>
  <c r="G231" i="1" s="1"/>
  <c r="D230" i="1"/>
  <c r="G230" i="1" s="1"/>
  <c r="D229" i="1"/>
  <c r="G229" i="1" s="1"/>
  <c r="D227" i="1"/>
  <c r="G227" i="1" s="1"/>
  <c r="D226" i="1"/>
  <c r="G226" i="1" s="1"/>
  <c r="D225" i="1"/>
  <c r="G225" i="1" s="1"/>
  <c r="D224" i="1"/>
  <c r="G224" i="1" s="1"/>
  <c r="D223" i="1"/>
  <c r="G223" i="1" s="1"/>
  <c r="D222" i="1"/>
  <c r="G222" i="1" s="1"/>
  <c r="I229" i="1"/>
  <c r="I222" i="1"/>
  <c r="I225" i="1" s="1"/>
  <c r="D218" i="1"/>
  <c r="G218" i="1" s="1"/>
  <c r="D217" i="1"/>
  <c r="G217" i="1" s="1"/>
  <c r="D216" i="1"/>
  <c r="G216" i="1" s="1"/>
  <c r="D215" i="1"/>
  <c r="G215" i="1" s="1"/>
  <c r="D213" i="1"/>
  <c r="G213" i="1" s="1"/>
  <c r="D212" i="1"/>
  <c r="G212" i="1" s="1"/>
  <c r="D211" i="1"/>
  <c r="G211" i="1" s="1"/>
  <c r="D210" i="1"/>
  <c r="G210" i="1" s="1"/>
  <c r="I215" i="1"/>
  <c r="I210" i="1"/>
  <c r="D206" i="1"/>
  <c r="G206" i="1" s="1"/>
  <c r="D205" i="1"/>
  <c r="G205" i="1" s="1"/>
  <c r="D204" i="1"/>
  <c r="G204" i="1" s="1"/>
  <c r="D203" i="1"/>
  <c r="G203" i="1" s="1"/>
  <c r="D202" i="1"/>
  <c r="G202" i="1" s="1"/>
  <c r="D201" i="1"/>
  <c r="G201" i="1" s="1"/>
  <c r="D195" i="1"/>
  <c r="G195" i="1" s="1"/>
  <c r="D199" i="1"/>
  <c r="G199" i="1" s="1"/>
  <c r="I201" i="1"/>
  <c r="D198" i="1"/>
  <c r="G198" i="1" s="1"/>
  <c r="D197" i="1"/>
  <c r="G197" i="1" s="1"/>
  <c r="D196" i="1"/>
  <c r="G196" i="1" s="1"/>
  <c r="I194" i="1"/>
  <c r="D194" i="1"/>
  <c r="G194" i="1" s="1"/>
  <c r="D190" i="1"/>
  <c r="G190" i="1" s="1"/>
  <c r="D189" i="1"/>
  <c r="G189" i="1" s="1"/>
  <c r="D188" i="1"/>
  <c r="G188" i="1" s="1"/>
  <c r="D187" i="1"/>
  <c r="G187" i="1" s="1"/>
  <c r="I186" i="1"/>
  <c r="D186" i="1"/>
  <c r="G186" i="1" s="1"/>
  <c r="D184" i="1"/>
  <c r="G184" i="1" s="1"/>
  <c r="D183" i="1"/>
  <c r="G183" i="1" s="1"/>
  <c r="D182" i="1"/>
  <c r="G182" i="1" s="1"/>
  <c r="D181" i="1"/>
  <c r="G181" i="1" s="1"/>
  <c r="I180" i="1"/>
  <c r="D180" i="1"/>
  <c r="G180" i="1" s="1"/>
  <c r="L180" i="1" s="1"/>
  <c r="D176" i="1"/>
  <c r="G176" i="1" s="1"/>
  <c r="D175" i="1"/>
  <c r="G175" i="1" s="1"/>
  <c r="D174" i="1"/>
  <c r="G174" i="1" s="1"/>
  <c r="D173" i="1"/>
  <c r="G173" i="1" s="1"/>
  <c r="I172" i="1"/>
  <c r="D172" i="1"/>
  <c r="G172" i="1" s="1"/>
  <c r="I166" i="1"/>
  <c r="D170" i="1"/>
  <c r="G170" i="1" s="1"/>
  <c r="D169" i="1"/>
  <c r="G169" i="1" s="1"/>
  <c r="D168" i="1"/>
  <c r="G168" i="1" s="1"/>
  <c r="D167" i="1"/>
  <c r="G167" i="1" s="1"/>
  <c r="L167" i="1" s="1"/>
  <c r="D166" i="1"/>
  <c r="G166" i="1" s="1"/>
  <c r="I75" i="1"/>
  <c r="G156" i="1" l="1"/>
  <c r="G158" i="1"/>
  <c r="G157" i="1"/>
  <c r="C80" i="1"/>
  <c r="D80" i="1" s="1"/>
  <c r="M78" i="1"/>
  <c r="D82" i="1"/>
  <c r="D87" i="1"/>
  <c r="D85" i="1"/>
  <c r="D83" i="1"/>
  <c r="D81" i="1"/>
  <c r="M79" i="1"/>
  <c r="C78" i="1" s="1"/>
  <c r="M77" i="1"/>
  <c r="M80" i="1"/>
  <c r="M81" i="1" s="1"/>
  <c r="M86" i="1" s="1"/>
  <c r="M87" i="1" s="1"/>
  <c r="C79" i="1" s="1"/>
  <c r="D86" i="1"/>
  <c r="D84" i="1"/>
  <c r="D158" i="1"/>
  <c r="D157" i="1"/>
  <c r="C158" i="1"/>
  <c r="D156" i="1"/>
  <c r="C157" i="1"/>
  <c r="C156" i="1"/>
  <c r="G154" i="1"/>
  <c r="D155" i="1"/>
  <c r="G155" i="1"/>
  <c r="C154" i="1"/>
  <c r="D154" i="1"/>
  <c r="C155" i="1"/>
  <c r="D79" i="1" l="1"/>
  <c r="H78" i="1"/>
  <c r="D78" i="1"/>
  <c r="K74" i="1" s="1"/>
  <c r="C76" i="1" s="1"/>
  <c r="F78" i="1" s="1"/>
  <c r="D159" i="1"/>
  <c r="C159" i="1"/>
  <c r="G159" i="1"/>
  <c r="D249" i="1"/>
  <c r="G151" i="1"/>
  <c r="H46" i="1"/>
  <c r="H47" i="1" s="1"/>
  <c r="D49" i="1" s="1"/>
  <c r="F41" i="1"/>
  <c r="F42" i="1" s="1"/>
  <c r="D51" i="1" s="1"/>
  <c r="F7" i="1"/>
  <c r="I89" i="1"/>
  <c r="C94" i="1" l="1"/>
  <c r="D94" i="1" s="1"/>
  <c r="M92" i="1"/>
  <c r="D101" i="1"/>
  <c r="D99" i="1"/>
  <c r="D97" i="1"/>
  <c r="D95" i="1"/>
  <c r="M93" i="1"/>
  <c r="C92" i="1" s="1"/>
  <c r="D92" i="1" s="1"/>
  <c r="M91" i="1"/>
  <c r="D98" i="1"/>
  <c r="M94" i="1"/>
  <c r="M95" i="1" s="1"/>
  <c r="M100" i="1" s="1"/>
  <c r="M101" i="1" s="1"/>
  <c r="C93" i="1" s="1"/>
  <c r="D100" i="1"/>
  <c r="D96"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93" i="1" l="1"/>
  <c r="H92" i="1"/>
  <c r="K88" i="1"/>
  <c r="C90" i="1" s="1"/>
  <c r="F92" i="1" s="1"/>
  <c r="L34" i="3"/>
  <c r="K34" i="3" s="1"/>
  <c r="E34" i="3"/>
  <c r="I34" i="3"/>
  <c r="H34" i="3" s="1"/>
  <c r="I103" i="1"/>
  <c r="D108" i="1" l="1"/>
  <c r="M106" i="1"/>
  <c r="D115" i="1"/>
  <c r="D113" i="1"/>
  <c r="D111" i="1"/>
  <c r="D109" i="1"/>
  <c r="M107" i="1"/>
  <c r="C106" i="1" s="1"/>
  <c r="D106" i="1" s="1"/>
  <c r="M105" i="1"/>
  <c r="D114" i="1"/>
  <c r="D112" i="1"/>
  <c r="M108" i="1"/>
  <c r="M109" i="1" s="1"/>
  <c r="M114" i="1" s="1"/>
  <c r="M115" i="1" s="1"/>
  <c r="C107" i="1" s="1"/>
  <c r="D110" i="1"/>
  <c r="D34" i="3"/>
  <c r="D36" i="3" s="1"/>
  <c r="E36" i="3"/>
  <c r="D107" i="1" l="1"/>
  <c r="K102" i="1"/>
  <c r="C104" i="1" s="1"/>
  <c r="F106" i="1" s="1"/>
  <c r="H106" i="1"/>
  <c r="I117" i="1"/>
  <c r="M122" i="1" l="1"/>
  <c r="M123" i="1" s="1"/>
  <c r="M128" i="1" s="1"/>
  <c r="M129" i="1" s="1"/>
  <c r="C121" i="1" s="1"/>
  <c r="D129" i="1"/>
  <c r="M121" i="1"/>
  <c r="C120" i="1" s="1"/>
  <c r="D120" i="1" s="1"/>
  <c r="D128" i="1"/>
  <c r="D126" i="1"/>
  <c r="D124" i="1"/>
  <c r="D127" i="1"/>
  <c r="D123" i="1"/>
  <c r="C122" i="1"/>
  <c r="D122" i="1" s="1"/>
  <c r="M120" i="1"/>
  <c r="D125" i="1"/>
  <c r="M119" i="1"/>
  <c r="D121" i="1" l="1"/>
  <c r="H120" i="1"/>
  <c r="K116" i="1"/>
  <c r="C118" i="1" s="1"/>
  <c r="F120" i="1" s="1"/>
  <c r="I131" i="1"/>
  <c r="D136" i="1" l="1"/>
  <c r="M134" i="1"/>
  <c r="D138" i="1"/>
  <c r="D143" i="1"/>
  <c r="D141" i="1"/>
  <c r="D139" i="1"/>
  <c r="D137" i="1"/>
  <c r="M135" i="1"/>
  <c r="C134" i="1" s="1"/>
  <c r="M133" i="1"/>
  <c r="D140" i="1"/>
  <c r="M136" i="1"/>
  <c r="M137" i="1" s="1"/>
  <c r="M142" i="1" s="1"/>
  <c r="M143" i="1" s="1"/>
  <c r="C135" i="1" s="1"/>
  <c r="D135" i="1" s="1"/>
  <c r="D142" i="1"/>
  <c r="H134" i="1" l="1"/>
  <c r="D134" i="1"/>
  <c r="K130" i="1" s="1"/>
  <c r="C132" i="1" s="1"/>
  <c r="F134" i="1" s="1"/>
</calcChain>
</file>

<file path=xl/sharedStrings.xml><?xml version="1.0" encoding="utf-8"?>
<sst xmlns="http://schemas.openxmlformats.org/spreadsheetml/2006/main" count="599" uniqueCount="252">
  <si>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</si>
  <si>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</si>
  <si>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</si>
  <si>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</si>
  <si>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</si>
  <si>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</si>
  <si>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</si>
  <si>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</si>
  <si>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</si>
  <si>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</si>
  <si>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</si>
  <si>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</si>
  <si>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</si>
  <si>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</si>
  <si>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</si>
  <si>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</si>
  <si>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</si>
  <si>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</si>
  <si>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</si>
  <si>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</si>
  <si>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</si>
  <si>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</si>
  <si>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</si>
  <si>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</si>
  <si>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</si>
  <si>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</si>
  <si>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</si>
  <si>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</si>
  <si>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</si>
  <si>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</si>
  <si>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</si>
  <si>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</si>
  <si>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</si>
  <si>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</si>
  <si>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</si>
  <si>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</si>
  <si>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</si>
  <si>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</si>
  <si>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</si>
  <si>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</si>
  <si>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</si>
  <si>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</si>
  <si>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</si>
  <si>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</si>
  <si>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</si>
  <si>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</si>
  <si>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</si>
  <si>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</si>
  <si>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</si>
  <si>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</si>
  <si>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</si>
  <si>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</si>
  <si>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</si>
  <si>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</si>
  <si>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</si>
  <si>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</si>
  <si>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</si>
  <si>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</si>
  <si>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</si>
  <si>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</si>
  <si>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</si>
  <si>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</si>
  <si>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</si>
  <si>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</si>
  <si>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</si>
  <si>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</si>
  <si>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</si>
  <si>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</si>
  <si>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</si>
  <si>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</si>
  <si>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</si>
  <si>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</si>
  <si>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</si>
  <si>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</si>
  <si>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</si>
  <si>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</si>
  <si>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</si>
  <si>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</si>
  <si>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</si>
  <si>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</si>
  <si>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</si>
  <si>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</si>
  <si>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</si>
  <si>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</si>
  <si>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</si>
  <si>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</si>
  <si>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</si>
  <si>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</si>
  <si>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</si>
  <si>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</si>
  <si>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</si>
  <si>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</si>
  <si>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</si>
  <si>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</si>
  <si>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</si>
  <si>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</si>
  <si>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</si>
  <si>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</si>
  <si>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</si>
  <si>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</si>
  <si>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</si>
  <si>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</si>
  <si>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</si>
  <si>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</si>
  <si>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</si>
  <si>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</si>
  <si>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</si>
  <si>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</si>
  <si>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</si>
  <si>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</si>
  <si>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</si>
  <si>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</si>
  <si>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</si>
  <si>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</si>
  <si>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</si>
  <si>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</si>
  <si>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</si>
  <si>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</si>
  <si>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</si>
  <si>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</si>
  <si>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</si>
  <si>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</si>
  <si>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</si>
  <si>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</si>
  <si>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</si>
  <si>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</si>
  <si>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</si>
  <si>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</si>
  <si>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</si>
  <si>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</si>
  <si>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</si>
  <si>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</si>
  <si>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</si>
  <si>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</si>
  <si>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</si>
  <si>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</si>
  <si>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</si>
  <si>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</si>
  <si>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</si>
  <si>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Inspected By :</t>
  </si>
  <si>
    <t>Report Prepared By :</t>
  </si>
  <si>
    <t>No. of Units</t>
  </si>
  <si>
    <t>Authorized Signatory
Name &amp; Seal of the agency</t>
  </si>
  <si>
    <t>Axis Sanpada</t>
  </si>
  <si>
    <t>Sai Kanhuji Police Sankul</t>
  </si>
  <si>
    <t>M/s.Sai Malhar Builders And Developers</t>
  </si>
  <si>
    <t>Ramesh – 9920421699</t>
  </si>
  <si>
    <t>P51700016588</t>
  </si>
  <si>
    <t>Survey No</t>
  </si>
  <si>
    <t>Hissa No</t>
  </si>
  <si>
    <t>36 &amp; 37 A, B</t>
  </si>
  <si>
    <t>Balyani</t>
  </si>
  <si>
    <t>Kalyan</t>
  </si>
  <si>
    <t>Thane</t>
  </si>
  <si>
    <t>Titwala</t>
  </si>
  <si>
    <t>Titwala - Ambivli Road</t>
  </si>
  <si>
    <t>Aastha Evershine Balyani</t>
  </si>
  <si>
    <t>Building</t>
  </si>
  <si>
    <t>Open Space</t>
  </si>
  <si>
    <t>KDMP/NRV/BP/KV/2014-15/10/02</t>
  </si>
  <si>
    <t>06/04/2018.</t>
  </si>
  <si>
    <t>Residential</t>
  </si>
  <si>
    <t>Material laying at Site: Bricks, Cement &amp; Steel etc.</t>
  </si>
  <si>
    <t>Wheather the construction is as per approved Building plan : Under Construction</t>
  </si>
  <si>
    <t>Flats = 236</t>
  </si>
  <si>
    <t>Building A</t>
  </si>
  <si>
    <t>Building A, B, C
Building D, E
Building F (Mhada building)</t>
  </si>
  <si>
    <t>KDMP/NRV/BP/KV/2014-15/10/02
Valid Up to: 
Building A, B, C = G + 10th Floor
Building D = G + 4th Floor
Building E = G + 10th Floor
Building F (Mhada building) = G + 5th Floor</t>
  </si>
  <si>
    <t>Ground Floor for Parking</t>
  </si>
  <si>
    <t>1st, 3rd, 5th, 7th, 9th Floor</t>
  </si>
  <si>
    <t>1 BHK</t>
  </si>
  <si>
    <t>2nd, 4th, 6th, 8th, 10th Floor</t>
  </si>
  <si>
    <t>Building B</t>
  </si>
  <si>
    <t>Building C</t>
  </si>
  <si>
    <t>Building D</t>
  </si>
  <si>
    <t>2 BHK</t>
  </si>
  <si>
    <t>1st &amp; 3rd Floor</t>
  </si>
  <si>
    <t>2nd &amp; 4th Floor</t>
  </si>
  <si>
    <t>Building E</t>
  </si>
  <si>
    <t>250000/-</t>
  </si>
  <si>
    <t>50000/-</t>
  </si>
  <si>
    <t>17/03/2020.</t>
  </si>
  <si>
    <t>Asmita</t>
  </si>
  <si>
    <t xml:space="preserve">Akash-Thane demand for 4000 = Rate change from 2500 to 4000/- </t>
  </si>
  <si>
    <t>I search for index II as well as on net. But found nothing.</t>
  </si>
  <si>
    <t>22/06/2020.</t>
  </si>
  <si>
    <t>Pratiksha</t>
  </si>
  <si>
    <t>9. On Site, we meet Mr.Balu Gawade (9833306515).</t>
  </si>
  <si>
    <t>Market Research Data</t>
  </si>
  <si>
    <t>Source</t>
  </si>
  <si>
    <t>Distance from proposed property</t>
  </si>
  <si>
    <t>Net Carpet</t>
  </si>
  <si>
    <t>Saleable Area</t>
  </si>
  <si>
    <t>Rate on Saleable</t>
  </si>
  <si>
    <t>Market Value</t>
  </si>
  <si>
    <t>Average</t>
  </si>
  <si>
    <t xml:space="preserve">Valuation Adopted </t>
  </si>
  <si>
    <t>99acres.</t>
  </si>
  <si>
    <t>1BHK</t>
  </si>
  <si>
    <t>nobroker</t>
  </si>
  <si>
    <t>.</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</si>
  <si>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</si>
  <si>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</si>
  <si>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</si>
  <si>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</si>
  <si>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</si>
  <si>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</si>
  <si>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</si>
  <si>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</si>
  <si>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</si>
  <si>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</si>
  <si>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</si>
  <si>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</si>
  <si>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</si>
  <si>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</si>
  <si>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</si>
  <si>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</si>
  <si>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</si>
  <si>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</si>
  <si>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</si>
  <si>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</si>
  <si>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</si>
  <si>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</si>
  <si>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</si>
  <si>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</si>
  <si>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</si>
  <si>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A = G + 1st to 10th Floor</t>
  </si>
  <si>
    <t>Building D = G + 1st to 4th Floor</t>
  </si>
  <si>
    <t>Building F (Mhada building) = G + 1st to 5th Floor</t>
  </si>
  <si>
    <t xml:space="preserve">Additional Charges </t>
  </si>
  <si>
    <t>1.9 Km from Titwala Railway Station</t>
  </si>
  <si>
    <t>5 Wings</t>
  </si>
  <si>
    <t>Wing A</t>
  </si>
  <si>
    <t>Wing B</t>
  </si>
  <si>
    <t>Wing C</t>
  </si>
  <si>
    <t>Wing D</t>
  </si>
  <si>
    <t>Wing E</t>
  </si>
  <si>
    <t>Office No. 1031, Wing J, Akshar Business Park, Plot No. 03 Sector 25, Near APMC Market, Vashi, Navi Mumbai, Maharashtra 400703 TEL: 022-46090378/79/80                                                                                             E mail : vsjcapf@gmail.com. Web site : www.vsjadon.com</t>
  </si>
  <si>
    <t>Location Link</t>
  </si>
  <si>
    <t>https://goo.gl/maps/sbpZzWao7V1kuBRp6 19.283281</t>
  </si>
  <si>
    <t>Building A, B, C, E  = G + 1st to 10th Floor</t>
  </si>
  <si>
    <t>Building A to E = G + 1st to 10th Floor</t>
  </si>
  <si>
    <t>Building B  = G + 1st to 10th Floor</t>
  </si>
  <si>
    <t>Building C  = G + 1st to 10th Floor</t>
  </si>
  <si>
    <t>Building E  = G + 1st to 10th Floor</t>
  </si>
  <si>
    <t>Building D  = G + 1st to 10th Floor</t>
  </si>
  <si>
    <t>19.283281,73.198531</t>
  </si>
  <si>
    <t>Contact Details ( Name &amp; Contact No.)</t>
  </si>
  <si>
    <t>Pooja</t>
  </si>
  <si>
    <t>Proposed no of Floors</t>
  </si>
  <si>
    <t>Mangesh</t>
  </si>
  <si>
    <r>
      <t xml:space="preserve">1. Wing A, B, C, E = Finishing work is pending. Work is same as last visit (07/04/2025).
   Wing D = Construction work is same from visit 13/04/2024.
   Wing F = Construction work is same from visit 04/01/2021.
2. We considered Saleable area as per builder area sheet.
3. We considered Carpet area as per Approved Plan.
4. We considered Gross carpet area = Net carpet + Enclose balcony + C.B Area + Patio Area.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We have not considered Building F Plan because it is for MHADA.
</t>
    </r>
    <r>
      <rPr>
        <b/>
        <sz val="12"/>
        <color rgb="FFFF0000"/>
        <rFont val="Times New Roman"/>
        <family val="1"/>
      </rPr>
      <t xml:space="preserve">10. Since the project has received first CC on 06/04/2018, But still construction work is incompleted, Provide revised approved CC.
</t>
    </r>
    <r>
      <rPr>
        <b/>
        <sz val="12"/>
        <rFont val="Times New Roman"/>
        <family val="1"/>
      </rPr>
      <t xml:space="preserve">11. On site we met Mr. Ramesh : 9920421699.
12. As checked on RERA portal on date 12/07/2025, we have observed that above project "Sai Kanhuji Police Sankul" is kept under abeyance. Please check from your end.
</t>
    </r>
    <r>
      <rPr>
        <b/>
        <sz val="12"/>
        <color rgb="FFFF0000"/>
        <rFont val="Times New Roman"/>
        <family val="1"/>
      </rPr>
      <t>13. As per RERA, completion period of project Sai Kanhuji Police Sankul is expired on 29/05/2025
 but still project is under construction.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</si>
</sst>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color rgb="FFFF0000"/>
      <name val="Times New Roman"/>
      <family val="1"/>
    </font>
    <font>
      <sz val="12"/>
      <name val="Times New Roman"/>
      <family val="1"/>
    </font>
    <font>
      <b/>
      <sz val="12"/>
      <name val="Times New Roman"/>
      <family val="1"/>
    </font>
    <font>
      <sz val="11"/>
      <color rgb="FF000000"/>
      <name val="Times New Roman"/>
      <family val="1"/>
    </font>
    <font>
      <sz val="11"/>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1">
    <xf numFmtId="0" fontId="0" fillId="0" borderId="0"/>
    <xf numFmtId="0" fontId="3" fillId="0" borderId="0"/>
    <xf numFmtId="0" fontId="6" fillId="0" borderId="0"/>
    <xf numFmtId="0" fontId="2" fillId="0" borderId="0"/>
    <xf numFmtId="0" fontId="1" fillId="0" borderId="0"/>
    <xf numFmtId="0" fontId="1" fillId="0" borderId="0"/>
    <xf numFmtId="0" fontId="6" fillId="0" borderId="0"/>
    <xf numFmtId="0" fontId="1" fillId="0" borderId="0"/>
    <xf numFmtId="164" fontId="6" fillId="0" borderId="0" applyFont="0" applyFill="0" applyBorder="0" applyAlignment="0" applyProtection="0"/>
    <xf numFmtId="0" fontId="20" fillId="0" borderId="0"/>
    <xf numFmtId="0" fontId="21" fillId="0" borderId="0" applyNumberFormat="0" applyFill="0" applyBorder="0" applyAlignment="0" applyProtection="0"/>
  </cellStyleXfs>
  <cellXfs count="228">
    <xf numFmtId="0" fontId="0" fillId="0" borderId="0" xfId="0"/>
    <xf numFmtId="1" fontId="9" fillId="0" borderId="4" xfId="1" applyNumberFormat="1" applyFont="1" applyFill="1" applyBorder="1" applyAlignment="1">
      <alignment horizontal="center" vertical="top" wrapText="1"/>
    </xf>
    <xf numFmtId="1" fontId="7"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Fill="1" applyBorder="1" applyAlignment="1">
      <alignment horizontal="center" vertical="top" wrapText="1"/>
    </xf>
    <xf numFmtId="1" fontId="14" fillId="0" borderId="4" xfId="1" applyNumberFormat="1" applyFont="1" applyFill="1" applyBorder="1" applyAlignment="1">
      <alignment horizontal="center" vertical="center" wrapText="1"/>
    </xf>
    <xf numFmtId="0" fontId="0" fillId="0" borderId="0" xfId="0"/>
    <xf numFmtId="0" fontId="6" fillId="0" borderId="0" xfId="6" applyFont="1"/>
    <xf numFmtId="0" fontId="1" fillId="0" borderId="0" xfId="7"/>
    <xf numFmtId="0" fontId="10" fillId="0" borderId="4" xfId="7" applyFont="1" applyBorder="1" applyAlignment="1">
      <alignment horizontal="center" vertical="top" wrapText="1"/>
    </xf>
    <xf numFmtId="0" fontId="19"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6" fontId="1" fillId="0" borderId="4" xfId="8" applyNumberFormat="1" applyFont="1" applyBorder="1" applyAlignment="1">
      <alignment horizontal="right" vertical="center"/>
    </xf>
    <xf numFmtId="0" fontId="10" fillId="0" borderId="4" xfId="7" applyFont="1" applyBorder="1" applyAlignment="1">
      <alignment horizontal="center" vertical="center"/>
    </xf>
    <xf numFmtId="1" fontId="18" fillId="0" borderId="4" xfId="7" applyNumberFormat="1" applyFont="1" applyBorder="1" applyAlignment="1">
      <alignment horizontal="center" vertical="center"/>
    </xf>
    <xf numFmtId="0" fontId="1" fillId="0" borderId="4" xfId="7" applyFont="1" applyBorder="1" applyAlignment="1">
      <alignment horizontal="center" vertical="center"/>
    </xf>
    <xf numFmtId="0" fontId="6" fillId="0" borderId="4" xfId="6" applyFont="1" applyBorder="1" applyAlignment="1">
      <alignment horizontal="center" vertical="center"/>
    </xf>
    <xf numFmtId="43" fontId="0" fillId="0" borderId="0" xfId="0" applyNumberFormat="1"/>
    <xf numFmtId="0" fontId="7" fillId="0" borderId="4" xfId="1" applyFont="1" applyFill="1" applyBorder="1" applyAlignment="1">
      <alignment horizontal="left" vertical="top"/>
    </xf>
    <xf numFmtId="0" fontId="8" fillId="0" borderId="0" xfId="1" applyFont="1" applyFill="1"/>
    <xf numFmtId="0" fontId="7" fillId="0" borderId="4" xfId="1" applyFont="1" applyFill="1" applyBorder="1" applyAlignment="1">
      <alignment vertical="top"/>
    </xf>
    <xf numFmtId="0" fontId="8" fillId="0" borderId="16" xfId="1" applyFont="1" applyFill="1" applyBorder="1" applyProtection="1">
      <protection hidden="1"/>
    </xf>
    <xf numFmtId="0" fontId="8" fillId="0" borderId="17" xfId="1" applyFont="1" applyFill="1" applyBorder="1" applyProtection="1">
      <protection hidden="1"/>
    </xf>
    <xf numFmtId="0" fontId="14" fillId="0" borderId="18"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8" fillId="0" borderId="0" xfId="1" applyFont="1" applyFill="1" applyProtection="1">
      <protection hidden="1"/>
    </xf>
    <xf numFmtId="0" fontId="8" fillId="0" borderId="20" xfId="1" applyFont="1" applyFill="1" applyBorder="1" applyProtection="1">
      <protection hidden="1"/>
    </xf>
    <xf numFmtId="0" fontId="14" fillId="0" borderId="4" xfId="1" applyFont="1" applyFill="1" applyBorder="1" applyAlignment="1" applyProtection="1">
      <alignment horizontal="center" vertical="top" wrapText="1"/>
      <protection locked="0"/>
    </xf>
    <xf numFmtId="0" fontId="16" fillId="0" borderId="0" xfId="3" applyFont="1" applyFill="1" applyProtection="1">
      <protection hidden="1"/>
    </xf>
    <xf numFmtId="0" fontId="8" fillId="0" borderId="20" xfId="1" applyFont="1" applyFill="1" applyBorder="1"/>
    <xf numFmtId="0" fontId="14" fillId="0" borderId="4" xfId="1" applyFont="1" applyFill="1" applyBorder="1" applyAlignment="1" applyProtection="1">
      <alignment horizontal="center" wrapText="1"/>
      <protection locked="0"/>
    </xf>
    <xf numFmtId="9" fontId="16" fillId="0" borderId="0" xfId="3" applyNumberFormat="1" applyFont="1" applyFill="1" applyProtection="1">
      <protection hidden="1"/>
    </xf>
    <xf numFmtId="0" fontId="16" fillId="0" borderId="20" xfId="3" applyFont="1" applyFill="1" applyBorder="1" applyProtection="1">
      <protection hidden="1"/>
    </xf>
    <xf numFmtId="1" fontId="14" fillId="0" borderId="4" xfId="1" applyNumberFormat="1" applyFont="1" applyFill="1" applyBorder="1" applyAlignment="1" applyProtection="1">
      <alignment horizontal="center" wrapText="1"/>
      <protection locked="0"/>
    </xf>
    <xf numFmtId="1" fontId="2" fillId="0" borderId="20" xfId="3" applyNumberFormat="1" applyFill="1" applyBorder="1"/>
    <xf numFmtId="1" fontId="2" fillId="0" borderId="0" xfId="3" applyNumberFormat="1" applyFill="1"/>
    <xf numFmtId="165" fontId="2" fillId="0" borderId="0" xfId="3" applyNumberFormat="1" applyFill="1"/>
    <xf numFmtId="1" fontId="2" fillId="0" borderId="20" xfId="3" applyNumberFormat="1" applyFill="1" applyBorder="1" applyAlignment="1">
      <alignment horizontal="right"/>
    </xf>
    <xf numFmtId="0" fontId="2" fillId="0" borderId="0" xfId="3" applyFill="1"/>
    <xf numFmtId="0" fontId="2" fillId="0" borderId="20" xfId="3" applyFill="1" applyBorder="1"/>
    <xf numFmtId="0" fontId="14" fillId="0" borderId="22" xfId="1" applyFont="1" applyFill="1" applyBorder="1" applyAlignment="1" applyProtection="1">
      <alignment horizontal="center" wrapText="1"/>
      <protection locked="0"/>
    </xf>
    <xf numFmtId="0" fontId="16" fillId="0" borderId="24" xfId="3" applyFont="1" applyFill="1" applyBorder="1" applyProtection="1">
      <protection hidden="1"/>
    </xf>
    <xf numFmtId="9" fontId="16" fillId="0" borderId="24" xfId="3" applyNumberFormat="1" applyFont="1" applyFill="1" applyBorder="1" applyProtection="1">
      <protection hidden="1"/>
    </xf>
    <xf numFmtId="1" fontId="2" fillId="0" borderId="25" xfId="3" applyNumberFormat="1" applyFill="1" applyBorder="1"/>
    <xf numFmtId="0" fontId="7" fillId="0" borderId="0" xfId="2" applyFont="1" applyFill="1"/>
    <xf numFmtId="0" fontId="8" fillId="0" borderId="0" xfId="0" applyFont="1" applyFill="1" applyAlignment="1">
      <alignment horizontal="center" vertical="center"/>
    </xf>
    <xf numFmtId="0" fontId="11"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1" applyFont="1" applyFill="1" applyAlignment="1">
      <alignment horizontal="center" vertical="center"/>
    </xf>
    <xf numFmtId="1" fontId="13" fillId="0" borderId="0" xfId="1" applyNumberFormat="1" applyFont="1" applyFill="1" applyAlignment="1">
      <alignment horizontal="center" vertical="center"/>
    </xf>
    <xf numFmtId="1" fontId="8" fillId="0" borderId="0" xfId="1" applyNumberFormat="1" applyFont="1" applyFill="1" applyAlignment="1">
      <alignment horizontal="center" vertical="center"/>
    </xf>
    <xf numFmtId="0" fontId="0" fillId="0" borderId="0" xfId="0" applyFill="1"/>
    <xf numFmtId="0" fontId="8" fillId="0" borderId="0" xfId="0" applyFont="1" applyFill="1"/>
    <xf numFmtId="0" fontId="9" fillId="0" borderId="0" xfId="1" applyFont="1" applyFill="1" applyBorder="1" applyAlignment="1">
      <alignment vertical="top"/>
    </xf>
    <xf numFmtId="0" fontId="9" fillId="0" borderId="0" xfId="1" applyFont="1" applyFill="1" applyBorder="1" applyAlignment="1">
      <alignment vertical="top" wrapText="1"/>
    </xf>
    <xf numFmtId="0" fontId="11" fillId="0" borderId="0" xfId="1" applyFont="1" applyFill="1"/>
    <xf numFmtId="0" fontId="9" fillId="0" borderId="4" xfId="1" applyFont="1" applyFill="1" applyBorder="1" applyAlignment="1">
      <alignment horizontal="left" vertical="top"/>
    </xf>
    <xf numFmtId="0" fontId="14" fillId="0" borderId="4"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wrapText="1"/>
      <protection locked="0"/>
    </xf>
    <xf numFmtId="0" fontId="14" fillId="0" borderId="27" xfId="1" applyFont="1" applyFill="1" applyBorder="1" applyAlignment="1" applyProtection="1">
      <alignment horizontal="center" wrapText="1"/>
      <protection locked="0"/>
    </xf>
    <xf numFmtId="0" fontId="7" fillId="0" borderId="1" xfId="1" applyFont="1" applyFill="1" applyBorder="1" applyAlignment="1">
      <alignment horizontal="left" vertical="top"/>
    </xf>
    <xf numFmtId="0" fontId="7" fillId="0" borderId="3" xfId="1" applyFont="1" applyFill="1" applyBorder="1" applyAlignment="1">
      <alignment horizontal="left" vertical="top"/>
    </xf>
    <xf numFmtId="0" fontId="21" fillId="0" borderId="1" xfId="10" applyFill="1" applyBorder="1" applyAlignment="1">
      <alignment horizontal="left" vertical="top"/>
    </xf>
    <xf numFmtId="0" fontId="7" fillId="0" borderId="2" xfId="1" applyFont="1" applyFill="1" applyBorder="1" applyAlignment="1">
      <alignment horizontal="left" vertical="top"/>
    </xf>
    <xf numFmtId="0" fontId="14" fillId="0" borderId="18"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9" fontId="14" fillId="0" borderId="4" xfId="1" applyNumberFormat="1" applyFont="1" applyFill="1" applyBorder="1" applyAlignment="1" applyProtection="1">
      <alignment horizontal="center" vertical="center" wrapText="1"/>
      <protection hidden="1"/>
    </xf>
    <xf numFmtId="9" fontId="14" fillId="0" borderId="22" xfId="1" applyNumberFormat="1" applyFont="1" applyFill="1" applyBorder="1" applyAlignment="1" applyProtection="1">
      <alignment horizontal="center" vertical="center" wrapText="1"/>
      <protection hidden="1"/>
    </xf>
    <xf numFmtId="9" fontId="14" fillId="0" borderId="19" xfId="1" applyNumberFormat="1" applyFont="1" applyFill="1" applyBorder="1" applyAlignment="1" applyProtection="1">
      <alignment horizontal="center" vertical="center" wrapText="1"/>
      <protection hidden="1"/>
    </xf>
    <xf numFmtId="9" fontId="14" fillId="0" borderId="23" xfId="1" applyNumberFormat="1" applyFont="1" applyFill="1" applyBorder="1" applyAlignment="1" applyProtection="1">
      <alignment horizontal="center" vertical="center" wrapText="1"/>
      <protection hidden="1"/>
    </xf>
    <xf numFmtId="0" fontId="14" fillId="0" borderId="18"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21" xfId="1" applyFont="1" applyFill="1" applyBorder="1" applyAlignment="1" applyProtection="1">
      <alignment horizontal="center" vertical="top" wrapText="1"/>
      <protection locked="0"/>
    </xf>
    <xf numFmtId="0" fontId="14" fillId="0" borderId="22" xfId="1" applyFont="1" applyFill="1" applyBorder="1" applyAlignment="1" applyProtection="1">
      <alignment horizontal="center" vertical="top" wrapText="1"/>
      <protection locked="0"/>
    </xf>
    <xf numFmtId="0" fontId="15" fillId="0" borderId="13" xfId="1" applyFont="1" applyFill="1" applyBorder="1" applyAlignment="1" applyProtection="1">
      <alignment horizontal="center" vertical="top" wrapText="1"/>
      <protection locked="0"/>
    </xf>
    <xf numFmtId="0" fontId="15" fillId="0" borderId="14" xfId="1" applyFont="1" applyFill="1" applyBorder="1" applyAlignment="1" applyProtection="1">
      <alignment horizontal="center" vertical="top" wrapText="1"/>
      <protection locked="0"/>
    </xf>
    <xf numFmtId="0" fontId="15" fillId="0" borderId="14" xfId="1" applyFont="1" applyFill="1" applyBorder="1" applyAlignment="1" applyProtection="1">
      <alignment horizontal="left" vertical="top" wrapText="1"/>
      <protection locked="0"/>
    </xf>
    <xf numFmtId="0" fontId="15" fillId="0" borderId="15" xfId="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protection locked="0"/>
    </xf>
    <xf numFmtId="0" fontId="14" fillId="0" borderId="3"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5" fillId="0" borderId="18"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wrapText="1"/>
      <protection locked="0"/>
    </xf>
    <xf numFmtId="0" fontId="15" fillId="0" borderId="19" xfId="1" applyFont="1" applyFill="1" applyBorder="1" applyAlignment="1" applyProtection="1">
      <alignment horizontal="left" vertical="top" wrapText="1"/>
      <protection locked="0"/>
    </xf>
    <xf numFmtId="0" fontId="14" fillId="0" borderId="19" xfId="1" applyFont="1" applyFill="1" applyBorder="1" applyAlignment="1" applyProtection="1">
      <alignment horizontal="center" vertical="top" wrapText="1"/>
      <protection locked="0"/>
    </xf>
    <xf numFmtId="0" fontId="15" fillId="0" borderId="29" xfId="1" applyFont="1" applyFill="1" applyBorder="1" applyAlignment="1" applyProtection="1">
      <alignment horizontal="center" vertical="top" wrapText="1"/>
      <protection locked="0"/>
    </xf>
    <xf numFmtId="0" fontId="15" fillId="0" borderId="30" xfId="1" applyFont="1" applyFill="1" applyBorder="1" applyAlignment="1" applyProtection="1">
      <alignment horizontal="center" vertical="top" wrapText="1"/>
      <protection locked="0"/>
    </xf>
    <xf numFmtId="0" fontId="15" fillId="0" borderId="30" xfId="1" applyFont="1" applyFill="1" applyBorder="1" applyAlignment="1" applyProtection="1">
      <alignment horizontal="left" vertical="top" wrapText="1"/>
      <protection locked="0"/>
    </xf>
    <xf numFmtId="0" fontId="15" fillId="0" borderId="31" xfId="1" applyFont="1" applyFill="1" applyBorder="1" applyAlignment="1" applyProtection="1">
      <alignment horizontal="left" vertical="top" wrapText="1"/>
      <protection locked="0"/>
    </xf>
    <xf numFmtId="0" fontId="15" fillId="0" borderId="4" xfId="1" applyFont="1" applyFill="1" applyBorder="1" applyAlignment="1" applyProtection="1">
      <alignment horizontal="center" vertical="top" wrapText="1"/>
      <protection locked="0"/>
    </xf>
    <xf numFmtId="9" fontId="14" fillId="0" borderId="27" xfId="1" applyNumberFormat="1" applyFont="1" applyFill="1" applyBorder="1" applyAlignment="1" applyProtection="1">
      <alignment horizontal="center" vertical="center" wrapText="1"/>
      <protection hidden="1"/>
    </xf>
    <xf numFmtId="9" fontId="14" fillId="0" borderId="28" xfId="1" applyNumberFormat="1" applyFont="1" applyFill="1" applyBorder="1" applyAlignment="1" applyProtection="1">
      <alignment horizontal="center" vertical="center" wrapText="1"/>
      <protection hidden="1"/>
    </xf>
    <xf numFmtId="0" fontId="14" fillId="0" borderId="26" xfId="1" applyFont="1" applyFill="1" applyBorder="1" applyAlignment="1" applyProtection="1">
      <alignment horizontal="center" vertical="top" wrapText="1"/>
      <protection locked="0"/>
    </xf>
    <xf numFmtId="0" fontId="14" fillId="0" borderId="27" xfId="1" applyFont="1" applyFill="1" applyBorder="1" applyAlignment="1" applyProtection="1">
      <alignment horizontal="center" vertical="top" wrapText="1"/>
      <protection locked="0"/>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10" xfId="1" applyFont="1" applyFill="1" applyBorder="1" applyAlignment="1">
      <alignment horizontal="center" vertical="top" wrapText="1"/>
    </xf>
    <xf numFmtId="0" fontId="17" fillId="0" borderId="4" xfId="1" applyFont="1" applyFill="1" applyBorder="1" applyAlignment="1">
      <alignment horizontal="center" vertical="top" wrapText="1"/>
    </xf>
    <xf numFmtId="0" fontId="7" fillId="0" borderId="4" xfId="1" applyFont="1" applyFill="1" applyBorder="1" applyAlignment="1">
      <alignment horizontal="left" vertical="top"/>
    </xf>
    <xf numFmtId="0" fontId="14" fillId="0" borderId="4" xfId="1" applyFont="1" applyFill="1" applyBorder="1" applyAlignment="1">
      <alignment horizontal="left"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14" fillId="0" borderId="4" xfId="1" applyFont="1" applyFill="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165" fontId="7" fillId="0" borderId="4" xfId="1" applyNumberFormat="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xf>
    <xf numFmtId="0" fontId="14" fillId="0" borderId="3" xfId="1" applyFont="1" applyFill="1" applyBorder="1" applyAlignment="1">
      <alignment horizontal="left" vertical="top"/>
    </xf>
    <xf numFmtId="14" fontId="7" fillId="0" borderId="1" xfId="1" applyNumberFormat="1" applyFont="1" applyFill="1" applyBorder="1" applyAlignment="1">
      <alignment horizontal="left" vertical="top"/>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7" fillId="0" borderId="4" xfId="1" applyFont="1" applyFill="1" applyBorder="1" applyAlignment="1">
      <alignment horizontal="left" vertical="top" wrapText="1"/>
    </xf>
    <xf numFmtId="0" fontId="12" fillId="0" borderId="1" xfId="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3" xfId="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7" fillId="0" borderId="6"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7" fillId="0" borderId="1" xfId="1" applyFont="1" applyFill="1" applyBorder="1" applyAlignment="1">
      <alignment horizontal="center" vertical="top" wrapText="1"/>
    </xf>
    <xf numFmtId="0" fontId="7" fillId="0" borderId="3" xfId="1" applyFont="1" applyFill="1" applyBorder="1" applyAlignment="1">
      <alignment horizontal="center" vertical="top" wrapText="1"/>
    </xf>
    <xf numFmtId="0" fontId="9" fillId="0" borderId="4" xfId="1" applyFont="1" applyFill="1" applyBorder="1" applyAlignment="1">
      <alignment horizontal="left" vertical="top"/>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7" fillId="0" borderId="4" xfId="1" applyFont="1" applyFill="1" applyBorder="1" applyAlignment="1">
      <alignment horizontal="center" vertical="top"/>
    </xf>
    <xf numFmtId="0" fontId="8" fillId="0" borderId="3" xfId="1" applyFont="1" applyFill="1" applyBorder="1" applyAlignment="1">
      <alignment horizontal="left"/>
    </xf>
    <xf numFmtId="14" fontId="14" fillId="0" borderId="1" xfId="1" applyNumberFormat="1" applyFont="1" applyFill="1" applyBorder="1" applyAlignment="1">
      <alignment horizontal="left" vertical="top"/>
    </xf>
    <xf numFmtId="165" fontId="7" fillId="0" borderId="4" xfId="1" applyNumberFormat="1" applyFont="1" applyFill="1" applyBorder="1" applyAlignment="1">
      <alignment horizontal="left" vertical="top" wrapText="1"/>
    </xf>
    <xf numFmtId="0" fontId="5" fillId="0" borderId="4" xfId="1" applyFont="1" applyFill="1" applyBorder="1" applyAlignment="1">
      <alignment horizontal="left" vertical="top" wrapText="1"/>
    </xf>
    <xf numFmtId="0" fontId="9" fillId="0" borderId="1" xfId="1" applyFont="1" applyFill="1" applyBorder="1" applyAlignment="1">
      <alignment vertical="top"/>
    </xf>
    <xf numFmtId="0" fontId="9" fillId="0" borderId="2" xfId="1" applyFont="1" applyFill="1" applyBorder="1" applyAlignment="1">
      <alignment vertical="top"/>
    </xf>
    <xf numFmtId="0" fontId="9" fillId="0" borderId="3" xfId="1" applyFont="1" applyFill="1" applyBorder="1" applyAlignment="1">
      <alignment vertical="top"/>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14" fillId="0" borderId="1" xfId="1" applyFont="1" applyFill="1" applyBorder="1" applyAlignment="1">
      <alignment horizontal="left" vertical="top"/>
    </xf>
    <xf numFmtId="1" fontId="7" fillId="0" borderId="4" xfId="0" applyNumberFormat="1" applyFont="1" applyFill="1" applyBorder="1" applyAlignment="1">
      <alignment horizontal="center" vertical="center" wrapText="1"/>
    </xf>
    <xf numFmtId="1" fontId="9" fillId="0" borderId="1" xfId="1" applyNumberFormat="1" applyFont="1" applyFill="1" applyBorder="1" applyAlignment="1">
      <alignment horizontal="center" vertical="top" wrapText="1"/>
    </xf>
    <xf numFmtId="1" fontId="9" fillId="0" borderId="3" xfId="1" applyNumberFormat="1" applyFont="1" applyFill="1" applyBorder="1" applyAlignment="1">
      <alignment horizontal="center" vertical="top" wrapText="1"/>
    </xf>
    <xf numFmtId="1" fontId="8" fillId="0" borderId="4" xfId="0" applyNumberFormat="1" applyFont="1" applyFill="1" applyBorder="1" applyAlignment="1">
      <alignment horizontal="center" vertical="top" wrapText="1"/>
    </xf>
    <xf numFmtId="1" fontId="7" fillId="0" borderId="4" xfId="0" applyNumberFormat="1" applyFont="1" applyFill="1" applyBorder="1" applyAlignment="1">
      <alignment horizontal="center" vertical="top" wrapText="1"/>
    </xf>
    <xf numFmtId="1" fontId="9" fillId="0" borderId="4"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1" fontId="9" fillId="0" borderId="4"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1" fontId="14" fillId="0" borderId="7" xfId="1" applyNumberFormat="1" applyFont="1" applyFill="1" applyBorder="1" applyAlignment="1">
      <alignment horizontal="center" vertical="center" wrapText="1"/>
    </xf>
    <xf numFmtId="1" fontId="14" fillId="0" borderId="11" xfId="1" applyNumberFormat="1" applyFont="1" applyFill="1" applyBorder="1" applyAlignment="1">
      <alignment horizontal="center" vertical="center" wrapText="1"/>
    </xf>
    <xf numFmtId="1" fontId="14" fillId="0" borderId="12" xfId="1" applyNumberFormat="1" applyFont="1" applyFill="1" applyBorder="1" applyAlignment="1">
      <alignment horizontal="center" vertical="center" wrapText="1"/>
    </xf>
    <xf numFmtId="1" fontId="15" fillId="0" borderId="1" xfId="1" applyNumberFormat="1" applyFont="1" applyFill="1" applyBorder="1" applyAlignment="1">
      <alignment horizontal="center" vertical="center" wrapText="1"/>
    </xf>
    <xf numFmtId="1" fontId="15" fillId="0" borderId="2" xfId="1" applyNumberFormat="1" applyFont="1" applyFill="1" applyBorder="1" applyAlignment="1">
      <alignment horizontal="center" vertical="center" wrapText="1"/>
    </xf>
    <xf numFmtId="1" fontId="15" fillId="0" borderId="3" xfId="1" applyNumberFormat="1" applyFont="1" applyFill="1" applyBorder="1" applyAlignment="1">
      <alignment horizontal="center" vertical="center" wrapText="1"/>
    </xf>
    <xf numFmtId="1" fontId="14" fillId="0" borderId="1" xfId="1" applyNumberFormat="1" applyFont="1" applyFill="1" applyBorder="1" applyAlignment="1">
      <alignment horizontal="center" vertical="center" wrapText="1"/>
    </xf>
    <xf numFmtId="1" fontId="14" fillId="0" borderId="3" xfId="1" applyNumberFormat="1" applyFont="1" applyFill="1" applyBorder="1" applyAlignment="1">
      <alignment horizontal="center" vertical="center" wrapText="1"/>
    </xf>
    <xf numFmtId="1" fontId="14" fillId="0" borderId="8" xfId="1" applyNumberFormat="1" applyFont="1" applyFill="1" applyBorder="1" applyAlignment="1">
      <alignment horizontal="center" vertical="center" wrapText="1"/>
    </xf>
    <xf numFmtId="1" fontId="14" fillId="0" borderId="10" xfId="1" applyNumberFormat="1" applyFont="1" applyFill="1" applyBorder="1" applyAlignment="1">
      <alignment horizontal="center" vertical="center" wrapText="1"/>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1" fontId="14" fillId="0" borderId="4" xfId="1" applyNumberFormat="1" applyFont="1" applyFill="1" applyBorder="1" applyAlignment="1">
      <alignment horizontal="center" vertical="center" wrapText="1"/>
    </xf>
    <xf numFmtId="1" fontId="9" fillId="0" borderId="4" xfId="0" applyNumberFormat="1" applyFont="1" applyFill="1" applyBorder="1" applyAlignment="1">
      <alignment horizontal="left" vertical="top" wrapText="1"/>
    </xf>
    <xf numFmtId="0" fontId="15" fillId="0" borderId="4" xfId="2" applyFont="1" applyFill="1" applyBorder="1" applyAlignment="1">
      <alignment horizontal="left" vertical="top" wrapText="1"/>
    </xf>
    <xf numFmtId="1" fontId="15" fillId="0" borderId="4" xfId="1" applyNumberFormat="1" applyFont="1" applyFill="1" applyBorder="1" applyAlignment="1">
      <alignment horizontal="center" vertical="center" wrapText="1"/>
    </xf>
    <xf numFmtId="1" fontId="14" fillId="0" borderId="5" xfId="1" applyNumberFormat="1" applyFont="1" applyFill="1" applyBorder="1" applyAlignment="1">
      <alignment vertical="center" wrapText="1"/>
    </xf>
    <xf numFmtId="1" fontId="14" fillId="0" borderId="7" xfId="1" applyNumberFormat="1" applyFont="1" applyFill="1" applyBorder="1" applyAlignment="1">
      <alignment vertical="center" wrapText="1"/>
    </xf>
    <xf numFmtId="1" fontId="14" fillId="0" borderId="11" xfId="1" applyNumberFormat="1" applyFont="1" applyFill="1" applyBorder="1" applyAlignment="1">
      <alignment vertical="center" wrapText="1"/>
    </xf>
    <xf numFmtId="1" fontId="14" fillId="0" borderId="12" xfId="1" applyNumberFormat="1" applyFont="1" applyFill="1" applyBorder="1" applyAlignment="1">
      <alignment vertical="center" wrapText="1"/>
    </xf>
    <xf numFmtId="1" fontId="14" fillId="0" borderId="8" xfId="1" applyNumberFormat="1" applyFont="1" applyFill="1" applyBorder="1" applyAlignment="1">
      <alignment vertical="center" wrapText="1"/>
    </xf>
    <xf numFmtId="1" fontId="14" fillId="0" borderId="10" xfId="1" applyNumberFormat="1" applyFont="1" applyFill="1" applyBorder="1" applyAlignment="1">
      <alignment vertical="center" wrapText="1"/>
    </xf>
    <xf numFmtId="1" fontId="15" fillId="0" borderId="4" xfId="0" applyNumberFormat="1" applyFont="1" applyFill="1" applyBorder="1" applyAlignment="1">
      <alignment horizontal="center" vertical="top" wrapText="1"/>
    </xf>
    <xf numFmtId="0" fontId="9" fillId="0" borderId="4" xfId="1" applyFont="1" applyFill="1" applyBorder="1" applyAlignment="1">
      <alignment horizontal="center" vertical="top"/>
    </xf>
    <xf numFmtId="0" fontId="0" fillId="2" borderId="4" xfId="0" applyFill="1" applyBorder="1" applyAlignment="1">
      <alignment horizontal="center" wrapText="1"/>
    </xf>
    <xf numFmtId="0" fontId="10" fillId="0" borderId="4" xfId="0" applyFont="1" applyBorder="1" applyAlignment="1">
      <alignment horizontal="center"/>
    </xf>
    <xf numFmtId="0" fontId="10" fillId="0" borderId="4" xfId="7" applyFont="1" applyBorder="1" applyAlignment="1">
      <alignment horizontal="left"/>
    </xf>
    <xf numFmtId="0" fontId="14" fillId="0" borderId="4" xfId="1" applyFont="1" applyFill="1" applyBorder="1" applyAlignment="1" applyProtection="1">
      <alignment horizontal="left" vertical="center" wrapText="1"/>
      <protection locked="0"/>
    </xf>
  </cellXfs>
  <cellStyles count="11">
    <cellStyle name="Comma 2" xfId="8"/>
    <cellStyle name="Excel Built-in Normal" xfId="2"/>
    <cellStyle name="Excel Built-in Normal 2" xfId="6"/>
    <cellStyle name="Hyperlink" xfId="10" builtinId="8"/>
    <cellStyle name="Normal" xfId="0" builtinId="0"/>
    <cellStyle name="Normal 2" xfId="3"/>
    <cellStyle name="Normal 2 2" xfId="5"/>
    <cellStyle name="Normal 3" xfId="1"/>
    <cellStyle name="Normal 3 2" xfId="4"/>
    <cellStyle name="Normal 3 3" xfId="9"/>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467850</xdr:colOff>
      <xdr:row>296</xdr:row>
      <xdr:rowOff>5043</xdr:rowOff>
    </xdr:from>
    <xdr:to>
      <xdr:col>7</xdr:col>
      <xdr:colOff>491940</xdr:colOff>
      <xdr:row>310</xdr:row>
      <xdr:rowOff>61161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34600" y="64698843"/>
          <a:ext cx="4405590" cy="2856468"/>
        </a:xfrm>
        <a:prstGeom prst="rect">
          <a:avLst/>
        </a:prstGeom>
        <a:ln>
          <a:solidFill>
            <a:schemeClr val="tx1"/>
          </a:solidFill>
        </a:ln>
      </xdr:spPr>
    </xdr:pic>
    <xdr:clientData/>
  </xdr:twoCellAnchor>
  <xdr:twoCellAnchor editAs="oneCell">
    <xdr:from>
      <xdr:col>1</xdr:col>
      <xdr:colOff>437217</xdr:colOff>
      <xdr:row>311</xdr:row>
      <xdr:rowOff>53113</xdr:rowOff>
    </xdr:from>
    <xdr:to>
      <xdr:col>7</xdr:col>
      <xdr:colOff>479139</xdr:colOff>
      <xdr:row>325</xdr:row>
      <xdr:rowOff>109230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03967" y="67747288"/>
          <a:ext cx="4423422" cy="2856467"/>
        </a:xfrm>
        <a:prstGeom prst="rect">
          <a:avLst/>
        </a:prstGeom>
        <a:ln>
          <a:solidFill>
            <a:schemeClr val="tx1"/>
          </a:solidFill>
        </a:ln>
      </xdr:spPr>
    </xdr:pic>
    <xdr:clientData/>
  </xdr:twoCellAnchor>
  <xdr:twoCellAnchor>
    <xdr:from>
      <xdr:col>19</xdr:col>
      <xdr:colOff>440222</xdr:colOff>
      <xdr:row>249</xdr:row>
      <xdr:rowOff>0</xdr:rowOff>
    </xdr:from>
    <xdr:to>
      <xdr:col>20</xdr:col>
      <xdr:colOff>493128</xdr:colOff>
      <xdr:row>250</xdr:row>
      <xdr:rowOff>51954</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1792290" y="57141341"/>
          <a:ext cx="659043" cy="251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Wing C</a:t>
          </a:r>
        </a:p>
      </xdr:txBody>
    </xdr:sp>
    <xdr:clientData/>
  </xdr:twoCellAnchor>
  <xdr:twoCellAnchor>
    <xdr:from>
      <xdr:col>12</xdr:col>
      <xdr:colOff>459435</xdr:colOff>
      <xdr:row>253</xdr:row>
      <xdr:rowOff>135466</xdr:rowOff>
    </xdr:from>
    <xdr:to>
      <xdr:col>13</xdr:col>
      <xdr:colOff>635001</xdr:colOff>
      <xdr:row>255</xdr:row>
      <xdr:rowOff>69849</xdr:rowOff>
    </xdr:to>
    <xdr:sp macro="" textlink="">
      <xdr:nvSpPr>
        <xdr:cNvPr id="14" name="TextBox 13">
          <a:extLst>
            <a:ext uri="{FF2B5EF4-FFF2-40B4-BE49-F238E27FC236}">
              <a16:creationId xmlns:a16="http://schemas.microsoft.com/office/drawing/2014/main" id="{6DAA13AF-D257-400D-BFA8-A11A5766182D}"/>
            </a:ext>
          </a:extLst>
        </xdr:cNvPr>
        <xdr:cNvSpPr txBox="1"/>
      </xdr:nvSpPr>
      <xdr:spPr>
        <a:xfrm>
          <a:off x="7907985" y="57418816"/>
          <a:ext cx="816916" cy="328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Times New Roman" panose="02020603050405020304" pitchFamily="18" charset="0"/>
              <a:cs typeface="Times New Roman" panose="02020603050405020304" pitchFamily="18" charset="0"/>
            </a:rPr>
            <a:t>Wing A</a:t>
          </a:r>
        </a:p>
      </xdr:txBody>
    </xdr:sp>
    <xdr:clientData/>
  </xdr:twoCellAnchor>
  <xdr:twoCellAnchor>
    <xdr:from>
      <xdr:col>12</xdr:col>
      <xdr:colOff>0</xdr:colOff>
      <xdr:row>249</xdr:row>
      <xdr:rowOff>0</xdr:rowOff>
    </xdr:from>
    <xdr:to>
      <xdr:col>13</xdr:col>
      <xdr:colOff>155774</xdr:colOff>
      <xdr:row>250</xdr:row>
      <xdr:rowOff>114300</xdr:rowOff>
    </xdr:to>
    <xdr:sp macro="" textlink="">
      <xdr:nvSpPr>
        <xdr:cNvPr id="42" name="TextBox 41">
          <a:extLst>
            <a:ext uri="{FF2B5EF4-FFF2-40B4-BE49-F238E27FC236}">
              <a16:creationId xmlns:a16="http://schemas.microsoft.com/office/drawing/2014/main" id="{6DAA13AF-D257-400D-BFA8-A11A5766182D}"/>
            </a:ext>
          </a:extLst>
        </xdr:cNvPr>
        <xdr:cNvSpPr txBox="1"/>
      </xdr:nvSpPr>
      <xdr:spPr>
        <a:xfrm>
          <a:off x="7448550" y="56940450"/>
          <a:ext cx="797124"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cap="none" spc="0">
              <a:ln w="0"/>
              <a:solidFill>
                <a:sysClr val="windowText" lastClr="0000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Wing B</a:t>
          </a:r>
        </a:p>
      </xdr:txBody>
    </xdr:sp>
    <xdr:clientData/>
  </xdr:twoCellAnchor>
  <xdr:twoCellAnchor editAs="oneCell">
    <xdr:from>
      <xdr:col>11</xdr:col>
      <xdr:colOff>368300</xdr:colOff>
      <xdr:row>0</xdr:row>
      <xdr:rowOff>495300</xdr:rowOff>
    </xdr:from>
    <xdr:to>
      <xdr:col>19</xdr:col>
      <xdr:colOff>637500</xdr:colOff>
      <xdr:row>12</xdr:row>
      <xdr:rowOff>129900</xdr:rowOff>
    </xdr:to>
    <xdr:pic>
      <xdr:nvPicPr>
        <xdr:cNvPr id="21" name="Picture 2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175500" y="495300"/>
          <a:ext cx="5400000" cy="2835000"/>
        </a:xfrm>
        <a:prstGeom prst="rect">
          <a:avLst/>
        </a:prstGeom>
        <a:ln>
          <a:solidFill>
            <a:schemeClr val="tx1"/>
          </a:solidFill>
        </a:ln>
      </xdr:spPr>
    </xdr:pic>
    <xdr:clientData/>
  </xdr:twoCellAnchor>
  <xdr:twoCellAnchor>
    <xdr:from>
      <xdr:col>0</xdr:col>
      <xdr:colOff>82550</xdr:colOff>
      <xdr:row>249</xdr:row>
      <xdr:rowOff>63500</xdr:rowOff>
    </xdr:from>
    <xdr:to>
      <xdr:col>9</xdr:col>
      <xdr:colOff>117510</xdr:colOff>
      <xdr:row>292</xdr:row>
      <xdr:rowOff>18398</xdr:rowOff>
    </xdr:to>
    <xdr:grpSp>
      <xdr:nvGrpSpPr>
        <xdr:cNvPr id="4" name="Group 3"/>
        <xdr:cNvGrpSpPr/>
      </xdr:nvGrpSpPr>
      <xdr:grpSpPr>
        <a:xfrm>
          <a:off x="82550" y="58051700"/>
          <a:ext cx="6404010" cy="8413098"/>
          <a:chOff x="82550" y="57721500"/>
          <a:chExt cx="6404010" cy="8413098"/>
        </a:xfrm>
      </xdr:grpSpPr>
      <xdr:pic>
        <xdr:nvPicPr>
          <xdr:cNvPr id="22" name="Picture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726742" y="64334598"/>
            <a:ext cx="1348594" cy="180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17011" y="57721500"/>
            <a:ext cx="2022891" cy="270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259025" y="57721500"/>
            <a:ext cx="2022891" cy="270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01039" y="57721500"/>
            <a:ext cx="2022891" cy="270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82550" y="60525866"/>
            <a:ext cx="2398095" cy="180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10258" y="60525866"/>
            <a:ext cx="1348594" cy="180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212020" y="62430232"/>
            <a:ext cx="1348594" cy="18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11701" y="62430232"/>
            <a:ext cx="1348594" cy="18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06725" y="62430232"/>
            <a:ext cx="1348594" cy="180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198572" y="64334598"/>
            <a:ext cx="2398095"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088465" y="60525866"/>
            <a:ext cx="2398095"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717315" y="62430232"/>
            <a:ext cx="1348594" cy="1800000"/>
          </a:xfrm>
          <a:prstGeom prst="rect">
            <a:avLst/>
          </a:prstGeom>
          <a:ln>
            <a:solidFill>
              <a:schemeClr val="tx1"/>
            </a:solidFill>
          </a:ln>
        </xdr:spPr>
      </xdr:pic>
      <xdr:sp macro="" textlink="">
        <xdr:nvSpPr>
          <xdr:cNvPr id="34" name="TextBox 33">
            <a:extLst>
              <a:ext uri="{FF2B5EF4-FFF2-40B4-BE49-F238E27FC236}">
                <a16:creationId xmlns:a16="http://schemas.microsoft.com/office/drawing/2014/main" id="{6DAA13AF-D257-400D-BFA8-A11A5766182D}"/>
              </a:ext>
            </a:extLst>
          </xdr:cNvPr>
          <xdr:cNvSpPr txBox="1"/>
        </xdr:nvSpPr>
        <xdr:spPr>
          <a:xfrm>
            <a:off x="117011" y="57721500"/>
            <a:ext cx="797124"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cap="none" spc="0">
                <a:ln w="0"/>
                <a:solidFill>
                  <a:sysClr val="windowText" lastClr="0000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Wing A</a:t>
            </a:r>
          </a:p>
        </xdr:txBody>
      </xdr:sp>
      <xdr:sp macro="" textlink="">
        <xdr:nvSpPr>
          <xdr:cNvPr id="35" name="TextBox 34">
            <a:extLst>
              <a:ext uri="{FF2B5EF4-FFF2-40B4-BE49-F238E27FC236}">
                <a16:creationId xmlns:a16="http://schemas.microsoft.com/office/drawing/2014/main" id="{6DAA13AF-D257-400D-BFA8-A11A5766182D}"/>
              </a:ext>
            </a:extLst>
          </xdr:cNvPr>
          <xdr:cNvSpPr txBox="1"/>
        </xdr:nvSpPr>
        <xdr:spPr>
          <a:xfrm>
            <a:off x="3446475" y="57981850"/>
            <a:ext cx="797124"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cap="none" spc="0">
                <a:ln w="0"/>
                <a:solidFill>
                  <a:sysClr val="windowText" lastClr="0000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Wing B</a:t>
            </a:r>
          </a:p>
        </xdr:txBody>
      </xdr:sp>
      <xdr:sp macro="" textlink="">
        <xdr:nvSpPr>
          <xdr:cNvPr id="37" name="TextBox 36">
            <a:extLst>
              <a:ext uri="{FF2B5EF4-FFF2-40B4-BE49-F238E27FC236}">
                <a16:creationId xmlns:a16="http://schemas.microsoft.com/office/drawing/2014/main" id="{6DAA13AF-D257-400D-BFA8-A11A5766182D}"/>
              </a:ext>
            </a:extLst>
          </xdr:cNvPr>
          <xdr:cNvSpPr txBox="1"/>
        </xdr:nvSpPr>
        <xdr:spPr>
          <a:xfrm>
            <a:off x="2946808" y="60500466"/>
            <a:ext cx="797124"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cap="none" spc="0">
                <a:ln w="0"/>
                <a:solidFill>
                  <a:sysClr val="windowText" lastClr="0000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Wing E</a:t>
            </a:r>
          </a:p>
        </xdr:txBody>
      </xdr:sp>
      <xdr:sp macro="" textlink="">
        <xdr:nvSpPr>
          <xdr:cNvPr id="38" name="TextBox 37">
            <a:extLst>
              <a:ext uri="{FF2B5EF4-FFF2-40B4-BE49-F238E27FC236}">
                <a16:creationId xmlns:a16="http://schemas.microsoft.com/office/drawing/2014/main" id="{6DAA13AF-D257-400D-BFA8-A11A5766182D}"/>
              </a:ext>
            </a:extLst>
          </xdr:cNvPr>
          <xdr:cNvSpPr txBox="1"/>
        </xdr:nvSpPr>
        <xdr:spPr>
          <a:xfrm>
            <a:off x="4863165" y="61751416"/>
            <a:ext cx="797124"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Wing F</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7</xdr:col>
      <xdr:colOff>354145</xdr:colOff>
      <xdr:row>28</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0" y="2667000"/>
          <a:ext cx="6754945" cy="3600000"/>
        </a:xfrm>
        <a:prstGeom prst="rect">
          <a:avLst/>
        </a:prstGeom>
        <a:ln>
          <a:solidFill>
            <a:schemeClr val="tx1"/>
          </a:solidFill>
        </a:ln>
      </xdr:spPr>
    </xdr:pic>
    <xdr:clientData/>
  </xdr:twoCellAnchor>
  <xdr:twoCellAnchor editAs="oneCell">
    <xdr:from>
      <xdr:col>1</xdr:col>
      <xdr:colOff>0</xdr:colOff>
      <xdr:row>29</xdr:row>
      <xdr:rowOff>44075</xdr:rowOff>
    </xdr:from>
    <xdr:to>
      <xdr:col>7</xdr:col>
      <xdr:colOff>354145</xdr:colOff>
      <xdr:row>48</xdr:row>
      <xdr:rowOff>24575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09600" y="6330575"/>
          <a:ext cx="6754945" cy="3600000"/>
        </a:xfrm>
        <a:prstGeom prst="rect">
          <a:avLst/>
        </a:prstGeom>
        <a:ln>
          <a:solidFill>
            <a:schemeClr val="tx1"/>
          </a:solidFill>
        </a:ln>
      </xdr:spPr>
    </xdr:pic>
    <xdr:clientData/>
  </xdr:twoCellAnchor>
  <xdr:twoCellAnchor editAs="oneCell">
    <xdr:from>
      <xdr:col>7</xdr:col>
      <xdr:colOff>631065</xdr:colOff>
      <xdr:row>10</xdr:row>
      <xdr:rowOff>0</xdr:rowOff>
    </xdr:from>
    <xdr:to>
      <xdr:col>17</xdr:col>
      <xdr:colOff>156535</xdr:colOff>
      <xdr:row>28</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41465" y="2667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bpZzWao7V1kuBRp6%2019.283281"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5"/>
  <sheetViews>
    <sheetView tabSelected="1" view="pageBreakPreview" zoomScaleNormal="100" zoomScaleSheetLayoutView="100" workbookViewId="0">
      <selection activeCell="F9" sqref="F9:J9"/>
    </sheetView>
  </sheetViews>
  <sheetFormatPr defaultRowHeight="15.5" x14ac:dyDescent="0.35"/>
  <cols>
    <col min="1" max="1" width="9.26953125" style="25" customWidth="1"/>
    <col min="2" max="2" width="14.54296875" style="25" customWidth="1"/>
    <col min="3" max="3" width="14.7265625" style="25" customWidth="1"/>
    <col min="4" max="4" width="7.26953125" style="25" customWidth="1"/>
    <col min="5" max="5" width="5.54296875" style="25" customWidth="1"/>
    <col min="6" max="6" width="9.81640625" style="25" customWidth="1"/>
    <col min="7" max="7" width="9" style="25" customWidth="1"/>
    <col min="8" max="8" width="10.54296875" style="25" customWidth="1"/>
    <col min="9" max="9" width="10.453125" style="25" customWidth="1"/>
    <col min="10" max="10" width="2.7265625" style="25" customWidth="1"/>
    <col min="11" max="11" width="3.54296875" style="25" customWidth="1"/>
    <col min="12" max="256" width="9.1796875" style="25"/>
    <col min="257" max="257" width="8.7265625" style="25" customWidth="1"/>
    <col min="258" max="258" width="9.81640625" style="25" customWidth="1"/>
    <col min="259" max="259" width="14.453125" style="25" customWidth="1"/>
    <col min="260" max="260" width="7.26953125" style="25" customWidth="1"/>
    <col min="261" max="261" width="5.54296875" style="25" customWidth="1"/>
    <col min="262" max="262" width="9" style="25" customWidth="1"/>
    <col min="263" max="264" width="9.81640625" style="25" customWidth="1"/>
    <col min="265" max="265" width="11.1796875" style="25" customWidth="1"/>
    <col min="266" max="266" width="2.81640625" style="25" customWidth="1"/>
    <col min="267" max="267" width="3.54296875" style="25" customWidth="1"/>
    <col min="268" max="512" width="9.1796875" style="25"/>
    <col min="513" max="513" width="8.7265625" style="25" customWidth="1"/>
    <col min="514" max="514" width="9.81640625" style="25" customWidth="1"/>
    <col min="515" max="515" width="14.453125" style="25" customWidth="1"/>
    <col min="516" max="516" width="7.26953125" style="25" customWidth="1"/>
    <col min="517" max="517" width="5.54296875" style="25" customWidth="1"/>
    <col min="518" max="518" width="9" style="25" customWidth="1"/>
    <col min="519" max="520" width="9.81640625" style="25" customWidth="1"/>
    <col min="521" max="521" width="11.1796875" style="25" customWidth="1"/>
    <col min="522" max="522" width="2.81640625" style="25" customWidth="1"/>
    <col min="523" max="523" width="3.54296875" style="25" customWidth="1"/>
    <col min="524" max="768" width="9.1796875" style="25"/>
    <col min="769" max="769" width="8.7265625" style="25" customWidth="1"/>
    <col min="770" max="770" width="9.81640625" style="25" customWidth="1"/>
    <col min="771" max="771" width="14.453125" style="25" customWidth="1"/>
    <col min="772" max="772" width="7.26953125" style="25" customWidth="1"/>
    <col min="773" max="773" width="5.54296875" style="25" customWidth="1"/>
    <col min="774" max="774" width="9" style="25" customWidth="1"/>
    <col min="775" max="776" width="9.81640625" style="25" customWidth="1"/>
    <col min="777" max="777" width="11.1796875" style="25" customWidth="1"/>
    <col min="778" max="778" width="2.81640625" style="25" customWidth="1"/>
    <col min="779" max="779" width="3.54296875" style="25" customWidth="1"/>
    <col min="780" max="1024" width="9.1796875" style="25"/>
    <col min="1025" max="1025" width="8.7265625" style="25" customWidth="1"/>
    <col min="1026" max="1026" width="9.81640625" style="25" customWidth="1"/>
    <col min="1027" max="1027" width="14.453125" style="25" customWidth="1"/>
    <col min="1028" max="1028" width="7.26953125" style="25" customWidth="1"/>
    <col min="1029" max="1029" width="5.54296875" style="25" customWidth="1"/>
    <col min="1030" max="1030" width="9" style="25" customWidth="1"/>
    <col min="1031" max="1032" width="9.81640625" style="25" customWidth="1"/>
    <col min="1033" max="1033" width="11.1796875" style="25" customWidth="1"/>
    <col min="1034" max="1034" width="2.81640625" style="25" customWidth="1"/>
    <col min="1035" max="1035" width="3.54296875" style="25" customWidth="1"/>
    <col min="1036" max="1280" width="9.1796875" style="25"/>
    <col min="1281" max="1281" width="8.7265625" style="25" customWidth="1"/>
    <col min="1282" max="1282" width="9.81640625" style="25" customWidth="1"/>
    <col min="1283" max="1283" width="14.453125" style="25" customWidth="1"/>
    <col min="1284" max="1284" width="7.26953125" style="25" customWidth="1"/>
    <col min="1285" max="1285" width="5.54296875" style="25" customWidth="1"/>
    <col min="1286" max="1286" width="9" style="25" customWidth="1"/>
    <col min="1287" max="1288" width="9.81640625" style="25" customWidth="1"/>
    <col min="1289" max="1289" width="11.1796875" style="25" customWidth="1"/>
    <col min="1290" max="1290" width="2.81640625" style="25" customWidth="1"/>
    <col min="1291" max="1291" width="3.54296875" style="25" customWidth="1"/>
    <col min="1292" max="1536" width="9.1796875" style="25"/>
    <col min="1537" max="1537" width="8.7265625" style="25" customWidth="1"/>
    <col min="1538" max="1538" width="9.81640625" style="25" customWidth="1"/>
    <col min="1539" max="1539" width="14.453125" style="25" customWidth="1"/>
    <col min="1540" max="1540" width="7.26953125" style="25" customWidth="1"/>
    <col min="1541" max="1541" width="5.54296875" style="25" customWidth="1"/>
    <col min="1542" max="1542" width="9" style="25" customWidth="1"/>
    <col min="1543" max="1544" width="9.81640625" style="25" customWidth="1"/>
    <col min="1545" max="1545" width="11.1796875" style="25" customWidth="1"/>
    <col min="1546" max="1546" width="2.81640625" style="25" customWidth="1"/>
    <col min="1547" max="1547" width="3.54296875" style="25" customWidth="1"/>
    <col min="1548" max="1792" width="9.1796875" style="25"/>
    <col min="1793" max="1793" width="8.7265625" style="25" customWidth="1"/>
    <col min="1794" max="1794" width="9.81640625" style="25" customWidth="1"/>
    <col min="1795" max="1795" width="14.453125" style="25" customWidth="1"/>
    <col min="1796" max="1796" width="7.26953125" style="25" customWidth="1"/>
    <col min="1797" max="1797" width="5.54296875" style="25" customWidth="1"/>
    <col min="1798" max="1798" width="9" style="25" customWidth="1"/>
    <col min="1799" max="1800" width="9.81640625" style="25" customWidth="1"/>
    <col min="1801" max="1801" width="11.1796875" style="25" customWidth="1"/>
    <col min="1802" max="1802" width="2.81640625" style="25" customWidth="1"/>
    <col min="1803" max="1803" width="3.54296875" style="25" customWidth="1"/>
    <col min="1804" max="2048" width="9.1796875" style="25"/>
    <col min="2049" max="2049" width="8.7265625" style="25" customWidth="1"/>
    <col min="2050" max="2050" width="9.81640625" style="25" customWidth="1"/>
    <col min="2051" max="2051" width="14.453125" style="25" customWidth="1"/>
    <col min="2052" max="2052" width="7.26953125" style="25" customWidth="1"/>
    <col min="2053" max="2053" width="5.54296875" style="25" customWidth="1"/>
    <col min="2054" max="2054" width="9" style="25" customWidth="1"/>
    <col min="2055" max="2056" width="9.81640625" style="25" customWidth="1"/>
    <col min="2057" max="2057" width="11.1796875" style="25" customWidth="1"/>
    <col min="2058" max="2058" width="2.81640625" style="25" customWidth="1"/>
    <col min="2059" max="2059" width="3.54296875" style="25" customWidth="1"/>
    <col min="2060" max="2304" width="9.1796875" style="25"/>
    <col min="2305" max="2305" width="8.7265625" style="25" customWidth="1"/>
    <col min="2306" max="2306" width="9.81640625" style="25" customWidth="1"/>
    <col min="2307" max="2307" width="14.453125" style="25" customWidth="1"/>
    <col min="2308" max="2308" width="7.26953125" style="25" customWidth="1"/>
    <col min="2309" max="2309" width="5.54296875" style="25" customWidth="1"/>
    <col min="2310" max="2310" width="9" style="25" customWidth="1"/>
    <col min="2311" max="2312" width="9.81640625" style="25" customWidth="1"/>
    <col min="2313" max="2313" width="11.1796875" style="25" customWidth="1"/>
    <col min="2314" max="2314" width="2.81640625" style="25" customWidth="1"/>
    <col min="2315" max="2315" width="3.54296875" style="25" customWidth="1"/>
    <col min="2316" max="2560" width="9.1796875" style="25"/>
    <col min="2561" max="2561" width="8.7265625" style="25" customWidth="1"/>
    <col min="2562" max="2562" width="9.81640625" style="25" customWidth="1"/>
    <col min="2563" max="2563" width="14.453125" style="25" customWidth="1"/>
    <col min="2564" max="2564" width="7.26953125" style="25" customWidth="1"/>
    <col min="2565" max="2565" width="5.54296875" style="25" customWidth="1"/>
    <col min="2566" max="2566" width="9" style="25" customWidth="1"/>
    <col min="2567" max="2568" width="9.81640625" style="25" customWidth="1"/>
    <col min="2569" max="2569" width="11.1796875" style="25" customWidth="1"/>
    <col min="2570" max="2570" width="2.81640625" style="25" customWidth="1"/>
    <col min="2571" max="2571" width="3.54296875" style="25" customWidth="1"/>
    <col min="2572" max="2816" width="9.1796875" style="25"/>
    <col min="2817" max="2817" width="8.7265625" style="25" customWidth="1"/>
    <col min="2818" max="2818" width="9.81640625" style="25" customWidth="1"/>
    <col min="2819" max="2819" width="14.453125" style="25" customWidth="1"/>
    <col min="2820" max="2820" width="7.26953125" style="25" customWidth="1"/>
    <col min="2821" max="2821" width="5.54296875" style="25" customWidth="1"/>
    <col min="2822" max="2822" width="9" style="25" customWidth="1"/>
    <col min="2823" max="2824" width="9.81640625" style="25" customWidth="1"/>
    <col min="2825" max="2825" width="11.1796875" style="25" customWidth="1"/>
    <col min="2826" max="2826" width="2.81640625" style="25" customWidth="1"/>
    <col min="2827" max="2827" width="3.54296875" style="25" customWidth="1"/>
    <col min="2828" max="3072" width="9.1796875" style="25"/>
    <col min="3073" max="3073" width="8.7265625" style="25" customWidth="1"/>
    <col min="3074" max="3074" width="9.81640625" style="25" customWidth="1"/>
    <col min="3075" max="3075" width="14.453125" style="25" customWidth="1"/>
    <col min="3076" max="3076" width="7.26953125" style="25" customWidth="1"/>
    <col min="3077" max="3077" width="5.54296875" style="25" customWidth="1"/>
    <col min="3078" max="3078" width="9" style="25" customWidth="1"/>
    <col min="3079" max="3080" width="9.81640625" style="25" customWidth="1"/>
    <col min="3081" max="3081" width="11.1796875" style="25" customWidth="1"/>
    <col min="3082" max="3082" width="2.81640625" style="25" customWidth="1"/>
    <col min="3083" max="3083" width="3.54296875" style="25" customWidth="1"/>
    <col min="3084" max="3328" width="9.1796875" style="25"/>
    <col min="3329" max="3329" width="8.7265625" style="25" customWidth="1"/>
    <col min="3330" max="3330" width="9.81640625" style="25" customWidth="1"/>
    <col min="3331" max="3331" width="14.453125" style="25" customWidth="1"/>
    <col min="3332" max="3332" width="7.26953125" style="25" customWidth="1"/>
    <col min="3333" max="3333" width="5.54296875" style="25" customWidth="1"/>
    <col min="3334" max="3334" width="9" style="25" customWidth="1"/>
    <col min="3335" max="3336" width="9.81640625" style="25" customWidth="1"/>
    <col min="3337" max="3337" width="11.1796875" style="25" customWidth="1"/>
    <col min="3338" max="3338" width="2.81640625" style="25" customWidth="1"/>
    <col min="3339" max="3339" width="3.54296875" style="25" customWidth="1"/>
    <col min="3340" max="3584" width="9.1796875" style="25"/>
    <col min="3585" max="3585" width="8.7265625" style="25" customWidth="1"/>
    <col min="3586" max="3586" width="9.81640625" style="25" customWidth="1"/>
    <col min="3587" max="3587" width="14.453125" style="25" customWidth="1"/>
    <col min="3588" max="3588" width="7.26953125" style="25" customWidth="1"/>
    <col min="3589" max="3589" width="5.54296875" style="25" customWidth="1"/>
    <col min="3590" max="3590" width="9" style="25" customWidth="1"/>
    <col min="3591" max="3592" width="9.81640625" style="25" customWidth="1"/>
    <col min="3593" max="3593" width="11.1796875" style="25" customWidth="1"/>
    <col min="3594" max="3594" width="2.81640625" style="25" customWidth="1"/>
    <col min="3595" max="3595" width="3.54296875" style="25" customWidth="1"/>
    <col min="3596" max="3840" width="9.1796875" style="25"/>
    <col min="3841" max="3841" width="8.7265625" style="25" customWidth="1"/>
    <col min="3842" max="3842" width="9.81640625" style="25" customWidth="1"/>
    <col min="3843" max="3843" width="14.453125" style="25" customWidth="1"/>
    <col min="3844" max="3844" width="7.26953125" style="25" customWidth="1"/>
    <col min="3845" max="3845" width="5.54296875" style="25" customWidth="1"/>
    <col min="3846" max="3846" width="9" style="25" customWidth="1"/>
    <col min="3847" max="3848" width="9.81640625" style="25" customWidth="1"/>
    <col min="3849" max="3849" width="11.1796875" style="25" customWidth="1"/>
    <col min="3850" max="3850" width="2.81640625" style="25" customWidth="1"/>
    <col min="3851" max="3851" width="3.54296875" style="25" customWidth="1"/>
    <col min="3852" max="4096" width="9.1796875" style="25"/>
    <col min="4097" max="4097" width="8.7265625" style="25" customWidth="1"/>
    <col min="4098" max="4098" width="9.81640625" style="25" customWidth="1"/>
    <col min="4099" max="4099" width="14.453125" style="25" customWidth="1"/>
    <col min="4100" max="4100" width="7.26953125" style="25" customWidth="1"/>
    <col min="4101" max="4101" width="5.54296875" style="25" customWidth="1"/>
    <col min="4102" max="4102" width="9" style="25" customWidth="1"/>
    <col min="4103" max="4104" width="9.81640625" style="25" customWidth="1"/>
    <col min="4105" max="4105" width="11.1796875" style="25" customWidth="1"/>
    <col min="4106" max="4106" width="2.81640625" style="25" customWidth="1"/>
    <col min="4107" max="4107" width="3.54296875" style="25" customWidth="1"/>
    <col min="4108" max="4352" width="9.1796875" style="25"/>
    <col min="4353" max="4353" width="8.7265625" style="25" customWidth="1"/>
    <col min="4354" max="4354" width="9.81640625" style="25" customWidth="1"/>
    <col min="4355" max="4355" width="14.453125" style="25" customWidth="1"/>
    <col min="4356" max="4356" width="7.26953125" style="25" customWidth="1"/>
    <col min="4357" max="4357" width="5.54296875" style="25" customWidth="1"/>
    <col min="4358" max="4358" width="9" style="25" customWidth="1"/>
    <col min="4359" max="4360" width="9.81640625" style="25" customWidth="1"/>
    <col min="4361" max="4361" width="11.1796875" style="25" customWidth="1"/>
    <col min="4362" max="4362" width="2.81640625" style="25" customWidth="1"/>
    <col min="4363" max="4363" width="3.54296875" style="25" customWidth="1"/>
    <col min="4364" max="4608" width="9.1796875" style="25"/>
    <col min="4609" max="4609" width="8.7265625" style="25" customWidth="1"/>
    <col min="4610" max="4610" width="9.81640625" style="25" customWidth="1"/>
    <col min="4611" max="4611" width="14.453125" style="25" customWidth="1"/>
    <col min="4612" max="4612" width="7.26953125" style="25" customWidth="1"/>
    <col min="4613" max="4613" width="5.54296875" style="25" customWidth="1"/>
    <col min="4614" max="4614" width="9" style="25" customWidth="1"/>
    <col min="4615" max="4616" width="9.81640625" style="25" customWidth="1"/>
    <col min="4617" max="4617" width="11.1796875" style="25" customWidth="1"/>
    <col min="4618" max="4618" width="2.81640625" style="25" customWidth="1"/>
    <col min="4619" max="4619" width="3.54296875" style="25" customWidth="1"/>
    <col min="4620" max="4864" width="9.1796875" style="25"/>
    <col min="4865" max="4865" width="8.7265625" style="25" customWidth="1"/>
    <col min="4866" max="4866" width="9.81640625" style="25" customWidth="1"/>
    <col min="4867" max="4867" width="14.453125" style="25" customWidth="1"/>
    <col min="4868" max="4868" width="7.26953125" style="25" customWidth="1"/>
    <col min="4869" max="4869" width="5.54296875" style="25" customWidth="1"/>
    <col min="4870" max="4870" width="9" style="25" customWidth="1"/>
    <col min="4871" max="4872" width="9.81640625" style="25" customWidth="1"/>
    <col min="4873" max="4873" width="11.1796875" style="25" customWidth="1"/>
    <col min="4874" max="4874" width="2.81640625" style="25" customWidth="1"/>
    <col min="4875" max="4875" width="3.54296875" style="25" customWidth="1"/>
    <col min="4876" max="5120" width="9.1796875" style="25"/>
    <col min="5121" max="5121" width="8.7265625" style="25" customWidth="1"/>
    <col min="5122" max="5122" width="9.81640625" style="25" customWidth="1"/>
    <col min="5123" max="5123" width="14.453125" style="25" customWidth="1"/>
    <col min="5124" max="5124" width="7.26953125" style="25" customWidth="1"/>
    <col min="5125" max="5125" width="5.54296875" style="25" customWidth="1"/>
    <col min="5126" max="5126" width="9" style="25" customWidth="1"/>
    <col min="5127" max="5128" width="9.81640625" style="25" customWidth="1"/>
    <col min="5129" max="5129" width="11.1796875" style="25" customWidth="1"/>
    <col min="5130" max="5130" width="2.81640625" style="25" customWidth="1"/>
    <col min="5131" max="5131" width="3.54296875" style="25" customWidth="1"/>
    <col min="5132" max="5376" width="9.1796875" style="25"/>
    <col min="5377" max="5377" width="8.7265625" style="25" customWidth="1"/>
    <col min="5378" max="5378" width="9.81640625" style="25" customWidth="1"/>
    <col min="5379" max="5379" width="14.453125" style="25" customWidth="1"/>
    <col min="5380" max="5380" width="7.26953125" style="25" customWidth="1"/>
    <col min="5381" max="5381" width="5.54296875" style="25" customWidth="1"/>
    <col min="5382" max="5382" width="9" style="25" customWidth="1"/>
    <col min="5383" max="5384" width="9.81640625" style="25" customWidth="1"/>
    <col min="5385" max="5385" width="11.1796875" style="25" customWidth="1"/>
    <col min="5386" max="5386" width="2.81640625" style="25" customWidth="1"/>
    <col min="5387" max="5387" width="3.54296875" style="25" customWidth="1"/>
    <col min="5388" max="5632" width="9.1796875" style="25"/>
    <col min="5633" max="5633" width="8.7265625" style="25" customWidth="1"/>
    <col min="5634" max="5634" width="9.81640625" style="25" customWidth="1"/>
    <col min="5635" max="5635" width="14.453125" style="25" customWidth="1"/>
    <col min="5636" max="5636" width="7.26953125" style="25" customWidth="1"/>
    <col min="5637" max="5637" width="5.54296875" style="25" customWidth="1"/>
    <col min="5638" max="5638" width="9" style="25" customWidth="1"/>
    <col min="5639" max="5640" width="9.81640625" style="25" customWidth="1"/>
    <col min="5641" max="5641" width="11.1796875" style="25" customWidth="1"/>
    <col min="5642" max="5642" width="2.81640625" style="25" customWidth="1"/>
    <col min="5643" max="5643" width="3.54296875" style="25" customWidth="1"/>
    <col min="5644" max="5888" width="9.1796875" style="25"/>
    <col min="5889" max="5889" width="8.7265625" style="25" customWidth="1"/>
    <col min="5890" max="5890" width="9.81640625" style="25" customWidth="1"/>
    <col min="5891" max="5891" width="14.453125" style="25" customWidth="1"/>
    <col min="5892" max="5892" width="7.26953125" style="25" customWidth="1"/>
    <col min="5893" max="5893" width="5.54296875" style="25" customWidth="1"/>
    <col min="5894" max="5894" width="9" style="25" customWidth="1"/>
    <col min="5895" max="5896" width="9.81640625" style="25" customWidth="1"/>
    <col min="5897" max="5897" width="11.1796875" style="25" customWidth="1"/>
    <col min="5898" max="5898" width="2.81640625" style="25" customWidth="1"/>
    <col min="5899" max="5899" width="3.54296875" style="25" customWidth="1"/>
    <col min="5900" max="6144" width="9.1796875" style="25"/>
    <col min="6145" max="6145" width="8.7265625" style="25" customWidth="1"/>
    <col min="6146" max="6146" width="9.81640625" style="25" customWidth="1"/>
    <col min="6147" max="6147" width="14.453125" style="25" customWidth="1"/>
    <col min="6148" max="6148" width="7.26953125" style="25" customWidth="1"/>
    <col min="6149" max="6149" width="5.54296875" style="25" customWidth="1"/>
    <col min="6150" max="6150" width="9" style="25" customWidth="1"/>
    <col min="6151" max="6152" width="9.81640625" style="25" customWidth="1"/>
    <col min="6153" max="6153" width="11.1796875" style="25" customWidth="1"/>
    <col min="6154" max="6154" width="2.81640625" style="25" customWidth="1"/>
    <col min="6155" max="6155" width="3.54296875" style="25" customWidth="1"/>
    <col min="6156" max="6400" width="9.1796875" style="25"/>
    <col min="6401" max="6401" width="8.7265625" style="25" customWidth="1"/>
    <col min="6402" max="6402" width="9.81640625" style="25" customWidth="1"/>
    <col min="6403" max="6403" width="14.453125" style="25" customWidth="1"/>
    <col min="6404" max="6404" width="7.26953125" style="25" customWidth="1"/>
    <col min="6405" max="6405" width="5.54296875" style="25" customWidth="1"/>
    <col min="6406" max="6406" width="9" style="25" customWidth="1"/>
    <col min="6407" max="6408" width="9.81640625" style="25" customWidth="1"/>
    <col min="6409" max="6409" width="11.1796875" style="25" customWidth="1"/>
    <col min="6410" max="6410" width="2.81640625" style="25" customWidth="1"/>
    <col min="6411" max="6411" width="3.54296875" style="25" customWidth="1"/>
    <col min="6412" max="6656" width="9.1796875" style="25"/>
    <col min="6657" max="6657" width="8.7265625" style="25" customWidth="1"/>
    <col min="6658" max="6658" width="9.81640625" style="25" customWidth="1"/>
    <col min="6659" max="6659" width="14.453125" style="25" customWidth="1"/>
    <col min="6660" max="6660" width="7.26953125" style="25" customWidth="1"/>
    <col min="6661" max="6661" width="5.54296875" style="25" customWidth="1"/>
    <col min="6662" max="6662" width="9" style="25" customWidth="1"/>
    <col min="6663" max="6664" width="9.81640625" style="25" customWidth="1"/>
    <col min="6665" max="6665" width="11.1796875" style="25" customWidth="1"/>
    <col min="6666" max="6666" width="2.81640625" style="25" customWidth="1"/>
    <col min="6667" max="6667" width="3.54296875" style="25" customWidth="1"/>
    <col min="6668" max="6912" width="9.1796875" style="25"/>
    <col min="6913" max="6913" width="8.7265625" style="25" customWidth="1"/>
    <col min="6914" max="6914" width="9.81640625" style="25" customWidth="1"/>
    <col min="6915" max="6915" width="14.453125" style="25" customWidth="1"/>
    <col min="6916" max="6916" width="7.26953125" style="25" customWidth="1"/>
    <col min="6917" max="6917" width="5.54296875" style="25" customWidth="1"/>
    <col min="6918" max="6918" width="9" style="25" customWidth="1"/>
    <col min="6919" max="6920" width="9.81640625" style="25" customWidth="1"/>
    <col min="6921" max="6921" width="11.1796875" style="25" customWidth="1"/>
    <col min="6922" max="6922" width="2.81640625" style="25" customWidth="1"/>
    <col min="6923" max="6923" width="3.54296875" style="25" customWidth="1"/>
    <col min="6924" max="7168" width="9.1796875" style="25"/>
    <col min="7169" max="7169" width="8.7265625" style="25" customWidth="1"/>
    <col min="7170" max="7170" width="9.81640625" style="25" customWidth="1"/>
    <col min="7171" max="7171" width="14.453125" style="25" customWidth="1"/>
    <col min="7172" max="7172" width="7.26953125" style="25" customWidth="1"/>
    <col min="7173" max="7173" width="5.54296875" style="25" customWidth="1"/>
    <col min="7174" max="7174" width="9" style="25" customWidth="1"/>
    <col min="7175" max="7176" width="9.81640625" style="25" customWidth="1"/>
    <col min="7177" max="7177" width="11.1796875" style="25" customWidth="1"/>
    <col min="7178" max="7178" width="2.81640625" style="25" customWidth="1"/>
    <col min="7179" max="7179" width="3.54296875" style="25" customWidth="1"/>
    <col min="7180" max="7424" width="9.1796875" style="25"/>
    <col min="7425" max="7425" width="8.7265625" style="25" customWidth="1"/>
    <col min="7426" max="7426" width="9.81640625" style="25" customWidth="1"/>
    <col min="7427" max="7427" width="14.453125" style="25" customWidth="1"/>
    <col min="7428" max="7428" width="7.26953125" style="25" customWidth="1"/>
    <col min="7429" max="7429" width="5.54296875" style="25" customWidth="1"/>
    <col min="7430" max="7430" width="9" style="25" customWidth="1"/>
    <col min="7431" max="7432" width="9.81640625" style="25" customWidth="1"/>
    <col min="7433" max="7433" width="11.1796875" style="25" customWidth="1"/>
    <col min="7434" max="7434" width="2.81640625" style="25" customWidth="1"/>
    <col min="7435" max="7435" width="3.54296875" style="25" customWidth="1"/>
    <col min="7436" max="7680" width="9.1796875" style="25"/>
    <col min="7681" max="7681" width="8.7265625" style="25" customWidth="1"/>
    <col min="7682" max="7682" width="9.81640625" style="25" customWidth="1"/>
    <col min="7683" max="7683" width="14.453125" style="25" customWidth="1"/>
    <col min="7684" max="7684" width="7.26953125" style="25" customWidth="1"/>
    <col min="7685" max="7685" width="5.54296875" style="25" customWidth="1"/>
    <col min="7686" max="7686" width="9" style="25" customWidth="1"/>
    <col min="7687" max="7688" width="9.81640625" style="25" customWidth="1"/>
    <col min="7689" max="7689" width="11.1796875" style="25" customWidth="1"/>
    <col min="7690" max="7690" width="2.81640625" style="25" customWidth="1"/>
    <col min="7691" max="7691" width="3.54296875" style="25" customWidth="1"/>
    <col min="7692" max="7936" width="9.1796875" style="25"/>
    <col min="7937" max="7937" width="8.7265625" style="25" customWidth="1"/>
    <col min="7938" max="7938" width="9.81640625" style="25" customWidth="1"/>
    <col min="7939" max="7939" width="14.453125" style="25" customWidth="1"/>
    <col min="7940" max="7940" width="7.26953125" style="25" customWidth="1"/>
    <col min="7941" max="7941" width="5.54296875" style="25" customWidth="1"/>
    <col min="7942" max="7942" width="9" style="25" customWidth="1"/>
    <col min="7943" max="7944" width="9.81640625" style="25" customWidth="1"/>
    <col min="7945" max="7945" width="11.1796875" style="25" customWidth="1"/>
    <col min="7946" max="7946" width="2.81640625" style="25" customWidth="1"/>
    <col min="7947" max="7947" width="3.54296875" style="25" customWidth="1"/>
    <col min="7948" max="8192" width="9.1796875" style="25"/>
    <col min="8193" max="8193" width="8.7265625" style="25" customWidth="1"/>
    <col min="8194" max="8194" width="9.81640625" style="25" customWidth="1"/>
    <col min="8195" max="8195" width="14.453125" style="25" customWidth="1"/>
    <col min="8196" max="8196" width="7.26953125" style="25" customWidth="1"/>
    <col min="8197" max="8197" width="5.54296875" style="25" customWidth="1"/>
    <col min="8198" max="8198" width="9" style="25" customWidth="1"/>
    <col min="8199" max="8200" width="9.81640625" style="25" customWidth="1"/>
    <col min="8201" max="8201" width="11.1796875" style="25" customWidth="1"/>
    <col min="8202" max="8202" width="2.81640625" style="25" customWidth="1"/>
    <col min="8203" max="8203" width="3.54296875" style="25" customWidth="1"/>
    <col min="8204" max="8448" width="9.1796875" style="25"/>
    <col min="8449" max="8449" width="8.7265625" style="25" customWidth="1"/>
    <col min="8450" max="8450" width="9.81640625" style="25" customWidth="1"/>
    <col min="8451" max="8451" width="14.453125" style="25" customWidth="1"/>
    <col min="8452" max="8452" width="7.26953125" style="25" customWidth="1"/>
    <col min="8453" max="8453" width="5.54296875" style="25" customWidth="1"/>
    <col min="8454" max="8454" width="9" style="25" customWidth="1"/>
    <col min="8455" max="8456" width="9.81640625" style="25" customWidth="1"/>
    <col min="8457" max="8457" width="11.1796875" style="25" customWidth="1"/>
    <col min="8458" max="8458" width="2.81640625" style="25" customWidth="1"/>
    <col min="8459" max="8459" width="3.54296875" style="25" customWidth="1"/>
    <col min="8460" max="8704" width="9.1796875" style="25"/>
    <col min="8705" max="8705" width="8.7265625" style="25" customWidth="1"/>
    <col min="8706" max="8706" width="9.81640625" style="25" customWidth="1"/>
    <col min="8707" max="8707" width="14.453125" style="25" customWidth="1"/>
    <col min="8708" max="8708" width="7.26953125" style="25" customWidth="1"/>
    <col min="8709" max="8709" width="5.54296875" style="25" customWidth="1"/>
    <col min="8710" max="8710" width="9" style="25" customWidth="1"/>
    <col min="8711" max="8712" width="9.81640625" style="25" customWidth="1"/>
    <col min="8713" max="8713" width="11.1796875" style="25" customWidth="1"/>
    <col min="8714" max="8714" width="2.81640625" style="25" customWidth="1"/>
    <col min="8715" max="8715" width="3.54296875" style="25" customWidth="1"/>
    <col min="8716" max="8960" width="9.1796875" style="25"/>
    <col min="8961" max="8961" width="8.7265625" style="25" customWidth="1"/>
    <col min="8962" max="8962" width="9.81640625" style="25" customWidth="1"/>
    <col min="8963" max="8963" width="14.453125" style="25" customWidth="1"/>
    <col min="8964" max="8964" width="7.26953125" style="25" customWidth="1"/>
    <col min="8965" max="8965" width="5.54296875" style="25" customWidth="1"/>
    <col min="8966" max="8966" width="9" style="25" customWidth="1"/>
    <col min="8967" max="8968" width="9.81640625" style="25" customWidth="1"/>
    <col min="8969" max="8969" width="11.1796875" style="25" customWidth="1"/>
    <col min="8970" max="8970" width="2.81640625" style="25" customWidth="1"/>
    <col min="8971" max="8971" width="3.54296875" style="25" customWidth="1"/>
    <col min="8972" max="9216" width="9.1796875" style="25"/>
    <col min="9217" max="9217" width="8.7265625" style="25" customWidth="1"/>
    <col min="9218" max="9218" width="9.81640625" style="25" customWidth="1"/>
    <col min="9219" max="9219" width="14.453125" style="25" customWidth="1"/>
    <col min="9220" max="9220" width="7.26953125" style="25" customWidth="1"/>
    <col min="9221" max="9221" width="5.54296875" style="25" customWidth="1"/>
    <col min="9222" max="9222" width="9" style="25" customWidth="1"/>
    <col min="9223" max="9224" width="9.81640625" style="25" customWidth="1"/>
    <col min="9225" max="9225" width="11.1796875" style="25" customWidth="1"/>
    <col min="9226" max="9226" width="2.81640625" style="25" customWidth="1"/>
    <col min="9227" max="9227" width="3.54296875" style="25" customWidth="1"/>
    <col min="9228" max="9472" width="9.1796875" style="25"/>
    <col min="9473" max="9473" width="8.7265625" style="25" customWidth="1"/>
    <col min="9474" max="9474" width="9.81640625" style="25" customWidth="1"/>
    <col min="9475" max="9475" width="14.453125" style="25" customWidth="1"/>
    <col min="9476" max="9476" width="7.26953125" style="25" customWidth="1"/>
    <col min="9477" max="9477" width="5.54296875" style="25" customWidth="1"/>
    <col min="9478" max="9478" width="9" style="25" customWidth="1"/>
    <col min="9479" max="9480" width="9.81640625" style="25" customWidth="1"/>
    <col min="9481" max="9481" width="11.1796875" style="25" customWidth="1"/>
    <col min="9482" max="9482" width="2.81640625" style="25" customWidth="1"/>
    <col min="9483" max="9483" width="3.54296875" style="25" customWidth="1"/>
    <col min="9484" max="9728" width="9.1796875" style="25"/>
    <col min="9729" max="9729" width="8.7265625" style="25" customWidth="1"/>
    <col min="9730" max="9730" width="9.81640625" style="25" customWidth="1"/>
    <col min="9731" max="9731" width="14.453125" style="25" customWidth="1"/>
    <col min="9732" max="9732" width="7.26953125" style="25" customWidth="1"/>
    <col min="9733" max="9733" width="5.54296875" style="25" customWidth="1"/>
    <col min="9734" max="9734" width="9" style="25" customWidth="1"/>
    <col min="9735" max="9736" width="9.81640625" style="25" customWidth="1"/>
    <col min="9737" max="9737" width="11.1796875" style="25" customWidth="1"/>
    <col min="9738" max="9738" width="2.81640625" style="25" customWidth="1"/>
    <col min="9739" max="9739" width="3.54296875" style="25" customWidth="1"/>
    <col min="9740" max="9984" width="9.1796875" style="25"/>
    <col min="9985" max="9985" width="8.7265625" style="25" customWidth="1"/>
    <col min="9986" max="9986" width="9.81640625" style="25" customWidth="1"/>
    <col min="9987" max="9987" width="14.453125" style="25" customWidth="1"/>
    <col min="9988" max="9988" width="7.26953125" style="25" customWidth="1"/>
    <col min="9989" max="9989" width="5.54296875" style="25" customWidth="1"/>
    <col min="9990" max="9990" width="9" style="25" customWidth="1"/>
    <col min="9991" max="9992" width="9.81640625" style="25" customWidth="1"/>
    <col min="9993" max="9993" width="11.1796875" style="25" customWidth="1"/>
    <col min="9994" max="9994" width="2.81640625" style="25" customWidth="1"/>
    <col min="9995" max="9995" width="3.54296875" style="25" customWidth="1"/>
    <col min="9996" max="10240" width="9.1796875" style="25"/>
    <col min="10241" max="10241" width="8.7265625" style="25" customWidth="1"/>
    <col min="10242" max="10242" width="9.81640625" style="25" customWidth="1"/>
    <col min="10243" max="10243" width="14.453125" style="25" customWidth="1"/>
    <col min="10244" max="10244" width="7.26953125" style="25" customWidth="1"/>
    <col min="10245" max="10245" width="5.54296875" style="25" customWidth="1"/>
    <col min="10246" max="10246" width="9" style="25" customWidth="1"/>
    <col min="10247" max="10248" width="9.81640625" style="25" customWidth="1"/>
    <col min="10249" max="10249" width="11.1796875" style="25" customWidth="1"/>
    <col min="10250" max="10250" width="2.81640625" style="25" customWidth="1"/>
    <col min="10251" max="10251" width="3.54296875" style="25" customWidth="1"/>
    <col min="10252" max="10496" width="9.1796875" style="25"/>
    <col min="10497" max="10497" width="8.7265625" style="25" customWidth="1"/>
    <col min="10498" max="10498" width="9.81640625" style="25" customWidth="1"/>
    <col min="10499" max="10499" width="14.453125" style="25" customWidth="1"/>
    <col min="10500" max="10500" width="7.26953125" style="25" customWidth="1"/>
    <col min="10501" max="10501" width="5.54296875" style="25" customWidth="1"/>
    <col min="10502" max="10502" width="9" style="25" customWidth="1"/>
    <col min="10503" max="10504" width="9.81640625" style="25" customWidth="1"/>
    <col min="10505" max="10505" width="11.1796875" style="25" customWidth="1"/>
    <col min="10506" max="10506" width="2.81640625" style="25" customWidth="1"/>
    <col min="10507" max="10507" width="3.54296875" style="25" customWidth="1"/>
    <col min="10508" max="10752" width="9.1796875" style="25"/>
    <col min="10753" max="10753" width="8.7265625" style="25" customWidth="1"/>
    <col min="10754" max="10754" width="9.81640625" style="25" customWidth="1"/>
    <col min="10755" max="10755" width="14.453125" style="25" customWidth="1"/>
    <col min="10756" max="10756" width="7.26953125" style="25" customWidth="1"/>
    <col min="10757" max="10757" width="5.54296875" style="25" customWidth="1"/>
    <col min="10758" max="10758" width="9" style="25" customWidth="1"/>
    <col min="10759" max="10760" width="9.81640625" style="25" customWidth="1"/>
    <col min="10761" max="10761" width="11.1796875" style="25" customWidth="1"/>
    <col min="10762" max="10762" width="2.81640625" style="25" customWidth="1"/>
    <col min="10763" max="10763" width="3.54296875" style="25" customWidth="1"/>
    <col min="10764" max="11008" width="9.1796875" style="25"/>
    <col min="11009" max="11009" width="8.7265625" style="25" customWidth="1"/>
    <col min="11010" max="11010" width="9.81640625" style="25" customWidth="1"/>
    <col min="11011" max="11011" width="14.453125" style="25" customWidth="1"/>
    <col min="11012" max="11012" width="7.26953125" style="25" customWidth="1"/>
    <col min="11013" max="11013" width="5.54296875" style="25" customWidth="1"/>
    <col min="11014" max="11014" width="9" style="25" customWidth="1"/>
    <col min="11015" max="11016" width="9.81640625" style="25" customWidth="1"/>
    <col min="11017" max="11017" width="11.1796875" style="25" customWidth="1"/>
    <col min="11018" max="11018" width="2.81640625" style="25" customWidth="1"/>
    <col min="11019" max="11019" width="3.54296875" style="25" customWidth="1"/>
    <col min="11020" max="11264" width="9.1796875" style="25"/>
    <col min="11265" max="11265" width="8.7265625" style="25" customWidth="1"/>
    <col min="11266" max="11266" width="9.81640625" style="25" customWidth="1"/>
    <col min="11267" max="11267" width="14.453125" style="25" customWidth="1"/>
    <col min="11268" max="11268" width="7.26953125" style="25" customWidth="1"/>
    <col min="11269" max="11269" width="5.54296875" style="25" customWidth="1"/>
    <col min="11270" max="11270" width="9" style="25" customWidth="1"/>
    <col min="11271" max="11272" width="9.81640625" style="25" customWidth="1"/>
    <col min="11273" max="11273" width="11.1796875" style="25" customWidth="1"/>
    <col min="11274" max="11274" width="2.81640625" style="25" customWidth="1"/>
    <col min="11275" max="11275" width="3.54296875" style="25" customWidth="1"/>
    <col min="11276" max="11520" width="9.1796875" style="25"/>
    <col min="11521" max="11521" width="8.7265625" style="25" customWidth="1"/>
    <col min="11522" max="11522" width="9.81640625" style="25" customWidth="1"/>
    <col min="11523" max="11523" width="14.453125" style="25" customWidth="1"/>
    <col min="11524" max="11524" width="7.26953125" style="25" customWidth="1"/>
    <col min="11525" max="11525" width="5.54296875" style="25" customWidth="1"/>
    <col min="11526" max="11526" width="9" style="25" customWidth="1"/>
    <col min="11527" max="11528" width="9.81640625" style="25" customWidth="1"/>
    <col min="11529" max="11529" width="11.1796875" style="25" customWidth="1"/>
    <col min="11530" max="11530" width="2.81640625" style="25" customWidth="1"/>
    <col min="11531" max="11531" width="3.54296875" style="25" customWidth="1"/>
    <col min="11532" max="11776" width="9.1796875" style="25"/>
    <col min="11777" max="11777" width="8.7265625" style="25" customWidth="1"/>
    <col min="11778" max="11778" width="9.81640625" style="25" customWidth="1"/>
    <col min="11779" max="11779" width="14.453125" style="25" customWidth="1"/>
    <col min="11780" max="11780" width="7.26953125" style="25" customWidth="1"/>
    <col min="11781" max="11781" width="5.54296875" style="25" customWidth="1"/>
    <col min="11782" max="11782" width="9" style="25" customWidth="1"/>
    <col min="11783" max="11784" width="9.81640625" style="25" customWidth="1"/>
    <col min="11785" max="11785" width="11.1796875" style="25" customWidth="1"/>
    <col min="11786" max="11786" width="2.81640625" style="25" customWidth="1"/>
    <col min="11787" max="11787" width="3.54296875" style="25" customWidth="1"/>
    <col min="11788" max="12032" width="9.1796875" style="25"/>
    <col min="12033" max="12033" width="8.7265625" style="25" customWidth="1"/>
    <col min="12034" max="12034" width="9.81640625" style="25" customWidth="1"/>
    <col min="12035" max="12035" width="14.453125" style="25" customWidth="1"/>
    <col min="12036" max="12036" width="7.26953125" style="25" customWidth="1"/>
    <col min="12037" max="12037" width="5.54296875" style="25" customWidth="1"/>
    <col min="12038" max="12038" width="9" style="25" customWidth="1"/>
    <col min="12039" max="12040" width="9.81640625" style="25" customWidth="1"/>
    <col min="12041" max="12041" width="11.1796875" style="25" customWidth="1"/>
    <col min="12042" max="12042" width="2.81640625" style="25" customWidth="1"/>
    <col min="12043" max="12043" width="3.54296875" style="25" customWidth="1"/>
    <col min="12044" max="12288" width="9.1796875" style="25"/>
    <col min="12289" max="12289" width="8.7265625" style="25" customWidth="1"/>
    <col min="12290" max="12290" width="9.81640625" style="25" customWidth="1"/>
    <col min="12291" max="12291" width="14.453125" style="25" customWidth="1"/>
    <col min="12292" max="12292" width="7.26953125" style="25" customWidth="1"/>
    <col min="12293" max="12293" width="5.54296875" style="25" customWidth="1"/>
    <col min="12294" max="12294" width="9" style="25" customWidth="1"/>
    <col min="12295" max="12296" width="9.81640625" style="25" customWidth="1"/>
    <col min="12297" max="12297" width="11.1796875" style="25" customWidth="1"/>
    <col min="12298" max="12298" width="2.81640625" style="25" customWidth="1"/>
    <col min="12299" max="12299" width="3.54296875" style="25" customWidth="1"/>
    <col min="12300" max="12544" width="9.1796875" style="25"/>
    <col min="12545" max="12545" width="8.7265625" style="25" customWidth="1"/>
    <col min="12546" max="12546" width="9.81640625" style="25" customWidth="1"/>
    <col min="12547" max="12547" width="14.453125" style="25" customWidth="1"/>
    <col min="12548" max="12548" width="7.26953125" style="25" customWidth="1"/>
    <col min="12549" max="12549" width="5.54296875" style="25" customWidth="1"/>
    <col min="12550" max="12550" width="9" style="25" customWidth="1"/>
    <col min="12551" max="12552" width="9.81640625" style="25" customWidth="1"/>
    <col min="12553" max="12553" width="11.1796875" style="25" customWidth="1"/>
    <col min="12554" max="12554" width="2.81640625" style="25" customWidth="1"/>
    <col min="12555" max="12555" width="3.54296875" style="25" customWidth="1"/>
    <col min="12556" max="12800" width="9.1796875" style="25"/>
    <col min="12801" max="12801" width="8.7265625" style="25" customWidth="1"/>
    <col min="12802" max="12802" width="9.81640625" style="25" customWidth="1"/>
    <col min="12803" max="12803" width="14.453125" style="25" customWidth="1"/>
    <col min="12804" max="12804" width="7.26953125" style="25" customWidth="1"/>
    <col min="12805" max="12805" width="5.54296875" style="25" customWidth="1"/>
    <col min="12806" max="12806" width="9" style="25" customWidth="1"/>
    <col min="12807" max="12808" width="9.81640625" style="25" customWidth="1"/>
    <col min="12809" max="12809" width="11.1796875" style="25" customWidth="1"/>
    <col min="12810" max="12810" width="2.81640625" style="25" customWidth="1"/>
    <col min="12811" max="12811" width="3.54296875" style="25" customWidth="1"/>
    <col min="12812" max="13056" width="9.1796875" style="25"/>
    <col min="13057" max="13057" width="8.7265625" style="25" customWidth="1"/>
    <col min="13058" max="13058" width="9.81640625" style="25" customWidth="1"/>
    <col min="13059" max="13059" width="14.453125" style="25" customWidth="1"/>
    <col min="13060" max="13060" width="7.26953125" style="25" customWidth="1"/>
    <col min="13061" max="13061" width="5.54296875" style="25" customWidth="1"/>
    <col min="13062" max="13062" width="9" style="25" customWidth="1"/>
    <col min="13063" max="13064" width="9.81640625" style="25" customWidth="1"/>
    <col min="13065" max="13065" width="11.1796875" style="25" customWidth="1"/>
    <col min="13066" max="13066" width="2.81640625" style="25" customWidth="1"/>
    <col min="13067" max="13067" width="3.54296875" style="25" customWidth="1"/>
    <col min="13068" max="13312" width="9.1796875" style="25"/>
    <col min="13313" max="13313" width="8.7265625" style="25" customWidth="1"/>
    <col min="13314" max="13314" width="9.81640625" style="25" customWidth="1"/>
    <col min="13315" max="13315" width="14.453125" style="25" customWidth="1"/>
    <col min="13316" max="13316" width="7.26953125" style="25" customWidth="1"/>
    <col min="13317" max="13317" width="5.54296875" style="25" customWidth="1"/>
    <col min="13318" max="13318" width="9" style="25" customWidth="1"/>
    <col min="13319" max="13320" width="9.81640625" style="25" customWidth="1"/>
    <col min="13321" max="13321" width="11.1796875" style="25" customWidth="1"/>
    <col min="13322" max="13322" width="2.81640625" style="25" customWidth="1"/>
    <col min="13323" max="13323" width="3.54296875" style="25" customWidth="1"/>
    <col min="13324" max="13568" width="9.1796875" style="25"/>
    <col min="13569" max="13569" width="8.7265625" style="25" customWidth="1"/>
    <col min="13570" max="13570" width="9.81640625" style="25" customWidth="1"/>
    <col min="13571" max="13571" width="14.453125" style="25" customWidth="1"/>
    <col min="13572" max="13572" width="7.26953125" style="25" customWidth="1"/>
    <col min="13573" max="13573" width="5.54296875" style="25" customWidth="1"/>
    <col min="13574" max="13574" width="9" style="25" customWidth="1"/>
    <col min="13575" max="13576" width="9.81640625" style="25" customWidth="1"/>
    <col min="13577" max="13577" width="11.1796875" style="25" customWidth="1"/>
    <col min="13578" max="13578" width="2.81640625" style="25" customWidth="1"/>
    <col min="13579" max="13579" width="3.54296875" style="25" customWidth="1"/>
    <col min="13580" max="13824" width="9.1796875" style="25"/>
    <col min="13825" max="13825" width="8.7265625" style="25" customWidth="1"/>
    <col min="13826" max="13826" width="9.81640625" style="25" customWidth="1"/>
    <col min="13827" max="13827" width="14.453125" style="25" customWidth="1"/>
    <col min="13828" max="13828" width="7.26953125" style="25" customWidth="1"/>
    <col min="13829" max="13829" width="5.54296875" style="25" customWidth="1"/>
    <col min="13830" max="13830" width="9" style="25" customWidth="1"/>
    <col min="13831" max="13832" width="9.81640625" style="25" customWidth="1"/>
    <col min="13833" max="13833" width="11.1796875" style="25" customWidth="1"/>
    <col min="13834" max="13834" width="2.81640625" style="25" customWidth="1"/>
    <col min="13835" max="13835" width="3.54296875" style="25" customWidth="1"/>
    <col min="13836" max="14080" width="9.1796875" style="25"/>
    <col min="14081" max="14081" width="8.7265625" style="25" customWidth="1"/>
    <col min="14082" max="14082" width="9.81640625" style="25" customWidth="1"/>
    <col min="14083" max="14083" width="14.453125" style="25" customWidth="1"/>
    <col min="14084" max="14084" width="7.26953125" style="25" customWidth="1"/>
    <col min="14085" max="14085" width="5.54296875" style="25" customWidth="1"/>
    <col min="14086" max="14086" width="9" style="25" customWidth="1"/>
    <col min="14087" max="14088" width="9.81640625" style="25" customWidth="1"/>
    <col min="14089" max="14089" width="11.1796875" style="25" customWidth="1"/>
    <col min="14090" max="14090" width="2.81640625" style="25" customWidth="1"/>
    <col min="14091" max="14091" width="3.54296875" style="25" customWidth="1"/>
    <col min="14092" max="14336" width="9.1796875" style="25"/>
    <col min="14337" max="14337" width="8.7265625" style="25" customWidth="1"/>
    <col min="14338" max="14338" width="9.81640625" style="25" customWidth="1"/>
    <col min="14339" max="14339" width="14.453125" style="25" customWidth="1"/>
    <col min="14340" max="14340" width="7.26953125" style="25" customWidth="1"/>
    <col min="14341" max="14341" width="5.54296875" style="25" customWidth="1"/>
    <col min="14342" max="14342" width="9" style="25" customWidth="1"/>
    <col min="14343" max="14344" width="9.81640625" style="25" customWidth="1"/>
    <col min="14345" max="14345" width="11.1796875" style="25" customWidth="1"/>
    <col min="14346" max="14346" width="2.81640625" style="25" customWidth="1"/>
    <col min="14347" max="14347" width="3.54296875" style="25" customWidth="1"/>
    <col min="14348" max="14592" width="9.1796875" style="25"/>
    <col min="14593" max="14593" width="8.7265625" style="25" customWidth="1"/>
    <col min="14594" max="14594" width="9.81640625" style="25" customWidth="1"/>
    <col min="14595" max="14595" width="14.453125" style="25" customWidth="1"/>
    <col min="14596" max="14596" width="7.26953125" style="25" customWidth="1"/>
    <col min="14597" max="14597" width="5.54296875" style="25" customWidth="1"/>
    <col min="14598" max="14598" width="9" style="25" customWidth="1"/>
    <col min="14599" max="14600" width="9.81640625" style="25" customWidth="1"/>
    <col min="14601" max="14601" width="11.1796875" style="25" customWidth="1"/>
    <col min="14602" max="14602" width="2.81640625" style="25" customWidth="1"/>
    <col min="14603" max="14603" width="3.54296875" style="25" customWidth="1"/>
    <col min="14604" max="14848" width="9.1796875" style="25"/>
    <col min="14849" max="14849" width="8.7265625" style="25" customWidth="1"/>
    <col min="14850" max="14850" width="9.81640625" style="25" customWidth="1"/>
    <col min="14851" max="14851" width="14.453125" style="25" customWidth="1"/>
    <col min="14852" max="14852" width="7.26953125" style="25" customWidth="1"/>
    <col min="14853" max="14853" width="5.54296875" style="25" customWidth="1"/>
    <col min="14854" max="14854" width="9" style="25" customWidth="1"/>
    <col min="14855" max="14856" width="9.81640625" style="25" customWidth="1"/>
    <col min="14857" max="14857" width="11.1796875" style="25" customWidth="1"/>
    <col min="14858" max="14858" width="2.81640625" style="25" customWidth="1"/>
    <col min="14859" max="14859" width="3.54296875" style="25" customWidth="1"/>
    <col min="14860" max="15104" width="9.1796875" style="25"/>
    <col min="15105" max="15105" width="8.7265625" style="25" customWidth="1"/>
    <col min="15106" max="15106" width="9.81640625" style="25" customWidth="1"/>
    <col min="15107" max="15107" width="14.453125" style="25" customWidth="1"/>
    <col min="15108" max="15108" width="7.26953125" style="25" customWidth="1"/>
    <col min="15109" max="15109" width="5.54296875" style="25" customWidth="1"/>
    <col min="15110" max="15110" width="9" style="25" customWidth="1"/>
    <col min="15111" max="15112" width="9.81640625" style="25" customWidth="1"/>
    <col min="15113" max="15113" width="11.1796875" style="25" customWidth="1"/>
    <col min="15114" max="15114" width="2.81640625" style="25" customWidth="1"/>
    <col min="15115" max="15115" width="3.54296875" style="25" customWidth="1"/>
    <col min="15116" max="15360" width="9.1796875" style="25"/>
    <col min="15361" max="15361" width="8.7265625" style="25" customWidth="1"/>
    <col min="15362" max="15362" width="9.81640625" style="25" customWidth="1"/>
    <col min="15363" max="15363" width="14.453125" style="25" customWidth="1"/>
    <col min="15364" max="15364" width="7.26953125" style="25" customWidth="1"/>
    <col min="15365" max="15365" width="5.54296875" style="25" customWidth="1"/>
    <col min="15366" max="15366" width="9" style="25" customWidth="1"/>
    <col min="15367" max="15368" width="9.81640625" style="25" customWidth="1"/>
    <col min="15369" max="15369" width="11.1796875" style="25" customWidth="1"/>
    <col min="15370" max="15370" width="2.81640625" style="25" customWidth="1"/>
    <col min="15371" max="15371" width="3.54296875" style="25" customWidth="1"/>
    <col min="15372" max="15616" width="9.1796875" style="25"/>
    <col min="15617" max="15617" width="8.7265625" style="25" customWidth="1"/>
    <col min="15618" max="15618" width="9.81640625" style="25" customWidth="1"/>
    <col min="15619" max="15619" width="14.453125" style="25" customWidth="1"/>
    <col min="15620" max="15620" width="7.26953125" style="25" customWidth="1"/>
    <col min="15621" max="15621" width="5.54296875" style="25" customWidth="1"/>
    <col min="15622" max="15622" width="9" style="25" customWidth="1"/>
    <col min="15623" max="15624" width="9.81640625" style="25" customWidth="1"/>
    <col min="15625" max="15625" width="11.1796875" style="25" customWidth="1"/>
    <col min="15626" max="15626" width="2.81640625" style="25" customWidth="1"/>
    <col min="15627" max="15627" width="3.54296875" style="25" customWidth="1"/>
    <col min="15628" max="15872" width="9.1796875" style="25"/>
    <col min="15873" max="15873" width="8.7265625" style="25" customWidth="1"/>
    <col min="15874" max="15874" width="9.81640625" style="25" customWidth="1"/>
    <col min="15875" max="15875" width="14.453125" style="25" customWidth="1"/>
    <col min="15876" max="15876" width="7.26953125" style="25" customWidth="1"/>
    <col min="15877" max="15877" width="5.54296875" style="25" customWidth="1"/>
    <col min="15878" max="15878" width="9" style="25" customWidth="1"/>
    <col min="15879" max="15880" width="9.81640625" style="25" customWidth="1"/>
    <col min="15881" max="15881" width="11.1796875" style="25" customWidth="1"/>
    <col min="15882" max="15882" width="2.81640625" style="25" customWidth="1"/>
    <col min="15883" max="15883" width="3.54296875" style="25" customWidth="1"/>
    <col min="15884" max="16128" width="9.1796875" style="25"/>
    <col min="16129" max="16129" width="8.7265625" style="25" customWidth="1"/>
    <col min="16130" max="16130" width="9.81640625" style="25" customWidth="1"/>
    <col min="16131" max="16131" width="14.453125" style="25" customWidth="1"/>
    <col min="16132" max="16132" width="7.26953125" style="25" customWidth="1"/>
    <col min="16133" max="16133" width="5.54296875" style="25" customWidth="1"/>
    <col min="16134" max="16134" width="9" style="25" customWidth="1"/>
    <col min="16135" max="16136" width="9.81640625" style="25" customWidth="1"/>
    <col min="16137" max="16137" width="11.1796875" style="25" customWidth="1"/>
    <col min="16138" max="16138" width="2.81640625" style="25" customWidth="1"/>
    <col min="16139" max="16139" width="3.54296875" style="25" customWidth="1"/>
    <col min="16140" max="16384" width="9.1796875" style="25"/>
  </cols>
  <sheetData>
    <row r="1" spans="1:10" ht="46.5" customHeight="1" x14ac:dyDescent="0.35">
      <c r="A1" s="135" t="s">
        <v>237</v>
      </c>
      <c r="B1" s="136"/>
      <c r="C1" s="136"/>
      <c r="D1" s="136"/>
      <c r="E1" s="136"/>
      <c r="F1" s="136"/>
      <c r="G1" s="136"/>
      <c r="H1" s="136"/>
      <c r="I1" s="136"/>
      <c r="J1" s="137"/>
    </row>
    <row r="2" spans="1:10" ht="16.5" customHeight="1" x14ac:dyDescent="0.35">
      <c r="A2" s="138" t="s">
        <v>0</v>
      </c>
      <c r="B2" s="139"/>
      <c r="C2" s="139"/>
      <c r="D2" s="139"/>
      <c r="E2" s="139"/>
      <c r="F2" s="139"/>
      <c r="G2" s="139"/>
      <c r="H2" s="139"/>
      <c r="I2" s="139"/>
      <c r="J2" s="140"/>
    </row>
    <row r="3" spans="1:10" x14ac:dyDescent="0.35">
      <c r="A3" s="67" t="s">
        <v>1</v>
      </c>
      <c r="B3" s="70"/>
      <c r="C3" s="70"/>
      <c r="D3" s="70"/>
      <c r="E3" s="68"/>
      <c r="F3" s="129" t="str">
        <f ca="1">TEXT(TODAY(),"DD/MM/YYYY")</f>
        <v>12/07/2025</v>
      </c>
      <c r="G3" s="130"/>
      <c r="H3" s="130"/>
      <c r="I3" s="130"/>
      <c r="J3" s="131"/>
    </row>
    <row r="4" spans="1:10" ht="15" customHeight="1" x14ac:dyDescent="0.35">
      <c r="A4" s="67" t="s">
        <v>2</v>
      </c>
      <c r="B4" s="70"/>
      <c r="C4" s="70"/>
      <c r="D4" s="70"/>
      <c r="E4" s="68"/>
      <c r="F4" s="144" t="s">
        <v>143</v>
      </c>
      <c r="G4" s="145"/>
      <c r="H4" s="145"/>
      <c r="I4" s="145"/>
      <c r="J4" s="146"/>
    </row>
    <row r="5" spans="1:10" x14ac:dyDescent="0.35">
      <c r="A5" s="67" t="s">
        <v>3</v>
      </c>
      <c r="B5" s="70"/>
      <c r="C5" s="70"/>
      <c r="D5" s="70"/>
      <c r="E5" s="68"/>
      <c r="F5" s="129">
        <v>45847</v>
      </c>
      <c r="G5" s="130"/>
      <c r="H5" s="130"/>
      <c r="I5" s="130"/>
      <c r="J5" s="131"/>
    </row>
    <row r="6" spans="1:10" ht="16.5" customHeight="1" x14ac:dyDescent="0.35">
      <c r="A6" s="67" t="s">
        <v>4</v>
      </c>
      <c r="B6" s="70"/>
      <c r="C6" s="70"/>
      <c r="D6" s="70"/>
      <c r="E6" s="68"/>
      <c r="F6" s="122" t="s">
        <v>145</v>
      </c>
      <c r="G6" s="123"/>
      <c r="H6" s="123"/>
      <c r="I6" s="123"/>
      <c r="J6" s="124"/>
    </row>
    <row r="7" spans="1:10" ht="15" customHeight="1" x14ac:dyDescent="0.35">
      <c r="A7" s="67" t="s">
        <v>5</v>
      </c>
      <c r="B7" s="70"/>
      <c r="C7" s="70"/>
      <c r="D7" s="70"/>
      <c r="E7" s="68"/>
      <c r="F7" s="122" t="str">
        <f>F6</f>
        <v>M/s.Sai Malhar Builders And Developers</v>
      </c>
      <c r="G7" s="123"/>
      <c r="H7" s="123"/>
      <c r="I7" s="123"/>
      <c r="J7" s="124"/>
    </row>
    <row r="8" spans="1:10" x14ac:dyDescent="0.35">
      <c r="A8" s="67" t="s">
        <v>6</v>
      </c>
      <c r="B8" s="70"/>
      <c r="C8" s="70"/>
      <c r="D8" s="70"/>
      <c r="E8" s="68"/>
      <c r="F8" s="141" t="s">
        <v>144</v>
      </c>
      <c r="G8" s="142"/>
      <c r="H8" s="142"/>
      <c r="I8" s="142"/>
      <c r="J8" s="143"/>
    </row>
    <row r="9" spans="1:10" x14ac:dyDescent="0.35">
      <c r="A9" s="67" t="s">
        <v>247</v>
      </c>
      <c r="B9" s="70"/>
      <c r="C9" s="70"/>
      <c r="D9" s="70"/>
      <c r="E9" s="68"/>
      <c r="F9" s="122" t="s">
        <v>146</v>
      </c>
      <c r="G9" s="70"/>
      <c r="H9" s="70"/>
      <c r="I9" s="70"/>
      <c r="J9" s="68"/>
    </row>
    <row r="10" spans="1:10" ht="48.75" customHeight="1" x14ac:dyDescent="0.35">
      <c r="A10" s="67" t="s">
        <v>7</v>
      </c>
      <c r="B10" s="70"/>
      <c r="C10" s="70"/>
      <c r="D10" s="70"/>
      <c r="E10" s="68"/>
      <c r="F10" s="126" t="s">
        <v>166</v>
      </c>
      <c r="G10" s="127"/>
      <c r="H10" s="127"/>
      <c r="I10" s="127"/>
      <c r="J10" s="128"/>
    </row>
    <row r="11" spans="1:10" ht="16.5" customHeight="1" x14ac:dyDescent="0.35">
      <c r="A11" s="67" t="s">
        <v>8</v>
      </c>
      <c r="B11" s="70"/>
      <c r="C11" s="70"/>
      <c r="D11" s="70"/>
      <c r="E11" s="68"/>
      <c r="F11" s="126" t="s">
        <v>9</v>
      </c>
      <c r="G11" s="132"/>
      <c r="H11" s="132"/>
      <c r="I11" s="132"/>
      <c r="J11" s="133"/>
    </row>
    <row r="12" spans="1:10" x14ac:dyDescent="0.35">
      <c r="A12" s="67" t="s">
        <v>10</v>
      </c>
      <c r="B12" s="70"/>
      <c r="C12" s="70"/>
      <c r="D12" s="70"/>
      <c r="E12" s="68"/>
      <c r="F12" s="67" t="s">
        <v>147</v>
      </c>
      <c r="G12" s="70"/>
      <c r="H12" s="70"/>
      <c r="I12" s="70"/>
      <c r="J12" s="68"/>
    </row>
    <row r="13" spans="1:10" ht="31.5" customHeight="1" x14ac:dyDescent="0.35">
      <c r="A13" s="134" t="s">
        <v>11</v>
      </c>
      <c r="B13" s="134"/>
      <c r="C13" s="122" t="str">
        <f>CONCATENATE((IF(OR(F8="",F8="NA"),"",F8)),", ",(IF(OR(A14="",A14="NA"),"",A14)),".",(IF(OR(C14="",C14="NA"),"",C14)),", ",(IF(OR(F14="",F14="NA"),"",F14)),".",(IF(OR(H14="",H14="NA"),"",H14)),", ",(IF(OR(C15="",C15="NA"),"",C15)),", ",(IF(OR(H15="",H15="NA"),"",H15)),", ",(IF(OR(C16="",C16="NA"),"",C16)),", ",(IF(OR(C17="",C17="NA"),"",C17)),", ",(IF(OR(H16="",H16="NA"),"",H16))," - ",(IF(OR(H17="",H17="NA"),"",H17)),".")</f>
        <v>Sai Kanhuji Police Sankul, Survey No.56, Hissa No.36 &amp; 37 A, B, Titwala - Ambivli Road, Balyani, Titwala, Kalyan, Thane - 421102.</v>
      </c>
      <c r="D13" s="123"/>
      <c r="E13" s="123"/>
      <c r="F13" s="123"/>
      <c r="G13" s="123"/>
      <c r="H13" s="123"/>
      <c r="I13" s="123"/>
      <c r="J13" s="124"/>
    </row>
    <row r="14" spans="1:10" ht="15.75" customHeight="1" x14ac:dyDescent="0.35">
      <c r="A14" s="122" t="s">
        <v>148</v>
      </c>
      <c r="B14" s="124"/>
      <c r="C14" s="126">
        <v>56</v>
      </c>
      <c r="D14" s="132"/>
      <c r="E14" s="132"/>
      <c r="F14" s="114" t="s">
        <v>149</v>
      </c>
      <c r="G14" s="115"/>
      <c r="H14" s="126" t="s">
        <v>150</v>
      </c>
      <c r="I14" s="132"/>
      <c r="J14" s="133"/>
    </row>
    <row r="15" spans="1:10" ht="15.75" customHeight="1" x14ac:dyDescent="0.35">
      <c r="A15" s="122" t="s">
        <v>12</v>
      </c>
      <c r="B15" s="124"/>
      <c r="C15" s="113" t="s">
        <v>155</v>
      </c>
      <c r="D15" s="113"/>
      <c r="E15" s="113"/>
      <c r="F15" s="114" t="s">
        <v>125</v>
      </c>
      <c r="G15" s="115"/>
      <c r="H15" s="126" t="s">
        <v>151</v>
      </c>
      <c r="I15" s="132"/>
      <c r="J15" s="133"/>
    </row>
    <row r="16" spans="1:10" x14ac:dyDescent="0.35">
      <c r="A16" s="112" t="s">
        <v>14</v>
      </c>
      <c r="B16" s="112"/>
      <c r="C16" s="113" t="s">
        <v>154</v>
      </c>
      <c r="D16" s="113"/>
      <c r="E16" s="113"/>
      <c r="F16" s="114" t="s">
        <v>13</v>
      </c>
      <c r="G16" s="115"/>
      <c r="H16" s="116" t="s">
        <v>153</v>
      </c>
      <c r="I16" s="116"/>
      <c r="J16" s="116"/>
    </row>
    <row r="17" spans="1:10" x14ac:dyDescent="0.35">
      <c r="A17" s="112" t="s">
        <v>126</v>
      </c>
      <c r="B17" s="112"/>
      <c r="C17" s="113" t="s">
        <v>152</v>
      </c>
      <c r="D17" s="113"/>
      <c r="E17" s="113"/>
      <c r="F17" s="114" t="s">
        <v>15</v>
      </c>
      <c r="G17" s="115"/>
      <c r="H17" s="126">
        <v>421102</v>
      </c>
      <c r="I17" s="132"/>
      <c r="J17" s="133"/>
    </row>
    <row r="18" spans="1:10" ht="32.25" customHeight="1" x14ac:dyDescent="0.35">
      <c r="A18" s="112" t="s">
        <v>16</v>
      </c>
      <c r="B18" s="112"/>
      <c r="C18" s="112" t="s">
        <v>156</v>
      </c>
      <c r="D18" s="112"/>
      <c r="E18" s="112"/>
      <c r="F18" s="134" t="s">
        <v>17</v>
      </c>
      <c r="G18" s="134"/>
      <c r="H18" s="132" t="s">
        <v>230</v>
      </c>
      <c r="I18" s="132"/>
      <c r="J18" s="133"/>
    </row>
    <row r="19" spans="1:10" ht="15" customHeight="1" x14ac:dyDescent="0.35">
      <c r="A19" s="114" t="s">
        <v>138</v>
      </c>
      <c r="B19" s="147"/>
      <c r="C19" s="147"/>
      <c r="D19" s="147"/>
      <c r="E19" s="115"/>
      <c r="F19" s="151" t="s">
        <v>18</v>
      </c>
      <c r="G19" s="152"/>
      <c r="H19" s="152"/>
      <c r="I19" s="152"/>
      <c r="J19" s="153"/>
    </row>
    <row r="20" spans="1:10" ht="18.75" customHeight="1" x14ac:dyDescent="0.35">
      <c r="A20" s="148"/>
      <c r="B20" s="149"/>
      <c r="C20" s="149"/>
      <c r="D20" s="149"/>
      <c r="E20" s="150"/>
      <c r="F20" s="154"/>
      <c r="G20" s="155"/>
      <c r="H20" s="155"/>
      <c r="I20" s="155"/>
      <c r="J20" s="156"/>
    </row>
    <row r="21" spans="1:10" ht="15" customHeight="1" x14ac:dyDescent="0.35">
      <c r="A21" s="114" t="s">
        <v>19</v>
      </c>
      <c r="B21" s="147"/>
      <c r="C21" s="147"/>
      <c r="D21" s="147"/>
      <c r="E21" s="115"/>
      <c r="F21" s="114" t="s">
        <v>20</v>
      </c>
      <c r="G21" s="147"/>
      <c r="H21" s="147"/>
      <c r="I21" s="147"/>
      <c r="J21" s="115"/>
    </row>
    <row r="22" spans="1:10" x14ac:dyDescent="0.35">
      <c r="A22" s="148"/>
      <c r="B22" s="149"/>
      <c r="C22" s="149"/>
      <c r="D22" s="149"/>
      <c r="E22" s="150"/>
      <c r="F22" s="148"/>
      <c r="G22" s="149"/>
      <c r="H22" s="149"/>
      <c r="I22" s="149"/>
      <c r="J22" s="150"/>
    </row>
    <row r="23" spans="1:10" ht="15" customHeight="1" x14ac:dyDescent="0.35">
      <c r="A23" s="67" t="s">
        <v>21</v>
      </c>
      <c r="B23" s="70"/>
      <c r="C23" s="70"/>
      <c r="D23" s="70"/>
      <c r="E23" s="68"/>
      <c r="F23" s="144" t="s">
        <v>22</v>
      </c>
      <c r="G23" s="145"/>
      <c r="H23" s="145"/>
      <c r="I23" s="145"/>
      <c r="J23" s="146"/>
    </row>
    <row r="24" spans="1:10" x14ac:dyDescent="0.35">
      <c r="A24" s="67" t="s">
        <v>23</v>
      </c>
      <c r="B24" s="70"/>
      <c r="C24" s="70"/>
      <c r="D24" s="70"/>
      <c r="E24" s="68"/>
      <c r="F24" s="144" t="s">
        <v>24</v>
      </c>
      <c r="G24" s="145"/>
      <c r="H24" s="145"/>
      <c r="I24" s="145"/>
      <c r="J24" s="146"/>
    </row>
    <row r="25" spans="1:10" ht="15" customHeight="1" x14ac:dyDescent="0.35">
      <c r="A25" s="67" t="s">
        <v>25</v>
      </c>
      <c r="B25" s="70"/>
      <c r="C25" s="70"/>
      <c r="D25" s="70"/>
      <c r="E25" s="68"/>
      <c r="F25" s="144" t="s">
        <v>26</v>
      </c>
      <c r="G25" s="145"/>
      <c r="H25" s="145"/>
      <c r="I25" s="145"/>
      <c r="J25" s="146"/>
    </row>
    <row r="26" spans="1:10" x14ac:dyDescent="0.35">
      <c r="A26" s="67" t="s">
        <v>27</v>
      </c>
      <c r="B26" s="70"/>
      <c r="C26" s="70"/>
      <c r="D26" s="70"/>
      <c r="E26" s="68"/>
      <c r="F26" s="144" t="s">
        <v>28</v>
      </c>
      <c r="G26" s="145"/>
      <c r="H26" s="145"/>
      <c r="I26" s="145"/>
      <c r="J26" s="146"/>
    </row>
    <row r="27" spans="1:10" x14ac:dyDescent="0.35">
      <c r="A27" s="117" t="s">
        <v>29</v>
      </c>
      <c r="B27" s="118"/>
      <c r="C27" s="117" t="s">
        <v>30</v>
      </c>
      <c r="D27" s="118"/>
      <c r="E27" s="117" t="s">
        <v>31</v>
      </c>
      <c r="F27" s="118"/>
      <c r="G27" s="117" t="s">
        <v>33</v>
      </c>
      <c r="H27" s="118"/>
      <c r="I27" s="117" t="s">
        <v>32</v>
      </c>
      <c r="J27" s="118"/>
    </row>
    <row r="28" spans="1:10" x14ac:dyDescent="0.35">
      <c r="A28" s="119" t="s">
        <v>34</v>
      </c>
      <c r="B28" s="120"/>
      <c r="C28" s="119" t="s">
        <v>35</v>
      </c>
      <c r="D28" s="120"/>
      <c r="E28" s="119" t="s">
        <v>35</v>
      </c>
      <c r="F28" s="120"/>
      <c r="G28" s="119" t="s">
        <v>35</v>
      </c>
      <c r="H28" s="120"/>
      <c r="I28" s="119" t="s">
        <v>35</v>
      </c>
      <c r="J28" s="120"/>
    </row>
    <row r="29" spans="1:10" ht="31.5" customHeight="1" x14ac:dyDescent="0.35">
      <c r="A29" s="119" t="s">
        <v>36</v>
      </c>
      <c r="B29" s="120"/>
      <c r="C29" s="157" t="s">
        <v>158</v>
      </c>
      <c r="D29" s="158"/>
      <c r="E29" s="157" t="s">
        <v>156</v>
      </c>
      <c r="F29" s="158"/>
      <c r="G29" s="157" t="s">
        <v>157</v>
      </c>
      <c r="H29" s="158"/>
      <c r="I29" s="157" t="s">
        <v>158</v>
      </c>
      <c r="J29" s="158"/>
    </row>
    <row r="30" spans="1:10" x14ac:dyDescent="0.35">
      <c r="A30" s="67" t="s">
        <v>37</v>
      </c>
      <c r="B30" s="70"/>
      <c r="C30" s="70"/>
      <c r="D30" s="70"/>
      <c r="E30" s="70"/>
      <c r="F30" s="70"/>
      <c r="G30" s="70"/>
      <c r="H30" s="70"/>
      <c r="I30" s="70"/>
      <c r="J30" s="68"/>
    </row>
    <row r="31" spans="1:10" x14ac:dyDescent="0.35">
      <c r="A31" s="67" t="s">
        <v>38</v>
      </c>
      <c r="B31" s="70"/>
      <c r="C31" s="70"/>
      <c r="D31" s="70"/>
      <c r="E31" s="70"/>
      <c r="F31" s="70"/>
      <c r="G31" s="70"/>
      <c r="H31" s="70"/>
      <c r="I31" s="70"/>
      <c r="J31" s="68"/>
    </row>
    <row r="32" spans="1:10" x14ac:dyDescent="0.35">
      <c r="A32" s="67" t="s">
        <v>39</v>
      </c>
      <c r="B32" s="68"/>
      <c r="C32" s="141" t="s">
        <v>246</v>
      </c>
      <c r="D32" s="142"/>
      <c r="E32" s="142"/>
      <c r="F32" s="142"/>
      <c r="G32" s="142"/>
      <c r="H32" s="142"/>
      <c r="I32" s="142"/>
      <c r="J32" s="143"/>
    </row>
    <row r="33" spans="1:10" x14ac:dyDescent="0.35">
      <c r="A33" s="67" t="s">
        <v>238</v>
      </c>
      <c r="B33" s="68"/>
      <c r="C33" s="69" t="s">
        <v>239</v>
      </c>
      <c r="D33" s="70"/>
      <c r="E33" s="70"/>
      <c r="F33" s="70"/>
      <c r="G33" s="70"/>
      <c r="H33" s="70"/>
      <c r="I33" s="70"/>
      <c r="J33" s="68"/>
    </row>
    <row r="34" spans="1:10" x14ac:dyDescent="0.35">
      <c r="A34" s="159" t="s">
        <v>40</v>
      </c>
      <c r="B34" s="159"/>
      <c r="C34" s="159"/>
      <c r="D34" s="159"/>
      <c r="E34" s="159"/>
      <c r="F34" s="159"/>
      <c r="G34" s="159"/>
      <c r="H34" s="159"/>
      <c r="I34" s="159"/>
      <c r="J34" s="159"/>
    </row>
    <row r="35" spans="1:10" ht="15" customHeight="1" x14ac:dyDescent="0.35">
      <c r="A35" s="134" t="s">
        <v>41</v>
      </c>
      <c r="B35" s="134"/>
      <c r="C35" s="134"/>
      <c r="D35" s="134"/>
      <c r="E35" s="134"/>
      <c r="F35" s="227" t="s">
        <v>161</v>
      </c>
      <c r="G35" s="227"/>
      <c r="H35" s="227"/>
      <c r="I35" s="227"/>
      <c r="J35" s="227"/>
    </row>
    <row r="36" spans="1:10" ht="15" customHeight="1" x14ac:dyDescent="0.35">
      <c r="A36" s="134" t="s">
        <v>42</v>
      </c>
      <c r="B36" s="134"/>
      <c r="C36" s="134"/>
      <c r="D36" s="134"/>
      <c r="E36" s="134"/>
      <c r="F36" s="134" t="s">
        <v>43</v>
      </c>
      <c r="G36" s="134"/>
      <c r="H36" s="134"/>
      <c r="I36" s="134"/>
      <c r="J36" s="134"/>
    </row>
    <row r="37" spans="1:10" x14ac:dyDescent="0.35">
      <c r="A37" s="159" t="s">
        <v>44</v>
      </c>
      <c r="B37" s="159"/>
      <c r="C37" s="159"/>
      <c r="D37" s="159"/>
      <c r="E37" s="159"/>
      <c r="F37" s="159"/>
      <c r="G37" s="159"/>
      <c r="H37" s="159"/>
      <c r="I37" s="159"/>
      <c r="J37" s="159"/>
    </row>
    <row r="38" spans="1:10" x14ac:dyDescent="0.35">
      <c r="A38" s="112" t="s">
        <v>45</v>
      </c>
      <c r="B38" s="112"/>
      <c r="C38" s="112"/>
      <c r="D38" s="112"/>
      <c r="E38" s="112"/>
      <c r="F38" s="166">
        <v>9594.15</v>
      </c>
      <c r="G38" s="166"/>
      <c r="H38" s="166"/>
      <c r="I38" s="166"/>
      <c r="J38" s="166"/>
    </row>
    <row r="39" spans="1:10" x14ac:dyDescent="0.35">
      <c r="A39" s="112" t="s">
        <v>46</v>
      </c>
      <c r="B39" s="112"/>
      <c r="C39" s="112"/>
      <c r="D39" s="112"/>
      <c r="E39" s="112"/>
      <c r="F39" s="121">
        <v>1</v>
      </c>
      <c r="G39" s="121"/>
      <c r="H39" s="121"/>
      <c r="I39" s="121"/>
      <c r="J39" s="121"/>
    </row>
    <row r="40" spans="1:10" x14ac:dyDescent="0.35">
      <c r="A40" s="112" t="s">
        <v>47</v>
      </c>
      <c r="B40" s="112"/>
      <c r="C40" s="112"/>
      <c r="D40" s="112"/>
      <c r="E40" s="112"/>
      <c r="F40" s="121">
        <v>0</v>
      </c>
      <c r="G40" s="121"/>
      <c r="H40" s="121"/>
      <c r="I40" s="121"/>
      <c r="J40" s="121"/>
    </row>
    <row r="41" spans="1:10" x14ac:dyDescent="0.35">
      <c r="A41" s="112" t="s">
        <v>48</v>
      </c>
      <c r="B41" s="112"/>
      <c r="C41" s="112"/>
      <c r="D41" s="112"/>
      <c r="E41" s="112"/>
      <c r="F41" s="121">
        <f>F39+F40</f>
        <v>1</v>
      </c>
      <c r="G41" s="121"/>
      <c r="H41" s="121"/>
      <c r="I41" s="121"/>
      <c r="J41" s="121"/>
    </row>
    <row r="42" spans="1:10" x14ac:dyDescent="0.35">
      <c r="A42" s="112" t="s">
        <v>49</v>
      </c>
      <c r="B42" s="112"/>
      <c r="C42" s="112"/>
      <c r="D42" s="112"/>
      <c r="E42" s="112"/>
      <c r="F42" s="121">
        <f>F38*F41</f>
        <v>9594.15</v>
      </c>
      <c r="G42" s="121"/>
      <c r="H42" s="121"/>
      <c r="I42" s="121"/>
      <c r="J42" s="121"/>
    </row>
    <row r="43" spans="1:10" x14ac:dyDescent="0.35">
      <c r="A43" s="112" t="s">
        <v>50</v>
      </c>
      <c r="B43" s="112"/>
      <c r="C43" s="112"/>
      <c r="D43" s="112"/>
      <c r="E43" s="112"/>
      <c r="F43" s="113" t="s">
        <v>231</v>
      </c>
      <c r="G43" s="113"/>
      <c r="H43" s="113"/>
      <c r="I43" s="113"/>
      <c r="J43" s="113"/>
    </row>
    <row r="44" spans="1:10" x14ac:dyDescent="0.35">
      <c r="A44" s="141" t="s">
        <v>51</v>
      </c>
      <c r="B44" s="142"/>
      <c r="C44" s="142"/>
      <c r="D44" s="142"/>
      <c r="E44" s="142"/>
      <c r="F44" s="142"/>
      <c r="G44" s="142"/>
      <c r="H44" s="142"/>
      <c r="I44" s="142"/>
      <c r="J44" s="143"/>
    </row>
    <row r="45" spans="1:10" x14ac:dyDescent="0.35">
      <c r="A45" s="122" t="s">
        <v>52</v>
      </c>
      <c r="B45" s="124"/>
      <c r="C45" s="122" t="s">
        <v>159</v>
      </c>
      <c r="D45" s="123"/>
      <c r="E45" s="123"/>
      <c r="F45" s="124"/>
      <c r="G45" s="24" t="s">
        <v>53</v>
      </c>
      <c r="H45" s="122" t="s">
        <v>160</v>
      </c>
      <c r="I45" s="123"/>
      <c r="J45" s="124"/>
    </row>
    <row r="46" spans="1:10" x14ac:dyDescent="0.35">
      <c r="A46" s="122" t="s">
        <v>54</v>
      </c>
      <c r="B46" s="124"/>
      <c r="C46" s="122" t="str">
        <f>C45</f>
        <v>KDMP/NRV/BP/KV/2014-15/10/02</v>
      </c>
      <c r="D46" s="123"/>
      <c r="E46" s="123"/>
      <c r="F46" s="124"/>
      <c r="G46" s="24" t="s">
        <v>53</v>
      </c>
      <c r="H46" s="122" t="str">
        <f>H45</f>
        <v>06/04/2018.</v>
      </c>
      <c r="I46" s="123"/>
      <c r="J46" s="124"/>
    </row>
    <row r="47" spans="1:10" ht="110.25" customHeight="1" x14ac:dyDescent="0.35">
      <c r="A47" s="122" t="s">
        <v>55</v>
      </c>
      <c r="B47" s="124"/>
      <c r="C47" s="122" t="s">
        <v>167</v>
      </c>
      <c r="D47" s="70"/>
      <c r="E47" s="70"/>
      <c r="F47" s="68"/>
      <c r="G47" s="26" t="s">
        <v>53</v>
      </c>
      <c r="H47" s="24" t="str">
        <f>H46</f>
        <v>06/04/2018.</v>
      </c>
      <c r="I47" s="167" t="s">
        <v>56</v>
      </c>
      <c r="J47" s="134"/>
    </row>
    <row r="48" spans="1:10" ht="15" customHeight="1" x14ac:dyDescent="0.35">
      <c r="A48" s="160" t="s">
        <v>57</v>
      </c>
      <c r="B48" s="162"/>
      <c r="C48" s="160" t="s">
        <v>135</v>
      </c>
      <c r="D48" s="142"/>
      <c r="E48" s="142"/>
      <c r="F48" s="143" t="s">
        <v>58</v>
      </c>
      <c r="G48" s="63" t="s">
        <v>53</v>
      </c>
      <c r="H48" s="160" t="s">
        <v>35</v>
      </c>
      <c r="I48" s="161" t="s">
        <v>35</v>
      </c>
      <c r="J48" s="162"/>
    </row>
    <row r="49" spans="1:13" x14ac:dyDescent="0.35">
      <c r="A49" s="112" t="s">
        <v>59</v>
      </c>
      <c r="B49" s="112"/>
      <c r="C49" s="112"/>
      <c r="D49" s="163" t="str">
        <f>H47</f>
        <v>06/04/2018.</v>
      </c>
      <c r="E49" s="163"/>
      <c r="F49" s="67" t="s">
        <v>60</v>
      </c>
      <c r="G49" s="164"/>
      <c r="H49" s="165">
        <v>45806</v>
      </c>
      <c r="I49" s="127"/>
      <c r="J49" s="128"/>
    </row>
    <row r="50" spans="1:13" x14ac:dyDescent="0.35">
      <c r="A50" s="168" t="s">
        <v>61</v>
      </c>
      <c r="B50" s="169"/>
      <c r="C50" s="169"/>
      <c r="D50" s="169"/>
      <c r="E50" s="169"/>
      <c r="F50" s="169"/>
      <c r="G50" s="169"/>
      <c r="H50" s="169"/>
      <c r="I50" s="169"/>
      <c r="J50" s="170"/>
    </row>
    <row r="51" spans="1:13" ht="15.75" customHeight="1" x14ac:dyDescent="0.35">
      <c r="A51" s="112" t="s">
        <v>62</v>
      </c>
      <c r="B51" s="112"/>
      <c r="C51" s="112"/>
      <c r="D51" s="163">
        <f>F42</f>
        <v>9594.15</v>
      </c>
      <c r="E51" s="163"/>
      <c r="F51" s="125" t="s">
        <v>63</v>
      </c>
      <c r="G51" s="125"/>
      <c r="H51" s="125" t="s">
        <v>164</v>
      </c>
      <c r="I51" s="125"/>
      <c r="J51" s="125"/>
    </row>
    <row r="52" spans="1:13" x14ac:dyDescent="0.35">
      <c r="A52" s="125" t="s">
        <v>64</v>
      </c>
      <c r="B52" s="125"/>
      <c r="C52" s="125" t="s">
        <v>240</v>
      </c>
      <c r="D52" s="125"/>
      <c r="E52" s="125"/>
      <c r="F52" s="125"/>
      <c r="G52" s="125"/>
      <c r="H52" s="125"/>
      <c r="I52" s="125"/>
      <c r="J52" s="125"/>
    </row>
    <row r="53" spans="1:13" x14ac:dyDescent="0.35">
      <c r="A53" s="125"/>
      <c r="B53" s="125"/>
      <c r="C53" s="125" t="s">
        <v>227</v>
      </c>
      <c r="D53" s="125"/>
      <c r="E53" s="125"/>
      <c r="F53" s="125"/>
      <c r="G53" s="125"/>
      <c r="H53" s="125" t="s">
        <v>65</v>
      </c>
      <c r="I53" s="125"/>
      <c r="J53" s="125"/>
    </row>
    <row r="54" spans="1:13" x14ac:dyDescent="0.35">
      <c r="A54" s="125"/>
      <c r="B54" s="125"/>
      <c r="C54" s="125" t="s">
        <v>228</v>
      </c>
      <c r="D54" s="125"/>
      <c r="E54" s="125"/>
      <c r="F54" s="125"/>
      <c r="G54" s="125"/>
      <c r="H54" s="125" t="s">
        <v>65</v>
      </c>
      <c r="I54" s="125"/>
      <c r="J54" s="125"/>
    </row>
    <row r="55" spans="1:13" x14ac:dyDescent="0.35">
      <c r="A55" s="125" t="s">
        <v>249</v>
      </c>
      <c r="B55" s="125"/>
      <c r="C55" s="125" t="s">
        <v>241</v>
      </c>
      <c r="D55" s="125"/>
      <c r="E55" s="125"/>
      <c r="F55" s="125"/>
      <c r="G55" s="125"/>
      <c r="H55" s="125"/>
      <c r="I55" s="125"/>
      <c r="J55" s="125"/>
    </row>
    <row r="56" spans="1:13" x14ac:dyDescent="0.35">
      <c r="A56" s="125"/>
      <c r="B56" s="125"/>
      <c r="C56" s="125" t="s">
        <v>228</v>
      </c>
      <c r="D56" s="125"/>
      <c r="E56" s="125"/>
      <c r="F56" s="125"/>
      <c r="G56" s="125"/>
      <c r="H56" s="125" t="s">
        <v>65</v>
      </c>
      <c r="I56" s="125"/>
      <c r="J56" s="125"/>
    </row>
    <row r="57" spans="1:13" ht="15.75" customHeight="1" x14ac:dyDescent="0.35">
      <c r="A57" s="112" t="s">
        <v>66</v>
      </c>
      <c r="B57" s="112"/>
      <c r="C57" s="112"/>
      <c r="D57" s="134" t="s">
        <v>67</v>
      </c>
      <c r="E57" s="134"/>
      <c r="F57" s="134"/>
      <c r="G57" s="134"/>
      <c r="H57" s="134"/>
      <c r="I57" s="134"/>
      <c r="J57" s="134"/>
    </row>
    <row r="58" spans="1:13" x14ac:dyDescent="0.35">
      <c r="A58" s="176" t="s">
        <v>162</v>
      </c>
      <c r="B58" s="127"/>
      <c r="C58" s="127"/>
      <c r="D58" s="127"/>
      <c r="E58" s="127"/>
      <c r="F58" s="127"/>
      <c r="G58" s="127"/>
      <c r="H58" s="127"/>
      <c r="I58" s="127"/>
      <c r="J58" s="128"/>
    </row>
    <row r="59" spans="1:13" ht="15" customHeight="1" thickBot="1" x14ac:dyDescent="0.4">
      <c r="A59" s="160" t="s">
        <v>68</v>
      </c>
      <c r="B59" s="161"/>
      <c r="C59" s="161"/>
      <c r="D59" s="161"/>
      <c r="E59" s="161"/>
      <c r="F59" s="161"/>
      <c r="G59" s="161"/>
      <c r="H59" s="161"/>
      <c r="I59" s="161"/>
      <c r="J59" s="162"/>
    </row>
    <row r="60" spans="1:13" ht="15" customHeight="1" x14ac:dyDescent="0.35">
      <c r="A60" s="81" t="s">
        <v>201</v>
      </c>
      <c r="B60" s="82"/>
      <c r="C60" s="83" t="s">
        <v>226</v>
      </c>
      <c r="D60" s="83"/>
      <c r="E60" s="83"/>
      <c r="F60" s="83"/>
      <c r="G60" s="83"/>
      <c r="H60" s="83"/>
      <c r="I60" s="83"/>
      <c r="J60" s="84"/>
      <c r="K60" s="27" t="str">
        <f ca="1">(IF(C64=0,"Work not yet Started.",IF(D64=25%,"Piling work in process",IF(D64=50%,"Excavation work in process",IF(D64=100%,"Excavation work completed, ","0")))&amp;(IF(C65=0%,"",IF(C65=M66,"Footing work is process",IF(C65=M67,"Footing work Completed",IF(C65=M68,"1st Basement Completed",IF(C65=M69,"1st &amp; 2nd Basement Completed",IF(C65=M70,"1st to 3rd Basement Completed",IF(C65=M71,"1st to 4th Basement Completed",IF(C65=M72,"Plinth work is process",IF(C65=M73,"Plinth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L60" s="27"/>
      <c r="M60" s="28"/>
    </row>
    <row r="61" spans="1:13" ht="15" customHeight="1" x14ac:dyDescent="0.35">
      <c r="A61" s="29" t="s">
        <v>122</v>
      </c>
      <c r="B61" s="30">
        <v>0</v>
      </c>
      <c r="C61" s="30" t="s">
        <v>124</v>
      </c>
      <c r="D61" s="85">
        <v>1</v>
      </c>
      <c r="E61" s="86"/>
      <c r="F61" s="31" t="s">
        <v>123</v>
      </c>
      <c r="G61" s="30">
        <v>0</v>
      </c>
      <c r="H61" s="30" t="s">
        <v>202</v>
      </c>
      <c r="I61" s="78">
        <f ca="1">--TRIM(RIGHT(SUBSTITUTE(LEFT(C60,_xlfn.AGGREGATE(16,6,FIND({0,1,2,3,4,5,6,7,8,9},C60,ROW(INDIRECT("1:"&amp;LEN(C60)))),1))," ",REPT(" ",LEN(C60))),LEN(C60)))</f>
        <v>10</v>
      </c>
      <c r="J61" s="87"/>
      <c r="K61" s="32" t="s">
        <v>203</v>
      </c>
      <c r="L61" s="32"/>
      <c r="M61" s="33"/>
    </row>
    <row r="62" spans="1:13" ht="80.5" customHeight="1" x14ac:dyDescent="0.35">
      <c r="A62" s="88" t="s">
        <v>204</v>
      </c>
      <c r="B62" s="89"/>
      <c r="C62" s="90" t="str">
        <f ca="1">K60</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D62" s="90"/>
      <c r="E62" s="90"/>
      <c r="F62" s="90"/>
      <c r="G62" s="90"/>
      <c r="H62" s="90"/>
      <c r="I62" s="90"/>
      <c r="J62" s="91"/>
      <c r="K62" s="32" t="s">
        <v>205</v>
      </c>
      <c r="L62" s="32"/>
      <c r="M62" s="33"/>
    </row>
    <row r="63" spans="1:13" ht="15" customHeight="1" x14ac:dyDescent="0.35">
      <c r="A63" s="71" t="s">
        <v>69</v>
      </c>
      <c r="B63" s="72"/>
      <c r="C63" s="34" t="s">
        <v>206</v>
      </c>
      <c r="D63" s="72" t="s">
        <v>207</v>
      </c>
      <c r="E63" s="72"/>
      <c r="F63" s="72" t="s">
        <v>208</v>
      </c>
      <c r="G63" s="72"/>
      <c r="H63" s="72" t="s">
        <v>209</v>
      </c>
      <c r="I63" s="72"/>
      <c r="J63" s="92"/>
      <c r="K63" s="35" t="s">
        <v>210</v>
      </c>
      <c r="M63" s="36">
        <f ca="1">I61*25%</f>
        <v>2.5</v>
      </c>
    </row>
    <row r="64" spans="1:13" ht="15" customHeight="1" x14ac:dyDescent="0.35">
      <c r="A64" s="71" t="s">
        <v>211</v>
      </c>
      <c r="B64" s="72"/>
      <c r="C64" s="37">
        <f ca="1">M65</f>
        <v>10</v>
      </c>
      <c r="D64" s="73">
        <f ca="1">((100/I61)*C64)/100</f>
        <v>1</v>
      </c>
      <c r="E64" s="73"/>
      <c r="F64" s="73">
        <f ca="1">(IF(C62=K61,"100%",IF(C62=K62,"100%",(((C65/I61*10)+(40/(D61+G61+I61)*C66)+(7.5/(I61)*C67)+(7.5/(I61)*C68)+(10/I61*C69)+(10/I61*C70)+(5/I61*C71)+(5/I61*C72)+(5/I61*C73))/100))))</f>
        <v>0.91500000000000004</v>
      </c>
      <c r="G64" s="73"/>
      <c r="H64" s="73">
        <f ca="1">((((C64/I61)*20)+((C65/I61)*25)+(30/(I61+G61+D61)*C66)+(5/I61*C67)+(5/I61*C68)+(5/I61*C69)+(5/I61*C70)+(0/I61*C71)+(0/I61*C72)+(5/I61*C73))/100)</f>
        <v>0.95</v>
      </c>
      <c r="I64" s="73"/>
      <c r="J64" s="75"/>
      <c r="K64" s="35" t="s">
        <v>129</v>
      </c>
      <c r="L64" s="38"/>
      <c r="M64" s="39">
        <f ca="1">I61*50%</f>
        <v>5</v>
      </c>
    </row>
    <row r="65" spans="1:13" ht="15" customHeight="1" x14ac:dyDescent="0.35">
      <c r="A65" s="71" t="s">
        <v>70</v>
      </c>
      <c r="B65" s="72"/>
      <c r="C65" s="40">
        <f ca="1">M73</f>
        <v>10</v>
      </c>
      <c r="D65" s="73">
        <f ca="1">((100/I61)*C65)/100</f>
        <v>1</v>
      </c>
      <c r="E65" s="73"/>
      <c r="F65" s="73"/>
      <c r="G65" s="73"/>
      <c r="H65" s="73"/>
      <c r="I65" s="73"/>
      <c r="J65" s="75"/>
      <c r="K65" s="35" t="s">
        <v>130</v>
      </c>
      <c r="L65" s="38"/>
      <c r="M65" s="39">
        <f ca="1">I61</f>
        <v>10</v>
      </c>
    </row>
    <row r="66" spans="1:13" ht="15" customHeight="1" x14ac:dyDescent="0.35">
      <c r="A66" s="77" t="s">
        <v>212</v>
      </c>
      <c r="B66" s="78"/>
      <c r="C66" s="40">
        <f ca="1">D61+G61+I61</f>
        <v>11</v>
      </c>
      <c r="D66" s="73">
        <f ca="1">((100/(D61+G61+I61))*C66)/100</f>
        <v>1.0000000000000002</v>
      </c>
      <c r="E66" s="73"/>
      <c r="F66" s="73"/>
      <c r="G66" s="73"/>
      <c r="H66" s="73"/>
      <c r="I66" s="73"/>
      <c r="J66" s="75"/>
      <c r="K66" s="35" t="s">
        <v>131</v>
      </c>
      <c r="L66" s="38"/>
      <c r="M66" s="41">
        <f ca="1">(IF(B61=0,I61/4,(I61/(B61+4))))</f>
        <v>2.5</v>
      </c>
    </row>
    <row r="67" spans="1:13" ht="15" customHeight="1" x14ac:dyDescent="0.35">
      <c r="A67" s="71" t="s">
        <v>213</v>
      </c>
      <c r="B67" s="72" t="s">
        <v>214</v>
      </c>
      <c r="C67" s="37">
        <v>10</v>
      </c>
      <c r="D67" s="73">
        <f ca="1">((100/I61)*C67)/100</f>
        <v>1</v>
      </c>
      <c r="E67" s="73"/>
      <c r="F67" s="73"/>
      <c r="G67" s="73"/>
      <c r="H67" s="73"/>
      <c r="I67" s="73"/>
      <c r="J67" s="75"/>
      <c r="K67" s="35" t="s">
        <v>132</v>
      </c>
      <c r="L67" s="38"/>
      <c r="M67" s="41">
        <f ca="1">(IF(B61=0,I61/4+M66,(I61/(B61+4)+M66)))</f>
        <v>5</v>
      </c>
    </row>
    <row r="68" spans="1:13" ht="15" customHeight="1" x14ac:dyDescent="0.35">
      <c r="A68" s="71" t="s">
        <v>215</v>
      </c>
      <c r="B68" s="72" t="s">
        <v>214</v>
      </c>
      <c r="C68" s="37">
        <v>10</v>
      </c>
      <c r="D68" s="73">
        <f ca="1">((100/I61)*C68)/100</f>
        <v>1</v>
      </c>
      <c r="E68" s="73"/>
      <c r="F68" s="73"/>
      <c r="G68" s="73"/>
      <c r="H68" s="73"/>
      <c r="I68" s="73"/>
      <c r="J68" s="75"/>
      <c r="K68" s="35" t="s">
        <v>216</v>
      </c>
      <c r="L68" s="42"/>
      <c r="M68" s="41">
        <f>(IF(B61=0,0,(I61/(B61+4)+M67)))</f>
        <v>0</v>
      </c>
    </row>
    <row r="69" spans="1:13" ht="15" customHeight="1" x14ac:dyDescent="0.35">
      <c r="A69" s="71" t="s">
        <v>217</v>
      </c>
      <c r="B69" s="72" t="s">
        <v>218</v>
      </c>
      <c r="C69" s="37">
        <v>10</v>
      </c>
      <c r="D69" s="73">
        <f ca="1">((100/(I61))*C69)/100</f>
        <v>1</v>
      </c>
      <c r="E69" s="73"/>
      <c r="F69" s="73"/>
      <c r="G69" s="73"/>
      <c r="H69" s="73"/>
      <c r="I69" s="73"/>
      <c r="J69" s="75"/>
      <c r="K69" s="35" t="s">
        <v>219</v>
      </c>
      <c r="L69" s="42"/>
      <c r="M69" s="41">
        <f>(IF(B61&gt;1,(I61/(B61+4)+M68),0))</f>
        <v>0</v>
      </c>
    </row>
    <row r="70" spans="1:13" ht="15" customHeight="1" x14ac:dyDescent="0.35">
      <c r="A70" s="71" t="s">
        <v>220</v>
      </c>
      <c r="B70" s="72" t="s">
        <v>220</v>
      </c>
      <c r="C70" s="37">
        <v>10</v>
      </c>
      <c r="D70" s="73">
        <f ca="1">((100/I61)*C70)/100</f>
        <v>1</v>
      </c>
      <c r="E70" s="73"/>
      <c r="F70" s="73"/>
      <c r="G70" s="73"/>
      <c r="H70" s="73"/>
      <c r="I70" s="73"/>
      <c r="J70" s="75"/>
      <c r="K70" s="35" t="s">
        <v>221</v>
      </c>
      <c r="L70" s="43"/>
      <c r="M70" s="44">
        <f>(IF(B61&gt;2,(I61/(B61+4)+M69),0))</f>
        <v>0</v>
      </c>
    </row>
    <row r="71" spans="1:13" ht="15" customHeight="1" x14ac:dyDescent="0.35">
      <c r="A71" s="71" t="s">
        <v>222</v>
      </c>
      <c r="B71" s="72"/>
      <c r="C71" s="37">
        <v>9</v>
      </c>
      <c r="D71" s="73">
        <f ca="1">((100/I61)*C71)/100</f>
        <v>0.9</v>
      </c>
      <c r="E71" s="73"/>
      <c r="F71" s="73"/>
      <c r="G71" s="73"/>
      <c r="H71" s="73"/>
      <c r="I71" s="73"/>
      <c r="J71" s="75"/>
      <c r="K71" s="35" t="s">
        <v>223</v>
      </c>
      <c r="L71" s="45"/>
      <c r="M71" s="46">
        <f>(IF(B61&gt;3,(I61/(B61+4)+M70),0))</f>
        <v>0</v>
      </c>
    </row>
    <row r="72" spans="1:13" ht="15" customHeight="1" x14ac:dyDescent="0.35">
      <c r="A72" s="71" t="s">
        <v>224</v>
      </c>
      <c r="B72" s="72" t="s">
        <v>224</v>
      </c>
      <c r="C72" s="37">
        <v>4</v>
      </c>
      <c r="D72" s="73">
        <f ca="1">((100/(I61))*C72)/100</f>
        <v>0.4</v>
      </c>
      <c r="E72" s="73"/>
      <c r="F72" s="73"/>
      <c r="G72" s="73"/>
      <c r="H72" s="73"/>
      <c r="I72" s="73"/>
      <c r="J72" s="75"/>
      <c r="K72" s="35" t="s">
        <v>133</v>
      </c>
      <c r="L72" s="38"/>
      <c r="M72" s="41">
        <f ca="1">(IF(B61=0,I61/4+M67,(I61/(B61+4)+M67+MAX(0,M68-M67)+MAX(0,M69-M68)+MAX(0,M70-M69)+MAX(0,M71-M70))))</f>
        <v>7.5</v>
      </c>
    </row>
    <row r="73" spans="1:13" ht="15" customHeight="1" thickBot="1" x14ac:dyDescent="0.4">
      <c r="A73" s="79" t="s">
        <v>225</v>
      </c>
      <c r="B73" s="80"/>
      <c r="C73" s="47">
        <v>0</v>
      </c>
      <c r="D73" s="74">
        <f ca="1">((100/(I61))*C73)/100</f>
        <v>0</v>
      </c>
      <c r="E73" s="74"/>
      <c r="F73" s="74"/>
      <c r="G73" s="74"/>
      <c r="H73" s="74"/>
      <c r="I73" s="74"/>
      <c r="J73" s="76"/>
      <c r="K73" s="48" t="s">
        <v>134</v>
      </c>
      <c r="L73" s="49"/>
      <c r="M73" s="50">
        <f ca="1">(IF(B61=0,I61/4+M72,(I61/(B61+4)+M72)))</f>
        <v>10</v>
      </c>
    </row>
    <row r="74" spans="1:13" ht="15" customHeight="1" x14ac:dyDescent="0.35">
      <c r="A74" s="81" t="s">
        <v>201</v>
      </c>
      <c r="B74" s="82"/>
      <c r="C74" s="83" t="s">
        <v>242</v>
      </c>
      <c r="D74" s="83"/>
      <c r="E74" s="83"/>
      <c r="F74" s="83"/>
      <c r="G74" s="83"/>
      <c r="H74" s="83"/>
      <c r="I74" s="83"/>
      <c r="J74" s="84"/>
      <c r="K74" s="27" t="str">
        <f ca="1">(IF(C78=0,"Work not yet Started.",IF(D78=25%,"Piling work in process",IF(D78=50%,"Excavation work in process",IF(D78=100%,"Excavation work completed, ","0")))&amp;(IF(C79=0%,"",IF(C79=M80,"Footing work is process",IF(C79=M81,"Footing work Completed",IF(C79=M82,"1st Basement Completed",IF(C79=M83,"1st &amp; 2nd Basement Completed",IF(C79=M84,"1st to 3rd Basement Completed",IF(C79=M85,"1st to 4th Basement Completed",IF(C79=M86,"Plinth work is process",IF(C79=M87,"Plinth work completed","0")))))))))))&amp;(IF(C80&gt;0,", RCC upto "&amp;C80&amp;" Slab completed",""))&amp;(IF(C81&gt;0,", Brickwork upto "&amp;C81&amp;" Floor completed"," "))&amp;(IF(C82&gt;0,", Internal Plaster upto "&amp;C82&amp;" Floor completed"," "))&amp;(IF(C83&gt;0,", External Plaster upto "&amp;C83&amp;" Floor completed"," "))&amp;(IF(C84&gt;0,", Flooring upto "&amp;C84&amp;" Floor completed"," "))&amp;(IF(C85&gt;0,", Painting upto "&amp;C85&amp;" Floor completed"," "))&amp;(IF(C86&gt;0,", Finishing upto "&amp;C86&amp;" Floor completed"," ")))</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L74" s="27"/>
      <c r="M74" s="28"/>
    </row>
    <row r="75" spans="1:13" ht="15" customHeight="1" x14ac:dyDescent="0.35">
      <c r="A75" s="29" t="s">
        <v>122</v>
      </c>
      <c r="B75" s="30">
        <v>0</v>
      </c>
      <c r="C75" s="30" t="s">
        <v>124</v>
      </c>
      <c r="D75" s="85">
        <v>1</v>
      </c>
      <c r="E75" s="86"/>
      <c r="F75" s="31" t="s">
        <v>123</v>
      </c>
      <c r="G75" s="30">
        <v>0</v>
      </c>
      <c r="H75" s="30" t="s">
        <v>202</v>
      </c>
      <c r="I75" s="78">
        <f ca="1">--TRIM(RIGHT(SUBSTITUTE(LEFT(C74,_xlfn.AGGREGATE(16,6,FIND({0,1,2,3,4,5,6,7,8,9},C74,ROW(INDIRECT("1:"&amp;LEN(C74)))),1))," ",REPT(" ",LEN(C74))),LEN(C74)))</f>
        <v>10</v>
      </c>
      <c r="J75" s="87"/>
      <c r="K75" s="32" t="s">
        <v>203</v>
      </c>
      <c r="L75" s="32"/>
      <c r="M75" s="33"/>
    </row>
    <row r="76" spans="1:13" ht="80" customHeight="1" x14ac:dyDescent="0.35">
      <c r="A76" s="88" t="s">
        <v>204</v>
      </c>
      <c r="B76" s="89"/>
      <c r="C76" s="90" t="str">
        <f ca="1">K74</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D76" s="90"/>
      <c r="E76" s="90"/>
      <c r="F76" s="90"/>
      <c r="G76" s="90"/>
      <c r="H76" s="90"/>
      <c r="I76" s="90"/>
      <c r="J76" s="91"/>
      <c r="K76" s="32" t="s">
        <v>205</v>
      </c>
      <c r="L76" s="32"/>
      <c r="M76" s="33"/>
    </row>
    <row r="77" spans="1:13" ht="15" customHeight="1" x14ac:dyDescent="0.35">
      <c r="A77" s="71" t="s">
        <v>69</v>
      </c>
      <c r="B77" s="72"/>
      <c r="C77" s="34" t="s">
        <v>206</v>
      </c>
      <c r="D77" s="72" t="s">
        <v>207</v>
      </c>
      <c r="E77" s="72"/>
      <c r="F77" s="72" t="s">
        <v>208</v>
      </c>
      <c r="G77" s="72"/>
      <c r="H77" s="72" t="s">
        <v>209</v>
      </c>
      <c r="I77" s="72"/>
      <c r="J77" s="92"/>
      <c r="K77" s="35" t="s">
        <v>210</v>
      </c>
      <c r="M77" s="36">
        <f ca="1">I75*25%</f>
        <v>2.5</v>
      </c>
    </row>
    <row r="78" spans="1:13" ht="15" customHeight="1" x14ac:dyDescent="0.35">
      <c r="A78" s="71" t="s">
        <v>211</v>
      </c>
      <c r="B78" s="72"/>
      <c r="C78" s="37">
        <f ca="1">M79</f>
        <v>10</v>
      </c>
      <c r="D78" s="73">
        <f ca="1">((100/I75)*C78)/100</f>
        <v>1</v>
      </c>
      <c r="E78" s="73"/>
      <c r="F78" s="73">
        <f ca="1">(IF(C76=K75,"100%",IF(C76=K76,"100%",(((C79/I75*10)+(40/(D75+G75+I75)*C80)+(7.5/(I75)*C81)+(7.5/(I75)*C82)+(10/I75*C83)+(10/I75*C84)+(5/I75*C85)+(5/I75*C86)+(5/I75*C87))/100))))</f>
        <v>0.91500000000000004</v>
      </c>
      <c r="G78" s="73"/>
      <c r="H78" s="73">
        <f ca="1">((((C78/I75)*20)+((C79/I75)*25)+(30/(I75+G75+D75)*C80)+(5/I75*C81)+(5/I75*C82)+(5/I75*C83)+(5/I75*C84)+(0/I75*C85)+(0/I75*C86)+(5/I75*C87))/100)</f>
        <v>0.95</v>
      </c>
      <c r="I78" s="73"/>
      <c r="J78" s="75"/>
      <c r="K78" s="35" t="s">
        <v>129</v>
      </c>
      <c r="L78" s="38"/>
      <c r="M78" s="39">
        <f ca="1">I75*50%</f>
        <v>5</v>
      </c>
    </row>
    <row r="79" spans="1:13" ht="15" customHeight="1" x14ac:dyDescent="0.35">
      <c r="A79" s="71" t="s">
        <v>70</v>
      </c>
      <c r="B79" s="72"/>
      <c r="C79" s="40">
        <f ca="1">M87</f>
        <v>10</v>
      </c>
      <c r="D79" s="73">
        <f ca="1">((100/I75)*C79)/100</f>
        <v>1</v>
      </c>
      <c r="E79" s="73"/>
      <c r="F79" s="73"/>
      <c r="G79" s="73"/>
      <c r="H79" s="73"/>
      <c r="I79" s="73"/>
      <c r="J79" s="75"/>
      <c r="K79" s="35" t="s">
        <v>130</v>
      </c>
      <c r="L79" s="38"/>
      <c r="M79" s="39">
        <f ca="1">I75</f>
        <v>10</v>
      </c>
    </row>
    <row r="80" spans="1:13" ht="15" customHeight="1" x14ac:dyDescent="0.35">
      <c r="A80" s="77" t="s">
        <v>212</v>
      </c>
      <c r="B80" s="78"/>
      <c r="C80" s="40">
        <f ca="1">D75+G75+I75</f>
        <v>11</v>
      </c>
      <c r="D80" s="73">
        <f ca="1">((100/(D75+G75+I75))*C80)/100</f>
        <v>1.0000000000000002</v>
      </c>
      <c r="E80" s="73"/>
      <c r="F80" s="73"/>
      <c r="G80" s="73"/>
      <c r="H80" s="73"/>
      <c r="I80" s="73"/>
      <c r="J80" s="75"/>
      <c r="K80" s="35" t="s">
        <v>131</v>
      </c>
      <c r="L80" s="38"/>
      <c r="M80" s="41">
        <f ca="1">(IF(B75=0,I75/4,(I75/(B75+4))))</f>
        <v>2.5</v>
      </c>
    </row>
    <row r="81" spans="1:13" ht="15" customHeight="1" x14ac:dyDescent="0.35">
      <c r="A81" s="71" t="s">
        <v>213</v>
      </c>
      <c r="B81" s="72" t="s">
        <v>214</v>
      </c>
      <c r="C81" s="37">
        <v>10</v>
      </c>
      <c r="D81" s="73">
        <f ca="1">((100/I75)*C81)/100</f>
        <v>1</v>
      </c>
      <c r="E81" s="73"/>
      <c r="F81" s="73"/>
      <c r="G81" s="73"/>
      <c r="H81" s="73"/>
      <c r="I81" s="73"/>
      <c r="J81" s="75"/>
      <c r="K81" s="35" t="s">
        <v>132</v>
      </c>
      <c r="L81" s="38"/>
      <c r="M81" s="41">
        <f ca="1">(IF(B75=0,I75/4+M80,(I75/(B75+4)+M80)))</f>
        <v>5</v>
      </c>
    </row>
    <row r="82" spans="1:13" ht="15" customHeight="1" x14ac:dyDescent="0.35">
      <c r="A82" s="71" t="s">
        <v>215</v>
      </c>
      <c r="B82" s="72" t="s">
        <v>214</v>
      </c>
      <c r="C82" s="37">
        <v>10</v>
      </c>
      <c r="D82" s="73">
        <f ca="1">((100/I75)*C82)/100</f>
        <v>1</v>
      </c>
      <c r="E82" s="73"/>
      <c r="F82" s="73"/>
      <c r="G82" s="73"/>
      <c r="H82" s="73"/>
      <c r="I82" s="73"/>
      <c r="J82" s="75"/>
      <c r="K82" s="35" t="s">
        <v>216</v>
      </c>
      <c r="L82" s="42"/>
      <c r="M82" s="41">
        <f>(IF(B75=0,0,(I75/(B75+4)+M81)))</f>
        <v>0</v>
      </c>
    </row>
    <row r="83" spans="1:13" ht="15" customHeight="1" x14ac:dyDescent="0.35">
      <c r="A83" s="71" t="s">
        <v>217</v>
      </c>
      <c r="B83" s="72" t="s">
        <v>218</v>
      </c>
      <c r="C83" s="37">
        <v>10</v>
      </c>
      <c r="D83" s="73">
        <f ca="1">((100/(I75))*C83)/100</f>
        <v>1</v>
      </c>
      <c r="E83" s="73"/>
      <c r="F83" s="73"/>
      <c r="G83" s="73"/>
      <c r="H83" s="73"/>
      <c r="I83" s="73"/>
      <c r="J83" s="75"/>
      <c r="K83" s="35" t="s">
        <v>219</v>
      </c>
      <c r="L83" s="42"/>
      <c r="M83" s="41">
        <f>(IF(B75&gt;1,(I75/(B75+4)+M82),0))</f>
        <v>0</v>
      </c>
    </row>
    <row r="84" spans="1:13" ht="15" customHeight="1" x14ac:dyDescent="0.35">
      <c r="A84" s="71" t="s">
        <v>220</v>
      </c>
      <c r="B84" s="72" t="s">
        <v>220</v>
      </c>
      <c r="C84" s="37">
        <v>10</v>
      </c>
      <c r="D84" s="73">
        <f ca="1">((100/I75)*C84)/100</f>
        <v>1</v>
      </c>
      <c r="E84" s="73"/>
      <c r="F84" s="73"/>
      <c r="G84" s="73"/>
      <c r="H84" s="73"/>
      <c r="I84" s="73"/>
      <c r="J84" s="75"/>
      <c r="K84" s="35" t="s">
        <v>221</v>
      </c>
      <c r="L84" s="43"/>
      <c r="M84" s="44">
        <f>(IF(B75&gt;2,(I75/(B75+4)+M83),0))</f>
        <v>0</v>
      </c>
    </row>
    <row r="85" spans="1:13" ht="15" customHeight="1" x14ac:dyDescent="0.35">
      <c r="A85" s="71" t="s">
        <v>222</v>
      </c>
      <c r="B85" s="72"/>
      <c r="C85" s="37">
        <v>9</v>
      </c>
      <c r="D85" s="73">
        <f ca="1">((100/I75)*C85)/100</f>
        <v>0.9</v>
      </c>
      <c r="E85" s="73"/>
      <c r="F85" s="73"/>
      <c r="G85" s="73"/>
      <c r="H85" s="73"/>
      <c r="I85" s="73"/>
      <c r="J85" s="75"/>
      <c r="K85" s="35" t="s">
        <v>223</v>
      </c>
      <c r="L85" s="45"/>
      <c r="M85" s="46">
        <f>(IF(B75&gt;3,(I75/(B75+4)+M84),0))</f>
        <v>0</v>
      </c>
    </row>
    <row r="86" spans="1:13" ht="15" customHeight="1" x14ac:dyDescent="0.35">
      <c r="A86" s="71" t="s">
        <v>224</v>
      </c>
      <c r="B86" s="72" t="s">
        <v>224</v>
      </c>
      <c r="C86" s="37">
        <v>4</v>
      </c>
      <c r="D86" s="73">
        <f ca="1">((100/(I75))*C86)/100</f>
        <v>0.4</v>
      </c>
      <c r="E86" s="73"/>
      <c r="F86" s="73"/>
      <c r="G86" s="73"/>
      <c r="H86" s="73"/>
      <c r="I86" s="73"/>
      <c r="J86" s="75"/>
      <c r="K86" s="35" t="s">
        <v>133</v>
      </c>
      <c r="L86" s="38"/>
      <c r="M86" s="41">
        <f ca="1">(IF(B75=0,I75/4+M81,(I75/(B75+4)+M81+MAX(0,M82-M81)+MAX(0,M83-M82)+MAX(0,M84-M83)+MAX(0,M85-M84))))</f>
        <v>7.5</v>
      </c>
    </row>
    <row r="87" spans="1:13" ht="15" customHeight="1" thickBot="1" x14ac:dyDescent="0.4">
      <c r="A87" s="79" t="s">
        <v>225</v>
      </c>
      <c r="B87" s="80"/>
      <c r="C87" s="47">
        <v>0</v>
      </c>
      <c r="D87" s="74">
        <f ca="1">((100/(I75))*C87)/100</f>
        <v>0</v>
      </c>
      <c r="E87" s="74"/>
      <c r="F87" s="74"/>
      <c r="G87" s="74"/>
      <c r="H87" s="74"/>
      <c r="I87" s="74"/>
      <c r="J87" s="76"/>
      <c r="K87" s="48" t="s">
        <v>134</v>
      </c>
      <c r="L87" s="49"/>
      <c r="M87" s="50">
        <f ca="1">(IF(B75=0,I75/4+M86,(I75/(B75+4)+M86)))</f>
        <v>10</v>
      </c>
    </row>
    <row r="88" spans="1:13" ht="15" customHeight="1" x14ac:dyDescent="0.35">
      <c r="A88" s="81" t="s">
        <v>201</v>
      </c>
      <c r="B88" s="82"/>
      <c r="C88" s="83" t="s">
        <v>243</v>
      </c>
      <c r="D88" s="83"/>
      <c r="E88" s="83"/>
      <c r="F88" s="83"/>
      <c r="G88" s="83"/>
      <c r="H88" s="83"/>
      <c r="I88" s="83"/>
      <c r="J88" s="84"/>
      <c r="K88" s="27" t="str">
        <f ca="1">(IF(C92=0,"Work not yet Started.",IF(D92=25%,"Piling work in process",IF(D92=50%,"Excavation work in process",IF(D92=100%,"Excavation work completed, ","0")))&amp;(IF(C93=0%,"",IF(C93=M94,"Footing work is process",IF(C93=M95,"Footing work Completed",IF(C93=M96,"1st Basement Completed",IF(C93=M97,"1st &amp; 2nd Basement Completed",IF(C93=M98,"1st to 3rd Basement Completed",IF(C93=M99,"1st to 4th Basement Completed",IF(C93=M100,"Plinth work is process",IF(C93=M101,"Plinth work completed","0")))))))))))&amp;(IF(C94&gt;0,", RCC upto "&amp;C94&amp;" Slab completed",""))&amp;(IF(C95&gt;0,", Brickwork upto "&amp;C95&amp;" Floor completed"," "))&amp;(IF(C96&gt;0,", Internal Plaster upto "&amp;C96&amp;" Floor completed"," "))&amp;(IF(C97&gt;0,", External Plaster upto "&amp;C97&amp;" Floor completed"," "))&amp;(IF(C98&gt;0,", Flooring upto "&amp;C98&amp;" Floor completed"," "))&amp;(IF(C99&gt;0,", Painting upto "&amp;C99&amp;" Floor completed"," "))&amp;(IF(C100&gt;0,", Finishing upto "&amp;C100&amp;" Floor completed"," ")))</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L88" s="27"/>
      <c r="M88" s="28"/>
    </row>
    <row r="89" spans="1:13" ht="15" customHeight="1" x14ac:dyDescent="0.35">
      <c r="A89" s="29" t="s">
        <v>122</v>
      </c>
      <c r="B89" s="30">
        <v>0</v>
      </c>
      <c r="C89" s="30" t="s">
        <v>124</v>
      </c>
      <c r="D89" s="85">
        <v>1</v>
      </c>
      <c r="E89" s="86"/>
      <c r="F89" s="31" t="s">
        <v>123</v>
      </c>
      <c r="G89" s="30">
        <v>0</v>
      </c>
      <c r="H89" s="30" t="s">
        <v>202</v>
      </c>
      <c r="I89" s="78">
        <f ca="1">--TRIM(RIGHT(SUBSTITUTE(LEFT(C88,_xlfn.AGGREGATE(16,6,FIND({0,1,2,3,4,5,6,7,8,9},C88,ROW(INDIRECT("1:"&amp;LEN(C88)))),1))," ",REPT(" ",LEN(C88))),LEN(C88)))</f>
        <v>10</v>
      </c>
      <c r="J89" s="87"/>
      <c r="K89" s="32" t="s">
        <v>203</v>
      </c>
      <c r="L89" s="32"/>
      <c r="M89" s="33"/>
    </row>
    <row r="90" spans="1:13" ht="79.5" customHeight="1" x14ac:dyDescent="0.35">
      <c r="A90" s="88" t="s">
        <v>204</v>
      </c>
      <c r="B90" s="89"/>
      <c r="C90" s="90" t="str">
        <f ca="1">K88</f>
        <v>Excavation work completed, Plinth work completed, RCC upto 11 Slab completed, Brickwork upto 10 Floor completed, Internal Plaster upto 10 Floor completed, External Plaster upto 10 Floor completed, Flooring upto 10 Floor completed, Painting upto 9 Floor completed, Finishing upto 4 Floor completed</v>
      </c>
      <c r="D90" s="90"/>
      <c r="E90" s="90"/>
      <c r="F90" s="90"/>
      <c r="G90" s="90"/>
      <c r="H90" s="90"/>
      <c r="I90" s="90"/>
      <c r="J90" s="91"/>
      <c r="K90" s="32" t="s">
        <v>205</v>
      </c>
      <c r="L90" s="32"/>
      <c r="M90" s="33"/>
    </row>
    <row r="91" spans="1:13" ht="15" customHeight="1" x14ac:dyDescent="0.35">
      <c r="A91" s="71" t="s">
        <v>69</v>
      </c>
      <c r="B91" s="72"/>
      <c r="C91" s="34" t="s">
        <v>206</v>
      </c>
      <c r="D91" s="72" t="s">
        <v>207</v>
      </c>
      <c r="E91" s="72"/>
      <c r="F91" s="72" t="s">
        <v>208</v>
      </c>
      <c r="G91" s="72"/>
      <c r="H91" s="72" t="s">
        <v>209</v>
      </c>
      <c r="I91" s="72"/>
      <c r="J91" s="92"/>
      <c r="K91" s="35" t="s">
        <v>210</v>
      </c>
      <c r="M91" s="36">
        <f ca="1">I89*25%</f>
        <v>2.5</v>
      </c>
    </row>
    <row r="92" spans="1:13" ht="15" customHeight="1" x14ac:dyDescent="0.35">
      <c r="A92" s="71" t="s">
        <v>211</v>
      </c>
      <c r="B92" s="72"/>
      <c r="C92" s="37">
        <f ca="1">M93</f>
        <v>10</v>
      </c>
      <c r="D92" s="73">
        <f ca="1">((100/I89)*C92)/100</f>
        <v>1</v>
      </c>
      <c r="E92" s="73"/>
      <c r="F92" s="73">
        <f ca="1">(IF(C90=K89,"100%",IF(C90=K90,"100%",(((C93/I89*10)+(40/(D89+G89+I89)*C94)+(7.5/(I89)*C95)+(7.5/(I89)*C96)+(10/I89*C97)+(10/I89*C98)+(5/I89*C99)+(5/I89*C100)+(5/I89*C101))/100))))</f>
        <v>0.91500000000000004</v>
      </c>
      <c r="G92" s="73"/>
      <c r="H92" s="73">
        <f ca="1">((((C92/I89)*20)+((C93/I89)*25)+(30/(I89+G89+D89)*C94)+(5/I89*C95)+(5/I89*C96)+(5/I89*C97)+(5/I89*C98)+(0/I89*C99)+(0/I89*C100)+(5/I89*C101))/100)</f>
        <v>0.95</v>
      </c>
      <c r="I92" s="73"/>
      <c r="J92" s="75"/>
      <c r="K92" s="35" t="s">
        <v>129</v>
      </c>
      <c r="L92" s="38"/>
      <c r="M92" s="39">
        <f ca="1">I89*50%</f>
        <v>5</v>
      </c>
    </row>
    <row r="93" spans="1:13" ht="15" customHeight="1" x14ac:dyDescent="0.35">
      <c r="A93" s="71" t="s">
        <v>70</v>
      </c>
      <c r="B93" s="72"/>
      <c r="C93" s="40">
        <f ca="1">M101</f>
        <v>10</v>
      </c>
      <c r="D93" s="73">
        <f ca="1">((100/I89)*C93)/100</f>
        <v>1</v>
      </c>
      <c r="E93" s="73"/>
      <c r="F93" s="73"/>
      <c r="G93" s="73"/>
      <c r="H93" s="73"/>
      <c r="I93" s="73"/>
      <c r="J93" s="75"/>
      <c r="K93" s="35" t="s">
        <v>130</v>
      </c>
      <c r="L93" s="38"/>
      <c r="M93" s="39">
        <f ca="1">I89</f>
        <v>10</v>
      </c>
    </row>
    <row r="94" spans="1:13" ht="15" customHeight="1" x14ac:dyDescent="0.35">
      <c r="A94" s="77" t="s">
        <v>212</v>
      </c>
      <c r="B94" s="78"/>
      <c r="C94" s="40">
        <f ca="1">D89+G89+I89</f>
        <v>11</v>
      </c>
      <c r="D94" s="73">
        <f ca="1">((100/(D89+G89+I89))*C94)/100</f>
        <v>1.0000000000000002</v>
      </c>
      <c r="E94" s="73"/>
      <c r="F94" s="73"/>
      <c r="G94" s="73"/>
      <c r="H94" s="73"/>
      <c r="I94" s="73"/>
      <c r="J94" s="75"/>
      <c r="K94" s="35" t="s">
        <v>131</v>
      </c>
      <c r="L94" s="38"/>
      <c r="M94" s="41">
        <f ca="1">(IF(B89=0,I89/4,(I89/(B89+4))))</f>
        <v>2.5</v>
      </c>
    </row>
    <row r="95" spans="1:13" ht="15" customHeight="1" x14ac:dyDescent="0.35">
      <c r="A95" s="71" t="s">
        <v>213</v>
      </c>
      <c r="B95" s="72" t="s">
        <v>214</v>
      </c>
      <c r="C95" s="37">
        <v>10</v>
      </c>
      <c r="D95" s="73">
        <f ca="1">((100/I89)*C95)/100</f>
        <v>1</v>
      </c>
      <c r="E95" s="73"/>
      <c r="F95" s="73"/>
      <c r="G95" s="73"/>
      <c r="H95" s="73"/>
      <c r="I95" s="73"/>
      <c r="J95" s="75"/>
      <c r="K95" s="35" t="s">
        <v>132</v>
      </c>
      <c r="L95" s="38"/>
      <c r="M95" s="41">
        <f ca="1">(IF(B89=0,I89/4+M94,(I89/(B89+4)+M94)))</f>
        <v>5</v>
      </c>
    </row>
    <row r="96" spans="1:13" ht="15" customHeight="1" x14ac:dyDescent="0.35">
      <c r="A96" s="71" t="s">
        <v>215</v>
      </c>
      <c r="B96" s="72" t="s">
        <v>214</v>
      </c>
      <c r="C96" s="37">
        <v>10</v>
      </c>
      <c r="D96" s="73">
        <f ca="1">((100/I89)*C96)/100</f>
        <v>1</v>
      </c>
      <c r="E96" s="73"/>
      <c r="F96" s="73"/>
      <c r="G96" s="73"/>
      <c r="H96" s="73"/>
      <c r="I96" s="73"/>
      <c r="J96" s="75"/>
      <c r="K96" s="35" t="s">
        <v>216</v>
      </c>
      <c r="L96" s="42"/>
      <c r="M96" s="41">
        <f>(IF(B89=0,0,(I89/(B89+4)+M95)))</f>
        <v>0</v>
      </c>
    </row>
    <row r="97" spans="1:13" ht="15" customHeight="1" x14ac:dyDescent="0.35">
      <c r="A97" s="71" t="s">
        <v>217</v>
      </c>
      <c r="B97" s="72" t="s">
        <v>218</v>
      </c>
      <c r="C97" s="37">
        <v>10</v>
      </c>
      <c r="D97" s="73">
        <f ca="1">((100/(I89))*C97)/100</f>
        <v>1</v>
      </c>
      <c r="E97" s="73"/>
      <c r="F97" s="73"/>
      <c r="G97" s="73"/>
      <c r="H97" s="73"/>
      <c r="I97" s="73"/>
      <c r="J97" s="75"/>
      <c r="K97" s="35" t="s">
        <v>219</v>
      </c>
      <c r="L97" s="42"/>
      <c r="M97" s="41">
        <f>(IF(B89&gt;1,(I89/(B89+4)+M96),0))</f>
        <v>0</v>
      </c>
    </row>
    <row r="98" spans="1:13" ht="15" customHeight="1" x14ac:dyDescent="0.35">
      <c r="A98" s="71" t="s">
        <v>220</v>
      </c>
      <c r="B98" s="72" t="s">
        <v>220</v>
      </c>
      <c r="C98" s="37">
        <v>10</v>
      </c>
      <c r="D98" s="73">
        <f ca="1">((100/I89)*C98)/100</f>
        <v>1</v>
      </c>
      <c r="E98" s="73"/>
      <c r="F98" s="73"/>
      <c r="G98" s="73"/>
      <c r="H98" s="73"/>
      <c r="I98" s="73"/>
      <c r="J98" s="75"/>
      <c r="K98" s="35" t="s">
        <v>221</v>
      </c>
      <c r="L98" s="43"/>
      <c r="M98" s="44">
        <f>(IF(B89&gt;2,(I89/(B89+4)+M97),0))</f>
        <v>0</v>
      </c>
    </row>
    <row r="99" spans="1:13" ht="15" customHeight="1" x14ac:dyDescent="0.35">
      <c r="A99" s="71" t="s">
        <v>222</v>
      </c>
      <c r="B99" s="72"/>
      <c r="C99" s="37">
        <v>9</v>
      </c>
      <c r="D99" s="73">
        <f ca="1">((100/I89)*C99)/100</f>
        <v>0.9</v>
      </c>
      <c r="E99" s="73"/>
      <c r="F99" s="73"/>
      <c r="G99" s="73"/>
      <c r="H99" s="73"/>
      <c r="I99" s="73"/>
      <c r="J99" s="75"/>
      <c r="K99" s="35" t="s">
        <v>223</v>
      </c>
      <c r="L99" s="45"/>
      <c r="M99" s="46">
        <f>(IF(B89&gt;3,(I89/(B89+4)+M98),0))</f>
        <v>0</v>
      </c>
    </row>
    <row r="100" spans="1:13" ht="15" customHeight="1" x14ac:dyDescent="0.35">
      <c r="A100" s="71" t="s">
        <v>224</v>
      </c>
      <c r="B100" s="72" t="s">
        <v>224</v>
      </c>
      <c r="C100" s="37">
        <v>4</v>
      </c>
      <c r="D100" s="73">
        <f ca="1">((100/(I89))*C100)/100</f>
        <v>0.4</v>
      </c>
      <c r="E100" s="73"/>
      <c r="F100" s="73"/>
      <c r="G100" s="73"/>
      <c r="H100" s="73"/>
      <c r="I100" s="73"/>
      <c r="J100" s="75"/>
      <c r="K100" s="35" t="s">
        <v>133</v>
      </c>
      <c r="L100" s="38"/>
      <c r="M100" s="41">
        <f ca="1">(IF(B89=0,I89/4+M95,(I89/(B89+4)+M95+MAX(0,M96-M95)+MAX(0,M97-M96)+MAX(0,M98-M97)+MAX(0,M99-M98))))</f>
        <v>7.5</v>
      </c>
    </row>
    <row r="101" spans="1:13" ht="15" customHeight="1" thickBot="1" x14ac:dyDescent="0.4">
      <c r="A101" s="100" t="s">
        <v>225</v>
      </c>
      <c r="B101" s="101"/>
      <c r="C101" s="66">
        <v>0</v>
      </c>
      <c r="D101" s="98">
        <f ca="1">((100/(I89))*C101)/100</f>
        <v>0</v>
      </c>
      <c r="E101" s="98"/>
      <c r="F101" s="98"/>
      <c r="G101" s="98"/>
      <c r="H101" s="98"/>
      <c r="I101" s="98"/>
      <c r="J101" s="99"/>
      <c r="K101" s="48" t="s">
        <v>134</v>
      </c>
      <c r="L101" s="49"/>
      <c r="M101" s="50">
        <f ca="1">(IF(B89=0,I89/4+M100,(I89/(B89+4)+M100)))</f>
        <v>10</v>
      </c>
    </row>
    <row r="102" spans="1:13" ht="15" customHeight="1" x14ac:dyDescent="0.35">
      <c r="A102" s="97" t="s">
        <v>201</v>
      </c>
      <c r="B102" s="97"/>
      <c r="C102" s="90" t="s">
        <v>245</v>
      </c>
      <c r="D102" s="90"/>
      <c r="E102" s="90"/>
      <c r="F102" s="90"/>
      <c r="G102" s="90"/>
      <c r="H102" s="90"/>
      <c r="I102" s="90"/>
      <c r="J102" s="90"/>
      <c r="K102" s="27" t="str">
        <f ca="1">(IF(C106=0,"Work not yet Started.",IF(D106=25%,"Piling work in process",IF(D106=50%,"Excavation work in process",IF(D106=100%,"Excavation work completed, ","0")))&amp;(IF(C107=0%,"",IF(C107=M108,"Footing work is process",IF(C107=M109,"Footing work Completed",IF(C107=M110,"1st Basement Completed",IF(C107=M111,"1st &amp; 2nd Basement Completed",IF(C107=M112,"1st to 3rd Basement Completed",IF(C107=M113,"1st to 4th Basement Completed",IF(C107=M114,"Plinth work is process",IF(C107=M115,"Plinth work completed","0")))))))))))&amp;(IF(C108&gt;0,", RCC upto "&amp;C108&amp;" Slab completed",""))&amp;(IF(C109&gt;0,", Brickwork upto "&amp;C109&amp;" Floor completed"," "))&amp;(IF(C110&gt;0,", Internal Plaster upto "&amp;C110&amp;" Floor completed"," "))&amp;(IF(C111&gt;0,", External Plaster upto "&amp;C111&amp;" Floor completed"," "))&amp;(IF(C112&gt;0,", Flooring upto "&amp;C112&amp;" Floor completed"," "))&amp;(IF(C113&gt;0,", Painting upto "&amp;C113&amp;" Floor completed"," "))&amp;(IF(C114&gt;0,", Finishing upto "&amp;C114&amp;" Floor completed"," ")))</f>
        <v xml:space="preserve">Excavation work completed, Plinth work completed, RCC upto 3 Slab completed      </v>
      </c>
      <c r="L102" s="27"/>
      <c r="M102" s="28"/>
    </row>
    <row r="103" spans="1:13" ht="15" customHeight="1" x14ac:dyDescent="0.35">
      <c r="A103" s="64" t="s">
        <v>122</v>
      </c>
      <c r="B103" s="64">
        <v>0</v>
      </c>
      <c r="C103" s="64" t="s">
        <v>124</v>
      </c>
      <c r="D103" s="78">
        <v>1</v>
      </c>
      <c r="E103" s="78"/>
      <c r="F103" s="64" t="s">
        <v>123</v>
      </c>
      <c r="G103" s="64">
        <v>0</v>
      </c>
      <c r="H103" s="64" t="s">
        <v>202</v>
      </c>
      <c r="I103" s="78">
        <f ca="1">--TRIM(RIGHT(SUBSTITUTE(LEFT(C102,_xlfn.AGGREGATE(16,6,FIND({0,1,2,3,4,5,6,7,8,9},C102,ROW(INDIRECT("1:"&amp;LEN(C102)))),1))," ",REPT(" ",LEN(C102))),LEN(C102)))</f>
        <v>10</v>
      </c>
      <c r="J103" s="78"/>
      <c r="K103" s="32" t="s">
        <v>203</v>
      </c>
      <c r="L103" s="32"/>
      <c r="M103" s="33"/>
    </row>
    <row r="104" spans="1:13" ht="31.5" customHeight="1" x14ac:dyDescent="0.35">
      <c r="A104" s="89" t="s">
        <v>204</v>
      </c>
      <c r="B104" s="89"/>
      <c r="C104" s="90" t="str">
        <f ca="1">K102</f>
        <v xml:space="preserve">Excavation work completed, Plinth work completed, RCC upto 3 Slab completed      </v>
      </c>
      <c r="D104" s="90"/>
      <c r="E104" s="90"/>
      <c r="F104" s="90"/>
      <c r="G104" s="90"/>
      <c r="H104" s="90"/>
      <c r="I104" s="90"/>
      <c r="J104" s="90"/>
      <c r="K104" s="32" t="s">
        <v>205</v>
      </c>
      <c r="L104" s="32"/>
      <c r="M104" s="33"/>
    </row>
    <row r="105" spans="1:13" ht="15" customHeight="1" x14ac:dyDescent="0.35">
      <c r="A105" s="72" t="s">
        <v>69</v>
      </c>
      <c r="B105" s="72"/>
      <c r="C105" s="65" t="s">
        <v>206</v>
      </c>
      <c r="D105" s="72" t="s">
        <v>207</v>
      </c>
      <c r="E105" s="72"/>
      <c r="F105" s="72" t="s">
        <v>208</v>
      </c>
      <c r="G105" s="72"/>
      <c r="H105" s="72" t="s">
        <v>209</v>
      </c>
      <c r="I105" s="72"/>
      <c r="J105" s="72"/>
      <c r="K105" s="35" t="s">
        <v>210</v>
      </c>
      <c r="M105" s="36">
        <f ca="1">I103*25%</f>
        <v>2.5</v>
      </c>
    </row>
    <row r="106" spans="1:13" ht="15" customHeight="1" x14ac:dyDescent="0.35">
      <c r="A106" s="72" t="s">
        <v>211</v>
      </c>
      <c r="B106" s="72"/>
      <c r="C106" s="37">
        <f ca="1">M107</f>
        <v>10</v>
      </c>
      <c r="D106" s="73">
        <f ca="1">((100/I103)*C106)/100</f>
        <v>1</v>
      </c>
      <c r="E106" s="73"/>
      <c r="F106" s="73">
        <f ca="1">(IF(C104=K103,"100%",IF(C104=K104,"100%",(((C107/I103*10)+(40/(D103+G103+I103)*C108)+(7.5/(I103)*C109)+(7.5/(I103)*C110)+(10/I103*C111)+(10/I103*C112)+(5/I103*C113)+(5/I103*C114)+(5/I103*C115))/100))))</f>
        <v>0.20909090909090908</v>
      </c>
      <c r="G106" s="73"/>
      <c r="H106" s="73">
        <f ca="1">((((C106/I103)*20)+((C107/I103)*25)+(30/(I103+G103+D103)*C108)+(5/I103*C109)+(5/I103*C110)+(5/I103*C111)+(5/I103*C112)+(0/I103*C113)+(0/I103*C114)+(5/I103*C115))/100)</f>
        <v>0.53181818181818175</v>
      </c>
      <c r="I106" s="73"/>
      <c r="J106" s="73"/>
      <c r="K106" s="35" t="s">
        <v>129</v>
      </c>
      <c r="L106" s="38"/>
      <c r="M106" s="39">
        <f ca="1">I103*50%</f>
        <v>5</v>
      </c>
    </row>
    <row r="107" spans="1:13" ht="15" customHeight="1" x14ac:dyDescent="0.35">
      <c r="A107" s="72" t="s">
        <v>70</v>
      </c>
      <c r="B107" s="72"/>
      <c r="C107" s="40">
        <f ca="1">M115</f>
        <v>10</v>
      </c>
      <c r="D107" s="73">
        <f ca="1">((100/I103)*C107)/100</f>
        <v>1</v>
      </c>
      <c r="E107" s="73"/>
      <c r="F107" s="73"/>
      <c r="G107" s="73"/>
      <c r="H107" s="73"/>
      <c r="I107" s="73"/>
      <c r="J107" s="73"/>
      <c r="K107" s="35" t="s">
        <v>130</v>
      </c>
      <c r="L107" s="38"/>
      <c r="M107" s="39">
        <f ca="1">I103</f>
        <v>10</v>
      </c>
    </row>
    <row r="108" spans="1:13" ht="15" customHeight="1" x14ac:dyDescent="0.35">
      <c r="A108" s="78" t="s">
        <v>212</v>
      </c>
      <c r="B108" s="78"/>
      <c r="C108" s="40">
        <v>3</v>
      </c>
      <c r="D108" s="73">
        <f ca="1">((100/(D103+G103+I103))*C108)/100</f>
        <v>0.27272727272727271</v>
      </c>
      <c r="E108" s="73"/>
      <c r="F108" s="73"/>
      <c r="G108" s="73"/>
      <c r="H108" s="73"/>
      <c r="I108" s="73"/>
      <c r="J108" s="73"/>
      <c r="K108" s="35" t="s">
        <v>131</v>
      </c>
      <c r="L108" s="38"/>
      <c r="M108" s="41">
        <f ca="1">(IF(B103=0,I103/4,(I103/(B103+4))))</f>
        <v>2.5</v>
      </c>
    </row>
    <row r="109" spans="1:13" ht="15" customHeight="1" x14ac:dyDescent="0.35">
      <c r="A109" s="72" t="s">
        <v>213</v>
      </c>
      <c r="B109" s="72" t="s">
        <v>214</v>
      </c>
      <c r="C109" s="37">
        <v>0</v>
      </c>
      <c r="D109" s="73">
        <f ca="1">((100/I103)*C109)/100</f>
        <v>0</v>
      </c>
      <c r="E109" s="73"/>
      <c r="F109" s="73"/>
      <c r="G109" s="73"/>
      <c r="H109" s="73"/>
      <c r="I109" s="73"/>
      <c r="J109" s="73"/>
      <c r="K109" s="35" t="s">
        <v>132</v>
      </c>
      <c r="L109" s="38"/>
      <c r="M109" s="41">
        <f ca="1">(IF(B103=0,I103/4+M108,(I103/(B103+4)+M108)))</f>
        <v>5</v>
      </c>
    </row>
    <row r="110" spans="1:13" ht="15" customHeight="1" x14ac:dyDescent="0.35">
      <c r="A110" s="72" t="s">
        <v>215</v>
      </c>
      <c r="B110" s="72" t="s">
        <v>214</v>
      </c>
      <c r="C110" s="37">
        <v>0</v>
      </c>
      <c r="D110" s="73">
        <f ca="1">((100/I103)*C110)/100</f>
        <v>0</v>
      </c>
      <c r="E110" s="73"/>
      <c r="F110" s="73"/>
      <c r="G110" s="73"/>
      <c r="H110" s="73"/>
      <c r="I110" s="73"/>
      <c r="J110" s="73"/>
      <c r="K110" s="35" t="s">
        <v>216</v>
      </c>
      <c r="L110" s="42"/>
      <c r="M110" s="41">
        <f>(IF(B103=0,0,(I103/(B103+4)+M109)))</f>
        <v>0</v>
      </c>
    </row>
    <row r="111" spans="1:13" ht="15" customHeight="1" x14ac:dyDescent="0.35">
      <c r="A111" s="72" t="s">
        <v>217</v>
      </c>
      <c r="B111" s="72" t="s">
        <v>218</v>
      </c>
      <c r="C111" s="37">
        <v>0</v>
      </c>
      <c r="D111" s="73">
        <f ca="1">((100/(I103))*C111)/100</f>
        <v>0</v>
      </c>
      <c r="E111" s="73"/>
      <c r="F111" s="73"/>
      <c r="G111" s="73"/>
      <c r="H111" s="73"/>
      <c r="I111" s="73"/>
      <c r="J111" s="73"/>
      <c r="K111" s="35" t="s">
        <v>219</v>
      </c>
      <c r="L111" s="42"/>
      <c r="M111" s="41">
        <f>(IF(B103&gt;1,(I103/(B103+4)+M110),0))</f>
        <v>0</v>
      </c>
    </row>
    <row r="112" spans="1:13" ht="15" customHeight="1" x14ac:dyDescent="0.35">
      <c r="A112" s="72" t="s">
        <v>220</v>
      </c>
      <c r="B112" s="72" t="s">
        <v>220</v>
      </c>
      <c r="C112" s="37">
        <v>0</v>
      </c>
      <c r="D112" s="73">
        <f ca="1">((100/I103)*C112)/100</f>
        <v>0</v>
      </c>
      <c r="E112" s="73"/>
      <c r="F112" s="73"/>
      <c r="G112" s="73"/>
      <c r="H112" s="73"/>
      <c r="I112" s="73"/>
      <c r="J112" s="73"/>
      <c r="K112" s="35" t="s">
        <v>221</v>
      </c>
      <c r="L112" s="43"/>
      <c r="M112" s="44">
        <f>(IF(B103&gt;2,(I103/(B103+4)+M111),0))</f>
        <v>0</v>
      </c>
    </row>
    <row r="113" spans="1:13" ht="15" customHeight="1" x14ac:dyDescent="0.35">
      <c r="A113" s="72" t="s">
        <v>222</v>
      </c>
      <c r="B113" s="72"/>
      <c r="C113" s="37">
        <v>0</v>
      </c>
      <c r="D113" s="73">
        <f ca="1">((100/I103)*C113)/100</f>
        <v>0</v>
      </c>
      <c r="E113" s="73"/>
      <c r="F113" s="73"/>
      <c r="G113" s="73"/>
      <c r="H113" s="73"/>
      <c r="I113" s="73"/>
      <c r="J113" s="73"/>
      <c r="K113" s="35" t="s">
        <v>223</v>
      </c>
      <c r="L113" s="45"/>
      <c r="M113" s="46">
        <f>(IF(B103&gt;3,(I103/(B103+4)+M112),0))</f>
        <v>0</v>
      </c>
    </row>
    <row r="114" spans="1:13" ht="15" customHeight="1" x14ac:dyDescent="0.35">
      <c r="A114" s="72" t="s">
        <v>224</v>
      </c>
      <c r="B114" s="72" t="s">
        <v>224</v>
      </c>
      <c r="C114" s="37">
        <v>0</v>
      </c>
      <c r="D114" s="73">
        <f ca="1">((100/(I103))*C114)/100</f>
        <v>0</v>
      </c>
      <c r="E114" s="73"/>
      <c r="F114" s="73"/>
      <c r="G114" s="73"/>
      <c r="H114" s="73"/>
      <c r="I114" s="73"/>
      <c r="J114" s="73"/>
      <c r="K114" s="35" t="s">
        <v>133</v>
      </c>
      <c r="L114" s="38"/>
      <c r="M114" s="41">
        <f ca="1">(IF(B103=0,I103/4+M109,(I103/(B103+4)+M109+MAX(0,M110-M109)+MAX(0,M111-M110)+MAX(0,M112-M111)+MAX(0,M113-M112))))</f>
        <v>7.5</v>
      </c>
    </row>
    <row r="115" spans="1:13" ht="15" customHeight="1" thickBot="1" x14ac:dyDescent="0.4">
      <c r="A115" s="72" t="s">
        <v>225</v>
      </c>
      <c r="B115" s="72"/>
      <c r="C115" s="37">
        <v>0</v>
      </c>
      <c r="D115" s="73">
        <f ca="1">((100/(I103))*C115)/100</f>
        <v>0</v>
      </c>
      <c r="E115" s="73"/>
      <c r="F115" s="73"/>
      <c r="G115" s="73"/>
      <c r="H115" s="73"/>
      <c r="I115" s="73"/>
      <c r="J115" s="73"/>
      <c r="K115" s="48" t="s">
        <v>134</v>
      </c>
      <c r="L115" s="49"/>
      <c r="M115" s="50">
        <f ca="1">(IF(B103=0,I103/4+M114,(I103/(B103+4)+M114)))</f>
        <v>10</v>
      </c>
    </row>
    <row r="116" spans="1:13" ht="15" customHeight="1" x14ac:dyDescent="0.35">
      <c r="A116" s="93" t="s">
        <v>201</v>
      </c>
      <c r="B116" s="94"/>
      <c r="C116" s="95" t="s">
        <v>244</v>
      </c>
      <c r="D116" s="95"/>
      <c r="E116" s="95"/>
      <c r="F116" s="95"/>
      <c r="G116" s="95"/>
      <c r="H116" s="95"/>
      <c r="I116" s="95"/>
      <c r="J116" s="96"/>
      <c r="K116" s="27" t="str">
        <f ca="1">(IF(C120=0,"Work not yet Started.",IF(D120=25%,"Piling work in process",IF(D120=50%,"Excavation work in process",IF(D120=100%,"Excavation work completed, ","0")))&amp;(IF(C121=0%,"",IF(C121=M122,"Footing work is process",IF(C121=M123,"Footing work Completed",IF(C121=M124,"1st Basement Completed",IF(C121=M125,"1st &amp; 2nd Basement Completed",IF(C121=M126,"1st to 3rd Basement Completed",IF(C121=M127,"1st to 4th Basement Completed",IF(C121=M128,"Plinth work is process",IF(C121=M129,"Plinth work completed","0")))))))))))&amp;(IF(C122&gt;0,", RCC upto "&amp;C122&amp;" Slab completed",""))&amp;(IF(C123&gt;0,", Brickwork upto "&amp;C123&amp;" Floor completed"," "))&amp;(IF(C124&gt;0,", Internal Plaster upto "&amp;C124&amp;" Floor completed"," "))&amp;(IF(C125&gt;0,", External Plaster upto "&amp;C125&amp;" Floor completed"," "))&amp;(IF(C126&gt;0,", Flooring upto "&amp;C126&amp;" Floor completed"," "))&amp;(IF(C127&gt;0,", Painting upto "&amp;C127&amp;" Floor completed"," "))&amp;(IF(C128&gt;0,", Finishing upto "&amp;C128&amp;" Floor completed"," ")))</f>
        <v>Excavation work completed, Plinth work completed, RCC upto 11 Slab completed, Brickwork upto 10 Floor completed, Internal Plaster upto 10 Floor completed, External Plaster upto 10 Floor completed, Flooring upto 9 Floor completed, Painting upto 9 Floor completed, Finishing upto 2 Floor completed</v>
      </c>
      <c r="L116" s="27"/>
      <c r="M116" s="28"/>
    </row>
    <row r="117" spans="1:13" ht="15" customHeight="1" x14ac:dyDescent="0.35">
      <c r="A117" s="29" t="s">
        <v>122</v>
      </c>
      <c r="B117" s="30">
        <v>0</v>
      </c>
      <c r="C117" s="30" t="s">
        <v>124</v>
      </c>
      <c r="D117" s="85">
        <v>1</v>
      </c>
      <c r="E117" s="86"/>
      <c r="F117" s="31" t="s">
        <v>123</v>
      </c>
      <c r="G117" s="30">
        <v>0</v>
      </c>
      <c r="H117" s="30" t="s">
        <v>202</v>
      </c>
      <c r="I117" s="78">
        <f ca="1">--TRIM(RIGHT(SUBSTITUTE(LEFT(C116,_xlfn.AGGREGATE(16,6,FIND({0,1,2,3,4,5,6,7,8,9},C116,ROW(INDIRECT("1:"&amp;LEN(C116)))),1))," ",REPT(" ",LEN(C116))),LEN(C116)))</f>
        <v>10</v>
      </c>
      <c r="J117" s="87"/>
      <c r="K117" s="32" t="s">
        <v>203</v>
      </c>
      <c r="L117" s="32"/>
      <c r="M117" s="33"/>
    </row>
    <row r="118" spans="1:13" ht="75" customHeight="1" x14ac:dyDescent="0.35">
      <c r="A118" s="88" t="s">
        <v>204</v>
      </c>
      <c r="B118" s="89"/>
      <c r="C118" s="90" t="str">
        <f ca="1">K116</f>
        <v>Excavation work completed, Plinth work completed, RCC upto 11 Slab completed, Brickwork upto 10 Floor completed, Internal Plaster upto 10 Floor completed, External Plaster upto 10 Floor completed, Flooring upto 9 Floor completed, Painting upto 9 Floor completed, Finishing upto 2 Floor completed</v>
      </c>
      <c r="D118" s="90"/>
      <c r="E118" s="90"/>
      <c r="F118" s="90"/>
      <c r="G118" s="90"/>
      <c r="H118" s="90"/>
      <c r="I118" s="90"/>
      <c r="J118" s="91"/>
      <c r="K118" s="32" t="s">
        <v>205</v>
      </c>
      <c r="L118" s="32"/>
      <c r="M118" s="33"/>
    </row>
    <row r="119" spans="1:13" ht="15" customHeight="1" x14ac:dyDescent="0.35">
      <c r="A119" s="71" t="s">
        <v>69</v>
      </c>
      <c r="B119" s="72"/>
      <c r="C119" s="34" t="s">
        <v>206</v>
      </c>
      <c r="D119" s="72" t="s">
        <v>207</v>
      </c>
      <c r="E119" s="72"/>
      <c r="F119" s="72" t="s">
        <v>208</v>
      </c>
      <c r="G119" s="72"/>
      <c r="H119" s="72" t="s">
        <v>209</v>
      </c>
      <c r="I119" s="72"/>
      <c r="J119" s="92"/>
      <c r="K119" s="35" t="s">
        <v>210</v>
      </c>
      <c r="M119" s="36">
        <f ca="1">I117*25%</f>
        <v>2.5</v>
      </c>
    </row>
    <row r="120" spans="1:13" ht="15" customHeight="1" x14ac:dyDescent="0.35">
      <c r="A120" s="71" t="s">
        <v>211</v>
      </c>
      <c r="B120" s="72"/>
      <c r="C120" s="37">
        <f ca="1">M121</f>
        <v>10</v>
      </c>
      <c r="D120" s="73">
        <f ca="1">((100/I117)*C120)/100</f>
        <v>1</v>
      </c>
      <c r="E120" s="73"/>
      <c r="F120" s="73">
        <f ca="1">(IF(C118=K117,"100%",IF(C118=K118,"100%",(((C121/I117*10)+(40/(D117+G117+I117)*C122)+(7.5/(I117)*C123)+(7.5/(I117)*C124)+(10/I117*C125)+(10/I117*C126)+(5/I117*C127)+(5/I117*C128)+(5/I117*C129))/100))))</f>
        <v>0.89500000000000002</v>
      </c>
      <c r="G120" s="73"/>
      <c r="H120" s="73">
        <f ca="1">((((C120/I117)*20)+((C121/I117)*25)+(30/(I117+G117+D117)*C122)+(5/I117*C123)+(5/I117*C124)+(5/I117*C125)+(5/I117*C126)+(0/I117*C127)+(0/I117*C128)+(5/I117*C129))/100)</f>
        <v>0.94499999999999995</v>
      </c>
      <c r="I120" s="73"/>
      <c r="J120" s="75"/>
      <c r="K120" s="35" t="s">
        <v>129</v>
      </c>
      <c r="L120" s="38"/>
      <c r="M120" s="39">
        <f ca="1">I117*50%</f>
        <v>5</v>
      </c>
    </row>
    <row r="121" spans="1:13" ht="15" customHeight="1" x14ac:dyDescent="0.35">
      <c r="A121" s="71" t="s">
        <v>70</v>
      </c>
      <c r="B121" s="72"/>
      <c r="C121" s="40">
        <f ca="1">M129</f>
        <v>10</v>
      </c>
      <c r="D121" s="73">
        <f ca="1">((100/I117)*C121)/100</f>
        <v>1</v>
      </c>
      <c r="E121" s="73"/>
      <c r="F121" s="73"/>
      <c r="G121" s="73"/>
      <c r="H121" s="73"/>
      <c r="I121" s="73"/>
      <c r="J121" s="75"/>
      <c r="K121" s="35" t="s">
        <v>130</v>
      </c>
      <c r="L121" s="38"/>
      <c r="M121" s="39">
        <f ca="1">I117</f>
        <v>10</v>
      </c>
    </row>
    <row r="122" spans="1:13" ht="15" customHeight="1" x14ac:dyDescent="0.35">
      <c r="A122" s="77" t="s">
        <v>212</v>
      </c>
      <c r="B122" s="78"/>
      <c r="C122" s="40">
        <f ca="1">D117+G117+I117</f>
        <v>11</v>
      </c>
      <c r="D122" s="73">
        <f ca="1">((100/(D117+G117+I117))*C122)/100</f>
        <v>1.0000000000000002</v>
      </c>
      <c r="E122" s="73"/>
      <c r="F122" s="73"/>
      <c r="G122" s="73"/>
      <c r="H122" s="73"/>
      <c r="I122" s="73"/>
      <c r="J122" s="75"/>
      <c r="K122" s="35" t="s">
        <v>131</v>
      </c>
      <c r="L122" s="38"/>
      <c r="M122" s="41">
        <f ca="1">(IF(B117=0,I117/4,(I117/(B117+4))))</f>
        <v>2.5</v>
      </c>
    </row>
    <row r="123" spans="1:13" ht="15" customHeight="1" x14ac:dyDescent="0.35">
      <c r="A123" s="71" t="s">
        <v>213</v>
      </c>
      <c r="B123" s="72" t="s">
        <v>214</v>
      </c>
      <c r="C123" s="37">
        <v>10</v>
      </c>
      <c r="D123" s="73">
        <f ca="1">((100/I117)*C123)/100</f>
        <v>1</v>
      </c>
      <c r="E123" s="73"/>
      <c r="F123" s="73"/>
      <c r="G123" s="73"/>
      <c r="H123" s="73"/>
      <c r="I123" s="73"/>
      <c r="J123" s="75"/>
      <c r="K123" s="35" t="s">
        <v>132</v>
      </c>
      <c r="L123" s="38"/>
      <c r="M123" s="41">
        <f ca="1">(IF(B117=0,I117/4+M122,(I117/(B117+4)+M122)))</f>
        <v>5</v>
      </c>
    </row>
    <row r="124" spans="1:13" ht="15" customHeight="1" x14ac:dyDescent="0.35">
      <c r="A124" s="71" t="s">
        <v>215</v>
      </c>
      <c r="B124" s="72" t="s">
        <v>214</v>
      </c>
      <c r="C124" s="37">
        <v>10</v>
      </c>
      <c r="D124" s="73">
        <f ca="1">((100/I117)*C124)/100</f>
        <v>1</v>
      </c>
      <c r="E124" s="73"/>
      <c r="F124" s="73"/>
      <c r="G124" s="73"/>
      <c r="H124" s="73"/>
      <c r="I124" s="73"/>
      <c r="J124" s="75"/>
      <c r="K124" s="35" t="s">
        <v>216</v>
      </c>
      <c r="L124" s="42"/>
      <c r="M124" s="41">
        <f>(IF(B117=0,0,(I117/(B117+4)+M123)))</f>
        <v>0</v>
      </c>
    </row>
    <row r="125" spans="1:13" ht="15" customHeight="1" x14ac:dyDescent="0.35">
      <c r="A125" s="71" t="s">
        <v>217</v>
      </c>
      <c r="B125" s="72" t="s">
        <v>218</v>
      </c>
      <c r="C125" s="37">
        <v>10</v>
      </c>
      <c r="D125" s="73">
        <f ca="1">((100/(I117))*C125)/100</f>
        <v>1</v>
      </c>
      <c r="E125" s="73"/>
      <c r="F125" s="73"/>
      <c r="G125" s="73"/>
      <c r="H125" s="73"/>
      <c r="I125" s="73"/>
      <c r="J125" s="75"/>
      <c r="K125" s="35" t="s">
        <v>219</v>
      </c>
      <c r="L125" s="42"/>
      <c r="M125" s="41">
        <f>(IF(B117&gt;1,(I117/(B117+4)+M124),0))</f>
        <v>0</v>
      </c>
    </row>
    <row r="126" spans="1:13" ht="15" customHeight="1" x14ac:dyDescent="0.35">
      <c r="A126" s="71" t="s">
        <v>220</v>
      </c>
      <c r="B126" s="72" t="s">
        <v>220</v>
      </c>
      <c r="C126" s="37">
        <v>9</v>
      </c>
      <c r="D126" s="73">
        <f ca="1">((100/I117)*C126)/100</f>
        <v>0.9</v>
      </c>
      <c r="E126" s="73"/>
      <c r="F126" s="73"/>
      <c r="G126" s="73"/>
      <c r="H126" s="73"/>
      <c r="I126" s="73"/>
      <c r="J126" s="75"/>
      <c r="K126" s="35" t="s">
        <v>221</v>
      </c>
      <c r="L126" s="43"/>
      <c r="M126" s="44">
        <f>(IF(B117&gt;2,(I117/(B117+4)+M125),0))</f>
        <v>0</v>
      </c>
    </row>
    <row r="127" spans="1:13" ht="15" customHeight="1" x14ac:dyDescent="0.35">
      <c r="A127" s="71" t="s">
        <v>222</v>
      </c>
      <c r="B127" s="72"/>
      <c r="C127" s="37">
        <v>9</v>
      </c>
      <c r="D127" s="73">
        <f ca="1">((100/I117)*C127)/100</f>
        <v>0.9</v>
      </c>
      <c r="E127" s="73"/>
      <c r="F127" s="73"/>
      <c r="G127" s="73"/>
      <c r="H127" s="73"/>
      <c r="I127" s="73"/>
      <c r="J127" s="75"/>
      <c r="K127" s="35" t="s">
        <v>223</v>
      </c>
      <c r="L127" s="45"/>
      <c r="M127" s="46">
        <f>(IF(B117&gt;3,(I117/(B117+4)+M126),0))</f>
        <v>0</v>
      </c>
    </row>
    <row r="128" spans="1:13" ht="15" customHeight="1" x14ac:dyDescent="0.35">
      <c r="A128" s="71" t="s">
        <v>224</v>
      </c>
      <c r="B128" s="72" t="s">
        <v>224</v>
      </c>
      <c r="C128" s="37">
        <v>2</v>
      </c>
      <c r="D128" s="73">
        <f ca="1">((100/(I117))*C128)/100</f>
        <v>0.2</v>
      </c>
      <c r="E128" s="73"/>
      <c r="F128" s="73"/>
      <c r="G128" s="73"/>
      <c r="H128" s="73"/>
      <c r="I128" s="73"/>
      <c r="J128" s="75"/>
      <c r="K128" s="35" t="s">
        <v>133</v>
      </c>
      <c r="L128" s="38"/>
      <c r="M128" s="41">
        <f ca="1">(IF(B117=0,I117/4+M123,(I117/(B117+4)+M123+MAX(0,M124-M123)+MAX(0,M125-M124)+MAX(0,M126-M125)+MAX(0,M127-M126))))</f>
        <v>7.5</v>
      </c>
    </row>
    <row r="129" spans="1:13" ht="15" customHeight="1" thickBot="1" x14ac:dyDescent="0.4">
      <c r="A129" s="79" t="s">
        <v>225</v>
      </c>
      <c r="B129" s="80"/>
      <c r="C129" s="47">
        <v>0</v>
      </c>
      <c r="D129" s="74">
        <f ca="1">((100/(I117))*C129)/100</f>
        <v>0</v>
      </c>
      <c r="E129" s="74"/>
      <c r="F129" s="74"/>
      <c r="G129" s="74"/>
      <c r="H129" s="74"/>
      <c r="I129" s="74"/>
      <c r="J129" s="76"/>
      <c r="K129" s="48" t="s">
        <v>134</v>
      </c>
      <c r="L129" s="49"/>
      <c r="M129" s="50">
        <f ca="1">(IF(B117=0,I117/4+M128,(I117/(B117+4)+M128)))</f>
        <v>10</v>
      </c>
    </row>
    <row r="130" spans="1:13" ht="15" customHeight="1" x14ac:dyDescent="0.35">
      <c r="A130" s="81" t="s">
        <v>201</v>
      </c>
      <c r="B130" s="82"/>
      <c r="C130" s="83" t="str">
        <f>C54</f>
        <v>Building F (Mhada building) = G + 1st to 5th Floor</v>
      </c>
      <c r="D130" s="83"/>
      <c r="E130" s="83"/>
      <c r="F130" s="83"/>
      <c r="G130" s="83"/>
      <c r="H130" s="83"/>
      <c r="I130" s="83"/>
      <c r="J130" s="84"/>
      <c r="K130" s="27" t="str">
        <f ca="1">(IF(C134=0,"Work not yet Started.",IF(D134=25%,"Piling work in process",IF(D134=50%,"Excavation work in process",IF(D134=100%,"Excavation work completed, ","0")))&amp;(IF(C135=0%,"",IF(C135=M136,"Footing work is process",IF(C135=M137,"Footing work Completed",IF(C135=M138,"1st Basement Completed",IF(C135=M139,"1st &amp; 2nd Basement Completed",IF(C135=M140,"1st to 3rd Basement Completed",IF(C135=M141,"1st to 4th Basement Completed",IF(C135=M142,"Plinth work is process",IF(C135=M143,"Plinth work completed","0")))))))))))&amp;(IF(C136&gt;0,", RCC upto "&amp;C136&amp;" Slab completed",""))&amp;(IF(C137&gt;0,", Brickwork upto "&amp;C137&amp;" Floor completed"," "))&amp;(IF(C138&gt;0,", Internal Plaster upto "&amp;C138&amp;" Floor completed"," "))&amp;(IF(C139&gt;0,", External Plaster upto "&amp;C139&amp;" Floor completed"," "))&amp;(IF(C140&gt;0,", Flooring upto "&amp;C140&amp;" Floor completed"," "))&amp;(IF(C141&gt;0,", Painting upto "&amp;C141&amp;" Floor completed"," "))&amp;(IF(C142&gt;0,", Finishing upto "&amp;C142&amp;" Floor completed"," ")))</f>
        <v xml:space="preserve">Excavation work completed, Plinth work completed      </v>
      </c>
      <c r="L130" s="27"/>
      <c r="M130" s="28"/>
    </row>
    <row r="131" spans="1:13" ht="15" customHeight="1" x14ac:dyDescent="0.35">
      <c r="A131" s="29" t="s">
        <v>122</v>
      </c>
      <c r="B131" s="30">
        <v>0</v>
      </c>
      <c r="C131" s="30" t="s">
        <v>124</v>
      </c>
      <c r="D131" s="85">
        <v>1</v>
      </c>
      <c r="E131" s="86"/>
      <c r="F131" s="31" t="s">
        <v>123</v>
      </c>
      <c r="G131" s="30">
        <v>0</v>
      </c>
      <c r="H131" s="30" t="s">
        <v>202</v>
      </c>
      <c r="I131" s="78">
        <f ca="1">--TRIM(RIGHT(SUBSTITUTE(LEFT(C130,_xlfn.AGGREGATE(16,6,FIND({0,1,2,3,4,5,6,7,8,9},C130,ROW(INDIRECT("1:"&amp;LEN(C130)))),1))," ",REPT(" ",LEN(C130))),LEN(C130)))</f>
        <v>5</v>
      </c>
      <c r="J131" s="87"/>
      <c r="K131" s="32" t="s">
        <v>203</v>
      </c>
      <c r="L131" s="32"/>
      <c r="M131" s="33"/>
    </row>
    <row r="132" spans="1:13" ht="15" customHeight="1" x14ac:dyDescent="0.35">
      <c r="A132" s="88" t="s">
        <v>204</v>
      </c>
      <c r="B132" s="89"/>
      <c r="C132" s="90" t="str">
        <f ca="1">K130</f>
        <v xml:space="preserve">Excavation work completed, Plinth work completed      </v>
      </c>
      <c r="D132" s="90"/>
      <c r="E132" s="90"/>
      <c r="F132" s="90"/>
      <c r="G132" s="90"/>
      <c r="H132" s="90"/>
      <c r="I132" s="90"/>
      <c r="J132" s="91"/>
      <c r="K132" s="32" t="s">
        <v>205</v>
      </c>
      <c r="L132" s="32"/>
      <c r="M132" s="33"/>
    </row>
    <row r="133" spans="1:13" ht="15" customHeight="1" x14ac:dyDescent="0.35">
      <c r="A133" s="71" t="s">
        <v>69</v>
      </c>
      <c r="B133" s="72"/>
      <c r="C133" s="34" t="s">
        <v>206</v>
      </c>
      <c r="D133" s="72" t="s">
        <v>207</v>
      </c>
      <c r="E133" s="72"/>
      <c r="F133" s="72" t="s">
        <v>208</v>
      </c>
      <c r="G133" s="72"/>
      <c r="H133" s="72" t="s">
        <v>209</v>
      </c>
      <c r="I133" s="72"/>
      <c r="J133" s="92"/>
      <c r="K133" s="35" t="s">
        <v>210</v>
      </c>
      <c r="M133" s="36">
        <f ca="1">I131*25%</f>
        <v>1.25</v>
      </c>
    </row>
    <row r="134" spans="1:13" ht="15" customHeight="1" x14ac:dyDescent="0.35">
      <c r="A134" s="71" t="s">
        <v>211</v>
      </c>
      <c r="B134" s="72"/>
      <c r="C134" s="37">
        <f ca="1">M135</f>
        <v>5</v>
      </c>
      <c r="D134" s="73">
        <f ca="1">((100/I131)*C134)/100</f>
        <v>1</v>
      </c>
      <c r="E134" s="73"/>
      <c r="F134" s="73">
        <f ca="1">(IF(C132=K131,"100%",IF(C132=K132,"100%",(((C135/I131*10)+(40/(D131+G131+I131)*C136)+(7.5/(I131)*C137)+(7.5/(I131)*C138)+(10/I131*C139)+(10/I131*C140)+(5/I131*C141)+(5/I131*C142)+(5/I131*C143))/100))))</f>
        <v>0.1</v>
      </c>
      <c r="G134" s="73"/>
      <c r="H134" s="73">
        <f ca="1">((((C134/I131)*20)+((C135/I131)*25)+(30/(I131+G131+D131)*C136)+(5/I131*C137)+(5/I131*C138)+(5/I131*C139)+(5/I131*C140)+(0/I131*C141)+(0/I131*C142)+(5/I131*C143))/100)</f>
        <v>0.45</v>
      </c>
      <c r="I134" s="73"/>
      <c r="J134" s="75"/>
      <c r="K134" s="35" t="s">
        <v>129</v>
      </c>
      <c r="L134" s="38"/>
      <c r="M134" s="39">
        <f ca="1">I131*50%</f>
        <v>2.5</v>
      </c>
    </row>
    <row r="135" spans="1:13" ht="15" customHeight="1" x14ac:dyDescent="0.35">
      <c r="A135" s="71" t="s">
        <v>70</v>
      </c>
      <c r="B135" s="72"/>
      <c r="C135" s="40">
        <f ca="1">M143</f>
        <v>5</v>
      </c>
      <c r="D135" s="73">
        <f ca="1">((100/I131)*C135)/100</f>
        <v>1</v>
      </c>
      <c r="E135" s="73"/>
      <c r="F135" s="73"/>
      <c r="G135" s="73"/>
      <c r="H135" s="73"/>
      <c r="I135" s="73"/>
      <c r="J135" s="75"/>
      <c r="K135" s="35" t="s">
        <v>130</v>
      </c>
      <c r="L135" s="38"/>
      <c r="M135" s="39">
        <f ca="1">I131</f>
        <v>5</v>
      </c>
    </row>
    <row r="136" spans="1:13" ht="15" customHeight="1" x14ac:dyDescent="0.35">
      <c r="A136" s="77" t="s">
        <v>212</v>
      </c>
      <c r="B136" s="78"/>
      <c r="C136" s="40">
        <v>0</v>
      </c>
      <c r="D136" s="73">
        <f ca="1">((100/(D131+G131+I131))*C136)/100</f>
        <v>0</v>
      </c>
      <c r="E136" s="73"/>
      <c r="F136" s="73"/>
      <c r="G136" s="73"/>
      <c r="H136" s="73"/>
      <c r="I136" s="73"/>
      <c r="J136" s="75"/>
      <c r="K136" s="35" t="s">
        <v>131</v>
      </c>
      <c r="L136" s="38"/>
      <c r="M136" s="41">
        <f ca="1">(IF(B131=0,I131/4,(I131/(B131+4))))</f>
        <v>1.25</v>
      </c>
    </row>
    <row r="137" spans="1:13" ht="15" customHeight="1" x14ac:dyDescent="0.35">
      <c r="A137" s="71" t="s">
        <v>213</v>
      </c>
      <c r="B137" s="72" t="s">
        <v>214</v>
      </c>
      <c r="C137" s="37">
        <v>0</v>
      </c>
      <c r="D137" s="73">
        <f ca="1">((100/I131)*C137)/100</f>
        <v>0</v>
      </c>
      <c r="E137" s="73"/>
      <c r="F137" s="73"/>
      <c r="G137" s="73"/>
      <c r="H137" s="73"/>
      <c r="I137" s="73"/>
      <c r="J137" s="75"/>
      <c r="K137" s="35" t="s">
        <v>132</v>
      </c>
      <c r="L137" s="38"/>
      <c r="M137" s="41">
        <f ca="1">(IF(B131=0,I131/4+M136,(I131/(B131+4)+M136)))</f>
        <v>2.5</v>
      </c>
    </row>
    <row r="138" spans="1:13" ht="15" customHeight="1" x14ac:dyDescent="0.35">
      <c r="A138" s="71" t="s">
        <v>215</v>
      </c>
      <c r="B138" s="72" t="s">
        <v>214</v>
      </c>
      <c r="C138" s="37">
        <v>0</v>
      </c>
      <c r="D138" s="73">
        <f ca="1">((100/I131)*C138)/100</f>
        <v>0</v>
      </c>
      <c r="E138" s="73"/>
      <c r="F138" s="73"/>
      <c r="G138" s="73"/>
      <c r="H138" s="73"/>
      <c r="I138" s="73"/>
      <c r="J138" s="75"/>
      <c r="K138" s="35" t="s">
        <v>216</v>
      </c>
      <c r="L138" s="42"/>
      <c r="M138" s="41">
        <f>(IF(B131=0,0,(I131/(B131+4)+M137)))</f>
        <v>0</v>
      </c>
    </row>
    <row r="139" spans="1:13" ht="15" customHeight="1" x14ac:dyDescent="0.35">
      <c r="A139" s="71" t="s">
        <v>217</v>
      </c>
      <c r="B139" s="72" t="s">
        <v>218</v>
      </c>
      <c r="C139" s="37">
        <v>0</v>
      </c>
      <c r="D139" s="73">
        <f ca="1">((100/(I131))*C139)/100</f>
        <v>0</v>
      </c>
      <c r="E139" s="73"/>
      <c r="F139" s="73"/>
      <c r="G139" s="73"/>
      <c r="H139" s="73"/>
      <c r="I139" s="73"/>
      <c r="J139" s="75"/>
      <c r="K139" s="35" t="s">
        <v>219</v>
      </c>
      <c r="L139" s="42"/>
      <c r="M139" s="41">
        <f>(IF(B131&gt;1,(I131/(B131+4)+M138),0))</f>
        <v>0</v>
      </c>
    </row>
    <row r="140" spans="1:13" ht="15" customHeight="1" x14ac:dyDescent="0.35">
      <c r="A140" s="71" t="s">
        <v>220</v>
      </c>
      <c r="B140" s="72" t="s">
        <v>220</v>
      </c>
      <c r="C140" s="37">
        <v>0</v>
      </c>
      <c r="D140" s="73">
        <f ca="1">((100/I131)*C140)/100</f>
        <v>0</v>
      </c>
      <c r="E140" s="73"/>
      <c r="F140" s="73"/>
      <c r="G140" s="73"/>
      <c r="H140" s="73"/>
      <c r="I140" s="73"/>
      <c r="J140" s="75"/>
      <c r="K140" s="35" t="s">
        <v>221</v>
      </c>
      <c r="L140" s="43"/>
      <c r="M140" s="44">
        <f>(IF(B131&gt;2,(I131/(B131+4)+M139),0))</f>
        <v>0</v>
      </c>
    </row>
    <row r="141" spans="1:13" ht="15" customHeight="1" x14ac:dyDescent="0.35">
      <c r="A141" s="71" t="s">
        <v>222</v>
      </c>
      <c r="B141" s="72"/>
      <c r="C141" s="37">
        <v>0</v>
      </c>
      <c r="D141" s="73">
        <f ca="1">((100/I131)*C141)/100</f>
        <v>0</v>
      </c>
      <c r="E141" s="73"/>
      <c r="F141" s="73"/>
      <c r="G141" s="73"/>
      <c r="H141" s="73"/>
      <c r="I141" s="73"/>
      <c r="J141" s="75"/>
      <c r="K141" s="35" t="s">
        <v>223</v>
      </c>
      <c r="L141" s="45"/>
      <c r="M141" s="46">
        <f>(IF(B131&gt;3,(I131/(B131+4)+M140),0))</f>
        <v>0</v>
      </c>
    </row>
    <row r="142" spans="1:13" ht="15" customHeight="1" x14ac:dyDescent="0.35">
      <c r="A142" s="71" t="s">
        <v>224</v>
      </c>
      <c r="B142" s="72" t="s">
        <v>224</v>
      </c>
      <c r="C142" s="37">
        <v>0</v>
      </c>
      <c r="D142" s="73">
        <f ca="1">((100/(I131))*C142)/100</f>
        <v>0</v>
      </c>
      <c r="E142" s="73"/>
      <c r="F142" s="73"/>
      <c r="G142" s="73"/>
      <c r="H142" s="73"/>
      <c r="I142" s="73"/>
      <c r="J142" s="75"/>
      <c r="K142" s="35" t="s">
        <v>133</v>
      </c>
      <c r="L142" s="38"/>
      <c r="M142" s="41">
        <f ca="1">(IF(B131=0,I131/4+M137,(I131/(B131+4)+M137+MAX(0,M138-M137)+MAX(0,M139-M138)+MAX(0,M140-M139)+MAX(0,M141-M140))))</f>
        <v>3.75</v>
      </c>
    </row>
    <row r="143" spans="1:13" ht="15" customHeight="1" thickBot="1" x14ac:dyDescent="0.4">
      <c r="A143" s="79" t="s">
        <v>225</v>
      </c>
      <c r="B143" s="80"/>
      <c r="C143" s="47">
        <v>0</v>
      </c>
      <c r="D143" s="74">
        <f ca="1">((100/(I131))*C143)/100</f>
        <v>0</v>
      </c>
      <c r="E143" s="74"/>
      <c r="F143" s="74"/>
      <c r="G143" s="74"/>
      <c r="H143" s="74"/>
      <c r="I143" s="74"/>
      <c r="J143" s="76"/>
      <c r="K143" s="48" t="s">
        <v>134</v>
      </c>
      <c r="L143" s="49"/>
      <c r="M143" s="50">
        <f ca="1">(IF(B131=0,I131/4+M142,(I131/(B131+4)+M142)))</f>
        <v>5</v>
      </c>
    </row>
    <row r="144" spans="1:13" x14ac:dyDescent="0.35">
      <c r="A144" s="176" t="s">
        <v>163</v>
      </c>
      <c r="B144" s="127"/>
      <c r="C144" s="127"/>
      <c r="D144" s="127"/>
      <c r="E144" s="127"/>
      <c r="F144" s="127"/>
      <c r="G144" s="127"/>
      <c r="H144" s="127"/>
      <c r="I144" s="127"/>
      <c r="J144" s="128"/>
    </row>
    <row r="145" spans="1:10" x14ac:dyDescent="0.35">
      <c r="A145" s="67" t="s">
        <v>71</v>
      </c>
      <c r="B145" s="70"/>
      <c r="C145" s="70"/>
      <c r="D145" s="70"/>
      <c r="E145" s="70"/>
      <c r="F145" s="70"/>
      <c r="G145" s="70"/>
      <c r="H145" s="70"/>
      <c r="I145" s="70"/>
      <c r="J145" s="68"/>
    </row>
    <row r="146" spans="1:10" ht="15" customHeight="1" x14ac:dyDescent="0.35">
      <c r="A146" s="171" t="s">
        <v>127</v>
      </c>
      <c r="B146" s="172"/>
      <c r="C146" s="173" t="s">
        <v>128</v>
      </c>
      <c r="D146" s="174"/>
      <c r="E146" s="174"/>
      <c r="F146" s="174"/>
      <c r="G146" s="174"/>
      <c r="H146" s="174"/>
      <c r="I146" s="174"/>
      <c r="J146" s="175"/>
    </row>
    <row r="147" spans="1:10" x14ac:dyDescent="0.35">
      <c r="A147" s="141" t="s">
        <v>72</v>
      </c>
      <c r="B147" s="142"/>
      <c r="C147" s="142"/>
      <c r="D147" s="142"/>
      <c r="E147" s="142"/>
      <c r="F147" s="142"/>
      <c r="G147" s="142"/>
      <c r="H147" s="142"/>
      <c r="I147" s="142"/>
      <c r="J147" s="143"/>
    </row>
    <row r="148" spans="1:10" x14ac:dyDescent="0.35">
      <c r="A148" s="67" t="s">
        <v>136</v>
      </c>
      <c r="B148" s="70"/>
      <c r="C148" s="70"/>
      <c r="D148" s="70"/>
      <c r="E148" s="70"/>
      <c r="F148" s="68"/>
      <c r="G148" s="141">
        <v>4500</v>
      </c>
      <c r="H148" s="142"/>
      <c r="I148" s="142"/>
      <c r="J148" s="143"/>
    </row>
    <row r="149" spans="1:10" x14ac:dyDescent="0.35">
      <c r="A149" s="67" t="s">
        <v>229</v>
      </c>
      <c r="B149" s="70"/>
      <c r="C149" s="70"/>
      <c r="D149" s="70"/>
      <c r="E149" s="70"/>
      <c r="F149" s="68"/>
      <c r="G149" s="122" t="s">
        <v>179</v>
      </c>
      <c r="H149" s="123"/>
      <c r="I149" s="123"/>
      <c r="J149" s="124"/>
    </row>
    <row r="150" spans="1:10" x14ac:dyDescent="0.35">
      <c r="A150" s="67" t="s">
        <v>73</v>
      </c>
      <c r="B150" s="70"/>
      <c r="C150" s="70"/>
      <c r="D150" s="70"/>
      <c r="E150" s="70"/>
      <c r="F150" s="68"/>
      <c r="G150" s="122" t="s">
        <v>180</v>
      </c>
      <c r="H150" s="123"/>
      <c r="I150" s="123"/>
      <c r="J150" s="124"/>
    </row>
    <row r="151" spans="1:10" s="51" customFormat="1" x14ac:dyDescent="0.35">
      <c r="A151" s="141" t="s">
        <v>74</v>
      </c>
      <c r="B151" s="142"/>
      <c r="C151" s="142"/>
      <c r="D151" s="142"/>
      <c r="E151" s="142"/>
      <c r="F151" s="143"/>
      <c r="G151" s="67">
        <f>G148*0.8</f>
        <v>3600</v>
      </c>
      <c r="H151" s="70"/>
      <c r="I151" s="70"/>
      <c r="J151" s="68"/>
    </row>
    <row r="152" spans="1:10" s="52" customFormat="1" x14ac:dyDescent="0.35">
      <c r="A152" s="182" t="s">
        <v>121</v>
      </c>
      <c r="B152" s="182"/>
      <c r="C152" s="182"/>
      <c r="D152" s="182"/>
      <c r="E152" s="182"/>
      <c r="F152" s="182"/>
      <c r="G152" s="182"/>
      <c r="H152" s="182"/>
      <c r="I152" s="182"/>
      <c r="J152" s="182"/>
    </row>
    <row r="153" spans="1:10" s="52" customFormat="1" x14ac:dyDescent="0.35">
      <c r="A153" s="183" t="s">
        <v>75</v>
      </c>
      <c r="B153" s="183"/>
      <c r="C153" s="53" t="s">
        <v>141</v>
      </c>
      <c r="D153" s="184" t="s">
        <v>76</v>
      </c>
      <c r="E153" s="184"/>
      <c r="F153" s="184"/>
      <c r="G153" s="183" t="s">
        <v>77</v>
      </c>
      <c r="H153" s="183"/>
      <c r="I153" s="183"/>
      <c r="J153" s="183"/>
    </row>
    <row r="154" spans="1:10" s="52" customFormat="1" x14ac:dyDescent="0.35">
      <c r="A154" s="177" t="s">
        <v>232</v>
      </c>
      <c r="B154" s="177"/>
      <c r="C154" s="54">
        <f>COUNT(D166:E170)*5+COUNT(D172:E176)*5</f>
        <v>50</v>
      </c>
      <c r="D154" s="180">
        <f>SUM(D166:E170)*5+SUM(D172:E176)*5</f>
        <v>19439.568719999996</v>
      </c>
      <c r="E154" s="180"/>
      <c r="F154" s="180"/>
      <c r="G154" s="181">
        <f>SUM(G166:G170)*5+SUM(G172:G176)*5</f>
        <v>28187.374643999992</v>
      </c>
      <c r="H154" s="181"/>
      <c r="I154" s="181"/>
      <c r="J154" s="181"/>
    </row>
    <row r="155" spans="1:10" s="52" customFormat="1" x14ac:dyDescent="0.35">
      <c r="A155" s="177" t="s">
        <v>233</v>
      </c>
      <c r="B155" s="177"/>
      <c r="C155" s="54">
        <f>COUNT(D180:E184)*5+COUNT(D186:E190)*5</f>
        <v>50</v>
      </c>
      <c r="D155" s="180">
        <f>SUM(D180:E184)*5+SUM(D186:E190)*5</f>
        <v>19439.568719999996</v>
      </c>
      <c r="E155" s="180"/>
      <c r="F155" s="180"/>
      <c r="G155" s="181">
        <f>SUM(G180:G184)*5+SUM(G186:G190)*5</f>
        <v>28187.374643999992</v>
      </c>
      <c r="H155" s="181"/>
      <c r="I155" s="181"/>
      <c r="J155" s="181"/>
    </row>
    <row r="156" spans="1:10" s="52" customFormat="1" x14ac:dyDescent="0.35">
      <c r="A156" s="177" t="s">
        <v>234</v>
      </c>
      <c r="B156" s="177"/>
      <c r="C156" s="54">
        <f>COUNT(D194:E199)*5+COUNT(D201:E206)*5</f>
        <v>60</v>
      </c>
      <c r="D156" s="180">
        <f>SUM(D194:E199)*5+SUM(D201:E206)*5</f>
        <v>23332.864463999998</v>
      </c>
      <c r="E156" s="180"/>
      <c r="F156" s="180"/>
      <c r="G156" s="181">
        <f>SUM(G194:G199)*5+SUM(G201:G206)*5</f>
        <v>33832.65347279999</v>
      </c>
      <c r="H156" s="181"/>
      <c r="I156" s="181"/>
      <c r="J156" s="181"/>
    </row>
    <row r="157" spans="1:10" s="52" customFormat="1" x14ac:dyDescent="0.35">
      <c r="A157" s="177" t="s">
        <v>235</v>
      </c>
      <c r="B157" s="177"/>
      <c r="C157" s="54">
        <f>COUNT(D210:E213)*2+COUNT(D215:E218)*2</f>
        <v>16</v>
      </c>
      <c r="D157" s="180">
        <f>SUM(D210:E213)*2+SUM(D215:E218)*2</f>
        <v>9161.5245696000002</v>
      </c>
      <c r="E157" s="180"/>
      <c r="F157" s="180"/>
      <c r="G157" s="181">
        <f>SUM(G210:G213)*2+SUM(G215:G218)*2</f>
        <v>13284.210625919999</v>
      </c>
      <c r="H157" s="181"/>
      <c r="I157" s="181"/>
      <c r="J157" s="181"/>
    </row>
    <row r="158" spans="1:10" s="52" customFormat="1" x14ac:dyDescent="0.35">
      <c r="A158" s="177" t="s">
        <v>236</v>
      </c>
      <c r="B158" s="177"/>
      <c r="C158" s="54">
        <f>COUNT(D222:E227)*5+COUNT(D229:E234)*5</f>
        <v>60</v>
      </c>
      <c r="D158" s="180">
        <f>SUM(D222:E227)*5+SUM(D229:E234)*5</f>
        <v>34553.215007999999</v>
      </c>
      <c r="E158" s="180"/>
      <c r="F158" s="180"/>
      <c r="G158" s="181">
        <f>SUM(G222:G227)*5+SUM(G229:G234)*5</f>
        <v>50102.1617616</v>
      </c>
      <c r="H158" s="181"/>
      <c r="I158" s="181"/>
      <c r="J158" s="181"/>
    </row>
    <row r="159" spans="1:10" s="52" customFormat="1" x14ac:dyDescent="0.35">
      <c r="A159" s="182" t="s">
        <v>79</v>
      </c>
      <c r="B159" s="182"/>
      <c r="C159" s="53">
        <f>SUM(C154:C158)</f>
        <v>236</v>
      </c>
      <c r="D159" s="222">
        <f>SUM(D154:F158)</f>
        <v>105926.74148159999</v>
      </c>
      <c r="E159" s="222"/>
      <c r="F159" s="222"/>
      <c r="G159" s="183">
        <f>SUM(G154:J158)</f>
        <v>153593.77514831995</v>
      </c>
      <c r="H159" s="183"/>
      <c r="I159" s="183"/>
      <c r="J159" s="183"/>
    </row>
    <row r="160" spans="1:10" s="51" customFormat="1" x14ac:dyDescent="0.35">
      <c r="A160" s="223" t="s">
        <v>80</v>
      </c>
      <c r="B160" s="223"/>
      <c r="C160" s="223"/>
      <c r="D160" s="223"/>
      <c r="E160" s="223"/>
      <c r="F160" s="223"/>
      <c r="G160" s="223"/>
      <c r="H160" s="223"/>
      <c r="I160" s="223"/>
      <c r="J160" s="223"/>
    </row>
    <row r="161" spans="1:14" x14ac:dyDescent="0.35">
      <c r="A161" s="223" t="s">
        <v>81</v>
      </c>
      <c r="B161" s="223"/>
      <c r="C161" s="223"/>
      <c r="D161" s="223"/>
      <c r="E161" s="223"/>
      <c r="F161" s="223"/>
      <c r="G161" s="223"/>
      <c r="H161" s="223"/>
      <c r="I161" s="223"/>
      <c r="J161" s="223"/>
    </row>
    <row r="162" spans="1:14" ht="42" x14ac:dyDescent="0.35">
      <c r="A162" s="178" t="s">
        <v>137</v>
      </c>
      <c r="B162" s="179"/>
      <c r="C162" s="1" t="s">
        <v>82</v>
      </c>
      <c r="D162" s="178" t="s">
        <v>83</v>
      </c>
      <c r="E162" s="179"/>
      <c r="F162" s="8" t="s">
        <v>84</v>
      </c>
      <c r="G162" s="1" t="s">
        <v>85</v>
      </c>
      <c r="H162" s="1" t="s">
        <v>86</v>
      </c>
      <c r="I162" s="178" t="s">
        <v>87</v>
      </c>
      <c r="J162" s="179"/>
    </row>
    <row r="163" spans="1:14" s="55" customFormat="1" x14ac:dyDescent="0.35">
      <c r="A163" s="185" t="s">
        <v>165</v>
      </c>
      <c r="B163" s="186"/>
      <c r="C163" s="186"/>
      <c r="D163" s="186"/>
      <c r="E163" s="186"/>
      <c r="F163" s="186"/>
      <c r="G163" s="186"/>
      <c r="H163" s="186"/>
      <c r="I163" s="186"/>
      <c r="J163" s="187"/>
    </row>
    <row r="164" spans="1:14" s="55" customFormat="1" x14ac:dyDescent="0.35">
      <c r="A164" s="185" t="s">
        <v>168</v>
      </c>
      <c r="B164" s="186"/>
      <c r="C164" s="186"/>
      <c r="D164" s="186"/>
      <c r="E164" s="186"/>
      <c r="F164" s="186"/>
      <c r="G164" s="186"/>
      <c r="H164" s="186"/>
      <c r="I164" s="186"/>
      <c r="J164" s="187"/>
    </row>
    <row r="165" spans="1:14" s="55" customFormat="1" x14ac:dyDescent="0.35">
      <c r="A165" s="185" t="s">
        <v>169</v>
      </c>
      <c r="B165" s="186"/>
      <c r="C165" s="186"/>
      <c r="D165" s="186"/>
      <c r="E165" s="186"/>
      <c r="F165" s="186"/>
      <c r="G165" s="186"/>
      <c r="H165" s="186"/>
      <c r="I165" s="186"/>
      <c r="J165" s="187"/>
    </row>
    <row r="166" spans="1:14" s="55" customFormat="1" x14ac:dyDescent="0.35">
      <c r="A166" s="188">
        <v>1</v>
      </c>
      <c r="B166" s="189"/>
      <c r="C166" s="2" t="s">
        <v>170</v>
      </c>
      <c r="D166" s="188">
        <f>(30.36+1.22*2.74+2.28*1.06)*10.764</f>
        <v>388.79137439999994</v>
      </c>
      <c r="E166" s="189"/>
      <c r="F166" s="2">
        <v>0</v>
      </c>
      <c r="G166" s="2">
        <f>D166*1.45</f>
        <v>563.74749287999987</v>
      </c>
      <c r="H166" s="2" t="s">
        <v>88</v>
      </c>
      <c r="I166" s="190" t="str">
        <f>A165</f>
        <v>1st, 3rd, 5th, 7th, 9th Floor</v>
      </c>
      <c r="J166" s="191"/>
      <c r="N166" s="55">
        <f>4500*564</f>
        <v>2538000</v>
      </c>
    </row>
    <row r="167" spans="1:14" s="55" customFormat="1" x14ac:dyDescent="0.35">
      <c r="A167" s="188">
        <v>2</v>
      </c>
      <c r="B167" s="189"/>
      <c r="C167" s="2" t="s">
        <v>170</v>
      </c>
      <c r="D167" s="188">
        <f>(30.36+1.22*2.74+2.28*1.06)*10.764</f>
        <v>388.79137439999994</v>
      </c>
      <c r="E167" s="189"/>
      <c r="F167" s="2">
        <v>0</v>
      </c>
      <c r="G167" s="2">
        <f t="shared" ref="G167:G170" si="0">D167*1.45</f>
        <v>563.74749287999987</v>
      </c>
      <c r="H167" s="2" t="s">
        <v>88</v>
      </c>
      <c r="I167" s="192"/>
      <c r="J167" s="193"/>
      <c r="L167" s="55">
        <f>G167/D167</f>
        <v>1.45</v>
      </c>
    </row>
    <row r="168" spans="1:14" s="55" customFormat="1" x14ac:dyDescent="0.35">
      <c r="A168" s="188">
        <v>3</v>
      </c>
      <c r="B168" s="189"/>
      <c r="C168" s="2" t="s">
        <v>170</v>
      </c>
      <c r="D168" s="188">
        <f t="shared" ref="D168:D170" si="1">(30.36+1.22*2.74+2.28*1.06)*10.764</f>
        <v>388.79137439999994</v>
      </c>
      <c r="E168" s="189"/>
      <c r="F168" s="2">
        <v>0</v>
      </c>
      <c r="G168" s="2">
        <f t="shared" si="0"/>
        <v>563.74749287999987</v>
      </c>
      <c r="H168" s="2" t="s">
        <v>88</v>
      </c>
      <c r="I168" s="192"/>
      <c r="J168" s="193"/>
    </row>
    <row r="169" spans="1:14" s="55" customFormat="1" x14ac:dyDescent="0.35">
      <c r="A169" s="188">
        <v>4</v>
      </c>
      <c r="B169" s="189"/>
      <c r="C169" s="2" t="s">
        <v>170</v>
      </c>
      <c r="D169" s="188">
        <f t="shared" si="1"/>
        <v>388.79137439999994</v>
      </c>
      <c r="E169" s="189"/>
      <c r="F169" s="2">
        <v>0</v>
      </c>
      <c r="G169" s="2">
        <f t="shared" si="0"/>
        <v>563.74749287999987</v>
      </c>
      <c r="H169" s="2" t="s">
        <v>88</v>
      </c>
      <c r="I169" s="192"/>
      <c r="J169" s="193"/>
    </row>
    <row r="170" spans="1:14" s="55" customFormat="1" x14ac:dyDescent="0.35">
      <c r="A170" s="188">
        <v>5</v>
      </c>
      <c r="B170" s="189"/>
      <c r="C170" s="2" t="s">
        <v>170</v>
      </c>
      <c r="D170" s="188">
        <f t="shared" si="1"/>
        <v>388.79137439999994</v>
      </c>
      <c r="E170" s="189"/>
      <c r="F170" s="2">
        <v>0</v>
      </c>
      <c r="G170" s="2">
        <f t="shared" si="0"/>
        <v>563.74749287999987</v>
      </c>
      <c r="H170" s="2" t="s">
        <v>88</v>
      </c>
      <c r="I170" s="194"/>
      <c r="J170" s="195"/>
    </row>
    <row r="171" spans="1:14" s="55" customFormat="1" x14ac:dyDescent="0.35">
      <c r="A171" s="185" t="s">
        <v>171</v>
      </c>
      <c r="B171" s="186"/>
      <c r="C171" s="186"/>
      <c r="D171" s="186"/>
      <c r="E171" s="186"/>
      <c r="F171" s="186"/>
      <c r="G171" s="186"/>
      <c r="H171" s="186"/>
      <c r="I171" s="186"/>
      <c r="J171" s="187"/>
    </row>
    <row r="172" spans="1:14" s="55" customFormat="1" x14ac:dyDescent="0.35">
      <c r="A172" s="188">
        <v>1</v>
      </c>
      <c r="B172" s="189"/>
      <c r="C172" s="2" t="s">
        <v>170</v>
      </c>
      <c r="D172" s="188">
        <f>(30.36+1.22*2.74+2.28*1.06)*10.764</f>
        <v>388.79137439999994</v>
      </c>
      <c r="E172" s="189"/>
      <c r="F172" s="2">
        <v>0</v>
      </c>
      <c r="G172" s="2">
        <f t="shared" ref="G172:G176" si="2">D172*1.45</f>
        <v>563.74749287999987</v>
      </c>
      <c r="H172" s="2" t="s">
        <v>88</v>
      </c>
      <c r="I172" s="190" t="str">
        <f>A171</f>
        <v>2nd, 4th, 6th, 8th, 10th Floor</v>
      </c>
      <c r="J172" s="191"/>
    </row>
    <row r="173" spans="1:14" s="55" customFormat="1" x14ac:dyDescent="0.35">
      <c r="A173" s="188">
        <v>2</v>
      </c>
      <c r="B173" s="189"/>
      <c r="C173" s="2" t="s">
        <v>170</v>
      </c>
      <c r="D173" s="188">
        <f>(30.36+1.22*2.74+2.28*1.06)*10.764</f>
        <v>388.79137439999994</v>
      </c>
      <c r="E173" s="189"/>
      <c r="F173" s="2">
        <v>0</v>
      </c>
      <c r="G173" s="2">
        <f t="shared" si="2"/>
        <v>563.74749287999987</v>
      </c>
      <c r="H173" s="2" t="s">
        <v>88</v>
      </c>
      <c r="I173" s="192"/>
      <c r="J173" s="193"/>
    </row>
    <row r="174" spans="1:14" s="55" customFormat="1" x14ac:dyDescent="0.35">
      <c r="A174" s="188">
        <v>3</v>
      </c>
      <c r="B174" s="189"/>
      <c r="C174" s="2" t="s">
        <v>170</v>
      </c>
      <c r="D174" s="188">
        <f t="shared" ref="D174:D176" si="3">(30.36+1.22*2.74+2.28*1.06)*10.764</f>
        <v>388.79137439999994</v>
      </c>
      <c r="E174" s="189"/>
      <c r="F174" s="2">
        <v>0</v>
      </c>
      <c r="G174" s="2">
        <f t="shared" si="2"/>
        <v>563.74749287999987</v>
      </c>
      <c r="H174" s="2" t="s">
        <v>88</v>
      </c>
      <c r="I174" s="192"/>
      <c r="J174" s="193"/>
    </row>
    <row r="175" spans="1:14" s="55" customFormat="1" x14ac:dyDescent="0.35">
      <c r="A175" s="188">
        <v>4</v>
      </c>
      <c r="B175" s="189"/>
      <c r="C175" s="2" t="s">
        <v>170</v>
      </c>
      <c r="D175" s="188">
        <f t="shared" si="3"/>
        <v>388.79137439999994</v>
      </c>
      <c r="E175" s="189"/>
      <c r="F175" s="2">
        <v>0</v>
      </c>
      <c r="G175" s="2">
        <f t="shared" si="2"/>
        <v>563.74749287999987</v>
      </c>
      <c r="H175" s="2" t="s">
        <v>88</v>
      </c>
      <c r="I175" s="192"/>
      <c r="J175" s="193"/>
    </row>
    <row r="176" spans="1:14" s="55" customFormat="1" x14ac:dyDescent="0.35">
      <c r="A176" s="188">
        <v>5</v>
      </c>
      <c r="B176" s="189"/>
      <c r="C176" s="2" t="s">
        <v>170</v>
      </c>
      <c r="D176" s="188">
        <f t="shared" si="3"/>
        <v>388.79137439999994</v>
      </c>
      <c r="E176" s="189"/>
      <c r="F176" s="2">
        <v>0</v>
      </c>
      <c r="G176" s="2">
        <f t="shared" si="2"/>
        <v>563.74749287999987</v>
      </c>
      <c r="H176" s="2" t="s">
        <v>88</v>
      </c>
      <c r="I176" s="194"/>
      <c r="J176" s="195"/>
    </row>
    <row r="177" spans="1:12" s="55" customFormat="1" x14ac:dyDescent="0.35">
      <c r="A177" s="185" t="s">
        <v>172</v>
      </c>
      <c r="B177" s="186"/>
      <c r="C177" s="186"/>
      <c r="D177" s="186"/>
      <c r="E177" s="186"/>
      <c r="F177" s="186"/>
      <c r="G177" s="186"/>
      <c r="H177" s="186"/>
      <c r="I177" s="186"/>
      <c r="J177" s="187"/>
    </row>
    <row r="178" spans="1:12" s="55" customFormat="1" x14ac:dyDescent="0.35">
      <c r="A178" s="185" t="s">
        <v>168</v>
      </c>
      <c r="B178" s="186"/>
      <c r="C178" s="186"/>
      <c r="D178" s="186"/>
      <c r="E178" s="186"/>
      <c r="F178" s="186"/>
      <c r="G178" s="186"/>
      <c r="H178" s="186"/>
      <c r="I178" s="186"/>
      <c r="J178" s="187"/>
    </row>
    <row r="179" spans="1:12" s="55" customFormat="1" x14ac:dyDescent="0.35">
      <c r="A179" s="185" t="s">
        <v>169</v>
      </c>
      <c r="B179" s="186"/>
      <c r="C179" s="186"/>
      <c r="D179" s="186"/>
      <c r="E179" s="186"/>
      <c r="F179" s="186"/>
      <c r="G179" s="186"/>
      <c r="H179" s="186"/>
      <c r="I179" s="186"/>
      <c r="J179" s="187"/>
    </row>
    <row r="180" spans="1:12" s="55" customFormat="1" x14ac:dyDescent="0.35">
      <c r="A180" s="188">
        <v>1</v>
      </c>
      <c r="B180" s="189"/>
      <c r="C180" s="2" t="s">
        <v>170</v>
      </c>
      <c r="D180" s="188">
        <f>(30.36+1.22*2.74+2.28*1.06)*10.764</f>
        <v>388.79137439999994</v>
      </c>
      <c r="E180" s="189"/>
      <c r="F180" s="2">
        <v>0</v>
      </c>
      <c r="G180" s="2">
        <f t="shared" ref="G180:G184" si="4">D180*1.45</f>
        <v>563.74749287999987</v>
      </c>
      <c r="H180" s="2" t="s">
        <v>88</v>
      </c>
      <c r="I180" s="190" t="str">
        <f>A179</f>
        <v>1st, 3rd, 5th, 7th, 9th Floor</v>
      </c>
      <c r="J180" s="191"/>
      <c r="L180" s="55">
        <f>3713000/G180</f>
        <v>6586.2820622607269</v>
      </c>
    </row>
    <row r="181" spans="1:12" s="55" customFormat="1" x14ac:dyDescent="0.35">
      <c r="A181" s="188">
        <v>2</v>
      </c>
      <c r="B181" s="189"/>
      <c r="C181" s="2" t="s">
        <v>170</v>
      </c>
      <c r="D181" s="188">
        <f>(30.36+1.22*2.74+2.28*1.06)*10.764</f>
        <v>388.79137439999994</v>
      </c>
      <c r="E181" s="189"/>
      <c r="F181" s="2">
        <v>0</v>
      </c>
      <c r="G181" s="2">
        <f t="shared" si="4"/>
        <v>563.74749287999987</v>
      </c>
      <c r="H181" s="2" t="s">
        <v>88</v>
      </c>
      <c r="I181" s="192"/>
      <c r="J181" s="193"/>
      <c r="L181" s="55" t="s">
        <v>200</v>
      </c>
    </row>
    <row r="182" spans="1:12" s="55" customFormat="1" x14ac:dyDescent="0.35">
      <c r="A182" s="188">
        <v>3</v>
      </c>
      <c r="B182" s="189"/>
      <c r="C182" s="2" t="s">
        <v>170</v>
      </c>
      <c r="D182" s="188">
        <f t="shared" ref="D182:D184" si="5">(30.36+1.22*2.74+2.28*1.06)*10.764</f>
        <v>388.79137439999994</v>
      </c>
      <c r="E182" s="189"/>
      <c r="F182" s="2">
        <v>0</v>
      </c>
      <c r="G182" s="2">
        <f t="shared" si="4"/>
        <v>563.74749287999987</v>
      </c>
      <c r="H182" s="2" t="s">
        <v>88</v>
      </c>
      <c r="I182" s="192"/>
      <c r="J182" s="193"/>
    </row>
    <row r="183" spans="1:12" s="55" customFormat="1" x14ac:dyDescent="0.35">
      <c r="A183" s="188">
        <v>4</v>
      </c>
      <c r="B183" s="189"/>
      <c r="C183" s="2" t="s">
        <v>170</v>
      </c>
      <c r="D183" s="188">
        <f t="shared" si="5"/>
        <v>388.79137439999994</v>
      </c>
      <c r="E183" s="189"/>
      <c r="F183" s="2">
        <v>0</v>
      </c>
      <c r="G183" s="2">
        <f t="shared" si="4"/>
        <v>563.74749287999987</v>
      </c>
      <c r="H183" s="2" t="s">
        <v>88</v>
      </c>
      <c r="I183" s="192"/>
      <c r="J183" s="193"/>
    </row>
    <row r="184" spans="1:12" s="55" customFormat="1" x14ac:dyDescent="0.35">
      <c r="A184" s="188">
        <v>5</v>
      </c>
      <c r="B184" s="189"/>
      <c r="C184" s="2" t="s">
        <v>170</v>
      </c>
      <c r="D184" s="188">
        <f t="shared" si="5"/>
        <v>388.79137439999994</v>
      </c>
      <c r="E184" s="189"/>
      <c r="F184" s="2">
        <v>0</v>
      </c>
      <c r="G184" s="2">
        <f t="shared" si="4"/>
        <v>563.74749287999987</v>
      </c>
      <c r="H184" s="2" t="s">
        <v>88</v>
      </c>
      <c r="I184" s="194"/>
      <c r="J184" s="195"/>
    </row>
    <row r="185" spans="1:12" s="55" customFormat="1" x14ac:dyDescent="0.35">
      <c r="A185" s="185" t="s">
        <v>171</v>
      </c>
      <c r="B185" s="186"/>
      <c r="C185" s="186"/>
      <c r="D185" s="186"/>
      <c r="E185" s="186"/>
      <c r="F185" s="186"/>
      <c r="G185" s="186"/>
      <c r="H185" s="186"/>
      <c r="I185" s="186"/>
      <c r="J185" s="187"/>
    </row>
    <row r="186" spans="1:12" s="55" customFormat="1" x14ac:dyDescent="0.35">
      <c r="A186" s="188">
        <v>1</v>
      </c>
      <c r="B186" s="189"/>
      <c r="C186" s="2" t="s">
        <v>170</v>
      </c>
      <c r="D186" s="188">
        <f>(30.36+1.22*2.74+2.28*1.06)*10.764</f>
        <v>388.79137439999994</v>
      </c>
      <c r="E186" s="189"/>
      <c r="F186" s="2">
        <v>0</v>
      </c>
      <c r="G186" s="2">
        <f t="shared" ref="G186:G190" si="6">D186*1.45</f>
        <v>563.74749287999987</v>
      </c>
      <c r="H186" s="2" t="s">
        <v>88</v>
      </c>
      <c r="I186" s="190" t="str">
        <f>A185</f>
        <v>2nd, 4th, 6th, 8th, 10th Floor</v>
      </c>
      <c r="J186" s="191"/>
    </row>
    <row r="187" spans="1:12" s="55" customFormat="1" x14ac:dyDescent="0.35">
      <c r="A187" s="188">
        <v>2</v>
      </c>
      <c r="B187" s="189"/>
      <c r="C187" s="2" t="s">
        <v>170</v>
      </c>
      <c r="D187" s="188">
        <f>(30.36+1.22*2.74+2.28*1.06)*10.764</f>
        <v>388.79137439999994</v>
      </c>
      <c r="E187" s="189"/>
      <c r="F187" s="2">
        <v>0</v>
      </c>
      <c r="G187" s="2">
        <f t="shared" si="6"/>
        <v>563.74749287999987</v>
      </c>
      <c r="H187" s="2" t="s">
        <v>88</v>
      </c>
      <c r="I187" s="192"/>
      <c r="J187" s="193"/>
    </row>
    <row r="188" spans="1:12" s="55" customFormat="1" x14ac:dyDescent="0.35">
      <c r="A188" s="188">
        <v>3</v>
      </c>
      <c r="B188" s="189"/>
      <c r="C188" s="2" t="s">
        <v>170</v>
      </c>
      <c r="D188" s="188">
        <f t="shared" ref="D188:D190" si="7">(30.36+1.22*2.74+2.28*1.06)*10.764</f>
        <v>388.79137439999994</v>
      </c>
      <c r="E188" s="189"/>
      <c r="F188" s="2">
        <v>0</v>
      </c>
      <c r="G188" s="2">
        <f t="shared" si="6"/>
        <v>563.74749287999987</v>
      </c>
      <c r="H188" s="2" t="s">
        <v>88</v>
      </c>
      <c r="I188" s="192"/>
      <c r="J188" s="193"/>
    </row>
    <row r="189" spans="1:12" s="55" customFormat="1" x14ac:dyDescent="0.35">
      <c r="A189" s="188">
        <v>4</v>
      </c>
      <c r="B189" s="189"/>
      <c r="C189" s="2" t="s">
        <v>170</v>
      </c>
      <c r="D189" s="188">
        <f t="shared" si="7"/>
        <v>388.79137439999994</v>
      </c>
      <c r="E189" s="189"/>
      <c r="F189" s="2">
        <v>0</v>
      </c>
      <c r="G189" s="2">
        <f t="shared" si="6"/>
        <v>563.74749287999987</v>
      </c>
      <c r="H189" s="2" t="s">
        <v>88</v>
      </c>
      <c r="I189" s="192"/>
      <c r="J189" s="193"/>
    </row>
    <row r="190" spans="1:12" s="55" customFormat="1" x14ac:dyDescent="0.35">
      <c r="A190" s="188">
        <v>5</v>
      </c>
      <c r="B190" s="189"/>
      <c r="C190" s="2" t="s">
        <v>170</v>
      </c>
      <c r="D190" s="188">
        <f t="shared" si="7"/>
        <v>388.79137439999994</v>
      </c>
      <c r="E190" s="189"/>
      <c r="F190" s="2">
        <v>0</v>
      </c>
      <c r="G190" s="2">
        <f t="shared" si="6"/>
        <v>563.74749287999987</v>
      </c>
      <c r="H190" s="2" t="s">
        <v>88</v>
      </c>
      <c r="I190" s="194"/>
      <c r="J190" s="195"/>
    </row>
    <row r="191" spans="1:12" s="55" customFormat="1" x14ac:dyDescent="0.35">
      <c r="A191" s="185" t="s">
        <v>173</v>
      </c>
      <c r="B191" s="186"/>
      <c r="C191" s="186"/>
      <c r="D191" s="186"/>
      <c r="E191" s="186"/>
      <c r="F191" s="186"/>
      <c r="G191" s="186"/>
      <c r="H191" s="186"/>
      <c r="I191" s="186"/>
      <c r="J191" s="187"/>
    </row>
    <row r="192" spans="1:12" s="55" customFormat="1" x14ac:dyDescent="0.35">
      <c r="A192" s="185" t="s">
        <v>168</v>
      </c>
      <c r="B192" s="186"/>
      <c r="C192" s="186"/>
      <c r="D192" s="186"/>
      <c r="E192" s="186"/>
      <c r="F192" s="186"/>
      <c r="G192" s="186"/>
      <c r="H192" s="186"/>
      <c r="I192" s="186"/>
      <c r="J192" s="187"/>
    </row>
    <row r="193" spans="1:10" s="55" customFormat="1" x14ac:dyDescent="0.35">
      <c r="A193" s="196" t="s">
        <v>169</v>
      </c>
      <c r="B193" s="196"/>
      <c r="C193" s="196"/>
      <c r="D193" s="196"/>
      <c r="E193" s="196"/>
      <c r="F193" s="196"/>
      <c r="G193" s="196"/>
      <c r="H193" s="196"/>
      <c r="I193" s="196"/>
      <c r="J193" s="196"/>
    </row>
    <row r="194" spans="1:10" s="55" customFormat="1" x14ac:dyDescent="0.35">
      <c r="A194" s="197">
        <v>1</v>
      </c>
      <c r="B194" s="197"/>
      <c r="C194" s="2" t="s">
        <v>170</v>
      </c>
      <c r="D194" s="197">
        <f>(30.36+1.22*2.74+2.28*1.06)*10.764</f>
        <v>388.79137439999994</v>
      </c>
      <c r="E194" s="197"/>
      <c r="F194" s="2">
        <v>0</v>
      </c>
      <c r="G194" s="2">
        <f t="shared" ref="G194:G199" si="8">D194*1.45</f>
        <v>563.74749287999987</v>
      </c>
      <c r="H194" s="2" t="s">
        <v>88</v>
      </c>
      <c r="I194" s="197" t="str">
        <f>A193</f>
        <v>1st, 3rd, 5th, 7th, 9th Floor</v>
      </c>
      <c r="J194" s="197"/>
    </row>
    <row r="195" spans="1:10" s="55" customFormat="1" x14ac:dyDescent="0.35">
      <c r="A195" s="197">
        <v>2</v>
      </c>
      <c r="B195" s="197"/>
      <c r="C195" s="2" t="s">
        <v>170</v>
      </c>
      <c r="D195" s="197">
        <f>(30.41+1.22*2.74+2.28*1.06)*10.764</f>
        <v>389.32957440000001</v>
      </c>
      <c r="E195" s="197"/>
      <c r="F195" s="2">
        <v>0</v>
      </c>
      <c r="G195" s="2">
        <f t="shared" si="8"/>
        <v>564.52788287999999</v>
      </c>
      <c r="H195" s="2" t="s">
        <v>88</v>
      </c>
      <c r="I195" s="197"/>
      <c r="J195" s="197"/>
    </row>
    <row r="196" spans="1:10" s="55" customFormat="1" x14ac:dyDescent="0.35">
      <c r="A196" s="197">
        <v>3</v>
      </c>
      <c r="B196" s="197"/>
      <c r="C196" s="2" t="s">
        <v>170</v>
      </c>
      <c r="D196" s="197">
        <f t="shared" ref="D196:D199" si="9">(30.36+1.22*2.74+2.28*1.06)*10.764</f>
        <v>388.79137439999994</v>
      </c>
      <c r="E196" s="197"/>
      <c r="F196" s="2">
        <v>0</v>
      </c>
      <c r="G196" s="2">
        <f t="shared" si="8"/>
        <v>563.74749287999987</v>
      </c>
      <c r="H196" s="2" t="s">
        <v>88</v>
      </c>
      <c r="I196" s="197"/>
      <c r="J196" s="197"/>
    </row>
    <row r="197" spans="1:10" s="55" customFormat="1" x14ac:dyDescent="0.35">
      <c r="A197" s="197">
        <v>4</v>
      </c>
      <c r="B197" s="197"/>
      <c r="C197" s="2" t="s">
        <v>170</v>
      </c>
      <c r="D197" s="197">
        <f t="shared" si="9"/>
        <v>388.79137439999994</v>
      </c>
      <c r="E197" s="197"/>
      <c r="F197" s="2">
        <v>0</v>
      </c>
      <c r="G197" s="2">
        <f t="shared" si="8"/>
        <v>563.74749287999987</v>
      </c>
      <c r="H197" s="2" t="s">
        <v>88</v>
      </c>
      <c r="I197" s="197"/>
      <c r="J197" s="197"/>
    </row>
    <row r="198" spans="1:10" s="55" customFormat="1" x14ac:dyDescent="0.35">
      <c r="A198" s="197">
        <v>5</v>
      </c>
      <c r="B198" s="197"/>
      <c r="C198" s="2" t="s">
        <v>170</v>
      </c>
      <c r="D198" s="197">
        <f t="shared" si="9"/>
        <v>388.79137439999994</v>
      </c>
      <c r="E198" s="197"/>
      <c r="F198" s="2">
        <v>0</v>
      </c>
      <c r="G198" s="2">
        <f t="shared" si="8"/>
        <v>563.74749287999987</v>
      </c>
      <c r="H198" s="2" t="s">
        <v>88</v>
      </c>
      <c r="I198" s="197"/>
      <c r="J198" s="197"/>
    </row>
    <row r="199" spans="1:10" s="55" customFormat="1" x14ac:dyDescent="0.35">
      <c r="A199" s="197">
        <v>6</v>
      </c>
      <c r="B199" s="197"/>
      <c r="C199" s="2" t="s">
        <v>170</v>
      </c>
      <c r="D199" s="197">
        <f t="shared" si="9"/>
        <v>388.79137439999994</v>
      </c>
      <c r="E199" s="197"/>
      <c r="F199" s="2">
        <v>0</v>
      </c>
      <c r="G199" s="2">
        <f t="shared" si="8"/>
        <v>563.74749287999987</v>
      </c>
      <c r="H199" s="2" t="s">
        <v>88</v>
      </c>
      <c r="I199" s="197"/>
      <c r="J199" s="197"/>
    </row>
    <row r="200" spans="1:10" s="55" customFormat="1" x14ac:dyDescent="0.35">
      <c r="A200" s="196" t="s">
        <v>171</v>
      </c>
      <c r="B200" s="196"/>
      <c r="C200" s="196"/>
      <c r="D200" s="196"/>
      <c r="E200" s="196"/>
      <c r="F200" s="196"/>
      <c r="G200" s="196"/>
      <c r="H200" s="196"/>
      <c r="I200" s="196"/>
      <c r="J200" s="196"/>
    </row>
    <row r="201" spans="1:10" s="55" customFormat="1" ht="15.75" customHeight="1" x14ac:dyDescent="0.35">
      <c r="A201" s="197">
        <v>1</v>
      </c>
      <c r="B201" s="197"/>
      <c r="C201" s="2" t="s">
        <v>170</v>
      </c>
      <c r="D201" s="197">
        <f>(30.36+1.22*2.74+2.28*1.06)*10.764</f>
        <v>388.79137439999994</v>
      </c>
      <c r="E201" s="197"/>
      <c r="F201" s="2">
        <v>0</v>
      </c>
      <c r="G201" s="2">
        <f t="shared" ref="G201:G206" si="10">D201*1.45</f>
        <v>563.74749287999987</v>
      </c>
      <c r="H201" s="2" t="s">
        <v>88</v>
      </c>
      <c r="I201" s="197" t="str">
        <f>A200</f>
        <v>2nd, 4th, 6th, 8th, 10th Floor</v>
      </c>
      <c r="J201" s="197"/>
    </row>
    <row r="202" spans="1:10" s="55" customFormat="1" x14ac:dyDescent="0.35">
      <c r="A202" s="197">
        <v>2</v>
      </c>
      <c r="B202" s="197"/>
      <c r="C202" s="2" t="s">
        <v>170</v>
      </c>
      <c r="D202" s="197">
        <f>(30.41+1.22*2.74+2.28*1.06)*10.764</f>
        <v>389.32957440000001</v>
      </c>
      <c r="E202" s="197"/>
      <c r="F202" s="2">
        <v>0</v>
      </c>
      <c r="G202" s="2">
        <f t="shared" si="10"/>
        <v>564.52788287999999</v>
      </c>
      <c r="H202" s="2" t="s">
        <v>88</v>
      </c>
      <c r="I202" s="197"/>
      <c r="J202" s="197"/>
    </row>
    <row r="203" spans="1:10" s="55" customFormat="1" x14ac:dyDescent="0.35">
      <c r="A203" s="197">
        <v>3</v>
      </c>
      <c r="B203" s="197"/>
      <c r="C203" s="2" t="s">
        <v>170</v>
      </c>
      <c r="D203" s="197">
        <f t="shared" ref="D203:D206" si="11">(30.36+1.22*2.74+2.28*1.06)*10.764</f>
        <v>388.79137439999994</v>
      </c>
      <c r="E203" s="197"/>
      <c r="F203" s="2">
        <v>0</v>
      </c>
      <c r="G203" s="2">
        <f t="shared" si="10"/>
        <v>563.74749287999987</v>
      </c>
      <c r="H203" s="2" t="s">
        <v>88</v>
      </c>
      <c r="I203" s="197"/>
      <c r="J203" s="197"/>
    </row>
    <row r="204" spans="1:10" s="55" customFormat="1" x14ac:dyDescent="0.35">
      <c r="A204" s="197">
        <v>4</v>
      </c>
      <c r="B204" s="197"/>
      <c r="C204" s="2" t="s">
        <v>170</v>
      </c>
      <c r="D204" s="197">
        <f t="shared" si="11"/>
        <v>388.79137439999994</v>
      </c>
      <c r="E204" s="197"/>
      <c r="F204" s="2">
        <v>0</v>
      </c>
      <c r="G204" s="2">
        <f t="shared" si="10"/>
        <v>563.74749287999987</v>
      </c>
      <c r="H204" s="2" t="s">
        <v>88</v>
      </c>
      <c r="I204" s="197"/>
      <c r="J204" s="197"/>
    </row>
    <row r="205" spans="1:10" s="55" customFormat="1" x14ac:dyDescent="0.35">
      <c r="A205" s="197">
        <v>5</v>
      </c>
      <c r="B205" s="197"/>
      <c r="C205" s="2" t="s">
        <v>170</v>
      </c>
      <c r="D205" s="197">
        <f t="shared" si="11"/>
        <v>388.79137439999994</v>
      </c>
      <c r="E205" s="197"/>
      <c r="F205" s="2">
        <v>0</v>
      </c>
      <c r="G205" s="2">
        <f t="shared" si="10"/>
        <v>563.74749287999987</v>
      </c>
      <c r="H205" s="2" t="s">
        <v>88</v>
      </c>
      <c r="I205" s="197"/>
      <c r="J205" s="197"/>
    </row>
    <row r="206" spans="1:10" s="55" customFormat="1" x14ac:dyDescent="0.35">
      <c r="A206" s="197">
        <v>6</v>
      </c>
      <c r="B206" s="197"/>
      <c r="C206" s="2" t="s">
        <v>170</v>
      </c>
      <c r="D206" s="197">
        <f t="shared" si="11"/>
        <v>388.79137439999994</v>
      </c>
      <c r="E206" s="197"/>
      <c r="F206" s="2">
        <v>0</v>
      </c>
      <c r="G206" s="2">
        <f t="shared" si="10"/>
        <v>563.74749287999987</v>
      </c>
      <c r="H206" s="2" t="s">
        <v>88</v>
      </c>
      <c r="I206" s="197"/>
      <c r="J206" s="197"/>
    </row>
    <row r="207" spans="1:10" s="55" customFormat="1" x14ac:dyDescent="0.35">
      <c r="A207" s="185" t="s">
        <v>174</v>
      </c>
      <c r="B207" s="186"/>
      <c r="C207" s="186"/>
      <c r="D207" s="186"/>
      <c r="E207" s="186"/>
      <c r="F207" s="186"/>
      <c r="G207" s="186"/>
      <c r="H207" s="186"/>
      <c r="I207" s="186"/>
      <c r="J207" s="187"/>
    </row>
    <row r="208" spans="1:10" s="55" customFormat="1" x14ac:dyDescent="0.35">
      <c r="A208" s="185" t="s">
        <v>168</v>
      </c>
      <c r="B208" s="186"/>
      <c r="C208" s="186"/>
      <c r="D208" s="186"/>
      <c r="E208" s="186"/>
      <c r="F208" s="186"/>
      <c r="G208" s="186"/>
      <c r="H208" s="186"/>
      <c r="I208" s="186"/>
      <c r="J208" s="187"/>
    </row>
    <row r="209" spans="1:13" s="55" customFormat="1" x14ac:dyDescent="0.35">
      <c r="A209" s="185" t="s">
        <v>176</v>
      </c>
      <c r="B209" s="186"/>
      <c r="C209" s="186"/>
      <c r="D209" s="186"/>
      <c r="E209" s="186"/>
      <c r="F209" s="186"/>
      <c r="G209" s="186"/>
      <c r="H209" s="186"/>
      <c r="I209" s="186"/>
      <c r="J209" s="187"/>
    </row>
    <row r="210" spans="1:13" s="55" customFormat="1" x14ac:dyDescent="0.35">
      <c r="A210" s="205">
        <v>1</v>
      </c>
      <c r="B210" s="206"/>
      <c r="C210" s="9" t="s">
        <v>175</v>
      </c>
      <c r="D210" s="205">
        <f>(46.41+1.22*2.74+2.29*1.37)*10.764</f>
        <v>569.30903639999997</v>
      </c>
      <c r="E210" s="206"/>
      <c r="F210" s="9">
        <v>0</v>
      </c>
      <c r="G210" s="2">
        <f t="shared" ref="G210:G213" si="12">D210*1.45</f>
        <v>825.49810277999995</v>
      </c>
      <c r="H210" s="9" t="s">
        <v>88</v>
      </c>
      <c r="I210" s="198" t="str">
        <f>A209</f>
        <v>1st &amp; 3rd Floor</v>
      </c>
      <c r="J210" s="199"/>
    </row>
    <row r="211" spans="1:13" s="55" customFormat="1" x14ac:dyDescent="0.35">
      <c r="A211" s="205">
        <v>2</v>
      </c>
      <c r="B211" s="206"/>
      <c r="C211" s="9" t="s">
        <v>175</v>
      </c>
      <c r="D211" s="205">
        <f>(43.44+1.22*2.74+2.29*1.37+1.24*2.74)*10.764</f>
        <v>573.91172279999989</v>
      </c>
      <c r="E211" s="206"/>
      <c r="F211" s="9">
        <v>0</v>
      </c>
      <c r="G211" s="2">
        <f t="shared" si="12"/>
        <v>832.17199805999985</v>
      </c>
      <c r="H211" s="9" t="s">
        <v>88</v>
      </c>
      <c r="I211" s="200"/>
      <c r="J211" s="201"/>
    </row>
    <row r="212" spans="1:13" s="55" customFormat="1" x14ac:dyDescent="0.35">
      <c r="A212" s="205">
        <v>3</v>
      </c>
      <c r="B212" s="206"/>
      <c r="C212" s="9" t="s">
        <v>175</v>
      </c>
      <c r="D212" s="205">
        <f>(43.44+1.22*2.74+2.29*1.37+1.24*2.74)*10.764</f>
        <v>573.91172279999989</v>
      </c>
      <c r="E212" s="206"/>
      <c r="F212" s="9">
        <v>0</v>
      </c>
      <c r="G212" s="2">
        <f t="shared" si="12"/>
        <v>832.17199805999985</v>
      </c>
      <c r="H212" s="9" t="s">
        <v>88</v>
      </c>
      <c r="I212" s="200"/>
      <c r="J212" s="201"/>
    </row>
    <row r="213" spans="1:13" s="55" customFormat="1" x14ac:dyDescent="0.35">
      <c r="A213" s="205">
        <v>4</v>
      </c>
      <c r="B213" s="206"/>
      <c r="C213" s="9" t="s">
        <v>175</v>
      </c>
      <c r="D213" s="205">
        <f>(46.41+1.22*2.74+2.29*1.37)*10.764</f>
        <v>569.30903639999997</v>
      </c>
      <c r="E213" s="206"/>
      <c r="F213" s="9">
        <v>0</v>
      </c>
      <c r="G213" s="2">
        <f t="shared" si="12"/>
        <v>825.49810277999995</v>
      </c>
      <c r="H213" s="9" t="s">
        <v>88</v>
      </c>
      <c r="I213" s="200"/>
      <c r="J213" s="201"/>
    </row>
    <row r="214" spans="1:13" s="55" customFormat="1" x14ac:dyDescent="0.35">
      <c r="A214" s="202" t="s">
        <v>177</v>
      </c>
      <c r="B214" s="203"/>
      <c r="C214" s="203"/>
      <c r="D214" s="203"/>
      <c r="E214" s="203"/>
      <c r="F214" s="203"/>
      <c r="G214" s="203"/>
      <c r="H214" s="203"/>
      <c r="I214" s="203"/>
      <c r="J214" s="204"/>
    </row>
    <row r="215" spans="1:13" s="55" customFormat="1" ht="15.75" customHeight="1" x14ac:dyDescent="0.35">
      <c r="A215" s="205">
        <v>1</v>
      </c>
      <c r="B215" s="206"/>
      <c r="C215" s="9" t="s">
        <v>175</v>
      </c>
      <c r="D215" s="205">
        <f>(46.41+1.22*2.89+2.29*1.37)*10.764</f>
        <v>571.27884840000002</v>
      </c>
      <c r="E215" s="206"/>
      <c r="F215" s="9">
        <v>0</v>
      </c>
      <c r="G215" s="2">
        <f t="shared" ref="G215:G218" si="13">D215*1.45</f>
        <v>828.35433018000003</v>
      </c>
      <c r="H215" s="9" t="s">
        <v>88</v>
      </c>
      <c r="I215" s="198" t="str">
        <f>A214</f>
        <v>2nd &amp; 4th Floor</v>
      </c>
      <c r="J215" s="199"/>
      <c r="M215" s="56"/>
    </row>
    <row r="216" spans="1:13" s="55" customFormat="1" x14ac:dyDescent="0.35">
      <c r="A216" s="205">
        <v>2</v>
      </c>
      <c r="B216" s="206"/>
      <c r="C216" s="9" t="s">
        <v>175</v>
      </c>
      <c r="D216" s="205">
        <f>(43.44+1.22*2.89+2.29*1.37+1.24*2.74)*10.764</f>
        <v>575.88153479999994</v>
      </c>
      <c r="E216" s="206"/>
      <c r="F216" s="9">
        <v>0</v>
      </c>
      <c r="G216" s="2">
        <f t="shared" si="13"/>
        <v>835.02822545999993</v>
      </c>
      <c r="H216" s="9" t="s">
        <v>88</v>
      </c>
      <c r="I216" s="200"/>
      <c r="J216" s="201"/>
      <c r="L216" s="57"/>
      <c r="M216" s="56"/>
    </row>
    <row r="217" spans="1:13" s="55" customFormat="1" x14ac:dyDescent="0.35">
      <c r="A217" s="205">
        <v>3</v>
      </c>
      <c r="B217" s="206"/>
      <c r="C217" s="9" t="s">
        <v>175</v>
      </c>
      <c r="D217" s="205">
        <f>(43.44+1.22*2.89+2.29*1.37+1.24*2.74)*10.764</f>
        <v>575.88153479999994</v>
      </c>
      <c r="E217" s="206"/>
      <c r="F217" s="9">
        <v>0</v>
      </c>
      <c r="G217" s="2">
        <f t="shared" si="13"/>
        <v>835.02822545999993</v>
      </c>
      <c r="H217" s="9" t="s">
        <v>88</v>
      </c>
      <c r="I217" s="200"/>
      <c r="J217" s="201"/>
      <c r="L217" s="57"/>
      <c r="M217" s="56"/>
    </row>
    <row r="218" spans="1:13" s="55" customFormat="1" x14ac:dyDescent="0.35">
      <c r="A218" s="205">
        <v>4</v>
      </c>
      <c r="B218" s="206"/>
      <c r="C218" s="9" t="s">
        <v>175</v>
      </c>
      <c r="D218" s="205">
        <f>(46.41+1.22*2.89+2.29*1.37)*10.764</f>
        <v>571.27884840000002</v>
      </c>
      <c r="E218" s="206"/>
      <c r="F218" s="9">
        <v>0</v>
      </c>
      <c r="G218" s="2">
        <f t="shared" si="13"/>
        <v>828.35433018000003</v>
      </c>
      <c r="H218" s="9" t="s">
        <v>88</v>
      </c>
      <c r="I218" s="200"/>
      <c r="J218" s="201"/>
      <c r="L218" s="57"/>
      <c r="M218" s="56"/>
    </row>
    <row r="219" spans="1:13" s="55" customFormat="1" x14ac:dyDescent="0.35">
      <c r="A219" s="202" t="s">
        <v>178</v>
      </c>
      <c r="B219" s="203"/>
      <c r="C219" s="203"/>
      <c r="D219" s="203"/>
      <c r="E219" s="203"/>
      <c r="F219" s="203"/>
      <c r="G219" s="203"/>
      <c r="H219" s="203"/>
      <c r="I219" s="203"/>
      <c r="J219" s="204"/>
      <c r="L219" s="57"/>
      <c r="M219" s="56"/>
    </row>
    <row r="220" spans="1:13" s="55" customFormat="1" x14ac:dyDescent="0.35">
      <c r="A220" s="202" t="s">
        <v>168</v>
      </c>
      <c r="B220" s="203"/>
      <c r="C220" s="203"/>
      <c r="D220" s="203"/>
      <c r="E220" s="203"/>
      <c r="F220" s="203"/>
      <c r="G220" s="203"/>
      <c r="H220" s="203"/>
      <c r="I220" s="203"/>
      <c r="J220" s="204"/>
      <c r="L220" s="57"/>
      <c r="M220" s="56"/>
    </row>
    <row r="221" spans="1:13" s="55" customFormat="1" x14ac:dyDescent="0.35">
      <c r="A221" s="202" t="s">
        <v>169</v>
      </c>
      <c r="B221" s="203"/>
      <c r="C221" s="203"/>
      <c r="D221" s="203"/>
      <c r="E221" s="203"/>
      <c r="F221" s="203"/>
      <c r="G221" s="203"/>
      <c r="H221" s="203"/>
      <c r="I221" s="203"/>
      <c r="J221" s="204"/>
      <c r="L221" s="57"/>
      <c r="M221" s="56"/>
    </row>
    <row r="222" spans="1:13" s="55" customFormat="1" ht="15.65" customHeight="1" x14ac:dyDescent="0.35">
      <c r="A222" s="205">
        <v>1</v>
      </c>
      <c r="B222" s="206"/>
      <c r="C222" s="9" t="s">
        <v>175</v>
      </c>
      <c r="D222" s="205">
        <f t="shared" ref="D222:D223" si="14">(46.41+1.22*2.74+2.29*1.37)*10.764</f>
        <v>569.30903639999997</v>
      </c>
      <c r="E222" s="206"/>
      <c r="F222" s="9">
        <v>0</v>
      </c>
      <c r="G222" s="2">
        <f t="shared" ref="G222:G227" si="15">D222*1.45</f>
        <v>825.49810277999995</v>
      </c>
      <c r="H222" s="9" t="s">
        <v>88</v>
      </c>
      <c r="I222" s="198" t="str">
        <f>A221</f>
        <v>1st, 3rd, 5th, 7th, 9th Floor</v>
      </c>
      <c r="J222" s="199"/>
      <c r="L222" s="57"/>
      <c r="M222" s="56"/>
    </row>
    <row r="223" spans="1:13" s="55" customFormat="1" x14ac:dyDescent="0.35">
      <c r="A223" s="205">
        <v>2</v>
      </c>
      <c r="B223" s="206"/>
      <c r="C223" s="9" t="s">
        <v>175</v>
      </c>
      <c r="D223" s="205">
        <f t="shared" si="14"/>
        <v>569.30903639999997</v>
      </c>
      <c r="E223" s="206"/>
      <c r="F223" s="9">
        <v>0</v>
      </c>
      <c r="G223" s="2">
        <f t="shared" si="15"/>
        <v>825.49810277999995</v>
      </c>
      <c r="H223" s="9" t="s">
        <v>88</v>
      </c>
      <c r="I223" s="200"/>
      <c r="J223" s="201"/>
      <c r="L223" s="57"/>
      <c r="M223" s="56"/>
    </row>
    <row r="224" spans="1:13" s="55" customFormat="1" x14ac:dyDescent="0.35">
      <c r="A224" s="205">
        <v>3</v>
      </c>
      <c r="B224" s="206"/>
      <c r="C224" s="9" t="s">
        <v>175</v>
      </c>
      <c r="D224" s="205">
        <f>(47.81+1.22*2.74+2.29*1.37)*10.764</f>
        <v>584.3786364</v>
      </c>
      <c r="E224" s="206"/>
      <c r="F224" s="9">
        <v>0</v>
      </c>
      <c r="G224" s="2">
        <f t="shared" si="15"/>
        <v>847.34902277999993</v>
      </c>
      <c r="H224" s="9" t="s">
        <v>88</v>
      </c>
      <c r="I224" s="207"/>
      <c r="J224" s="208"/>
      <c r="L224" s="57"/>
      <c r="M224" s="56"/>
    </row>
    <row r="225" spans="1:13" s="55" customFormat="1" x14ac:dyDescent="0.35">
      <c r="A225" s="205">
        <v>4</v>
      </c>
      <c r="B225" s="206"/>
      <c r="C225" s="9" t="s">
        <v>175</v>
      </c>
      <c r="D225" s="205">
        <f>(43.74+1.22*2.74+2.29*1.37+1.3*2.74)*10.764</f>
        <v>578.91052439999999</v>
      </c>
      <c r="E225" s="206"/>
      <c r="F225" s="9">
        <v>0</v>
      </c>
      <c r="G225" s="2">
        <f t="shared" si="15"/>
        <v>839.42026037999995</v>
      </c>
      <c r="H225" s="9" t="s">
        <v>88</v>
      </c>
      <c r="I225" s="216" t="str">
        <f>I222</f>
        <v>1st, 3rd, 5th, 7th, 9th Floor</v>
      </c>
      <c r="J225" s="217"/>
      <c r="L225" s="57"/>
      <c r="M225" s="56"/>
    </row>
    <row r="226" spans="1:13" s="55" customFormat="1" x14ac:dyDescent="0.35">
      <c r="A226" s="205">
        <v>5</v>
      </c>
      <c r="B226" s="206"/>
      <c r="C226" s="9" t="s">
        <v>175</v>
      </c>
      <c r="D226" s="205">
        <f>(43.48+1.22*2.74+2.29*1.37+2.74*1.22)*10.764</f>
        <v>573.75241559999995</v>
      </c>
      <c r="E226" s="206"/>
      <c r="F226" s="9">
        <v>0</v>
      </c>
      <c r="G226" s="2">
        <f t="shared" si="15"/>
        <v>831.94100261999995</v>
      </c>
      <c r="H226" s="9" t="s">
        <v>88</v>
      </c>
      <c r="I226" s="218"/>
      <c r="J226" s="219"/>
      <c r="L226" s="58"/>
    </row>
    <row r="227" spans="1:13" s="55" customFormat="1" x14ac:dyDescent="0.35">
      <c r="A227" s="205">
        <v>6</v>
      </c>
      <c r="B227" s="206"/>
      <c r="C227" s="9" t="s">
        <v>175</v>
      </c>
      <c r="D227" s="205">
        <f>(43.48+1.22*2.74+2.29*1.37+2.74*1.22)*10.764</f>
        <v>573.75241559999995</v>
      </c>
      <c r="E227" s="206"/>
      <c r="F227" s="9">
        <v>0</v>
      </c>
      <c r="G227" s="2">
        <f t="shared" si="15"/>
        <v>831.94100261999995</v>
      </c>
      <c r="H227" s="9" t="s">
        <v>88</v>
      </c>
      <c r="I227" s="220"/>
      <c r="J227" s="221"/>
      <c r="L227" s="58"/>
    </row>
    <row r="228" spans="1:13" s="55" customFormat="1" x14ac:dyDescent="0.35">
      <c r="A228" s="215" t="s">
        <v>171</v>
      </c>
      <c r="B228" s="215"/>
      <c r="C228" s="215"/>
      <c r="D228" s="215"/>
      <c r="E228" s="215"/>
      <c r="F228" s="215"/>
      <c r="G228" s="215"/>
      <c r="H228" s="215"/>
      <c r="I228" s="215"/>
      <c r="J228" s="215"/>
      <c r="L228" s="58"/>
    </row>
    <row r="229" spans="1:13" s="55" customFormat="1" ht="15.75" customHeight="1" x14ac:dyDescent="0.35">
      <c r="A229" s="212">
        <v>1</v>
      </c>
      <c r="B229" s="212"/>
      <c r="C229" s="9" t="s">
        <v>175</v>
      </c>
      <c r="D229" s="212">
        <f>(46.41+1.22*2.89+2.29*1.37)*10.764</f>
        <v>571.27884840000002</v>
      </c>
      <c r="E229" s="212"/>
      <c r="F229" s="9">
        <v>0</v>
      </c>
      <c r="G229" s="2">
        <f t="shared" ref="G229:G234" si="16">D229*1.45</f>
        <v>828.35433018000003</v>
      </c>
      <c r="H229" s="9" t="s">
        <v>88</v>
      </c>
      <c r="I229" s="212" t="str">
        <f>A228</f>
        <v>2nd, 4th, 6th, 8th, 10th Floor</v>
      </c>
      <c r="J229" s="212"/>
      <c r="L229" s="58"/>
    </row>
    <row r="230" spans="1:13" s="55" customFormat="1" x14ac:dyDescent="0.35">
      <c r="A230" s="212">
        <v>2</v>
      </c>
      <c r="B230" s="212"/>
      <c r="C230" s="9" t="s">
        <v>175</v>
      </c>
      <c r="D230" s="212">
        <f>(46.41+1.22*2.89+2.29*1.37)*10.764</f>
        <v>571.27884840000002</v>
      </c>
      <c r="E230" s="212"/>
      <c r="F230" s="9">
        <v>0</v>
      </c>
      <c r="G230" s="2">
        <f t="shared" si="16"/>
        <v>828.35433018000003</v>
      </c>
      <c r="H230" s="9" t="s">
        <v>88</v>
      </c>
      <c r="I230" s="212"/>
      <c r="J230" s="212"/>
      <c r="L230" s="58"/>
    </row>
    <row r="231" spans="1:13" s="55" customFormat="1" x14ac:dyDescent="0.35">
      <c r="A231" s="212">
        <v>3</v>
      </c>
      <c r="B231" s="212"/>
      <c r="C231" s="9" t="s">
        <v>175</v>
      </c>
      <c r="D231" s="212">
        <f>(47.81+1.22*2.89+2.29*1.37)*10.764</f>
        <v>586.34844840000005</v>
      </c>
      <c r="E231" s="212"/>
      <c r="F231" s="9">
        <v>0</v>
      </c>
      <c r="G231" s="2">
        <f t="shared" si="16"/>
        <v>850.20525018000001</v>
      </c>
      <c r="H231" s="9" t="s">
        <v>88</v>
      </c>
      <c r="I231" s="212"/>
      <c r="J231" s="212"/>
      <c r="L231" s="58"/>
    </row>
    <row r="232" spans="1:13" s="55" customFormat="1" x14ac:dyDescent="0.35">
      <c r="A232" s="212">
        <v>4</v>
      </c>
      <c r="B232" s="212"/>
      <c r="C232" s="9" t="s">
        <v>175</v>
      </c>
      <c r="D232" s="212">
        <f>(43.74+1.22*2.89+2.29*1.37+1.3*2.74)*10.764</f>
        <v>580.88033639999992</v>
      </c>
      <c r="E232" s="212"/>
      <c r="F232" s="9">
        <v>0</v>
      </c>
      <c r="G232" s="2">
        <f t="shared" si="16"/>
        <v>842.27648777999991</v>
      </c>
      <c r="H232" s="9" t="s">
        <v>88</v>
      </c>
      <c r="I232" s="212"/>
      <c r="J232" s="212"/>
      <c r="L232" s="58"/>
    </row>
    <row r="233" spans="1:13" s="55" customFormat="1" x14ac:dyDescent="0.35">
      <c r="A233" s="212">
        <v>5</v>
      </c>
      <c r="B233" s="212"/>
      <c r="C233" s="9" t="s">
        <v>175</v>
      </c>
      <c r="D233" s="212">
        <f>(43.48+1.22*2.89+2.29*1.37+2.74*1.22)*10.764</f>
        <v>575.72222759999988</v>
      </c>
      <c r="E233" s="212"/>
      <c r="F233" s="9">
        <v>0</v>
      </c>
      <c r="G233" s="2">
        <f t="shared" si="16"/>
        <v>834.7972300199998</v>
      </c>
      <c r="H233" s="9" t="s">
        <v>88</v>
      </c>
      <c r="I233" s="212"/>
      <c r="J233" s="212"/>
      <c r="L233" s="58"/>
    </row>
    <row r="234" spans="1:13" s="55" customFormat="1" x14ac:dyDescent="0.35">
      <c r="A234" s="212">
        <v>6</v>
      </c>
      <c r="B234" s="212"/>
      <c r="C234" s="9" t="s">
        <v>175</v>
      </c>
      <c r="D234" s="212">
        <f>(43.48+1.22*2.89+2.29*1.37+2.74*1.22)*10.764</f>
        <v>575.72222759999988</v>
      </c>
      <c r="E234" s="212"/>
      <c r="F234" s="9">
        <v>0</v>
      </c>
      <c r="G234" s="2">
        <f t="shared" si="16"/>
        <v>834.7972300199998</v>
      </c>
      <c r="H234" s="9" t="s">
        <v>88</v>
      </c>
      <c r="I234" s="212"/>
      <c r="J234" s="212"/>
      <c r="L234" s="58"/>
    </row>
    <row r="235" spans="1:13" s="52" customFormat="1" x14ac:dyDescent="0.35">
      <c r="A235" s="213" t="s">
        <v>98</v>
      </c>
      <c r="B235" s="213"/>
      <c r="C235" s="213"/>
      <c r="D235" s="213"/>
      <c r="E235" s="213"/>
      <c r="F235" s="213"/>
      <c r="G235" s="213"/>
      <c r="H235" s="213"/>
      <c r="I235" s="213"/>
      <c r="J235" s="213"/>
      <c r="L235" s="58"/>
    </row>
    <row r="236" spans="1:13" s="59" customFormat="1" ht="289.5" customHeight="1" x14ac:dyDescent="0.35">
      <c r="A236" s="214" t="s">
        <v>251</v>
      </c>
      <c r="B236" s="214"/>
      <c r="C236" s="214"/>
      <c r="D236" s="214"/>
      <c r="E236" s="214"/>
      <c r="F236" s="214"/>
      <c r="G236" s="214"/>
      <c r="H236" s="214"/>
      <c r="I236" s="214"/>
      <c r="J236" s="214"/>
    </row>
    <row r="237" spans="1:13" x14ac:dyDescent="0.35">
      <c r="A237" s="209" t="s">
        <v>89</v>
      </c>
      <c r="B237" s="210"/>
      <c r="C237" s="210"/>
      <c r="D237" s="210"/>
      <c r="E237" s="210"/>
      <c r="F237" s="210"/>
      <c r="G237" s="210"/>
      <c r="H237" s="210"/>
      <c r="I237" s="210"/>
      <c r="J237" s="211"/>
    </row>
    <row r="238" spans="1:13" x14ac:dyDescent="0.35">
      <c r="A238" s="67" t="s">
        <v>90</v>
      </c>
      <c r="B238" s="70"/>
      <c r="C238" s="70"/>
      <c r="D238" s="70"/>
      <c r="E238" s="70"/>
      <c r="F238" s="70"/>
      <c r="G238" s="70"/>
      <c r="H238" s="70"/>
      <c r="I238" s="70"/>
      <c r="J238" s="68"/>
    </row>
    <row r="239" spans="1:13" ht="15.75" customHeight="1" x14ac:dyDescent="0.35">
      <c r="A239" s="209" t="s">
        <v>91</v>
      </c>
      <c r="B239" s="210"/>
      <c r="C239" s="210"/>
      <c r="D239" s="210"/>
      <c r="E239" s="210"/>
      <c r="F239" s="210"/>
      <c r="G239" s="210"/>
      <c r="H239" s="210"/>
      <c r="I239" s="210"/>
      <c r="J239" s="211"/>
    </row>
    <row r="240" spans="1:13" x14ac:dyDescent="0.35">
      <c r="A240" s="67" t="s">
        <v>92</v>
      </c>
      <c r="B240" s="70"/>
      <c r="C240" s="70"/>
      <c r="D240" s="70"/>
      <c r="E240" s="70"/>
      <c r="F240" s="70"/>
      <c r="G240" s="70"/>
      <c r="H240" s="70"/>
      <c r="I240" s="70"/>
      <c r="J240" s="68"/>
    </row>
    <row r="241" spans="1:10" x14ac:dyDescent="0.35">
      <c r="A241" s="67" t="s">
        <v>93</v>
      </c>
      <c r="B241" s="70"/>
      <c r="C241" s="70"/>
      <c r="D241" s="70"/>
      <c r="E241" s="70"/>
      <c r="F241" s="70"/>
      <c r="G241" s="70"/>
      <c r="H241" s="70"/>
      <c r="I241" s="70"/>
      <c r="J241" s="68"/>
    </row>
    <row r="242" spans="1:10" hidden="1" x14ac:dyDescent="0.35">
      <c r="A242" s="67" t="s">
        <v>94</v>
      </c>
      <c r="B242" s="70"/>
      <c r="C242" s="70"/>
      <c r="D242" s="70"/>
      <c r="E242" s="70"/>
      <c r="F242" s="70"/>
      <c r="G242" s="70"/>
      <c r="H242" s="70"/>
      <c r="I242" s="70"/>
      <c r="J242" s="68"/>
    </row>
    <row r="243" spans="1:10" ht="35.25" hidden="1" customHeight="1" x14ac:dyDescent="0.35">
      <c r="A243" s="126" t="s">
        <v>95</v>
      </c>
      <c r="B243" s="132"/>
      <c r="C243" s="132"/>
      <c r="D243" s="132"/>
      <c r="E243" s="132"/>
      <c r="F243" s="132"/>
      <c r="G243" s="132"/>
      <c r="H243" s="132"/>
      <c r="I243" s="132"/>
      <c r="J243" s="133"/>
    </row>
    <row r="244" spans="1:10" x14ac:dyDescent="0.35">
      <c r="A244" s="111" t="s">
        <v>139</v>
      </c>
      <c r="B244" s="111"/>
      <c r="C244" s="111" t="s">
        <v>250</v>
      </c>
      <c r="D244" s="111"/>
      <c r="E244" s="111" t="s">
        <v>140</v>
      </c>
      <c r="F244" s="111"/>
      <c r="G244" s="111"/>
      <c r="H244" s="111" t="s">
        <v>248</v>
      </c>
      <c r="I244" s="111"/>
      <c r="J244" s="111"/>
    </row>
    <row r="245" spans="1:10" x14ac:dyDescent="0.35">
      <c r="A245" s="102" t="s">
        <v>142</v>
      </c>
      <c r="B245" s="103"/>
      <c r="C245" s="103"/>
      <c r="D245" s="103"/>
      <c r="E245" s="103"/>
      <c r="F245" s="103"/>
      <c r="G245" s="103"/>
      <c r="H245" s="103"/>
      <c r="I245" s="103"/>
      <c r="J245" s="104"/>
    </row>
    <row r="246" spans="1:10" x14ac:dyDescent="0.35">
      <c r="A246" s="105"/>
      <c r="B246" s="106"/>
      <c r="C246" s="106"/>
      <c r="D246" s="106"/>
      <c r="E246" s="106"/>
      <c r="F246" s="106"/>
      <c r="G246" s="106"/>
      <c r="H246" s="106"/>
      <c r="I246" s="106"/>
      <c r="J246" s="107"/>
    </row>
    <row r="247" spans="1:10" x14ac:dyDescent="0.35">
      <c r="A247" s="105"/>
      <c r="B247" s="106"/>
      <c r="C247" s="106"/>
      <c r="D247" s="106"/>
      <c r="E247" s="106"/>
      <c r="F247" s="106"/>
      <c r="G247" s="106"/>
      <c r="H247" s="106"/>
      <c r="I247" s="106"/>
      <c r="J247" s="107"/>
    </row>
    <row r="248" spans="1:10" x14ac:dyDescent="0.35">
      <c r="A248" s="108"/>
      <c r="B248" s="109"/>
      <c r="C248" s="109"/>
      <c r="D248" s="109"/>
      <c r="E248" s="109"/>
      <c r="F248" s="109"/>
      <c r="G248" s="109"/>
      <c r="H248" s="109"/>
      <c r="I248" s="109"/>
      <c r="J248" s="110"/>
    </row>
    <row r="249" spans="1:10" x14ac:dyDescent="0.35">
      <c r="A249" s="60" t="s">
        <v>96</v>
      </c>
      <c r="B249" s="61"/>
      <c r="C249" s="61"/>
      <c r="D249" s="60" t="str">
        <f>F8</f>
        <v>Sai Kanhuji Police Sankul</v>
      </c>
      <c r="G249" s="61"/>
      <c r="H249" s="61"/>
      <c r="I249" s="61"/>
      <c r="J249" s="61"/>
    </row>
    <row r="250" spans="1:10" x14ac:dyDescent="0.35">
      <c r="A250" s="61"/>
      <c r="B250" s="61"/>
      <c r="C250" s="61"/>
      <c r="D250" s="61"/>
      <c r="E250" s="61"/>
      <c r="F250" s="61"/>
      <c r="G250" s="61"/>
      <c r="H250" s="61"/>
      <c r="I250" s="61"/>
      <c r="J250" s="61"/>
    </row>
    <row r="251" spans="1:10" x14ac:dyDescent="0.35">
      <c r="A251" s="61"/>
      <c r="B251" s="61"/>
      <c r="C251" s="61"/>
      <c r="D251" s="61"/>
      <c r="E251" s="61"/>
      <c r="F251" s="61"/>
      <c r="G251" s="61"/>
      <c r="H251" s="61"/>
      <c r="I251" s="61"/>
      <c r="J251" s="61"/>
    </row>
    <row r="252" spans="1:10" ht="15" customHeight="1" x14ac:dyDescent="0.35"/>
    <row r="295" spans="1:1" x14ac:dyDescent="0.35">
      <c r="A295" s="62" t="s">
        <v>97</v>
      </c>
    </row>
  </sheetData>
  <sortState ref="L191:L200">
    <sortCondition ref="L191"/>
  </sortState>
  <mergeCells count="509">
    <mergeCell ref="D158:F158"/>
    <mergeCell ref="G158:J158"/>
    <mergeCell ref="A172:B172"/>
    <mergeCell ref="D172:E172"/>
    <mergeCell ref="A173:B173"/>
    <mergeCell ref="D173:E173"/>
    <mergeCell ref="A170:B170"/>
    <mergeCell ref="D170:E170"/>
    <mergeCell ref="A169:B169"/>
    <mergeCell ref="D169:E169"/>
    <mergeCell ref="D168:E168"/>
    <mergeCell ref="A166:B166"/>
    <mergeCell ref="D166:E166"/>
    <mergeCell ref="A167:B167"/>
    <mergeCell ref="D167:E167"/>
    <mergeCell ref="A159:B159"/>
    <mergeCell ref="D159:F159"/>
    <mergeCell ref="G159:J159"/>
    <mergeCell ref="A160:J160"/>
    <mergeCell ref="A161:J161"/>
    <mergeCell ref="A163:J163"/>
    <mergeCell ref="A168:B168"/>
    <mergeCell ref="A241:J241"/>
    <mergeCell ref="A242:J242"/>
    <mergeCell ref="A243:J243"/>
    <mergeCell ref="D155:F155"/>
    <mergeCell ref="G155:J155"/>
    <mergeCell ref="A57:C57"/>
    <mergeCell ref="D57:J57"/>
    <mergeCell ref="A235:J235"/>
    <mergeCell ref="A236:J236"/>
    <mergeCell ref="A237:J237"/>
    <mergeCell ref="A238:J238"/>
    <mergeCell ref="A228:J228"/>
    <mergeCell ref="A225:B225"/>
    <mergeCell ref="D225:E225"/>
    <mergeCell ref="A226:B226"/>
    <mergeCell ref="D226:E226"/>
    <mergeCell ref="A223:B223"/>
    <mergeCell ref="D223:E223"/>
    <mergeCell ref="I225:J227"/>
    <mergeCell ref="A164:J164"/>
    <mergeCell ref="A165:J165"/>
    <mergeCell ref="I166:J170"/>
    <mergeCell ref="A171:J171"/>
    <mergeCell ref="I172:J176"/>
    <mergeCell ref="A41:E41"/>
    <mergeCell ref="F41:J41"/>
    <mergeCell ref="A42:E42"/>
    <mergeCell ref="F42:J42"/>
    <mergeCell ref="A43:E43"/>
    <mergeCell ref="F43:J43"/>
    <mergeCell ref="A44:J44"/>
    <mergeCell ref="A239:J239"/>
    <mergeCell ref="A240:J240"/>
    <mergeCell ref="A233:B233"/>
    <mergeCell ref="D233:E233"/>
    <mergeCell ref="A234:B234"/>
    <mergeCell ref="D234:E234"/>
    <mergeCell ref="A231:B231"/>
    <mergeCell ref="D231:E231"/>
    <mergeCell ref="A232:B232"/>
    <mergeCell ref="D232:E232"/>
    <mergeCell ref="I229:J234"/>
    <mergeCell ref="A229:B229"/>
    <mergeCell ref="D229:E229"/>
    <mergeCell ref="A230:B230"/>
    <mergeCell ref="D230:E230"/>
    <mergeCell ref="A227:B227"/>
    <mergeCell ref="D227:E227"/>
    <mergeCell ref="A224:B224"/>
    <mergeCell ref="D224:E224"/>
    <mergeCell ref="A222:B222"/>
    <mergeCell ref="D222:E222"/>
    <mergeCell ref="A219:J219"/>
    <mergeCell ref="A220:J220"/>
    <mergeCell ref="A221:J221"/>
    <mergeCell ref="A217:B217"/>
    <mergeCell ref="D217:E217"/>
    <mergeCell ref="A218:B218"/>
    <mergeCell ref="D218:E218"/>
    <mergeCell ref="I215:J218"/>
    <mergeCell ref="A215:B215"/>
    <mergeCell ref="D215:E215"/>
    <mergeCell ref="A216:B216"/>
    <mergeCell ref="D216:E216"/>
    <mergeCell ref="I222:J224"/>
    <mergeCell ref="I210:J213"/>
    <mergeCell ref="A214:J214"/>
    <mergeCell ref="A213:B213"/>
    <mergeCell ref="D213:E213"/>
    <mergeCell ref="A211:B211"/>
    <mergeCell ref="D211:E211"/>
    <mergeCell ref="A212:B212"/>
    <mergeCell ref="D212:E212"/>
    <mergeCell ref="A210:B210"/>
    <mergeCell ref="D210:E210"/>
    <mergeCell ref="A207:J207"/>
    <mergeCell ref="A208:J208"/>
    <mergeCell ref="A209:J209"/>
    <mergeCell ref="A205:B205"/>
    <mergeCell ref="D205:E205"/>
    <mergeCell ref="A206:B206"/>
    <mergeCell ref="D206:E206"/>
    <mergeCell ref="A203:B203"/>
    <mergeCell ref="D203:E203"/>
    <mergeCell ref="A204:B204"/>
    <mergeCell ref="D204:E204"/>
    <mergeCell ref="I201:J206"/>
    <mergeCell ref="A201:B201"/>
    <mergeCell ref="D201:E201"/>
    <mergeCell ref="A202:B202"/>
    <mergeCell ref="D202:E202"/>
    <mergeCell ref="A198:B198"/>
    <mergeCell ref="D198:E198"/>
    <mergeCell ref="A199:B199"/>
    <mergeCell ref="D199:E199"/>
    <mergeCell ref="A200:J200"/>
    <mergeCell ref="I194:J199"/>
    <mergeCell ref="A196:B196"/>
    <mergeCell ref="D196:E196"/>
    <mergeCell ref="A197:B197"/>
    <mergeCell ref="D197:E197"/>
    <mergeCell ref="A194:B194"/>
    <mergeCell ref="D194:E194"/>
    <mergeCell ref="A195:B195"/>
    <mergeCell ref="D195:E195"/>
    <mergeCell ref="A190:B190"/>
    <mergeCell ref="D190:E190"/>
    <mergeCell ref="I186:J190"/>
    <mergeCell ref="A191:J191"/>
    <mergeCell ref="A192:J192"/>
    <mergeCell ref="A193:J193"/>
    <mergeCell ref="A188:B188"/>
    <mergeCell ref="D188:E188"/>
    <mergeCell ref="A189:B189"/>
    <mergeCell ref="D189:E189"/>
    <mergeCell ref="A186:B186"/>
    <mergeCell ref="D186:E186"/>
    <mergeCell ref="A187:B187"/>
    <mergeCell ref="D187:E187"/>
    <mergeCell ref="A184:B184"/>
    <mergeCell ref="D184:E184"/>
    <mergeCell ref="A182:B182"/>
    <mergeCell ref="D182:E182"/>
    <mergeCell ref="A183:B183"/>
    <mergeCell ref="D183:E183"/>
    <mergeCell ref="I180:J184"/>
    <mergeCell ref="A185:J185"/>
    <mergeCell ref="A180:B180"/>
    <mergeCell ref="D180:E180"/>
    <mergeCell ref="A181:B181"/>
    <mergeCell ref="D181:E181"/>
    <mergeCell ref="A178:J178"/>
    <mergeCell ref="A179:J179"/>
    <mergeCell ref="A176:B176"/>
    <mergeCell ref="D176:E176"/>
    <mergeCell ref="A174:B174"/>
    <mergeCell ref="D174:E174"/>
    <mergeCell ref="A175:B175"/>
    <mergeCell ref="D175:E175"/>
    <mergeCell ref="A177:J177"/>
    <mergeCell ref="A150:F150"/>
    <mergeCell ref="G150:J150"/>
    <mergeCell ref="A151:F151"/>
    <mergeCell ref="G151:J151"/>
    <mergeCell ref="A149:F149"/>
    <mergeCell ref="G149:J149"/>
    <mergeCell ref="A156:B156"/>
    <mergeCell ref="A162:B162"/>
    <mergeCell ref="D162:E162"/>
    <mergeCell ref="I162:J162"/>
    <mergeCell ref="A155:B155"/>
    <mergeCell ref="D156:F156"/>
    <mergeCell ref="G156:J156"/>
    <mergeCell ref="A152:J152"/>
    <mergeCell ref="A154:B154"/>
    <mergeCell ref="A153:B153"/>
    <mergeCell ref="D153:F153"/>
    <mergeCell ref="G153:J153"/>
    <mergeCell ref="D154:F154"/>
    <mergeCell ref="G154:J154"/>
    <mergeCell ref="A157:B157"/>
    <mergeCell ref="D157:F157"/>
    <mergeCell ref="G157:J157"/>
    <mergeCell ref="A158:B158"/>
    <mergeCell ref="A147:J147"/>
    <mergeCell ref="A148:F148"/>
    <mergeCell ref="G148:J148"/>
    <mergeCell ref="A145:J145"/>
    <mergeCell ref="A146:B146"/>
    <mergeCell ref="C146:J146"/>
    <mergeCell ref="A58:J58"/>
    <mergeCell ref="A59:J59"/>
    <mergeCell ref="A144:J144"/>
    <mergeCell ref="A62:B62"/>
    <mergeCell ref="C62:J62"/>
    <mergeCell ref="A63:B63"/>
    <mergeCell ref="D63:E63"/>
    <mergeCell ref="F63:G63"/>
    <mergeCell ref="H63:J63"/>
    <mergeCell ref="A64:B64"/>
    <mergeCell ref="D64:E64"/>
    <mergeCell ref="F64:G73"/>
    <mergeCell ref="A73:B73"/>
    <mergeCell ref="D73:E73"/>
    <mergeCell ref="H64:J73"/>
    <mergeCell ref="A65:B65"/>
    <mergeCell ref="D65:E65"/>
    <mergeCell ref="A66:B66"/>
    <mergeCell ref="A50:J50"/>
    <mergeCell ref="A51:C51"/>
    <mergeCell ref="D51:E51"/>
    <mergeCell ref="F51:G51"/>
    <mergeCell ref="H51:J51"/>
    <mergeCell ref="A60:B60"/>
    <mergeCell ref="C60:J60"/>
    <mergeCell ref="D61:E61"/>
    <mergeCell ref="I61:J61"/>
    <mergeCell ref="C53:J53"/>
    <mergeCell ref="C54:J54"/>
    <mergeCell ref="A52:B54"/>
    <mergeCell ref="A55:B56"/>
    <mergeCell ref="C55:J55"/>
    <mergeCell ref="C56:J56"/>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29:B29"/>
    <mergeCell ref="C29:D29"/>
    <mergeCell ref="E29:F29"/>
    <mergeCell ref="G29:H29"/>
    <mergeCell ref="I29:J29"/>
    <mergeCell ref="A31:J31"/>
    <mergeCell ref="A32:B32"/>
    <mergeCell ref="A30:J30"/>
    <mergeCell ref="C32:J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245:J248"/>
    <mergeCell ref="A244:B244"/>
    <mergeCell ref="E244:G244"/>
    <mergeCell ref="C244:D244"/>
    <mergeCell ref="H244:J244"/>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C52:J52"/>
    <mergeCell ref="F35:J35"/>
    <mergeCell ref="D66:E66"/>
    <mergeCell ref="A67:B67"/>
    <mergeCell ref="D67:E67"/>
    <mergeCell ref="A68:B68"/>
    <mergeCell ref="D68:E68"/>
    <mergeCell ref="A69:B69"/>
    <mergeCell ref="D69:E69"/>
    <mergeCell ref="A70:B70"/>
    <mergeCell ref="D70:E70"/>
    <mergeCell ref="A71:B71"/>
    <mergeCell ref="D71:E71"/>
    <mergeCell ref="A72:B72"/>
    <mergeCell ref="D72:E72"/>
    <mergeCell ref="A74:B74"/>
    <mergeCell ref="C74:J74"/>
    <mergeCell ref="D75:E75"/>
    <mergeCell ref="I75:J75"/>
    <mergeCell ref="A76:B76"/>
    <mergeCell ref="C76:J76"/>
    <mergeCell ref="A77:B77"/>
    <mergeCell ref="D77:E77"/>
    <mergeCell ref="F77:G77"/>
    <mergeCell ref="H77:J77"/>
    <mergeCell ref="A78:B78"/>
    <mergeCell ref="D78:E78"/>
    <mergeCell ref="F78:G87"/>
    <mergeCell ref="H78:J87"/>
    <mergeCell ref="A79:B79"/>
    <mergeCell ref="D79:E79"/>
    <mergeCell ref="A80:B80"/>
    <mergeCell ref="D80:E80"/>
    <mergeCell ref="A81:B81"/>
    <mergeCell ref="D81:E81"/>
    <mergeCell ref="A82:B82"/>
    <mergeCell ref="D82:E82"/>
    <mergeCell ref="A83:B83"/>
    <mergeCell ref="D83:E83"/>
    <mergeCell ref="A84:B84"/>
    <mergeCell ref="D84:E84"/>
    <mergeCell ref="A85:B85"/>
    <mergeCell ref="D85:E85"/>
    <mergeCell ref="A86:B86"/>
    <mergeCell ref="D86:E86"/>
    <mergeCell ref="A87:B87"/>
    <mergeCell ref="D87:E87"/>
    <mergeCell ref="A88:B88"/>
    <mergeCell ref="C88:J88"/>
    <mergeCell ref="D89:E89"/>
    <mergeCell ref="I89:J89"/>
    <mergeCell ref="A90:B90"/>
    <mergeCell ref="C90:J90"/>
    <mergeCell ref="A91:B91"/>
    <mergeCell ref="D91:E91"/>
    <mergeCell ref="F91:G91"/>
    <mergeCell ref="H91:J91"/>
    <mergeCell ref="A92:B92"/>
    <mergeCell ref="D92:E92"/>
    <mergeCell ref="F92:G101"/>
    <mergeCell ref="H92:J101"/>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0:E100"/>
    <mergeCell ref="A101:B101"/>
    <mergeCell ref="D101:E101"/>
    <mergeCell ref="A102:B102"/>
    <mergeCell ref="C102:J102"/>
    <mergeCell ref="D103:E103"/>
    <mergeCell ref="I103:J103"/>
    <mergeCell ref="A104:B104"/>
    <mergeCell ref="C104:J104"/>
    <mergeCell ref="A105:B105"/>
    <mergeCell ref="D105:E105"/>
    <mergeCell ref="F105:G105"/>
    <mergeCell ref="H105:J105"/>
    <mergeCell ref="A106:B106"/>
    <mergeCell ref="D106:E106"/>
    <mergeCell ref="F106:G115"/>
    <mergeCell ref="H106:J115"/>
    <mergeCell ref="A107:B107"/>
    <mergeCell ref="D107:E107"/>
    <mergeCell ref="A108:B108"/>
    <mergeCell ref="D108:E108"/>
    <mergeCell ref="A109:B109"/>
    <mergeCell ref="D109:E109"/>
    <mergeCell ref="A110:B110"/>
    <mergeCell ref="D110:E110"/>
    <mergeCell ref="A111:B111"/>
    <mergeCell ref="D111:E111"/>
    <mergeCell ref="A112:B112"/>
    <mergeCell ref="D112:E112"/>
    <mergeCell ref="A113:B113"/>
    <mergeCell ref="D113:E113"/>
    <mergeCell ref="A114:B114"/>
    <mergeCell ref="D114:E114"/>
    <mergeCell ref="A115:B115"/>
    <mergeCell ref="D115:E115"/>
    <mergeCell ref="A116:B116"/>
    <mergeCell ref="C116:J116"/>
    <mergeCell ref="D117:E117"/>
    <mergeCell ref="I117:J117"/>
    <mergeCell ref="A118:B118"/>
    <mergeCell ref="C118:J118"/>
    <mergeCell ref="A119:B119"/>
    <mergeCell ref="D119:E119"/>
    <mergeCell ref="F119:G119"/>
    <mergeCell ref="H119:J119"/>
    <mergeCell ref="A120:B120"/>
    <mergeCell ref="D120:E120"/>
    <mergeCell ref="F120:G129"/>
    <mergeCell ref="H120:J129"/>
    <mergeCell ref="A121:B121"/>
    <mergeCell ref="D121:E121"/>
    <mergeCell ref="A122:B122"/>
    <mergeCell ref="D122:E122"/>
    <mergeCell ref="A123:B123"/>
    <mergeCell ref="D123:E123"/>
    <mergeCell ref="A124:B124"/>
    <mergeCell ref="D124:E124"/>
    <mergeCell ref="A125:B125"/>
    <mergeCell ref="D125:E125"/>
    <mergeCell ref="A126:B126"/>
    <mergeCell ref="D126:E126"/>
    <mergeCell ref="A127:B127"/>
    <mergeCell ref="D127:E127"/>
    <mergeCell ref="A128:B128"/>
    <mergeCell ref="D128:E128"/>
    <mergeCell ref="A129:B129"/>
    <mergeCell ref="D129:E129"/>
    <mergeCell ref="A130:B130"/>
    <mergeCell ref="C130:J130"/>
    <mergeCell ref="D131:E131"/>
    <mergeCell ref="I131:J131"/>
    <mergeCell ref="A132:B132"/>
    <mergeCell ref="C132:J132"/>
    <mergeCell ref="A133:B133"/>
    <mergeCell ref="D133:E133"/>
    <mergeCell ref="F133:G133"/>
    <mergeCell ref="H133:J133"/>
    <mergeCell ref="A33:B33"/>
    <mergeCell ref="C33:J33"/>
    <mergeCell ref="A134:B134"/>
    <mergeCell ref="D134:E134"/>
    <mergeCell ref="F134:G143"/>
    <mergeCell ref="H134:J143"/>
    <mergeCell ref="A135:B135"/>
    <mergeCell ref="D135:E135"/>
    <mergeCell ref="A136:B136"/>
    <mergeCell ref="D136:E136"/>
    <mergeCell ref="A137:B137"/>
    <mergeCell ref="D137:E137"/>
    <mergeCell ref="A138:B138"/>
    <mergeCell ref="D138:E138"/>
    <mergeCell ref="A139:B139"/>
    <mergeCell ref="D139:E139"/>
    <mergeCell ref="A140:B140"/>
    <mergeCell ref="D140:E140"/>
    <mergeCell ref="A141:B141"/>
    <mergeCell ref="D141:E141"/>
    <mergeCell ref="A142:B142"/>
    <mergeCell ref="D142:E142"/>
    <mergeCell ref="A143:B143"/>
    <mergeCell ref="D143:E143"/>
  </mergeCells>
  <hyperlinks>
    <hyperlink ref="C33" r:id="rId1"/>
  </hyperlinks>
  <pageMargins left="0.43307086614173201" right="0.43307086614173201" top="0.78740157480314998" bottom="0.78740157480314998"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4" manualBreakCount="4">
    <brk id="73" max="16383" man="1"/>
    <brk id="234" max="16383" man="1"/>
    <brk id="248" max="9" man="1"/>
    <brk id="294"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M9" sqref="M9"/>
    </sheetView>
  </sheetViews>
  <sheetFormatPr defaultRowHeight="14.5" x14ac:dyDescent="0.35"/>
  <cols>
    <col min="1" max="1" width="11.26953125" bestFit="1" customWidth="1"/>
  </cols>
  <sheetData>
    <row r="1" spans="1:3" x14ac:dyDescent="0.35">
      <c r="A1" t="s">
        <v>181</v>
      </c>
      <c r="B1" t="s">
        <v>182</v>
      </c>
      <c r="C1" t="s">
        <v>183</v>
      </c>
    </row>
    <row r="2" spans="1:3" x14ac:dyDescent="0.35">
      <c r="C2" t="s">
        <v>184</v>
      </c>
    </row>
    <row r="4" spans="1:3" x14ac:dyDescent="0.35">
      <c r="A4" t="s">
        <v>185</v>
      </c>
      <c r="B4" t="s">
        <v>186</v>
      </c>
      <c r="C4" t="s">
        <v>187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5" workbookViewId="0">
      <selection activeCell="C27" sqref="C27:D28"/>
    </sheetView>
  </sheetViews>
  <sheetFormatPr defaultRowHeight="14.5" x14ac:dyDescent="0.35"/>
  <cols>
    <col min="2" max="2" width="12.26953125" customWidth="1"/>
  </cols>
  <sheetData>
    <row r="2" spans="1:12" x14ac:dyDescent="0.35">
      <c r="B2" s="3" t="s">
        <v>99</v>
      </c>
      <c r="C2" s="224"/>
      <c r="D2" s="224"/>
    </row>
    <row r="3" spans="1:12" x14ac:dyDescent="0.35">
      <c r="D3" s="4"/>
      <c r="E3" s="4"/>
      <c r="F3" s="4"/>
      <c r="G3" s="4"/>
      <c r="H3" s="4"/>
      <c r="I3" s="4"/>
    </row>
    <row r="4" spans="1:12" x14ac:dyDescent="0.35">
      <c r="A4" s="3" t="s">
        <v>100</v>
      </c>
      <c r="B4" s="5" t="s">
        <v>101</v>
      </c>
      <c r="C4" s="225" t="s">
        <v>102</v>
      </c>
      <c r="D4" s="225"/>
      <c r="E4" s="225"/>
      <c r="F4" s="6"/>
      <c r="G4" s="225" t="s">
        <v>103</v>
      </c>
      <c r="H4" s="225"/>
      <c r="I4" s="225"/>
      <c r="J4" s="225" t="s">
        <v>104</v>
      </c>
      <c r="K4" s="225"/>
      <c r="L4" s="225"/>
    </row>
    <row r="5" spans="1:12" x14ac:dyDescent="0.35">
      <c r="A5" s="3">
        <v>1</v>
      </c>
      <c r="B5" s="5"/>
      <c r="C5" s="5" t="s">
        <v>105</v>
      </c>
      <c r="D5" s="5" t="s">
        <v>106</v>
      </c>
      <c r="E5" s="5" t="s">
        <v>78</v>
      </c>
      <c r="F5" s="5"/>
      <c r="G5" s="5" t="s">
        <v>105</v>
      </c>
      <c r="H5" s="5" t="s">
        <v>106</v>
      </c>
      <c r="I5" s="5" t="s">
        <v>78</v>
      </c>
      <c r="J5" s="5" t="s">
        <v>105</v>
      </c>
      <c r="K5" s="5" t="s">
        <v>106</v>
      </c>
      <c r="L5" s="5" t="s">
        <v>78</v>
      </c>
    </row>
    <row r="6" spans="1:12" x14ac:dyDescent="0.35">
      <c r="B6" s="7" t="s">
        <v>107</v>
      </c>
      <c r="C6" s="7">
        <v>2.74</v>
      </c>
      <c r="D6" s="7">
        <v>4.57</v>
      </c>
      <c r="E6" s="7">
        <f>C6*D6</f>
        <v>12.521800000000002</v>
      </c>
      <c r="F6" s="7" t="s">
        <v>108</v>
      </c>
      <c r="G6" s="7">
        <v>1.22</v>
      </c>
      <c r="H6" s="7">
        <v>2.74</v>
      </c>
      <c r="I6" s="7">
        <f>G6*H6</f>
        <v>3.3428</v>
      </c>
      <c r="J6" s="7"/>
      <c r="K6" s="7"/>
      <c r="L6" s="7">
        <f>J6*K6</f>
        <v>0</v>
      </c>
    </row>
    <row r="7" spans="1:12" x14ac:dyDescent="0.35">
      <c r="B7" s="7"/>
      <c r="C7" s="7"/>
      <c r="D7" s="7"/>
      <c r="E7" s="7">
        <f t="shared" ref="E7:E33" si="0">C7*D7</f>
        <v>0</v>
      </c>
      <c r="F7" s="7" t="s">
        <v>109</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110</v>
      </c>
      <c r="C9" s="7">
        <v>2.2799999999999998</v>
      </c>
      <c r="D9" s="7">
        <v>2.44</v>
      </c>
      <c r="E9" s="7">
        <f t="shared" si="0"/>
        <v>5.5631999999999993</v>
      </c>
      <c r="F9" s="7" t="s">
        <v>108</v>
      </c>
      <c r="G9" s="7">
        <v>1.06</v>
      </c>
      <c r="H9" s="7">
        <v>2.2799999999999998</v>
      </c>
      <c r="I9" s="7">
        <f t="shared" si="1"/>
        <v>2.4167999999999998</v>
      </c>
      <c r="J9" s="7"/>
      <c r="K9" s="7"/>
      <c r="L9" s="7">
        <f t="shared" si="2"/>
        <v>0</v>
      </c>
    </row>
    <row r="10" spans="1:12" x14ac:dyDescent="0.35">
      <c r="B10" s="7"/>
      <c r="C10" s="7"/>
      <c r="D10" s="7"/>
      <c r="E10" s="7">
        <f t="shared" si="0"/>
        <v>0</v>
      </c>
      <c r="F10" s="7" t="s">
        <v>109</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111</v>
      </c>
      <c r="C13" s="7">
        <v>2.74</v>
      </c>
      <c r="D13" s="7">
        <v>2.74</v>
      </c>
      <c r="E13" s="7">
        <f t="shared" si="0"/>
        <v>7.5076000000000009</v>
      </c>
      <c r="F13" s="7" t="s">
        <v>108</v>
      </c>
      <c r="G13" s="7"/>
      <c r="H13" s="7"/>
      <c r="I13" s="7">
        <f t="shared" si="1"/>
        <v>0</v>
      </c>
      <c r="J13" s="7"/>
      <c r="K13" s="7"/>
      <c r="L13" s="7">
        <f t="shared" si="2"/>
        <v>0</v>
      </c>
    </row>
    <row r="14" spans="1:12" x14ac:dyDescent="0.35">
      <c r="B14" s="7"/>
      <c r="C14" s="7"/>
      <c r="D14" s="7"/>
      <c r="E14" s="7">
        <f t="shared" si="0"/>
        <v>0</v>
      </c>
      <c r="F14" s="7" t="s">
        <v>109</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112</v>
      </c>
      <c r="C17" s="7"/>
      <c r="D17" s="7"/>
      <c r="E17" s="7">
        <f t="shared" si="0"/>
        <v>0</v>
      </c>
      <c r="F17" s="7" t="s">
        <v>108</v>
      </c>
      <c r="G17" s="7"/>
      <c r="H17" s="7"/>
      <c r="I17" s="7">
        <f t="shared" si="1"/>
        <v>0</v>
      </c>
      <c r="J17" s="7"/>
      <c r="K17" s="7"/>
      <c r="L17" s="7">
        <f t="shared" si="2"/>
        <v>0</v>
      </c>
    </row>
    <row r="18" spans="2:12" x14ac:dyDescent="0.35">
      <c r="B18" s="7"/>
      <c r="C18" s="7"/>
      <c r="D18" s="7"/>
      <c r="E18" s="7">
        <f t="shared" si="0"/>
        <v>0</v>
      </c>
      <c r="F18" s="7" t="s">
        <v>109</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112</v>
      </c>
      <c r="C20" s="7"/>
      <c r="D20" s="7"/>
      <c r="E20" s="7">
        <f t="shared" si="0"/>
        <v>0</v>
      </c>
      <c r="F20" s="7" t="s">
        <v>108</v>
      </c>
      <c r="G20" s="7"/>
      <c r="H20" s="7"/>
      <c r="I20" s="7">
        <f t="shared" si="1"/>
        <v>0</v>
      </c>
      <c r="J20" s="7"/>
      <c r="K20" s="7"/>
      <c r="L20" s="7">
        <f t="shared" si="2"/>
        <v>0</v>
      </c>
    </row>
    <row r="21" spans="2:12" x14ac:dyDescent="0.35">
      <c r="B21" s="7"/>
      <c r="C21" s="7"/>
      <c r="D21" s="7"/>
      <c r="E21" s="7">
        <f t="shared" si="0"/>
        <v>0</v>
      </c>
      <c r="F21" s="7" t="s">
        <v>109</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113</v>
      </c>
      <c r="C23" s="7">
        <v>1.22</v>
      </c>
      <c r="D23" s="7">
        <v>1.83</v>
      </c>
      <c r="E23" s="7">
        <f t="shared" si="0"/>
        <v>2.2326000000000001</v>
      </c>
      <c r="F23" s="7" t="s">
        <v>114</v>
      </c>
      <c r="G23" s="7"/>
      <c r="H23" s="7"/>
      <c r="I23" s="7">
        <f t="shared" si="1"/>
        <v>0</v>
      </c>
      <c r="J23" s="7"/>
      <c r="K23" s="7"/>
      <c r="L23" s="7">
        <f t="shared" si="2"/>
        <v>0</v>
      </c>
    </row>
    <row r="24" spans="2:12" x14ac:dyDescent="0.35">
      <c r="B24" s="7" t="s">
        <v>115</v>
      </c>
      <c r="C24" s="7">
        <v>0.91</v>
      </c>
      <c r="D24" s="7">
        <v>1.22</v>
      </c>
      <c r="E24" s="7">
        <f t="shared" si="0"/>
        <v>1.1102000000000001</v>
      </c>
      <c r="F24" s="7" t="s">
        <v>114</v>
      </c>
      <c r="G24" s="7"/>
      <c r="H24" s="7"/>
      <c r="I24" s="7">
        <f t="shared" si="1"/>
        <v>0</v>
      </c>
      <c r="J24" s="7"/>
      <c r="K24" s="7"/>
      <c r="L24" s="7">
        <f t="shared" si="2"/>
        <v>0</v>
      </c>
    </row>
    <row r="25" spans="2:12" x14ac:dyDescent="0.35">
      <c r="B25" s="7" t="s">
        <v>116</v>
      </c>
      <c r="C25" s="7">
        <v>1.22</v>
      </c>
      <c r="D25" s="7">
        <v>0.3</v>
      </c>
      <c r="E25" s="7">
        <f t="shared" si="0"/>
        <v>0.36599999999999999</v>
      </c>
      <c r="F25" s="7" t="s">
        <v>114</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117</v>
      </c>
      <c r="C27" s="7">
        <v>2.29</v>
      </c>
      <c r="D27" s="7">
        <v>0.61</v>
      </c>
      <c r="E27" s="7">
        <f t="shared" si="0"/>
        <v>1.3969</v>
      </c>
      <c r="F27" s="7"/>
      <c r="G27" s="7"/>
      <c r="H27" s="7"/>
      <c r="I27" s="7">
        <f t="shared" si="1"/>
        <v>0</v>
      </c>
      <c r="J27" s="7"/>
      <c r="K27" s="7"/>
      <c r="L27" s="7">
        <f t="shared" si="2"/>
        <v>0</v>
      </c>
    </row>
    <row r="28" spans="2:12" x14ac:dyDescent="0.35">
      <c r="B28" s="7" t="s">
        <v>118</v>
      </c>
      <c r="C28" s="7"/>
      <c r="D28" s="7"/>
      <c r="E28" s="7">
        <f t="shared" si="0"/>
        <v>0</v>
      </c>
      <c r="F28" s="7"/>
      <c r="G28" s="7"/>
      <c r="H28" s="7"/>
      <c r="I28" s="7">
        <f t="shared" si="1"/>
        <v>0</v>
      </c>
      <c r="J28" s="7"/>
      <c r="K28" s="7"/>
      <c r="L28" s="7">
        <f t="shared" si="2"/>
        <v>0</v>
      </c>
    </row>
    <row r="29" spans="2:12" x14ac:dyDescent="0.35">
      <c r="B29" s="7" t="s">
        <v>119</v>
      </c>
      <c r="C29" s="7"/>
      <c r="D29" s="7"/>
      <c r="E29" s="7">
        <f t="shared" si="0"/>
        <v>0</v>
      </c>
      <c r="F29" s="7"/>
      <c r="G29" s="7"/>
      <c r="H29" s="7"/>
      <c r="I29" s="7">
        <f t="shared" si="1"/>
        <v>0</v>
      </c>
      <c r="J29" s="7"/>
      <c r="K29" s="7"/>
      <c r="L29" s="7">
        <f t="shared" si="2"/>
        <v>0</v>
      </c>
    </row>
    <row r="30" spans="2:12" x14ac:dyDescent="0.35">
      <c r="B30" s="7" t="s">
        <v>120</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79</v>
      </c>
      <c r="C34" s="7"/>
      <c r="D34" s="7">
        <f>E34*10.764</f>
        <v>330.43650119999995</v>
      </c>
      <c r="E34" s="7">
        <f>SUM(E6:E33)</f>
        <v>30.6983</v>
      </c>
      <c r="F34" s="7"/>
      <c r="G34" s="7"/>
      <c r="H34" s="7">
        <f>I34*10.764</f>
        <v>61.996334399999995</v>
      </c>
      <c r="I34" s="7">
        <f>SUM(I6:I33)</f>
        <v>5.7595999999999998</v>
      </c>
      <c r="J34" s="7"/>
      <c r="K34" s="7">
        <f>L34*10.764</f>
        <v>0</v>
      </c>
      <c r="L34" s="7">
        <f>SUM(L6:L33)</f>
        <v>0</v>
      </c>
    </row>
    <row r="36" spans="2:12" x14ac:dyDescent="0.35">
      <c r="D36">
        <f>D34+H34</f>
        <v>392.43283559999998</v>
      </c>
      <c r="E36">
        <f>E34+I34</f>
        <v>36.457900000000002</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opLeftCell="A4" workbookViewId="0">
      <selection activeCell="L5" sqref="L5"/>
    </sheetView>
  </sheetViews>
  <sheetFormatPr defaultRowHeight="14.5" x14ac:dyDescent="0.35"/>
  <cols>
    <col min="2" max="2" width="25.81640625" customWidth="1"/>
    <col min="3" max="3" width="33.54296875" customWidth="1"/>
    <col min="8" max="8" width="26.1796875" customWidth="1"/>
  </cols>
  <sheetData>
    <row r="1" spans="1:10" x14ac:dyDescent="0.35">
      <c r="A1" s="11"/>
      <c r="B1" s="11"/>
      <c r="C1" s="11"/>
      <c r="D1" s="11"/>
      <c r="E1" s="11"/>
      <c r="F1" s="11"/>
      <c r="G1" s="11"/>
      <c r="H1" s="11"/>
      <c r="I1" s="10"/>
    </row>
    <row r="2" spans="1:10" x14ac:dyDescent="0.35">
      <c r="A2" s="12"/>
      <c r="B2" s="12"/>
      <c r="C2" s="12"/>
      <c r="D2" s="12"/>
      <c r="E2" s="12"/>
      <c r="F2" s="12"/>
      <c r="G2" s="12"/>
      <c r="H2" s="12"/>
      <c r="I2" s="10"/>
    </row>
    <row r="3" spans="1:10" x14ac:dyDescent="0.35">
      <c r="A3" s="12"/>
      <c r="B3" s="226" t="s">
        <v>188</v>
      </c>
      <c r="C3" s="226"/>
      <c r="D3" s="226"/>
      <c r="E3" s="226"/>
      <c r="F3" s="226"/>
      <c r="G3" s="226"/>
      <c r="H3" s="226"/>
      <c r="I3" s="10"/>
    </row>
    <row r="4" spans="1:10" ht="29" x14ac:dyDescent="0.35">
      <c r="A4" s="12"/>
      <c r="B4" s="13" t="s">
        <v>189</v>
      </c>
      <c r="C4" s="13" t="s">
        <v>190</v>
      </c>
      <c r="D4" s="13" t="s">
        <v>100</v>
      </c>
      <c r="E4" s="13" t="s">
        <v>191</v>
      </c>
      <c r="F4" s="13" t="s">
        <v>192</v>
      </c>
      <c r="G4" s="13" t="s">
        <v>193</v>
      </c>
      <c r="H4" s="13" t="s">
        <v>194</v>
      </c>
      <c r="I4" s="10"/>
    </row>
    <row r="5" spans="1:10" x14ac:dyDescent="0.35">
      <c r="A5" s="12"/>
      <c r="B5" s="15" t="s">
        <v>197</v>
      </c>
      <c r="C5" s="16" t="s">
        <v>144</v>
      </c>
      <c r="D5" s="15" t="s">
        <v>198</v>
      </c>
      <c r="E5" s="15">
        <v>380</v>
      </c>
      <c r="F5" s="17">
        <v>500</v>
      </c>
      <c r="G5" s="17">
        <f>H5/F5</f>
        <v>7426</v>
      </c>
      <c r="H5" s="18">
        <v>3713000</v>
      </c>
      <c r="I5" s="10"/>
      <c r="J5" s="23"/>
    </row>
    <row r="6" spans="1:10" x14ac:dyDescent="0.35">
      <c r="A6" s="12"/>
      <c r="B6" s="15" t="s">
        <v>197</v>
      </c>
      <c r="C6" s="16" t="s">
        <v>144</v>
      </c>
      <c r="D6" s="15" t="s">
        <v>198</v>
      </c>
      <c r="E6" s="15">
        <v>0</v>
      </c>
      <c r="F6" s="17">
        <v>433</v>
      </c>
      <c r="G6" s="17">
        <f t="shared" ref="G6:G7" si="0">H6/F6</f>
        <v>6129.3302540415707</v>
      </c>
      <c r="H6" s="18">
        <v>2654000</v>
      </c>
      <c r="I6" s="10"/>
    </row>
    <row r="7" spans="1:10" x14ac:dyDescent="0.35">
      <c r="A7" s="12"/>
      <c r="B7" s="15" t="s">
        <v>199</v>
      </c>
      <c r="C7" s="16" t="s">
        <v>144</v>
      </c>
      <c r="D7" s="15" t="s">
        <v>198</v>
      </c>
      <c r="E7" s="15">
        <v>0</v>
      </c>
      <c r="F7" s="17">
        <v>608</v>
      </c>
      <c r="G7" s="17">
        <f t="shared" si="0"/>
        <v>4370.0657894736842</v>
      </c>
      <c r="H7" s="18">
        <v>2657000</v>
      </c>
      <c r="I7" s="10"/>
    </row>
    <row r="8" spans="1:10" x14ac:dyDescent="0.35">
      <c r="A8" s="12"/>
      <c r="B8" s="19" t="s">
        <v>195</v>
      </c>
      <c r="C8" s="15"/>
      <c r="D8" s="15"/>
      <c r="E8" s="15"/>
      <c r="F8" s="15"/>
      <c r="G8" s="20">
        <f>AVERAGE(G5:G7)</f>
        <v>5975.132014505085</v>
      </c>
      <c r="H8" s="15"/>
      <c r="I8" s="10"/>
    </row>
    <row r="9" spans="1:10" x14ac:dyDescent="0.35">
      <c r="A9" s="11"/>
      <c r="B9" s="19" t="s">
        <v>196</v>
      </c>
      <c r="C9" s="21"/>
      <c r="D9" s="21"/>
      <c r="E9" s="21"/>
      <c r="F9" s="22"/>
      <c r="G9" s="19">
        <v>6000</v>
      </c>
      <c r="H9" s="19"/>
      <c r="I9" s="14"/>
    </row>
    <row r="10" spans="1:10" x14ac:dyDescent="0.35">
      <c r="A10" s="10"/>
      <c r="B10" s="11"/>
      <c r="C10" s="11"/>
      <c r="D10" s="11"/>
      <c r="E10" s="11"/>
      <c r="F10" s="10"/>
      <c r="G10" s="10"/>
      <c r="H10" s="10"/>
      <c r="I10" s="10"/>
    </row>
    <row r="11" spans="1:10" x14ac:dyDescent="0.35">
      <c r="A11" s="10"/>
      <c r="B11" s="11"/>
      <c r="C11" s="11"/>
      <c r="D11" s="11"/>
      <c r="E11" s="11"/>
      <c r="F11" s="10"/>
      <c r="G11" s="10"/>
      <c r="H11" s="10"/>
      <c r="I11" s="10"/>
    </row>
    <row r="12" spans="1:10" x14ac:dyDescent="0.35">
      <c r="A12" s="10"/>
      <c r="B12" s="11"/>
      <c r="C12" s="11"/>
      <c r="D12" s="11"/>
      <c r="E12" s="11"/>
      <c r="F12" s="10"/>
      <c r="G12" s="10"/>
      <c r="H12" s="10"/>
      <c r="I12" s="10"/>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Note</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2025-07-12T16:16:13Z</cp:lastPrinted>
  <dcterms:created xsi:type="dcterms:W3CDTF">2019-07-16T09:29:46Z</dcterms:created>
  <dcterms:modified xsi:type="dcterms:W3CDTF">2025-07-12T16:17:09Z</dcterms:modified>
</cp:coreProperties>
</file>