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J91" i="1"/>
  <c r="J90" i="1"/>
  <c r="J89" i="1"/>
  <c r="D195" i="1" l="1"/>
  <c r="D194" i="1"/>
  <c r="D193" i="1"/>
  <c r="D192" i="1"/>
  <c r="D191" i="1"/>
  <c r="D174" i="1"/>
  <c r="D206" i="1" l="1"/>
  <c r="D205" i="1"/>
  <c r="D204" i="1"/>
  <c r="D203" i="1"/>
  <c r="D202" i="1"/>
  <c r="D201" i="1"/>
  <c r="F201" i="1" s="1"/>
  <c r="D200" i="1"/>
  <c r="F200" i="1" s="1"/>
  <c r="D199" i="1"/>
  <c r="F199" i="1" s="1"/>
  <c r="F195" i="1"/>
  <c r="F191" i="1"/>
  <c r="D190" i="1"/>
  <c r="D189" i="1"/>
  <c r="F189" i="1" s="1"/>
  <c r="D188" i="1"/>
  <c r="F188" i="1" s="1"/>
  <c r="D184" i="1"/>
  <c r="F184" i="1" s="1"/>
  <c r="D183" i="1"/>
  <c r="F183" i="1" s="1"/>
  <c r="D182" i="1"/>
  <c r="F182" i="1" s="1"/>
  <c r="K182" i="1" s="1"/>
  <c r="D181" i="1"/>
  <c r="F181" i="1" s="1"/>
  <c r="K181" i="1" s="1"/>
  <c r="D177" i="1"/>
  <c r="F177" i="1" s="1"/>
  <c r="K177" i="1" s="1"/>
  <c r="D176" i="1"/>
  <c r="D175" i="1"/>
  <c r="F175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D161" i="1"/>
  <c r="D158" i="1"/>
  <c r="D157" i="1"/>
  <c r="D156" i="1"/>
  <c r="D155" i="1"/>
  <c r="I204" i="1"/>
  <c r="F206" i="1"/>
  <c r="F205" i="1"/>
  <c r="F204" i="1"/>
  <c r="F203" i="1"/>
  <c r="F202" i="1"/>
  <c r="G199" i="1"/>
  <c r="F162" i="1"/>
  <c r="A162" i="1"/>
  <c r="A163" i="1" s="1"/>
  <c r="A164" i="1" s="1"/>
  <c r="A165" i="1" s="1"/>
  <c r="A166" i="1" s="1"/>
  <c r="A167" i="1" s="1"/>
  <c r="G161" i="1"/>
  <c r="F194" i="1"/>
  <c r="F193" i="1"/>
  <c r="F192" i="1"/>
  <c r="G188" i="1"/>
  <c r="G181" i="1"/>
  <c r="F174" i="1"/>
  <c r="K174" i="1" s="1"/>
  <c r="I174" i="1"/>
  <c r="G174" i="1"/>
  <c r="A188" i="1"/>
  <c r="A199" i="1"/>
  <c r="A181" i="1"/>
  <c r="A174" i="1"/>
  <c r="E139" i="1" l="1"/>
  <c r="G147" i="1"/>
  <c r="E140" i="1"/>
  <c r="E141" i="1" s="1"/>
  <c r="E144" i="1"/>
  <c r="C146" i="1"/>
  <c r="E147" i="1"/>
  <c r="C139" i="1"/>
  <c r="C145" i="1"/>
  <c r="F176" i="1"/>
  <c r="K176" i="1" s="1"/>
  <c r="L124" i="1" s="1"/>
  <c r="I124" i="1" s="1"/>
  <c r="F190" i="1"/>
  <c r="G146" i="1" s="1"/>
  <c r="F161" i="1"/>
  <c r="G140" i="1" s="1"/>
  <c r="C140" i="1"/>
  <c r="C144" i="1"/>
  <c r="C147" i="1"/>
  <c r="E145" i="1"/>
  <c r="G145" i="1"/>
  <c r="E146" i="1"/>
  <c r="E42" i="1"/>
  <c r="E43" i="1" s="1"/>
  <c r="A175" i="1"/>
  <c r="A200" i="1"/>
  <c r="A182" i="1"/>
  <c r="A189" i="1"/>
  <c r="E148" i="1" l="1"/>
  <c r="C148" i="1"/>
  <c r="C141" i="1"/>
  <c r="G144" i="1"/>
  <c r="G148" i="1" s="1"/>
  <c r="C14" i="1"/>
  <c r="A190" i="1"/>
  <c r="A176" i="1"/>
  <c r="A201" i="1"/>
  <c r="A183" i="1"/>
  <c r="E29" i="1" l="1"/>
  <c r="A191" i="1"/>
  <c r="A184" i="1"/>
  <c r="A177" i="1"/>
  <c r="A202" i="1"/>
  <c r="F136" i="1" l="1"/>
  <c r="A203" i="1"/>
  <c r="A192" i="1"/>
  <c r="F156" i="1" l="1"/>
  <c r="F157" i="1"/>
  <c r="F158" i="1"/>
  <c r="F155" i="1"/>
  <c r="A204" i="1"/>
  <c r="A193" i="1"/>
  <c r="G139" i="1" l="1"/>
  <c r="G141" i="1" s="1"/>
  <c r="J145" i="1" s="1"/>
  <c r="B209" i="1"/>
  <c r="A194" i="1"/>
  <c r="A205" i="1"/>
  <c r="B210" i="1" l="1"/>
  <c r="A195" i="1"/>
  <c r="A20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0" i="1"/>
  <c r="A156" i="1"/>
  <c r="A157" i="1" s="1"/>
  <c r="A158" i="1" s="1"/>
  <c r="G155" i="1"/>
  <c r="J120" i="1"/>
  <c r="J119" i="1"/>
  <c r="J118" i="1"/>
  <c r="J117" i="1"/>
  <c r="J106" i="1"/>
  <c r="J105" i="1"/>
  <c r="J104" i="1"/>
  <c r="J103" i="1"/>
  <c r="C95" i="1"/>
  <c r="J78" i="1"/>
  <c r="J77" i="1"/>
  <c r="J76" i="1"/>
  <c r="J75" i="1"/>
  <c r="D54" i="1"/>
  <c r="G49" i="1"/>
  <c r="G50" i="1" s="1"/>
  <c r="C49" i="1"/>
  <c r="E26" i="1"/>
  <c r="E24" i="1"/>
  <c r="E7" i="1"/>
  <c r="E3" i="1"/>
  <c r="H68" i="1"/>
  <c r="H96" i="1"/>
  <c r="H110" i="1"/>
  <c r="D61" i="1" l="1"/>
  <c r="D106" i="1"/>
  <c r="D107" i="1"/>
  <c r="D108" i="1"/>
  <c r="D102" i="1"/>
  <c r="D103" i="1"/>
  <c r="D104" i="1"/>
  <c r="D105" i="1"/>
  <c r="J95" i="1"/>
  <c r="J97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J109" i="1"/>
  <c r="J111" i="1" s="1"/>
  <c r="J113" i="1"/>
  <c r="D122" i="1"/>
  <c r="D120" i="1"/>
  <c r="D118" i="1"/>
  <c r="D116" i="1"/>
  <c r="J114" i="1"/>
  <c r="C113" i="1" s="1"/>
  <c r="J112" i="1"/>
  <c r="J115" i="1"/>
  <c r="J116" i="1" s="1"/>
  <c r="J121" i="1" s="1"/>
  <c r="D121" i="1"/>
  <c r="D119" i="1"/>
  <c r="D117" i="1"/>
  <c r="J101" i="1"/>
  <c r="J99" i="1"/>
  <c r="J100" i="1"/>
  <c r="C99" i="1" s="1"/>
  <c r="J98" i="1"/>
  <c r="C72" i="1" l="1"/>
  <c r="G71" i="1" s="1"/>
  <c r="D66" i="1" s="1"/>
  <c r="J122" i="1"/>
  <c r="C114" i="1" s="1"/>
  <c r="E113" i="1" s="1"/>
  <c r="J102" i="1"/>
  <c r="J107" i="1" s="1"/>
  <c r="J108" i="1" s="1"/>
  <c r="C100" i="1" s="1"/>
  <c r="D100" i="1" s="1"/>
  <c r="D115" i="1"/>
  <c r="D113" i="1"/>
  <c r="D101" i="1"/>
  <c r="D73" i="1"/>
  <c r="J69" i="1"/>
  <c r="D71" i="1"/>
  <c r="D99" i="1"/>
  <c r="H82" i="1"/>
  <c r="D72" i="1" l="1"/>
  <c r="I68" i="1" s="1"/>
  <c r="E71" i="1"/>
  <c r="J86" i="1"/>
  <c r="C85" i="1" s="1"/>
  <c r="D85" i="1" s="1"/>
  <c r="D94" i="1"/>
  <c r="D92" i="1"/>
  <c r="D90" i="1"/>
  <c r="D88" i="1"/>
  <c r="J81" i="1"/>
  <c r="J83" i="1" s="1"/>
  <c r="J87" i="1"/>
  <c r="J88" i="1" s="1"/>
  <c r="J93" i="1" s="1"/>
  <c r="J94" i="1" s="1"/>
  <c r="C86" i="1" s="1"/>
  <c r="E85" i="1" s="1"/>
  <c r="J84" i="1"/>
  <c r="D93" i="1"/>
  <c r="D91" i="1"/>
  <c r="D89" i="1"/>
  <c r="D87" i="1"/>
  <c r="J85" i="1"/>
  <c r="G113" i="1"/>
  <c r="D114" i="1"/>
  <c r="I110" i="1" s="1"/>
  <c r="G99" i="1"/>
  <c r="E99" i="1"/>
  <c r="J96" i="1"/>
  <c r="J68" i="1"/>
  <c r="J110" i="1"/>
  <c r="I96" i="1"/>
  <c r="F66" i="1"/>
  <c r="D86" i="1" l="1"/>
  <c r="I82" i="1" s="1"/>
  <c r="I83" i="1" s="1"/>
  <c r="G85" i="1"/>
  <c r="J82" i="1"/>
  <c r="I69" i="1"/>
  <c r="I67" i="1" s="1"/>
  <c r="C69" i="1" s="1"/>
  <c r="I111" i="1"/>
  <c r="I109" i="1" s="1"/>
  <c r="C111" i="1" s="1"/>
  <c r="I97" i="1"/>
  <c r="I95" i="1" s="1"/>
  <c r="C97" i="1" s="1"/>
  <c r="I81" i="1" l="1"/>
  <c r="C83" i="1" s="1"/>
</calcChain>
</file>

<file path=xl/sharedStrings.xml><?xml version="1.0" encoding="utf-8"?>
<sst xmlns="http://schemas.openxmlformats.org/spreadsheetml/2006/main" count="433" uniqueCount="236">
  <si>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</si>
  <si>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</si>
  <si>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</si>
  <si>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</si>
  <si>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</si>
  <si>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</si>
  <si>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</si>
  <si>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</si>
  <si>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</si>
  <si>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</si>
  <si>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</si>
  <si>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</si>
  <si>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</si>
  <si>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</si>
  <si>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</si>
  <si>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</si>
  <si>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</si>
  <si>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</si>
  <si>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</si>
  <si>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</si>
  <si>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</si>
  <si>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</si>
  <si>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</si>
  <si>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</si>
  <si>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</si>
  <si>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</si>
  <si>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</si>
  <si>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</si>
  <si>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</si>
  <si>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</si>
  <si>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</si>
  <si>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</si>
  <si>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</si>
  <si>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</si>
  <si>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</si>
  <si>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</si>
  <si>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</si>
  <si>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</si>
  <si>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</si>
  <si>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</si>
  <si>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</si>
  <si>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</si>
  <si>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</si>
  <si>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</si>
  <si>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</si>
  <si>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</si>
  <si>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</si>
  <si>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</si>
  <si>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</si>
  <si>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</si>
  <si>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</si>
  <si>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</si>
  <si>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</si>
  <si>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</si>
  <si>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</si>
  <si>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</si>
  <si>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</si>
  <si>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</si>
  <si>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</si>
  <si>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</si>
  <si>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</si>
  <si>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</si>
  <si>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</si>
  <si>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</si>
  <si>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</si>
  <si>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</si>
  <si>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</si>
  <si>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</si>
  <si>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</si>
  <si>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</si>
  <si>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</si>
  <si>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</si>
  <si>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</si>
  <si>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</si>
  <si>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</si>
  <si>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</si>
  <si>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</si>
  <si>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</si>
  <si>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</si>
  <si>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</si>
  <si>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</si>
  <si>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</si>
  <si>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</si>
  <si>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</si>
  <si>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</si>
  <si>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</si>
  <si>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</si>
  <si>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</si>
  <si>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</si>
  <si>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</si>
  <si>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</si>
  <si>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</si>
  <si>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</si>
  <si>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</si>
  <si>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</si>
  <si>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</si>
  <si>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</si>
  <si>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</si>
  <si>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</si>
  <si>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</si>
  <si>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</si>
  <si>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</si>
  <si>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</si>
  <si>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</si>
  <si>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</si>
  <si>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</si>
  <si>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</si>
  <si>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</si>
  <si>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</si>
  <si>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</si>
  <si>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</si>
  <si>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</si>
  <si>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</si>
  <si>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</si>
  <si>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</si>
  <si>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</si>
  <si>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</si>
  <si>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</si>
  <si>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</si>
  <si>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</si>
  <si>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</si>
  <si>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</si>
  <si>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</si>
  <si>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</si>
  <si>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</si>
  <si>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</si>
  <si>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</si>
  <si>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</si>
  <si>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</si>
  <si>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</si>
  <si>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</si>
  <si>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</si>
  <si>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</si>
  <si>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</si>
  <si>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</si>
  <si>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</si>
  <si>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</si>
  <si>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</si>
  <si>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</si>
  <si>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</si>
  <si>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</si>
  <si>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</si>
  <si>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</si>
  <si>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</si>
  <si>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</si>
  <si>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</si>
  <si>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</si>
  <si>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</si>
  <si>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</si>
  <si>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</si>
  <si>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</si>
  <si>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</si>
  <si>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</si>
  <si>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</si>
  <si>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</si>
  <si>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</si>
  <si>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</si>
  <si>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</si>
  <si>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</si>
  <si>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</si>
  <si>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</si>
  <si>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</si>
  <si>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</si>
  <si>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</si>
  <si>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</si>
  <si>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</si>
  <si>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</si>
  <si>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</si>
  <si>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</si>
  <si>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</si>
  <si>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</si>
  <si>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</si>
  <si>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</si>
  <si>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</si>
  <si>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</si>
  <si>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Axis Badlapur</t>
  </si>
  <si>
    <t>P.G. Constructions</t>
  </si>
  <si>
    <t>Precious Harmony NX</t>
  </si>
  <si>
    <t>Wing A to D</t>
  </si>
  <si>
    <t>P51700049260</t>
  </si>
  <si>
    <t>Survey No</t>
  </si>
  <si>
    <t>40, Hissa No.1/2</t>
  </si>
  <si>
    <t>Belavali</t>
  </si>
  <si>
    <t>Thane</t>
  </si>
  <si>
    <t>Ambernath</t>
  </si>
  <si>
    <t>Wing A</t>
  </si>
  <si>
    <t>Ground Floor for Commercial &amp; Parking</t>
  </si>
  <si>
    <t>Shop</t>
  </si>
  <si>
    <t>1st to 7th Floor for Residential</t>
  </si>
  <si>
    <t>1BHK</t>
  </si>
  <si>
    <t>2BHK</t>
  </si>
  <si>
    <t>3BHK</t>
  </si>
  <si>
    <t>Ground Floor for Parking</t>
  </si>
  <si>
    <t>Wing B</t>
  </si>
  <si>
    <t>Wing C</t>
  </si>
  <si>
    <t>Wing D</t>
  </si>
  <si>
    <t>We considered Gross carpet area = Net carpet + Enclose balcony + A.P. Area</t>
  </si>
  <si>
    <t>Flats - 168, Shops - 11</t>
  </si>
  <si>
    <t>Wing A to D = Gr/Stilt + 1st to 7th Floor</t>
  </si>
  <si>
    <t>As per RERA - 31/12/2026</t>
  </si>
  <si>
    <t xml:space="preserve">1. Vitrified tiles flooring 2. Granite Kitchen Platform 3. Decorative Enternace etc.
</t>
  </si>
  <si>
    <t>Kulgoan Badlapur Municipal Council</t>
  </si>
  <si>
    <t>KBNP/NRV/BP/6126-89</t>
  </si>
  <si>
    <t>KBNP/NRV/BP/6126/2022-2023/Unique No.89</t>
  </si>
  <si>
    <t>04 Wings</t>
  </si>
  <si>
    <t>Wing A &amp; B = Gr/Stilt + 1st to 7th Floor</t>
  </si>
  <si>
    <t>Wing C = Gr/Stilt + 1st to 7th Floor</t>
  </si>
  <si>
    <t>Wing D = Gr/Stilt + 1s to 7th Floor</t>
  </si>
  <si>
    <t>https://goo.gl/maps/UM4dJfEsdXx1J2y88</t>
  </si>
  <si>
    <t>19.1738466,73.2287622</t>
  </si>
  <si>
    <t>Sidh Swayambhu Shiv Mandir Road</t>
  </si>
  <si>
    <t>Internal Road</t>
  </si>
  <si>
    <t>Siddharth Complex</t>
  </si>
  <si>
    <t>Badlapur</t>
  </si>
  <si>
    <t>Katrap</t>
  </si>
  <si>
    <t>2.8 KM from Badlapur Railway Station</t>
  </si>
  <si>
    <t>Vastu Swapnapurti Residency</t>
  </si>
  <si>
    <t>Inspection</t>
  </si>
  <si>
    <t>MIS</t>
  </si>
  <si>
    <t>Builder sheet</t>
  </si>
  <si>
    <t>Online</t>
  </si>
  <si>
    <t>Cement, Aggregate, Steel, etc</t>
  </si>
  <si>
    <t>Approved Plans, CC, Cost sheet</t>
  </si>
  <si>
    <t>Wing A, C &amp; D = Gr/Stilt + 1st to 7th Floor
Wing B = Stilt + 1st to 7th Floor</t>
  </si>
  <si>
    <t>Ground Floor for Driver's Room, Society Office &amp; Parking</t>
  </si>
  <si>
    <t>Wing A = Gr/Stilt + 1st to 7th Floor</t>
  </si>
  <si>
    <t>Wing B  = Gr/Stilt + 1st to 7th Floor</t>
  </si>
  <si>
    <t>Wing  D  = Gr/Stilt + 1st to 7th Floor</t>
  </si>
  <si>
    <t>Mr. Shirke 9854593593</t>
  </si>
  <si>
    <t>Mr. Sachin  8767662233</t>
  </si>
  <si>
    <t>Mr. Sudhir Bhosale</t>
  </si>
  <si>
    <t xml:space="preserve">Other Charges </t>
  </si>
  <si>
    <t>2L Added by rushikesh on 19/09/2024.</t>
  </si>
  <si>
    <t>Recommended Rates/Other Charges of the Property have been revised on 19/09/2024</t>
  </si>
  <si>
    <t>Wing A, B &amp; C = Construction work is in process at the time of visit.
Wing D = All work Completed. Please provide OC.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</si>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</sst>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center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24" fillId="2" borderId="15" xfId="0" applyFont="1" applyFill="1" applyBorder="1"/>
    <xf numFmtId="0" fontId="25" fillId="0" borderId="9" xfId="0" applyFont="1" applyBorder="1"/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77931</xdr:colOff>
      <xdr:row>274</xdr:row>
      <xdr:rowOff>86588</xdr:rowOff>
    </xdr:from>
    <xdr:to>
      <xdr:col>7</xdr:col>
      <xdr:colOff>760908</xdr:colOff>
      <xdr:row>284</xdr:row>
      <xdr:rowOff>168080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931" y="56829611"/>
          <a:ext cx="6372000" cy="20730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387118</xdr:colOff>
      <xdr:row>286</xdr:row>
      <xdr:rowOff>118145</xdr:rowOff>
    </xdr:from>
    <xdr:to>
      <xdr:col>7</xdr:col>
      <xdr:colOff>438495</xdr:colOff>
      <xdr:row>311</xdr:row>
      <xdr:rowOff>1344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7118" y="59251077"/>
          <a:ext cx="5740400" cy="48598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389659</xdr:colOff>
      <xdr:row>277</xdr:row>
      <xdr:rowOff>129885</xdr:rowOff>
    </xdr:from>
    <xdr:to>
      <xdr:col>6</xdr:col>
      <xdr:colOff>632113</xdr:colOff>
      <xdr:row>282</xdr:row>
      <xdr:rowOff>77931</xdr:rowOff>
    </xdr:to>
    <xdr:sp macro="" textlink="">
      <xdr:nvSpPr>
        <xdr:cNvPr id="4" name="Rounded Rectangle 3"/>
        <xdr:cNvSpPr/>
      </xdr:nvSpPr>
      <xdr:spPr>
        <a:xfrm>
          <a:off x="4520045" y="57470385"/>
          <a:ext cx="1021773" cy="94384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294409</xdr:colOff>
      <xdr:row>277</xdr:row>
      <xdr:rowOff>112568</xdr:rowOff>
    </xdr:from>
    <xdr:to>
      <xdr:col>5</xdr:col>
      <xdr:colOff>381000</xdr:colOff>
      <xdr:row>282</xdr:row>
      <xdr:rowOff>95250</xdr:rowOff>
    </xdr:to>
    <xdr:sp macro="" textlink="">
      <xdr:nvSpPr>
        <xdr:cNvPr id="5" name="Rounded Rectangle 4"/>
        <xdr:cNvSpPr/>
      </xdr:nvSpPr>
      <xdr:spPr>
        <a:xfrm>
          <a:off x="3645477" y="57453068"/>
          <a:ext cx="865909" cy="97847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536864</xdr:colOff>
      <xdr:row>277</xdr:row>
      <xdr:rowOff>60611</xdr:rowOff>
    </xdr:from>
    <xdr:to>
      <xdr:col>4</xdr:col>
      <xdr:colOff>294409</xdr:colOff>
      <xdr:row>282</xdr:row>
      <xdr:rowOff>155864</xdr:rowOff>
    </xdr:to>
    <xdr:sp macro="" textlink="">
      <xdr:nvSpPr>
        <xdr:cNvPr id="6" name="Rounded Rectangle 5"/>
        <xdr:cNvSpPr/>
      </xdr:nvSpPr>
      <xdr:spPr>
        <a:xfrm>
          <a:off x="2095500" y="57401111"/>
          <a:ext cx="1549977" cy="109104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458930</xdr:colOff>
      <xdr:row>277</xdr:row>
      <xdr:rowOff>69270</xdr:rowOff>
    </xdr:from>
    <xdr:to>
      <xdr:col>2</xdr:col>
      <xdr:colOff>536863</xdr:colOff>
      <xdr:row>282</xdr:row>
      <xdr:rowOff>121228</xdr:rowOff>
    </xdr:to>
    <xdr:sp macro="" textlink="">
      <xdr:nvSpPr>
        <xdr:cNvPr id="7" name="Rounded Rectangle 6"/>
        <xdr:cNvSpPr/>
      </xdr:nvSpPr>
      <xdr:spPr>
        <a:xfrm>
          <a:off x="458930" y="57409770"/>
          <a:ext cx="1636569" cy="104775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6</xdr:col>
      <xdr:colOff>268431</xdr:colOff>
      <xdr:row>275</xdr:row>
      <xdr:rowOff>51954</xdr:rowOff>
    </xdr:from>
    <xdr:ext cx="645498" cy="280205"/>
    <xdr:sp macro="" textlink="">
      <xdr:nvSpPr>
        <xdr:cNvPr id="8" name="TextBox 7"/>
        <xdr:cNvSpPr txBox="1"/>
      </xdr:nvSpPr>
      <xdr:spPr>
        <a:xfrm>
          <a:off x="5178136" y="56994136"/>
          <a:ext cx="645498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A</a:t>
          </a:r>
        </a:p>
      </xdr:txBody>
    </xdr:sp>
    <xdr:clientData/>
  </xdr:oneCellAnchor>
  <xdr:twoCellAnchor>
    <xdr:from>
      <xdr:col>6</xdr:col>
      <xdr:colOff>519545</xdr:colOff>
      <xdr:row>276</xdr:row>
      <xdr:rowOff>133000</xdr:rowOff>
    </xdr:from>
    <xdr:to>
      <xdr:col>6</xdr:col>
      <xdr:colOff>591180</xdr:colOff>
      <xdr:row>277</xdr:row>
      <xdr:rowOff>155864</xdr:rowOff>
    </xdr:to>
    <xdr:cxnSp macro="">
      <xdr:nvCxnSpPr>
        <xdr:cNvPr id="10" name="Straight Arrow Connector 9"/>
        <xdr:cNvCxnSpPr>
          <a:stCxn id="8" idx="2"/>
        </xdr:cNvCxnSpPr>
      </xdr:nvCxnSpPr>
      <xdr:spPr>
        <a:xfrm flipH="1">
          <a:off x="5429250" y="57274341"/>
          <a:ext cx="71635" cy="22202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458931</xdr:colOff>
      <xdr:row>274</xdr:row>
      <xdr:rowOff>129884</xdr:rowOff>
    </xdr:from>
    <xdr:ext cx="638508" cy="280205"/>
    <xdr:sp macro="" textlink="">
      <xdr:nvSpPr>
        <xdr:cNvPr id="14" name="TextBox 13"/>
        <xdr:cNvSpPr txBox="1"/>
      </xdr:nvSpPr>
      <xdr:spPr>
        <a:xfrm>
          <a:off x="3809999" y="56872907"/>
          <a:ext cx="638508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B</a:t>
          </a:r>
        </a:p>
      </xdr:txBody>
    </xdr:sp>
    <xdr:clientData/>
  </xdr:oneCellAnchor>
  <xdr:twoCellAnchor>
    <xdr:from>
      <xdr:col>4</xdr:col>
      <xdr:colOff>753342</xdr:colOff>
      <xdr:row>276</xdr:row>
      <xdr:rowOff>11771</xdr:rowOff>
    </xdr:from>
    <xdr:to>
      <xdr:col>4</xdr:col>
      <xdr:colOff>778185</xdr:colOff>
      <xdr:row>277</xdr:row>
      <xdr:rowOff>147205</xdr:rowOff>
    </xdr:to>
    <xdr:cxnSp macro="">
      <xdr:nvCxnSpPr>
        <xdr:cNvPr id="15" name="Straight Arrow Connector 14"/>
        <xdr:cNvCxnSpPr>
          <a:stCxn id="14" idx="2"/>
        </xdr:cNvCxnSpPr>
      </xdr:nvCxnSpPr>
      <xdr:spPr>
        <a:xfrm flipH="1">
          <a:off x="4104410" y="57153112"/>
          <a:ext cx="24843" cy="33459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17317</xdr:colOff>
      <xdr:row>274</xdr:row>
      <xdr:rowOff>86588</xdr:rowOff>
    </xdr:from>
    <xdr:ext cx="633700" cy="280205"/>
    <xdr:sp macro="" textlink="">
      <xdr:nvSpPr>
        <xdr:cNvPr id="17" name="TextBox 16"/>
        <xdr:cNvSpPr txBox="1"/>
      </xdr:nvSpPr>
      <xdr:spPr>
        <a:xfrm>
          <a:off x="2424544" y="56829611"/>
          <a:ext cx="633700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C</a:t>
          </a:r>
        </a:p>
      </xdr:txBody>
    </xdr:sp>
    <xdr:clientData/>
  </xdr:oneCellAnchor>
  <xdr:twoCellAnchor>
    <xdr:from>
      <xdr:col>3</xdr:col>
      <xdr:colOff>334167</xdr:colOff>
      <xdr:row>275</xdr:row>
      <xdr:rowOff>167634</xdr:rowOff>
    </xdr:from>
    <xdr:to>
      <xdr:col>3</xdr:col>
      <xdr:colOff>337705</xdr:colOff>
      <xdr:row>277</xdr:row>
      <xdr:rowOff>95250</xdr:rowOff>
    </xdr:to>
    <xdr:cxnSp macro="">
      <xdr:nvCxnSpPr>
        <xdr:cNvPr id="18" name="Straight Arrow Connector 17"/>
        <xdr:cNvCxnSpPr>
          <a:stCxn id="17" idx="2"/>
        </xdr:cNvCxnSpPr>
      </xdr:nvCxnSpPr>
      <xdr:spPr>
        <a:xfrm>
          <a:off x="2741394" y="57109816"/>
          <a:ext cx="3538" cy="325934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406977</xdr:colOff>
      <xdr:row>274</xdr:row>
      <xdr:rowOff>86588</xdr:rowOff>
    </xdr:from>
    <xdr:ext cx="649280" cy="280205"/>
    <xdr:sp macro="" textlink="">
      <xdr:nvSpPr>
        <xdr:cNvPr id="20" name="TextBox 19"/>
        <xdr:cNvSpPr txBox="1"/>
      </xdr:nvSpPr>
      <xdr:spPr>
        <a:xfrm>
          <a:off x="406977" y="56829611"/>
          <a:ext cx="649280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D</a:t>
          </a:r>
        </a:p>
      </xdr:txBody>
    </xdr:sp>
    <xdr:clientData/>
  </xdr:oneCellAnchor>
  <xdr:twoCellAnchor>
    <xdr:from>
      <xdr:col>0</xdr:col>
      <xdr:colOff>731617</xdr:colOff>
      <xdr:row>275</xdr:row>
      <xdr:rowOff>167634</xdr:rowOff>
    </xdr:from>
    <xdr:to>
      <xdr:col>0</xdr:col>
      <xdr:colOff>753341</xdr:colOff>
      <xdr:row>277</xdr:row>
      <xdr:rowOff>112568</xdr:rowOff>
    </xdr:to>
    <xdr:cxnSp macro="">
      <xdr:nvCxnSpPr>
        <xdr:cNvPr id="21" name="Straight Arrow Connector 20"/>
        <xdr:cNvCxnSpPr>
          <a:stCxn id="20" idx="2"/>
        </xdr:cNvCxnSpPr>
      </xdr:nvCxnSpPr>
      <xdr:spPr>
        <a:xfrm>
          <a:off x="731617" y="57109816"/>
          <a:ext cx="21724" cy="34325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363678</xdr:colOff>
      <xdr:row>337</xdr:row>
      <xdr:rowOff>103334</xdr:rowOff>
    </xdr:from>
    <xdr:to>
      <xdr:col>7</xdr:col>
      <xdr:colOff>434655</xdr:colOff>
      <xdr:row>357</xdr:row>
      <xdr:rowOff>4803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78" y="68440879"/>
          <a:ext cx="5760000" cy="38846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363678</xdr:colOff>
      <xdr:row>316</xdr:row>
      <xdr:rowOff>69272</xdr:rowOff>
    </xdr:from>
    <xdr:to>
      <xdr:col>7</xdr:col>
      <xdr:colOff>434655</xdr:colOff>
      <xdr:row>336</xdr:row>
      <xdr:rowOff>76452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78" y="64224477"/>
          <a:ext cx="5760000" cy="39903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324860</xdr:colOff>
      <xdr:row>345</xdr:row>
      <xdr:rowOff>169055</xdr:rowOff>
    </xdr:from>
    <xdr:to>
      <xdr:col>5</xdr:col>
      <xdr:colOff>349013</xdr:colOff>
      <xdr:row>348</xdr:row>
      <xdr:rowOff>157585</xdr:rowOff>
    </xdr:to>
    <xdr:sp macro="" textlink="">
      <xdr:nvSpPr>
        <xdr:cNvPr id="9" name="Rounded Rectangle 8"/>
        <xdr:cNvSpPr/>
      </xdr:nvSpPr>
      <xdr:spPr>
        <a:xfrm rot="19645578">
          <a:off x="1883496" y="70099873"/>
          <a:ext cx="2595903" cy="586007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285750</xdr:colOff>
      <xdr:row>339</xdr:row>
      <xdr:rowOff>86591</xdr:rowOff>
    </xdr:from>
    <xdr:ext cx="1574405" cy="280205"/>
    <xdr:sp macro="" textlink="">
      <xdr:nvSpPr>
        <xdr:cNvPr id="11" name="TextBox 10"/>
        <xdr:cNvSpPr txBox="1"/>
      </xdr:nvSpPr>
      <xdr:spPr>
        <a:xfrm>
          <a:off x="1047750" y="68822455"/>
          <a:ext cx="1574405" cy="2802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Precious Harmony NX</a:t>
          </a:r>
        </a:p>
      </xdr:txBody>
    </xdr:sp>
    <xdr:clientData/>
  </xdr:oneCellAnchor>
  <xdr:twoCellAnchor>
    <xdr:from>
      <xdr:col>2</xdr:col>
      <xdr:colOff>276317</xdr:colOff>
      <xdr:row>340</xdr:row>
      <xdr:rowOff>167637</xdr:rowOff>
    </xdr:from>
    <xdr:to>
      <xdr:col>3</xdr:col>
      <xdr:colOff>616473</xdr:colOff>
      <xdr:row>346</xdr:row>
      <xdr:rowOff>15985</xdr:rowOff>
    </xdr:to>
    <xdr:cxnSp macro="">
      <xdr:nvCxnSpPr>
        <xdr:cNvPr id="13" name="Straight Arrow Connector 12"/>
        <xdr:cNvCxnSpPr>
          <a:stCxn id="11" idx="2"/>
          <a:endCxn id="9" idx="0"/>
        </xdr:cNvCxnSpPr>
      </xdr:nvCxnSpPr>
      <xdr:spPr>
        <a:xfrm>
          <a:off x="1834953" y="69102660"/>
          <a:ext cx="1188747" cy="1043302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0</xdr:colOff>
      <xdr:row>240</xdr:row>
      <xdr:rowOff>130309</xdr:rowOff>
    </xdr:from>
    <xdr:ext cx="649280" cy="280205"/>
    <xdr:sp macro="" textlink="">
      <xdr:nvSpPr>
        <xdr:cNvPr id="37" name="TextBox 36"/>
        <xdr:cNvSpPr txBox="1"/>
      </xdr:nvSpPr>
      <xdr:spPr>
        <a:xfrm>
          <a:off x="7680614" y="49729582"/>
          <a:ext cx="649280" cy="2802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D</a:t>
          </a:r>
        </a:p>
      </xdr:txBody>
    </xdr:sp>
    <xdr:clientData/>
  </xdr:oneCellAnchor>
  <xdr:twoCellAnchor editAs="oneCell">
    <xdr:from>
      <xdr:col>14</xdr:col>
      <xdr:colOff>236682</xdr:colOff>
      <xdr:row>264</xdr:row>
      <xdr:rowOff>56619</xdr:rowOff>
    </xdr:from>
    <xdr:to>
      <xdr:col>16</xdr:col>
      <xdr:colOff>463550</xdr:colOff>
      <xdr:row>270</xdr:row>
      <xdr:rowOff>38100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3832" y="55434969"/>
          <a:ext cx="1665143" cy="11816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627284</xdr:colOff>
      <xdr:row>228</xdr:row>
      <xdr:rowOff>114300</xdr:rowOff>
    </xdr:from>
    <xdr:to>
      <xdr:col>10</xdr:col>
      <xdr:colOff>514409</xdr:colOff>
      <xdr:row>241</xdr:row>
      <xdr:rowOff>81600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1909" y="48301275"/>
          <a:ext cx="1811175" cy="2558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337315</xdr:colOff>
      <xdr:row>228</xdr:row>
      <xdr:rowOff>114300</xdr:rowOff>
    </xdr:from>
    <xdr:to>
      <xdr:col>15</xdr:col>
      <xdr:colOff>653065</xdr:colOff>
      <xdr:row>241</xdr:row>
      <xdr:rowOff>81600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6265" y="48301275"/>
          <a:ext cx="1811175" cy="2558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627284</xdr:colOff>
      <xdr:row>241</xdr:row>
      <xdr:rowOff>172652</xdr:rowOff>
    </xdr:from>
    <xdr:to>
      <xdr:col>10</xdr:col>
      <xdr:colOff>514409</xdr:colOff>
      <xdr:row>254</xdr:row>
      <xdr:rowOff>133602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1909" y="50950427"/>
          <a:ext cx="1811175" cy="256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636287</xdr:colOff>
      <xdr:row>241</xdr:row>
      <xdr:rowOff>172652</xdr:rowOff>
    </xdr:from>
    <xdr:to>
      <xdr:col>13</xdr:col>
      <xdr:colOff>205912</xdr:colOff>
      <xdr:row>254</xdr:row>
      <xdr:rowOff>133602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4962" y="50950427"/>
          <a:ext cx="1769900" cy="256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337315</xdr:colOff>
      <xdr:row>241</xdr:row>
      <xdr:rowOff>172652</xdr:rowOff>
    </xdr:from>
    <xdr:to>
      <xdr:col>15</xdr:col>
      <xdr:colOff>653065</xdr:colOff>
      <xdr:row>254</xdr:row>
      <xdr:rowOff>133602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6265" y="50950427"/>
          <a:ext cx="1811175" cy="256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42543</xdr:colOff>
      <xdr:row>255</xdr:row>
      <xdr:rowOff>59554</xdr:rowOff>
    </xdr:from>
    <xdr:to>
      <xdr:col>13</xdr:col>
      <xdr:colOff>15743</xdr:colOff>
      <xdr:row>263</xdr:row>
      <xdr:rowOff>174625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96068" y="53637679"/>
          <a:ext cx="1468625" cy="1715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1136650</xdr:colOff>
      <xdr:row>255</xdr:row>
      <xdr:rowOff>59554</xdr:rowOff>
    </xdr:from>
    <xdr:to>
      <xdr:col>10</xdr:col>
      <xdr:colOff>646300</xdr:colOff>
      <xdr:row>263</xdr:row>
      <xdr:rowOff>174625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1275" y="53637679"/>
          <a:ext cx="1433700" cy="1715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494757</xdr:colOff>
      <xdr:row>264</xdr:row>
      <xdr:rowOff>56619</xdr:rowOff>
    </xdr:from>
    <xdr:to>
      <xdr:col>11</xdr:col>
      <xdr:colOff>674000</xdr:colOff>
      <xdr:row>270</xdr:row>
      <xdr:rowOff>38100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1432" y="55434969"/>
          <a:ext cx="1646093" cy="11816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87907</xdr:colOff>
      <xdr:row>264</xdr:row>
      <xdr:rowOff>56619</xdr:rowOff>
    </xdr:from>
    <xdr:to>
      <xdr:col>14</xdr:col>
      <xdr:colOff>114750</xdr:colOff>
      <xdr:row>270</xdr:row>
      <xdr:rowOff>38100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46282" y="55434969"/>
          <a:ext cx="1655618" cy="11816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146679</xdr:colOff>
      <xdr:row>255</xdr:row>
      <xdr:rowOff>59554</xdr:rowOff>
    </xdr:from>
    <xdr:to>
      <xdr:col>17</xdr:col>
      <xdr:colOff>189729</xdr:colOff>
      <xdr:row>263</xdr:row>
      <xdr:rowOff>174625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1054" y="53637679"/>
          <a:ext cx="1433700" cy="1715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116836</xdr:colOff>
      <xdr:row>255</xdr:row>
      <xdr:rowOff>59554</xdr:rowOff>
    </xdr:from>
    <xdr:to>
      <xdr:col>15</xdr:col>
      <xdr:colOff>45586</xdr:colOff>
      <xdr:row>263</xdr:row>
      <xdr:rowOff>174625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5786" y="53637679"/>
          <a:ext cx="1424175" cy="1715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655337</xdr:colOff>
      <xdr:row>228</xdr:row>
      <xdr:rowOff>142875</xdr:rowOff>
    </xdr:from>
    <xdr:to>
      <xdr:col>13</xdr:col>
      <xdr:colOff>224962</xdr:colOff>
      <xdr:row>241</xdr:row>
      <xdr:rowOff>110175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04012" y="48329850"/>
          <a:ext cx="1769900" cy="2558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260350</xdr:colOff>
      <xdr:row>223</xdr:row>
      <xdr:rowOff>241300</xdr:rowOff>
    </xdr:from>
    <xdr:ext cx="596574" cy="264560"/>
    <xdr:sp macro="" textlink="">
      <xdr:nvSpPr>
        <xdr:cNvPr id="12" name="TextBox 11"/>
        <xdr:cNvSpPr txBox="1"/>
      </xdr:nvSpPr>
      <xdr:spPr>
        <a:xfrm>
          <a:off x="9124950" y="466280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158750</xdr:colOff>
      <xdr:row>230</xdr:row>
      <xdr:rowOff>57150</xdr:rowOff>
    </xdr:from>
    <xdr:to>
      <xdr:col>7</xdr:col>
      <xdr:colOff>716587</xdr:colOff>
      <xdr:row>270</xdr:row>
      <xdr:rowOff>190500</xdr:rowOff>
    </xdr:to>
    <xdr:grpSp>
      <xdr:nvGrpSpPr>
        <xdr:cNvPr id="22" name="Group 21"/>
        <xdr:cNvGrpSpPr/>
      </xdr:nvGrpSpPr>
      <xdr:grpSpPr>
        <a:xfrm>
          <a:off x="158750" y="48012350"/>
          <a:ext cx="6533187" cy="8001000"/>
          <a:chOff x="158750" y="48012350"/>
          <a:chExt cx="6533187" cy="8001000"/>
        </a:xfrm>
      </xdr:grpSpPr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480123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523201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346" y="5231656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149" y="5016445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346" y="5016445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149" y="5231656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2048" y="480123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5016445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7263" y="54475841"/>
            <a:ext cx="1353767" cy="15375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2048" y="5016445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8643" y="480123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8639" y="54475841"/>
            <a:ext cx="1348125" cy="15375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5887" y="54475841"/>
            <a:ext cx="1353767" cy="15375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4512" y="54475841"/>
            <a:ext cx="1353766" cy="15375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2049" y="52316568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346" y="48012350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0" name="TextBox 89"/>
          <xdr:cNvSpPr txBox="1"/>
        </xdr:nvSpPr>
        <xdr:spPr>
          <a:xfrm>
            <a:off x="774700" y="496824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91" name="TextBox 90"/>
          <xdr:cNvSpPr txBox="1"/>
        </xdr:nvSpPr>
        <xdr:spPr>
          <a:xfrm>
            <a:off x="2101448" y="497776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92" name="TextBox 91"/>
          <xdr:cNvSpPr txBox="1"/>
        </xdr:nvSpPr>
        <xdr:spPr>
          <a:xfrm>
            <a:off x="4475946" y="498411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93" name="TextBox 92"/>
          <xdr:cNvSpPr txBox="1"/>
        </xdr:nvSpPr>
        <xdr:spPr>
          <a:xfrm>
            <a:off x="5428043" y="481266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94" name="TextBox 93"/>
          <xdr:cNvSpPr txBox="1"/>
        </xdr:nvSpPr>
        <xdr:spPr>
          <a:xfrm>
            <a:off x="2749148" y="50177159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M4dJfEsdXx1J2y8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55" t="s">
        <v>173</v>
      </c>
      <c r="B1" s="155"/>
      <c r="C1" s="155"/>
      <c r="D1" s="155"/>
      <c r="E1" s="155"/>
      <c r="F1" s="155"/>
      <c r="G1" s="155"/>
      <c r="H1" s="155"/>
    </row>
    <row r="2" spans="1:8" ht="16.5" customHeight="1" x14ac:dyDescent="0.35">
      <c r="A2" s="110" t="s">
        <v>0</v>
      </c>
      <c r="B2" s="110"/>
      <c r="C2" s="110"/>
      <c r="D2" s="110"/>
      <c r="E2" s="110"/>
      <c r="F2" s="110"/>
      <c r="G2" s="110"/>
      <c r="H2" s="110"/>
    </row>
    <row r="3" spans="1:8" x14ac:dyDescent="0.35">
      <c r="A3" s="149" t="s">
        <v>1</v>
      </c>
      <c r="B3" s="149"/>
      <c r="C3" s="149"/>
      <c r="D3" s="149"/>
      <c r="E3" s="149" t="str">
        <f ca="1">TEXT(TODAY(),"DD/MM/YYYY")</f>
        <v>15/07/2025</v>
      </c>
      <c r="F3" s="149"/>
      <c r="G3" s="149"/>
      <c r="H3" s="149"/>
    </row>
    <row r="4" spans="1:8" ht="15" customHeight="1" x14ac:dyDescent="0.35">
      <c r="A4" s="149" t="s">
        <v>2</v>
      </c>
      <c r="B4" s="149"/>
      <c r="C4" s="149"/>
      <c r="D4" s="149"/>
      <c r="E4" s="149" t="s">
        <v>175</v>
      </c>
      <c r="F4" s="149"/>
      <c r="G4" s="149"/>
      <c r="H4" s="149"/>
    </row>
    <row r="5" spans="1:8" x14ac:dyDescent="0.35">
      <c r="A5" s="149" t="s">
        <v>3</v>
      </c>
      <c r="B5" s="149"/>
      <c r="C5" s="149"/>
      <c r="D5" s="149"/>
      <c r="E5" s="154">
        <v>45848</v>
      </c>
      <c r="F5" s="149"/>
      <c r="G5" s="149"/>
      <c r="H5" s="149"/>
    </row>
    <row r="6" spans="1:8" ht="16.5" customHeight="1" x14ac:dyDescent="0.35">
      <c r="A6" s="149" t="s">
        <v>4</v>
      </c>
      <c r="B6" s="149"/>
      <c r="C6" s="149"/>
      <c r="D6" s="149"/>
      <c r="E6" s="149" t="s">
        <v>176</v>
      </c>
      <c r="F6" s="149"/>
      <c r="G6" s="149"/>
      <c r="H6" s="149"/>
    </row>
    <row r="7" spans="1:8" ht="15" customHeight="1" x14ac:dyDescent="0.35">
      <c r="A7" s="149" t="s">
        <v>5</v>
      </c>
      <c r="B7" s="149"/>
      <c r="C7" s="149"/>
      <c r="D7" s="149"/>
      <c r="E7" s="149" t="str">
        <f>E6</f>
        <v>P.G. Constructions</v>
      </c>
      <c r="F7" s="149"/>
      <c r="G7" s="149"/>
      <c r="H7" s="149"/>
    </row>
    <row r="8" spans="1:8" x14ac:dyDescent="0.35">
      <c r="A8" s="149" t="s">
        <v>6</v>
      </c>
      <c r="B8" s="149"/>
      <c r="C8" s="149"/>
      <c r="D8" s="149"/>
      <c r="E8" s="75" t="s">
        <v>177</v>
      </c>
      <c r="F8" s="75"/>
      <c r="G8" s="75"/>
      <c r="H8" s="75"/>
    </row>
    <row r="9" spans="1:8" x14ac:dyDescent="0.35">
      <c r="A9" s="149" t="s">
        <v>170</v>
      </c>
      <c r="B9" s="149"/>
      <c r="C9" s="149"/>
      <c r="D9" s="149"/>
      <c r="E9" s="149" t="s">
        <v>229</v>
      </c>
      <c r="F9" s="149"/>
      <c r="G9" s="149"/>
      <c r="H9" s="149"/>
    </row>
    <row r="10" spans="1:8" hidden="1" x14ac:dyDescent="0.35">
      <c r="A10" s="149" t="s">
        <v>171</v>
      </c>
      <c r="B10" s="149"/>
      <c r="C10" s="149"/>
      <c r="D10" s="149"/>
      <c r="E10" s="149" t="s">
        <v>228</v>
      </c>
      <c r="F10" s="149"/>
      <c r="G10" s="149"/>
      <c r="H10" s="149"/>
    </row>
    <row r="11" spans="1:8" x14ac:dyDescent="0.35">
      <c r="A11" s="149" t="s">
        <v>7</v>
      </c>
      <c r="B11" s="149"/>
      <c r="C11" s="149"/>
      <c r="D11" s="149"/>
      <c r="E11" s="149" t="s">
        <v>178</v>
      </c>
      <c r="F11" s="149"/>
      <c r="G11" s="149"/>
      <c r="H11" s="149"/>
    </row>
    <row r="12" spans="1:8" s="21" customFormat="1" x14ac:dyDescent="0.35">
      <c r="A12" s="149" t="s">
        <v>8</v>
      </c>
      <c r="B12" s="149"/>
      <c r="C12" s="149"/>
      <c r="D12" s="149"/>
      <c r="E12" s="112" t="s">
        <v>222</v>
      </c>
      <c r="F12" s="112"/>
      <c r="G12" s="112"/>
      <c r="H12" s="112"/>
    </row>
    <row r="13" spans="1:8" x14ac:dyDescent="0.35">
      <c r="A13" s="122" t="s">
        <v>9</v>
      </c>
      <c r="B13" s="122"/>
      <c r="C13" s="122"/>
      <c r="D13" s="122"/>
      <c r="E13" s="112" t="s">
        <v>179</v>
      </c>
      <c r="F13" s="149"/>
      <c r="G13" s="149"/>
      <c r="H13" s="149"/>
    </row>
    <row r="14" spans="1:8" ht="48.75" customHeight="1" x14ac:dyDescent="0.35">
      <c r="A14" s="152" t="s">
        <v>10</v>
      </c>
      <c r="B14" s="152"/>
      <c r="C14" s="15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Precious Harmony NX, Survey No.40, Hissa No.1/2, near Siddharth Complex, Sidh Swayambhu Shiv Mandir Road, Katrap, Belavali, Badlapur, Ambernath, Thane - 421503.</v>
      </c>
      <c r="D14" s="152"/>
      <c r="E14" s="152"/>
      <c r="F14" s="152"/>
      <c r="G14" s="152"/>
      <c r="H14" s="152"/>
    </row>
    <row r="15" spans="1:8" x14ac:dyDescent="0.35">
      <c r="A15" s="112" t="s">
        <v>180</v>
      </c>
      <c r="B15" s="112"/>
      <c r="C15" s="112" t="s">
        <v>181</v>
      </c>
      <c r="D15" s="112"/>
      <c r="E15" s="112"/>
      <c r="F15" s="112"/>
      <c r="G15" s="112"/>
      <c r="H15" s="112"/>
    </row>
    <row r="16" spans="1:8" ht="15.75" customHeight="1" x14ac:dyDescent="0.35">
      <c r="A16" s="112" t="s">
        <v>169</v>
      </c>
      <c r="B16" s="112"/>
      <c r="C16" s="112" t="s">
        <v>214</v>
      </c>
      <c r="D16" s="112"/>
      <c r="E16" s="112"/>
      <c r="F16" s="112"/>
      <c r="G16" s="112"/>
      <c r="H16" s="112"/>
    </row>
    <row r="17" spans="1:8" ht="34.5" customHeight="1" x14ac:dyDescent="0.35">
      <c r="A17" s="152" t="s">
        <v>11</v>
      </c>
      <c r="B17" s="152"/>
      <c r="C17" s="112" t="s">
        <v>210</v>
      </c>
      <c r="D17" s="112"/>
      <c r="E17" s="152" t="s">
        <v>75</v>
      </c>
      <c r="F17" s="152"/>
      <c r="G17" s="112" t="s">
        <v>182</v>
      </c>
      <c r="H17" s="112"/>
    </row>
    <row r="18" spans="1:8" x14ac:dyDescent="0.35">
      <c r="A18" s="122" t="s">
        <v>13</v>
      </c>
      <c r="B18" s="122"/>
      <c r="C18" s="112" t="s">
        <v>213</v>
      </c>
      <c r="D18" s="112"/>
      <c r="E18" s="152" t="s">
        <v>12</v>
      </c>
      <c r="F18" s="152"/>
      <c r="G18" s="153" t="s">
        <v>183</v>
      </c>
      <c r="H18" s="153"/>
    </row>
    <row r="19" spans="1:8" x14ac:dyDescent="0.35">
      <c r="A19" s="122" t="s">
        <v>76</v>
      </c>
      <c r="B19" s="122"/>
      <c r="C19" s="112" t="s">
        <v>184</v>
      </c>
      <c r="D19" s="112"/>
      <c r="E19" s="152" t="s">
        <v>14</v>
      </c>
      <c r="F19" s="152"/>
      <c r="G19" s="112">
        <v>421503</v>
      </c>
      <c r="H19" s="112"/>
    </row>
    <row r="20" spans="1:8" ht="32.25" customHeight="1" x14ac:dyDescent="0.35">
      <c r="A20" s="122" t="s">
        <v>127</v>
      </c>
      <c r="B20" s="122"/>
      <c r="C20" s="112" t="s">
        <v>212</v>
      </c>
      <c r="D20" s="112"/>
      <c r="E20" s="152" t="s">
        <v>15</v>
      </c>
      <c r="F20" s="152"/>
      <c r="G20" s="112" t="s">
        <v>215</v>
      </c>
      <c r="H20" s="112"/>
    </row>
    <row r="21" spans="1:8" ht="15" customHeight="1" x14ac:dyDescent="0.35">
      <c r="A21" s="152" t="s">
        <v>79</v>
      </c>
      <c r="B21" s="152"/>
      <c r="C21" s="152"/>
      <c r="D21" s="152"/>
      <c r="E21" s="149" t="s">
        <v>16</v>
      </c>
      <c r="F21" s="149"/>
      <c r="G21" s="149"/>
      <c r="H21" s="149"/>
    </row>
    <row r="22" spans="1:8" ht="18.75" customHeight="1" x14ac:dyDescent="0.35">
      <c r="A22" s="152"/>
      <c r="B22" s="152"/>
      <c r="C22" s="152"/>
      <c r="D22" s="152"/>
      <c r="E22" s="149"/>
      <c r="F22" s="149"/>
      <c r="G22" s="149"/>
      <c r="H22" s="149"/>
    </row>
    <row r="23" spans="1:8" ht="15" customHeight="1" x14ac:dyDescent="0.35">
      <c r="A23" s="152" t="s">
        <v>17</v>
      </c>
      <c r="B23" s="152"/>
      <c r="C23" s="152"/>
      <c r="D23" s="152"/>
      <c r="E23" s="112" t="s">
        <v>18</v>
      </c>
      <c r="F23" s="112"/>
      <c r="G23" s="112"/>
      <c r="H23" s="112"/>
    </row>
    <row r="24" spans="1:8" ht="15" customHeight="1" x14ac:dyDescent="0.35">
      <c r="A24" s="122" t="s">
        <v>19</v>
      </c>
      <c r="B24" s="122"/>
      <c r="C24" s="122"/>
      <c r="D24" s="122"/>
      <c r="E24" s="112" t="str">
        <f>IF(AND(G18="Mumbai"),"Upper Class","Middle Class")</f>
        <v>Middle Class</v>
      </c>
      <c r="F24" s="112"/>
      <c r="G24" s="112"/>
      <c r="H24" s="112"/>
    </row>
    <row r="25" spans="1:8" x14ac:dyDescent="0.35">
      <c r="A25" s="122" t="s">
        <v>20</v>
      </c>
      <c r="B25" s="122"/>
      <c r="C25" s="122"/>
      <c r="D25" s="122"/>
      <c r="E25" s="112" t="s">
        <v>21</v>
      </c>
      <c r="F25" s="112"/>
      <c r="G25" s="112"/>
      <c r="H25" s="112"/>
    </row>
    <row r="26" spans="1:8" ht="15.75" customHeight="1" x14ac:dyDescent="0.35">
      <c r="A26" s="122" t="s">
        <v>22</v>
      </c>
      <c r="B26" s="122"/>
      <c r="C26" s="122"/>
      <c r="D26" s="122"/>
      <c r="E26" s="112" t="str">
        <f>IF(AND(G18="Mumbai"),"Developed","Developing")</f>
        <v>Developing</v>
      </c>
      <c r="F26" s="112"/>
      <c r="G26" s="112"/>
      <c r="H26" s="112"/>
    </row>
    <row r="27" spans="1:8" x14ac:dyDescent="0.35">
      <c r="A27" s="122" t="s">
        <v>23</v>
      </c>
      <c r="B27" s="122"/>
      <c r="C27" s="122"/>
      <c r="D27" s="122"/>
      <c r="E27" s="112" t="s">
        <v>24</v>
      </c>
      <c r="F27" s="112"/>
      <c r="G27" s="112"/>
      <c r="H27" s="112"/>
    </row>
    <row r="28" spans="1:8" ht="15.75" customHeight="1" x14ac:dyDescent="0.35">
      <c r="A28" s="122" t="s">
        <v>84</v>
      </c>
      <c r="B28" s="122"/>
      <c r="C28" s="122"/>
      <c r="D28" s="122"/>
      <c r="E28" s="112" t="s">
        <v>85</v>
      </c>
      <c r="F28" s="112"/>
      <c r="G28" s="112"/>
      <c r="H28" s="112"/>
    </row>
    <row r="29" spans="1:8" ht="15" customHeight="1" x14ac:dyDescent="0.35">
      <c r="A29" s="122" t="s">
        <v>33</v>
      </c>
      <c r="B29" s="122"/>
      <c r="C29" s="122"/>
      <c r="D29" s="122"/>
      <c r="E29" s="11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2"/>
      <c r="G29" s="112"/>
      <c r="H29" s="112"/>
    </row>
    <row r="30" spans="1:8" ht="15.75" customHeight="1" x14ac:dyDescent="0.35">
      <c r="A30" s="122" t="s">
        <v>96</v>
      </c>
      <c r="B30" s="122"/>
      <c r="C30" s="122"/>
      <c r="D30" s="122"/>
      <c r="E30" s="112" t="s">
        <v>34</v>
      </c>
      <c r="F30" s="112"/>
      <c r="G30" s="112"/>
      <c r="H30" s="112"/>
    </row>
    <row r="31" spans="1:8" s="20" customFormat="1" x14ac:dyDescent="0.35">
      <c r="A31" s="151" t="s">
        <v>97</v>
      </c>
      <c r="B31" s="151"/>
      <c r="C31" s="150" t="s">
        <v>29</v>
      </c>
      <c r="D31" s="150"/>
      <c r="E31" s="150"/>
      <c r="F31" s="150" t="s">
        <v>31</v>
      </c>
      <c r="G31" s="150"/>
      <c r="H31" s="150"/>
    </row>
    <row r="32" spans="1:8" s="20" customFormat="1" x14ac:dyDescent="0.35">
      <c r="A32" s="141" t="s">
        <v>25</v>
      </c>
      <c r="B32" s="141" t="s">
        <v>30</v>
      </c>
      <c r="C32" s="142" t="s">
        <v>30</v>
      </c>
      <c r="D32" s="142"/>
      <c r="E32" s="142"/>
      <c r="F32" s="142" t="s">
        <v>210</v>
      </c>
      <c r="G32" s="142"/>
      <c r="H32" s="142"/>
    </row>
    <row r="33" spans="1:8" x14ac:dyDescent="0.35">
      <c r="A33" s="141" t="s">
        <v>26</v>
      </c>
      <c r="B33" s="141" t="s">
        <v>30</v>
      </c>
      <c r="C33" s="142" t="s">
        <v>30</v>
      </c>
      <c r="D33" s="142"/>
      <c r="E33" s="142"/>
      <c r="F33" s="142" t="s">
        <v>211</v>
      </c>
      <c r="G33" s="142"/>
      <c r="H33" s="142"/>
    </row>
    <row r="34" spans="1:8" s="20" customFormat="1" x14ac:dyDescent="0.35">
      <c r="A34" s="141" t="s">
        <v>28</v>
      </c>
      <c r="B34" s="141" t="s">
        <v>30</v>
      </c>
      <c r="C34" s="142" t="s">
        <v>30</v>
      </c>
      <c r="D34" s="142"/>
      <c r="E34" s="142"/>
      <c r="F34" s="142" t="s">
        <v>212</v>
      </c>
      <c r="G34" s="142"/>
      <c r="H34" s="142"/>
    </row>
    <row r="35" spans="1:8" x14ac:dyDescent="0.35">
      <c r="A35" s="141" t="s">
        <v>27</v>
      </c>
      <c r="B35" s="141" t="s">
        <v>30</v>
      </c>
      <c r="C35" s="142" t="s">
        <v>30</v>
      </c>
      <c r="D35" s="142"/>
      <c r="E35" s="142"/>
      <c r="F35" s="142" t="s">
        <v>216</v>
      </c>
      <c r="G35" s="142"/>
      <c r="H35" s="142"/>
    </row>
    <row r="36" spans="1:8" x14ac:dyDescent="0.35">
      <c r="A36" s="122" t="s">
        <v>32</v>
      </c>
      <c r="B36" s="122"/>
      <c r="C36" s="122"/>
      <c r="D36" s="122"/>
      <c r="E36" s="122"/>
      <c r="F36" s="122"/>
      <c r="G36" s="122"/>
      <c r="H36" s="122"/>
    </row>
    <row r="37" spans="1:8" ht="15.75" customHeight="1" x14ac:dyDescent="0.35">
      <c r="A37" s="135" t="s">
        <v>174</v>
      </c>
      <c r="B37" s="136"/>
      <c r="C37" s="122" t="s">
        <v>209</v>
      </c>
      <c r="D37" s="122"/>
      <c r="E37" s="122"/>
      <c r="F37" s="122"/>
      <c r="G37" s="122"/>
      <c r="H37" s="122"/>
    </row>
    <row r="38" spans="1:8" x14ac:dyDescent="0.35">
      <c r="A38" s="110" t="s">
        <v>168</v>
      </c>
      <c r="B38" s="110"/>
      <c r="C38" s="111" t="s">
        <v>208</v>
      </c>
      <c r="D38" s="112"/>
      <c r="E38" s="112"/>
      <c r="F38" s="112"/>
      <c r="G38" s="112"/>
      <c r="H38" s="112"/>
    </row>
    <row r="39" spans="1:8" x14ac:dyDescent="0.35">
      <c r="A39" s="144" t="s">
        <v>35</v>
      </c>
      <c r="B39" s="144"/>
      <c r="C39" s="144"/>
      <c r="D39" s="144"/>
      <c r="E39" s="144"/>
      <c r="F39" s="144"/>
      <c r="G39" s="144"/>
      <c r="H39" s="144"/>
    </row>
    <row r="40" spans="1:8" x14ac:dyDescent="0.35">
      <c r="A40" s="122" t="s">
        <v>36</v>
      </c>
      <c r="B40" s="122"/>
      <c r="C40" s="122"/>
      <c r="D40" s="122"/>
      <c r="E40" s="143">
        <v>2898</v>
      </c>
      <c r="F40" s="143"/>
      <c r="G40" s="143"/>
      <c r="H40" s="143"/>
    </row>
    <row r="41" spans="1:8" x14ac:dyDescent="0.35">
      <c r="A41" s="122" t="s">
        <v>37</v>
      </c>
      <c r="B41" s="122"/>
      <c r="C41" s="122"/>
      <c r="D41" s="122"/>
      <c r="E41" s="147">
        <v>1.1000000000000001</v>
      </c>
      <c r="F41" s="147"/>
      <c r="G41" s="147"/>
      <c r="H41" s="147"/>
    </row>
    <row r="42" spans="1:8" x14ac:dyDescent="0.35">
      <c r="A42" s="122" t="s">
        <v>38</v>
      </c>
      <c r="B42" s="122"/>
      <c r="C42" s="122"/>
      <c r="D42" s="122"/>
      <c r="E42" s="147">
        <f>E44/E40-E41</f>
        <v>1.8642684610075917</v>
      </c>
      <c r="F42" s="147"/>
      <c r="G42" s="147"/>
      <c r="H42" s="147"/>
    </row>
    <row r="43" spans="1:8" x14ac:dyDescent="0.35">
      <c r="A43" s="122" t="s">
        <v>39</v>
      </c>
      <c r="B43" s="122"/>
      <c r="C43" s="122"/>
      <c r="D43" s="122"/>
      <c r="E43" s="147">
        <f>E41+E42</f>
        <v>2.9642684610075918</v>
      </c>
      <c r="F43" s="147"/>
      <c r="G43" s="147"/>
      <c r="H43" s="147"/>
    </row>
    <row r="44" spans="1:8" x14ac:dyDescent="0.35">
      <c r="A44" s="122" t="s">
        <v>95</v>
      </c>
      <c r="B44" s="122"/>
      <c r="C44" s="122"/>
      <c r="D44" s="122"/>
      <c r="E44" s="148">
        <v>8590.4500000000007</v>
      </c>
      <c r="F44" s="148"/>
      <c r="G44" s="148"/>
      <c r="H44" s="148"/>
    </row>
    <row r="45" spans="1:8" x14ac:dyDescent="0.35">
      <c r="A45" s="149" t="s">
        <v>40</v>
      </c>
      <c r="B45" s="149"/>
      <c r="C45" s="149"/>
      <c r="D45" s="149"/>
      <c r="E45" s="149" t="s">
        <v>204</v>
      </c>
      <c r="F45" s="149"/>
      <c r="G45" s="149"/>
      <c r="H45" s="149"/>
    </row>
    <row r="46" spans="1:8" x14ac:dyDescent="0.35">
      <c r="A46" s="144" t="s">
        <v>41</v>
      </c>
      <c r="B46" s="144"/>
      <c r="C46" s="144"/>
      <c r="D46" s="144"/>
      <c r="E46" s="144"/>
      <c r="F46" s="144"/>
      <c r="G46" s="144"/>
      <c r="H46" s="144"/>
    </row>
    <row r="47" spans="1:8" ht="33.75" customHeight="1" x14ac:dyDescent="0.35">
      <c r="A47" s="116" t="s">
        <v>156</v>
      </c>
      <c r="B47" s="117"/>
      <c r="C47" s="118" t="s">
        <v>201</v>
      </c>
      <c r="D47" s="119"/>
      <c r="E47" s="119"/>
      <c r="F47" s="119"/>
      <c r="G47" s="119"/>
      <c r="H47" s="120"/>
    </row>
    <row r="48" spans="1:8" ht="15.75" customHeight="1" x14ac:dyDescent="0.35">
      <c r="A48" s="116" t="s">
        <v>42</v>
      </c>
      <c r="B48" s="117"/>
      <c r="C48" s="116" t="s">
        <v>202</v>
      </c>
      <c r="D48" s="175"/>
      <c r="E48" s="117"/>
      <c r="F48" s="18" t="s">
        <v>43</v>
      </c>
      <c r="G48" s="161">
        <v>44742</v>
      </c>
      <c r="H48" s="117"/>
    </row>
    <row r="49" spans="1:14" x14ac:dyDescent="0.35">
      <c r="A49" s="116" t="s">
        <v>44</v>
      </c>
      <c r="B49" s="117"/>
      <c r="C49" s="116" t="str">
        <f>C48</f>
        <v>KBNP/NRV/BP/6126-89</v>
      </c>
      <c r="D49" s="175"/>
      <c r="E49" s="117"/>
      <c r="F49" s="18" t="s">
        <v>43</v>
      </c>
      <c r="G49" s="161">
        <f>G48</f>
        <v>44742</v>
      </c>
      <c r="H49" s="162"/>
    </row>
    <row r="50" spans="1:14" s="21" customFormat="1" ht="33" customHeight="1" x14ac:dyDescent="0.35">
      <c r="A50" s="163" t="s">
        <v>160</v>
      </c>
      <c r="B50" s="164"/>
      <c r="C50" s="116" t="s">
        <v>203</v>
      </c>
      <c r="D50" s="175"/>
      <c r="E50" s="117"/>
      <c r="F50" s="18" t="s">
        <v>43</v>
      </c>
      <c r="G50" s="161">
        <f>G49</f>
        <v>44742</v>
      </c>
      <c r="H50" s="162"/>
    </row>
    <row r="51" spans="1:14" s="21" customFormat="1" ht="32.25" customHeight="1" x14ac:dyDescent="0.35">
      <c r="A51" s="165"/>
      <c r="B51" s="166"/>
      <c r="C51" s="116" t="s">
        <v>223</v>
      </c>
      <c r="D51" s="175"/>
      <c r="E51" s="175"/>
      <c r="F51" s="175"/>
      <c r="G51" s="175"/>
      <c r="H51" s="117"/>
    </row>
    <row r="52" spans="1:14" x14ac:dyDescent="0.35">
      <c r="A52" s="186" t="s">
        <v>45</v>
      </c>
      <c r="B52" s="187"/>
      <c r="C52" s="186" t="s">
        <v>109</v>
      </c>
      <c r="D52" s="188"/>
      <c r="E52" s="187"/>
      <c r="F52" s="42" t="s">
        <v>43</v>
      </c>
      <c r="G52" s="189" t="s">
        <v>30</v>
      </c>
      <c r="H52" s="190"/>
    </row>
    <row r="53" spans="1:14" x14ac:dyDescent="0.35">
      <c r="A53" s="170" t="s">
        <v>47</v>
      </c>
      <c r="B53" s="170"/>
      <c r="C53" s="170"/>
      <c r="D53" s="170"/>
      <c r="E53" s="170"/>
      <c r="F53" s="170"/>
      <c r="G53" s="170"/>
      <c r="H53" s="170"/>
    </row>
    <row r="54" spans="1:14" x14ac:dyDescent="0.35">
      <c r="A54" s="152" t="s">
        <v>94</v>
      </c>
      <c r="B54" s="152"/>
      <c r="C54" s="152"/>
      <c r="D54" s="122">
        <f>E44</f>
        <v>8590.4500000000007</v>
      </c>
      <c r="E54" s="122"/>
      <c r="F54" s="122"/>
      <c r="G54" s="122"/>
      <c r="H54" s="122"/>
    </row>
    <row r="55" spans="1:14" x14ac:dyDescent="0.35">
      <c r="A55" s="112" t="s">
        <v>48</v>
      </c>
      <c r="B55" s="149"/>
      <c r="C55" s="149"/>
      <c r="D55" s="149" t="s">
        <v>197</v>
      </c>
      <c r="E55" s="149"/>
      <c r="F55" s="149"/>
      <c r="G55" s="149"/>
      <c r="H55" s="149"/>
      <c r="I55" s="22"/>
    </row>
    <row r="56" spans="1:14" s="21" customFormat="1" x14ac:dyDescent="0.35">
      <c r="A56" s="158" t="s">
        <v>49</v>
      </c>
      <c r="B56" s="159"/>
      <c r="C56" s="160"/>
      <c r="D56" s="156" t="s">
        <v>198</v>
      </c>
      <c r="E56" s="157"/>
      <c r="F56" s="157"/>
      <c r="G56" s="157"/>
      <c r="H56" s="157"/>
    </row>
    <row r="57" spans="1:14" ht="15.75" customHeight="1" x14ac:dyDescent="0.35">
      <c r="A57" s="158" t="s">
        <v>92</v>
      </c>
      <c r="B57" s="159"/>
      <c r="C57" s="159"/>
      <c r="D57" s="180" t="s">
        <v>205</v>
      </c>
      <c r="E57" s="181"/>
      <c r="F57" s="181"/>
      <c r="G57" s="181"/>
      <c r="H57" s="182"/>
    </row>
    <row r="58" spans="1:14" ht="15.75" customHeight="1" x14ac:dyDescent="0.35">
      <c r="A58" s="176"/>
      <c r="B58" s="177"/>
      <c r="C58" s="177"/>
      <c r="D58" s="183" t="s">
        <v>206</v>
      </c>
      <c r="E58" s="184"/>
      <c r="F58" s="184"/>
      <c r="G58" s="184"/>
      <c r="H58" s="185"/>
    </row>
    <row r="59" spans="1:14" ht="15.75" customHeight="1" x14ac:dyDescent="0.35">
      <c r="A59" s="178"/>
      <c r="B59" s="179"/>
      <c r="C59" s="179"/>
      <c r="D59" s="191" t="s">
        <v>207</v>
      </c>
      <c r="E59" s="192"/>
      <c r="F59" s="192"/>
      <c r="G59" s="192"/>
      <c r="H59" s="193"/>
    </row>
    <row r="60" spans="1:14" ht="15.75" customHeight="1" x14ac:dyDescent="0.35">
      <c r="A60" s="122" t="s">
        <v>46</v>
      </c>
      <c r="B60" s="122"/>
      <c r="C60" s="122"/>
      <c r="D60" s="145" t="s">
        <v>199</v>
      </c>
      <c r="E60" s="145"/>
      <c r="F60" s="145"/>
      <c r="G60" s="145"/>
      <c r="H60" s="145"/>
      <c r="J60" s="23"/>
      <c r="K60" s="22"/>
      <c r="N60" s="22"/>
    </row>
    <row r="61" spans="1:14" ht="15.75" customHeight="1" x14ac:dyDescent="0.35">
      <c r="A61" s="122" t="s">
        <v>90</v>
      </c>
      <c r="B61" s="122"/>
      <c r="C61" s="122"/>
      <c r="D61" s="146" t="str">
        <f>(IF(G52="NA","60 Years After Completion",IF(G52&lt;&gt;"NA",""&amp;60-ROUNDDOWN((E3-G52)/360,0)&amp;" Years"," ")))</f>
        <v>60 Years After Completion</v>
      </c>
      <c r="E61" s="146"/>
      <c r="F61" s="146"/>
      <c r="G61" s="146"/>
      <c r="H61" s="146"/>
      <c r="N61" s="22"/>
    </row>
    <row r="62" spans="1:14" ht="15.75" customHeight="1" x14ac:dyDescent="0.35">
      <c r="A62" s="122" t="s">
        <v>91</v>
      </c>
      <c r="B62" s="122"/>
      <c r="C62" s="122"/>
      <c r="D62" s="152" t="s">
        <v>24</v>
      </c>
      <c r="E62" s="152"/>
      <c r="F62" s="152"/>
      <c r="G62" s="152"/>
      <c r="H62" s="152"/>
      <c r="J62" s="24"/>
      <c r="K62" s="24"/>
    </row>
    <row r="63" spans="1:14" ht="31.5" customHeight="1" x14ac:dyDescent="0.35">
      <c r="A63" s="122" t="s">
        <v>77</v>
      </c>
      <c r="B63" s="122"/>
      <c r="C63" s="122"/>
      <c r="D63" s="112" t="s">
        <v>200</v>
      </c>
      <c r="E63" s="152"/>
      <c r="F63" s="152"/>
      <c r="G63" s="152"/>
      <c r="H63" s="152"/>
    </row>
    <row r="64" spans="1:14" x14ac:dyDescent="0.35">
      <c r="A64" s="152" t="s">
        <v>153</v>
      </c>
      <c r="B64" s="152"/>
      <c r="C64" s="152"/>
      <c r="D64" s="152" t="s">
        <v>30</v>
      </c>
      <c r="E64" s="152"/>
      <c r="F64" s="152"/>
      <c r="G64" s="152"/>
      <c r="H64" s="152"/>
      <c r="I64" s="25"/>
      <c r="J64" s="25"/>
      <c r="K64" s="25"/>
      <c r="L64" s="25"/>
      <c r="M64" s="25"/>
      <c r="N64" s="25"/>
    </row>
    <row r="65" spans="1:10" ht="15.75" customHeight="1" x14ac:dyDescent="0.35">
      <c r="A65" s="122" t="s">
        <v>89</v>
      </c>
      <c r="B65" s="122"/>
      <c r="C65" s="122"/>
      <c r="D65" s="112" t="s">
        <v>221</v>
      </c>
      <c r="E65" s="112"/>
      <c r="F65" s="112"/>
      <c r="G65" s="112"/>
      <c r="H65" s="112"/>
      <c r="J65" s="24"/>
    </row>
    <row r="66" spans="1:10" ht="33.75" customHeight="1" thickBot="1" x14ac:dyDescent="0.4">
      <c r="A66" s="152" t="s">
        <v>122</v>
      </c>
      <c r="B66" s="152"/>
      <c r="C66" s="152"/>
      <c r="D66" s="112" t="str">
        <f>(IF(D65="Nothing","Yes",IF(D65="Cement, Aggregate, Steel, etc","Under Construction",IF(D65="Work not yet Started","Work not yet Started"))))</f>
        <v>Under Construction</v>
      </c>
      <c r="E66" s="112"/>
      <c r="F66" s="112" t="str">
        <f>(IF(D65="Nothing","Yes",IF(D65="Cement, Aggregate, Steel, etc","Under Construction",IF(D65="Work not yet Started","Work not yet Started"))))</f>
        <v>Under Construction</v>
      </c>
      <c r="G66" s="112"/>
      <c r="H66" s="112"/>
    </row>
    <row r="67" spans="1:10" ht="15.75" customHeight="1" x14ac:dyDescent="0.35">
      <c r="A67" s="76" t="s">
        <v>145</v>
      </c>
      <c r="B67" s="76"/>
      <c r="C67" s="76" t="s">
        <v>225</v>
      </c>
      <c r="D67" s="76"/>
      <c r="E67" s="76"/>
      <c r="F67" s="76"/>
      <c r="G67" s="76"/>
      <c r="H67" s="76"/>
      <c r="I67" s="196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4 Floor Completed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4 Floor</v>
      </c>
    </row>
    <row r="68" spans="1:10" x14ac:dyDescent="0.35">
      <c r="A68" s="68" t="s">
        <v>147</v>
      </c>
      <c r="B68" s="68">
        <v>0</v>
      </c>
      <c r="C68" s="68" t="s">
        <v>74</v>
      </c>
      <c r="D68" s="68">
        <v>1</v>
      </c>
      <c r="E68" s="68" t="s">
        <v>73</v>
      </c>
      <c r="F68" s="68">
        <v>0</v>
      </c>
      <c r="G68" s="68" t="s">
        <v>83</v>
      </c>
      <c r="H68" s="68">
        <f ca="1">--TRIM(RIGHT(SUBSTITUTE(LEFT(C67,_xlfn.AGGREGATE(16,6,FIND({0,1,2,3,4,5,6,7,8,9},C67,ROW(INDIRECT("1:"&amp;LEN(C67)))),1))," ",REPT(" ",LEN(C67))),LEN(C67)))</f>
        <v>7</v>
      </c>
      <c r="I68" s="19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7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75" t="s">
        <v>93</v>
      </c>
      <c r="B69" s="75"/>
      <c r="C69" s="76" t="str">
        <f ca="1">I67</f>
        <v>Excavation, Plinth, RCC Slab, Brickwork, Internal Plaster Completed, External Plaster upto 4 Floor Completed</v>
      </c>
      <c r="D69" s="76"/>
      <c r="E69" s="76"/>
      <c r="F69" s="76"/>
      <c r="G69" s="76"/>
      <c r="H69" s="76"/>
      <c r="I69" s="197" t="str">
        <f ca="1">IF(I68&lt;&gt;""," Completed","")</f>
        <v xml:space="preserve"> Completed</v>
      </c>
      <c r="J69" s="47" t="str">
        <f ca="1">IF(J67&lt;&gt;"","Completed","")</f>
        <v>Completed</v>
      </c>
    </row>
    <row r="70" spans="1:10" ht="15.75" customHeight="1" x14ac:dyDescent="0.35">
      <c r="A70" s="79" t="s">
        <v>50</v>
      </c>
      <c r="B70" s="79"/>
      <c r="C70" s="67" t="s">
        <v>144</v>
      </c>
      <c r="D70" s="67" t="s">
        <v>86</v>
      </c>
      <c r="E70" s="79" t="s">
        <v>88</v>
      </c>
      <c r="F70" s="79"/>
      <c r="G70" s="79" t="s">
        <v>87</v>
      </c>
      <c r="H70" s="79"/>
      <c r="I70" s="14" t="s">
        <v>146</v>
      </c>
      <c r="J70" s="26">
        <f ca="1">H68*25%</f>
        <v>1.75</v>
      </c>
    </row>
    <row r="71" spans="1:10" x14ac:dyDescent="0.35">
      <c r="A71" s="78" t="s">
        <v>133</v>
      </c>
      <c r="B71" s="79"/>
      <c r="C71" s="59">
        <f ca="1">J72</f>
        <v>7</v>
      </c>
      <c r="D71" s="56">
        <f ca="1">((100/H68)*C71)/100</f>
        <v>1</v>
      </c>
      <c r="E71" s="81">
        <f ca="1">(((C72/H68*10)+(40/(D68+F68+H68)*C73)+(7.5/(H68)*C74)+(7.5/(H68)*C75)+(10/H68*C76)+(10/H68*C77)+(5/H68*C78)+(5/H68*C79)+(5/H68*C80))/100)</f>
        <v>0.70714285714285707</v>
      </c>
      <c r="F71" s="82"/>
      <c r="G71" s="81">
        <f ca="1">((((C71/H68)*20)+((C72/H68)*25)+(30/(H68+F68+D68)*C73)+(5/H68*C74)+(5/H68*C75)+(5/H68*C76)+(5/H68*C77)+(0/H68*C78)+(0/H68*C79)+(5/H68*C80))/100)</f>
        <v>0.87857142857142856</v>
      </c>
      <c r="H71" s="87"/>
      <c r="I71" s="14" t="s">
        <v>104</v>
      </c>
      <c r="J71" s="27">
        <f ca="1">H68*50%</f>
        <v>3.5</v>
      </c>
    </row>
    <row r="72" spans="1:10" x14ac:dyDescent="0.35">
      <c r="A72" s="78" t="s">
        <v>51</v>
      </c>
      <c r="B72" s="79"/>
      <c r="C72" s="59">
        <f ca="1">J80</f>
        <v>7</v>
      </c>
      <c r="D72" s="56">
        <f ca="1">((100/H68)*C72)/100</f>
        <v>1</v>
      </c>
      <c r="E72" s="83"/>
      <c r="F72" s="84"/>
      <c r="G72" s="83"/>
      <c r="H72" s="88"/>
      <c r="I72" s="14" t="s">
        <v>105</v>
      </c>
      <c r="J72" s="27">
        <f ca="1">H68</f>
        <v>7</v>
      </c>
    </row>
    <row r="73" spans="1:10" ht="15.75" customHeight="1" x14ac:dyDescent="0.35">
      <c r="A73" s="78" t="s">
        <v>134</v>
      </c>
      <c r="B73" s="79"/>
      <c r="C73" s="55">
        <v>8</v>
      </c>
      <c r="D73" s="56">
        <f ca="1">((100/(D68+F68+H68))*C73)/100</f>
        <v>1</v>
      </c>
      <c r="E73" s="83"/>
      <c r="F73" s="84"/>
      <c r="G73" s="83"/>
      <c r="H73" s="88"/>
      <c r="I73" s="14" t="s">
        <v>106</v>
      </c>
      <c r="J73" s="28">
        <f ca="1">(IF(B68&gt;1,(H68/(B68+2)),H68/4))</f>
        <v>1.75</v>
      </c>
    </row>
    <row r="74" spans="1:10" ht="15.75" customHeight="1" x14ac:dyDescent="0.35">
      <c r="A74" s="78" t="s">
        <v>141</v>
      </c>
      <c r="B74" s="79" t="s">
        <v>135</v>
      </c>
      <c r="C74" s="55">
        <v>7</v>
      </c>
      <c r="D74" s="56">
        <f ca="1">((100/H68)*C74)/100</f>
        <v>1</v>
      </c>
      <c r="E74" s="83"/>
      <c r="F74" s="84"/>
      <c r="G74" s="83"/>
      <c r="H74" s="88"/>
      <c r="I74" s="14" t="s">
        <v>107</v>
      </c>
      <c r="J74" s="28">
        <f ca="1">(IF(B68&gt;1,(H68/(B68+2)+J73),H68/4+J73))</f>
        <v>3.5</v>
      </c>
    </row>
    <row r="75" spans="1:10" ht="15.75" customHeight="1" x14ac:dyDescent="0.35">
      <c r="A75" s="78" t="s">
        <v>142</v>
      </c>
      <c r="B75" s="79" t="s">
        <v>135</v>
      </c>
      <c r="C75" s="55">
        <v>7</v>
      </c>
      <c r="D75" s="56">
        <f ca="1">((100/H68)*C75)/100</f>
        <v>1</v>
      </c>
      <c r="E75" s="83"/>
      <c r="F75" s="84"/>
      <c r="G75" s="83"/>
      <c r="H75" s="88"/>
      <c r="I75" s="14" t="s">
        <v>151</v>
      </c>
      <c r="J75" s="28">
        <f>(IF(B68&gt;1,(H68/(B68+2)+J74),0))</f>
        <v>0</v>
      </c>
    </row>
    <row r="76" spans="1:10" ht="15" customHeight="1" x14ac:dyDescent="0.35">
      <c r="A76" s="78" t="s">
        <v>140</v>
      </c>
      <c r="B76" s="79" t="s">
        <v>137</v>
      </c>
      <c r="C76" s="55">
        <v>4</v>
      </c>
      <c r="D76" s="56">
        <f ca="1">((100/(H68))*C76)/100</f>
        <v>0.57142857142857151</v>
      </c>
      <c r="E76" s="83"/>
      <c r="F76" s="84"/>
      <c r="G76" s="83"/>
      <c r="H76" s="88"/>
      <c r="I76" s="14" t="s">
        <v>148</v>
      </c>
      <c r="J76" s="28">
        <f>(IF(B68&gt;2,(H68/(B68+2)+J75),0))</f>
        <v>0</v>
      </c>
    </row>
    <row r="77" spans="1:10" ht="15.75" customHeight="1" x14ac:dyDescent="0.35">
      <c r="A77" s="78" t="s">
        <v>136</v>
      </c>
      <c r="B77" s="79" t="s">
        <v>136</v>
      </c>
      <c r="C77" s="55">
        <v>0</v>
      </c>
      <c r="D77" s="56">
        <f ca="1">((100/H68)*C77)/100</f>
        <v>0</v>
      </c>
      <c r="E77" s="83"/>
      <c r="F77" s="84"/>
      <c r="G77" s="83"/>
      <c r="H77" s="88"/>
      <c r="I77" s="14" t="s">
        <v>149</v>
      </c>
      <c r="J77" s="29">
        <f>(IF(B68&gt;3,(H68/(B68+2)+J76),0))</f>
        <v>0</v>
      </c>
    </row>
    <row r="78" spans="1:10" ht="15.75" customHeight="1" x14ac:dyDescent="0.35">
      <c r="A78" s="78" t="s">
        <v>143</v>
      </c>
      <c r="B78" s="79"/>
      <c r="C78" s="55">
        <v>0</v>
      </c>
      <c r="D78" s="56">
        <f ca="1">((100/H68)*C78)/100</f>
        <v>0</v>
      </c>
      <c r="E78" s="83"/>
      <c r="F78" s="84"/>
      <c r="G78" s="83"/>
      <c r="H78" s="88"/>
      <c r="I78" s="14" t="s">
        <v>150</v>
      </c>
      <c r="J78" s="28">
        <f>(IF(B68&gt;4,(H68/(B68+2)+J77),0))</f>
        <v>0</v>
      </c>
    </row>
    <row r="79" spans="1:10" ht="15.75" customHeight="1" x14ac:dyDescent="0.35">
      <c r="A79" s="78" t="s">
        <v>138</v>
      </c>
      <c r="B79" s="79" t="s">
        <v>138</v>
      </c>
      <c r="C79" s="55">
        <v>0</v>
      </c>
      <c r="D79" s="56">
        <f ca="1">((100/(H68))*C79)/100</f>
        <v>0</v>
      </c>
      <c r="E79" s="83"/>
      <c r="F79" s="84"/>
      <c r="G79" s="83"/>
      <c r="H79" s="88"/>
      <c r="I79" s="14" t="s">
        <v>152</v>
      </c>
      <c r="J79" s="28">
        <f ca="1">(IF(B68=1,(H68/(B68+3)+J74),IF(B68=0,(H68/4+J74),IF(B68&gt;1,0))))</f>
        <v>5.25</v>
      </c>
    </row>
    <row r="80" spans="1:10" ht="16" thickBot="1" x14ac:dyDescent="0.4">
      <c r="A80" s="90" t="s">
        <v>139</v>
      </c>
      <c r="B80" s="91"/>
      <c r="C80" s="57">
        <v>0</v>
      </c>
      <c r="D80" s="58">
        <f ca="1">((100/(H68))*C80)/100</f>
        <v>0</v>
      </c>
      <c r="E80" s="85"/>
      <c r="F80" s="86"/>
      <c r="G80" s="85"/>
      <c r="H80" s="89"/>
      <c r="I80" s="15" t="s">
        <v>108</v>
      </c>
      <c r="J80" s="30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35">
      <c r="A81" s="69" t="s">
        <v>145</v>
      </c>
      <c r="B81" s="70"/>
      <c r="C81" s="71" t="s">
        <v>226</v>
      </c>
      <c r="D81" s="72"/>
      <c r="E81" s="72"/>
      <c r="F81" s="72"/>
      <c r="G81" s="72"/>
      <c r="H81" s="73"/>
      <c r="I81" s="44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5 Floor, Painting upto 1 Floor Completed</v>
      </c>
      <c r="J81" s="45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5 Floor, Painting upto 1 Floor</v>
      </c>
    </row>
    <row r="82" spans="1:10" x14ac:dyDescent="0.35">
      <c r="A82" s="16" t="s">
        <v>147</v>
      </c>
      <c r="B82" s="64">
        <v>0</v>
      </c>
      <c r="C82" s="64" t="s">
        <v>74</v>
      </c>
      <c r="D82" s="64">
        <v>1</v>
      </c>
      <c r="E82" s="64" t="s">
        <v>73</v>
      </c>
      <c r="F82" s="64">
        <v>0</v>
      </c>
      <c r="G82" s="64" t="s">
        <v>83</v>
      </c>
      <c r="H82" s="17">
        <f ca="1">--TRIM(RIGHT(SUBSTITUTE(LEFT(C81,_xlfn.AGGREGATE(16,6,FIND({0,1,2,3,4,5,6,7,8,9},C81,ROW(INDIRECT("1:"&amp;LEN(C81)))),1))," ",REPT(" ",LEN(C81))),LEN(C81)))</f>
        <v>7</v>
      </c>
      <c r="I82" s="4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47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1.5" customHeight="1" x14ac:dyDescent="0.35">
      <c r="A83" s="74" t="s">
        <v>93</v>
      </c>
      <c r="B83" s="75"/>
      <c r="C83" s="76" t="str">
        <f ca="1">I81</f>
        <v>Excavation, Plinth, RCC Slab, Brickwork, Internal Plaster Completed, External Plaster upto 5 Floor, Painting upto 1 Floor Completed</v>
      </c>
      <c r="D83" s="76"/>
      <c r="E83" s="76"/>
      <c r="F83" s="76"/>
      <c r="G83" s="76"/>
      <c r="H83" s="77"/>
      <c r="I83" s="46" t="str">
        <f ca="1">IF(I82&lt;&gt;""," Completed","")</f>
        <v xml:space="preserve"> Completed</v>
      </c>
      <c r="J83" s="47" t="str">
        <f ca="1">IF(J81&lt;&gt;"","Completed","")</f>
        <v>Completed</v>
      </c>
    </row>
    <row r="84" spans="1:10" ht="15.75" customHeight="1" x14ac:dyDescent="0.35">
      <c r="A84" s="78" t="s">
        <v>50</v>
      </c>
      <c r="B84" s="79"/>
      <c r="C84" s="62" t="s">
        <v>144</v>
      </c>
      <c r="D84" s="62" t="s">
        <v>86</v>
      </c>
      <c r="E84" s="79" t="s">
        <v>88</v>
      </c>
      <c r="F84" s="79"/>
      <c r="G84" s="79" t="s">
        <v>87</v>
      </c>
      <c r="H84" s="80"/>
      <c r="I84" s="14" t="s">
        <v>146</v>
      </c>
      <c r="J84" s="26">
        <f ca="1">H82*25%</f>
        <v>1.75</v>
      </c>
    </row>
    <row r="85" spans="1:10" x14ac:dyDescent="0.35">
      <c r="A85" s="78" t="s">
        <v>133</v>
      </c>
      <c r="B85" s="79"/>
      <c r="C85" s="62">
        <f ca="1">J86</f>
        <v>7</v>
      </c>
      <c r="D85" s="56">
        <f ca="1">((100/H82)*C85)/100</f>
        <v>1</v>
      </c>
      <c r="E85" s="81">
        <f ca="1">(((C86/H82*10)+(40/(D82+F82+H82)*C87)+(7.5/(H82)*C88)+(7.5/(H82)*C89)+(10/H82*C90)+(10/H82*C91)+(5/H82*C92)+(5/H82*C93)+(5/H82*C94))/100)</f>
        <v>0.72857142857142843</v>
      </c>
      <c r="F85" s="82"/>
      <c r="G85" s="81">
        <f ca="1">((((C85/H82)*20)+((C86/H82)*25)+(30/(H82+F82+D82)*C87)+(5/H82*C88)+(5/H82*C89)+(5/H82*C90)+(5/H82*C91)+(0/H82*C92)+(0/H82*C93)+(5/H82*C94))/100)</f>
        <v>0.88571428571428568</v>
      </c>
      <c r="H85" s="87"/>
      <c r="I85" s="14" t="s">
        <v>104</v>
      </c>
      <c r="J85" s="27">
        <f ca="1">H82*50%</f>
        <v>3.5</v>
      </c>
    </row>
    <row r="86" spans="1:10" x14ac:dyDescent="0.35">
      <c r="A86" s="78" t="s">
        <v>51</v>
      </c>
      <c r="B86" s="79"/>
      <c r="C86" s="59">
        <f ca="1">J94</f>
        <v>7</v>
      </c>
      <c r="D86" s="56">
        <f ca="1">((100/H82)*C86)/100</f>
        <v>1</v>
      </c>
      <c r="E86" s="83"/>
      <c r="F86" s="84"/>
      <c r="G86" s="83"/>
      <c r="H86" s="88"/>
      <c r="I86" s="14" t="s">
        <v>105</v>
      </c>
      <c r="J86" s="27">
        <f ca="1">H82</f>
        <v>7</v>
      </c>
    </row>
    <row r="87" spans="1:10" ht="15.75" customHeight="1" x14ac:dyDescent="0.35">
      <c r="A87" s="78" t="s">
        <v>134</v>
      </c>
      <c r="B87" s="79"/>
      <c r="C87" s="62">
        <v>8</v>
      </c>
      <c r="D87" s="56">
        <f ca="1">((100/(D82+F82+H82))*C87)/100</f>
        <v>1</v>
      </c>
      <c r="E87" s="83"/>
      <c r="F87" s="84"/>
      <c r="G87" s="83"/>
      <c r="H87" s="88"/>
      <c r="I87" s="14" t="s">
        <v>106</v>
      </c>
      <c r="J87" s="28">
        <f ca="1">(IF(B82&gt;1,(H82/(B82+2)),H82/4))</f>
        <v>1.75</v>
      </c>
    </row>
    <row r="88" spans="1:10" ht="15.75" customHeight="1" x14ac:dyDescent="0.35">
      <c r="A88" s="78" t="s">
        <v>141</v>
      </c>
      <c r="B88" s="79" t="s">
        <v>135</v>
      </c>
      <c r="C88" s="62">
        <v>7</v>
      </c>
      <c r="D88" s="56">
        <f ca="1">((100/H82)*C88)/100</f>
        <v>1</v>
      </c>
      <c r="E88" s="83"/>
      <c r="F88" s="84"/>
      <c r="G88" s="83"/>
      <c r="H88" s="88"/>
      <c r="I88" s="14" t="s">
        <v>107</v>
      </c>
      <c r="J88" s="28">
        <f ca="1">(IF(B82&gt;1,(H82/(B82+2)+J87),H82/4+J87))</f>
        <v>3.5</v>
      </c>
    </row>
    <row r="89" spans="1:10" ht="15.75" customHeight="1" x14ac:dyDescent="0.35">
      <c r="A89" s="78" t="s">
        <v>142</v>
      </c>
      <c r="B89" s="79" t="s">
        <v>135</v>
      </c>
      <c r="C89" s="62">
        <v>7</v>
      </c>
      <c r="D89" s="56">
        <f ca="1">((100/H82)*C89)/100</f>
        <v>1</v>
      </c>
      <c r="E89" s="83"/>
      <c r="F89" s="84"/>
      <c r="G89" s="83"/>
      <c r="H89" s="88"/>
      <c r="I89" s="14" t="s">
        <v>151</v>
      </c>
      <c r="J89" s="28">
        <f>(IF(B82&gt;1,(H82/(B82+2)+J88),0))</f>
        <v>0</v>
      </c>
    </row>
    <row r="90" spans="1:10" ht="15" customHeight="1" x14ac:dyDescent="0.35">
      <c r="A90" s="78" t="s">
        <v>140</v>
      </c>
      <c r="B90" s="79" t="s">
        <v>137</v>
      </c>
      <c r="C90" s="62">
        <v>5</v>
      </c>
      <c r="D90" s="56">
        <f ca="1">((100/(H82))*C90)/100</f>
        <v>0.7142857142857143</v>
      </c>
      <c r="E90" s="83"/>
      <c r="F90" s="84"/>
      <c r="G90" s="83"/>
      <c r="H90" s="88"/>
      <c r="I90" s="14" t="s">
        <v>148</v>
      </c>
      <c r="J90" s="28">
        <f>(IF(B82&gt;2,(H82/(B82+2)+J89),0))</f>
        <v>0</v>
      </c>
    </row>
    <row r="91" spans="1:10" ht="15.75" customHeight="1" x14ac:dyDescent="0.35">
      <c r="A91" s="78" t="s">
        <v>136</v>
      </c>
      <c r="B91" s="79" t="s">
        <v>136</v>
      </c>
      <c r="C91" s="62">
        <v>0</v>
      </c>
      <c r="D91" s="56">
        <f ca="1">((100/H82)*C91)/100</f>
        <v>0</v>
      </c>
      <c r="E91" s="83"/>
      <c r="F91" s="84"/>
      <c r="G91" s="83"/>
      <c r="H91" s="88"/>
      <c r="I91" s="14" t="s">
        <v>149</v>
      </c>
      <c r="J91" s="29">
        <f>(IF(B82&gt;3,(H82/(B82+2)+J90),0))</f>
        <v>0</v>
      </c>
    </row>
    <row r="92" spans="1:10" ht="15.75" customHeight="1" x14ac:dyDescent="0.35">
      <c r="A92" s="78" t="s">
        <v>143</v>
      </c>
      <c r="B92" s="79"/>
      <c r="C92" s="62">
        <v>1</v>
      </c>
      <c r="D92" s="56">
        <f ca="1">((100/H82)*C92)/100</f>
        <v>0.14285714285714288</v>
      </c>
      <c r="E92" s="83"/>
      <c r="F92" s="84"/>
      <c r="G92" s="83"/>
      <c r="H92" s="88"/>
      <c r="I92" s="14" t="s">
        <v>150</v>
      </c>
      <c r="J92" s="28">
        <f>(IF(B82&gt;4,(H82/(B82+2)+J91),0))</f>
        <v>0</v>
      </c>
    </row>
    <row r="93" spans="1:10" ht="15.75" customHeight="1" x14ac:dyDescent="0.35">
      <c r="A93" s="78" t="s">
        <v>138</v>
      </c>
      <c r="B93" s="79" t="s">
        <v>138</v>
      </c>
      <c r="C93" s="62">
        <v>0</v>
      </c>
      <c r="D93" s="56">
        <f ca="1">((100/(H82))*C93)/100</f>
        <v>0</v>
      </c>
      <c r="E93" s="83"/>
      <c r="F93" s="84"/>
      <c r="G93" s="83"/>
      <c r="H93" s="88"/>
      <c r="I93" s="14" t="s">
        <v>152</v>
      </c>
      <c r="J93" s="28">
        <f ca="1">(IF(B82=1,(H82/(B82+3)+J88),IF(B82=0,(H82/4+J88),IF(B82&gt;1,0))))</f>
        <v>5.25</v>
      </c>
    </row>
    <row r="94" spans="1:10" ht="16" thickBot="1" x14ac:dyDescent="0.4">
      <c r="A94" s="90" t="s">
        <v>139</v>
      </c>
      <c r="B94" s="91"/>
      <c r="C94" s="63">
        <v>0</v>
      </c>
      <c r="D94" s="58">
        <f ca="1">((100/(H82))*C94)/100</f>
        <v>0</v>
      </c>
      <c r="E94" s="85"/>
      <c r="F94" s="86"/>
      <c r="G94" s="85"/>
      <c r="H94" s="89"/>
      <c r="I94" s="15" t="s">
        <v>108</v>
      </c>
      <c r="J94" s="30">
        <f ca="1">(IF(B82&gt;1.5,(H82/(B82+2)+J88+MAX(0,J89-J88)+MAX(0,J90-J89)+MAX(0,J91-J90)+MAX(0,J92-J91)+MAX(0,J93-J92)),IF(B82=1,(H82/(B82+3)+J93),IF(B82=0,H82/4+J93))))</f>
        <v>7</v>
      </c>
    </row>
    <row r="95" spans="1:10" ht="15.75" customHeight="1" x14ac:dyDescent="0.35">
      <c r="A95" s="69" t="s">
        <v>145</v>
      </c>
      <c r="B95" s="70"/>
      <c r="C95" s="71" t="str">
        <f>D58</f>
        <v>Wing C = Gr/Stilt + 1st to 7th Floor</v>
      </c>
      <c r="D95" s="72"/>
      <c r="E95" s="72"/>
      <c r="F95" s="72"/>
      <c r="G95" s="72"/>
      <c r="H95" s="73"/>
      <c r="I95" s="44" t="str">
        <f ca="1">IF(D108=100%,"All work Completed. Possession granted to the Building.",IF(D107=100%,"All work Completed, Waiting for OC",I96&amp;""&amp;I97&amp;""&amp;J96&amp;""&amp;J95&amp;" "&amp;J97))</f>
        <v>Excavation, Plinth, RCC Slab, Brickwork, Internal Plaster, External Plaster Completed, Flooring upto 4 Floor, Painting upto 3 Floor Completed</v>
      </c>
      <c r="J95" s="45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Flooring upto 4 Floor, Painting upto 3 Floor</v>
      </c>
    </row>
    <row r="96" spans="1:10" x14ac:dyDescent="0.35">
      <c r="A96" s="16" t="s">
        <v>147</v>
      </c>
      <c r="B96" s="54">
        <v>0</v>
      </c>
      <c r="C96" s="54" t="s">
        <v>74</v>
      </c>
      <c r="D96" s="54">
        <v>1</v>
      </c>
      <c r="E96" s="54" t="s">
        <v>73</v>
      </c>
      <c r="F96" s="54">
        <v>0</v>
      </c>
      <c r="G96" s="54" t="s">
        <v>83</v>
      </c>
      <c r="H96" s="17">
        <f ca="1">--TRIM(RIGHT(SUBSTITUTE(LEFT(C95,_xlfn.AGGREGATE(16,6,FIND({0,1,2,3,4,5,6,7,8,9},C95,ROW(INDIRECT("1:"&amp;LEN(C95)))),1))," ",REPT(" ",LEN(C95))),LEN(C95)))</f>
        <v>7</v>
      </c>
      <c r="I96" s="46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Plaster, External Plaster</v>
      </c>
      <c r="J96" s="47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.75" customHeight="1" x14ac:dyDescent="0.35">
      <c r="A97" s="75" t="s">
        <v>93</v>
      </c>
      <c r="B97" s="75"/>
      <c r="C97" s="76" t="str">
        <f ca="1">(IF($G$52="NA",I95,"All work Completed. OC Received."))</f>
        <v>Excavation, Plinth, RCC Slab, Brickwork, Internal Plaster, External Plaster Completed, Flooring upto 4 Floor, Painting upto 3 Floor Completed</v>
      </c>
      <c r="D97" s="76"/>
      <c r="E97" s="76"/>
      <c r="F97" s="76"/>
      <c r="G97" s="76"/>
      <c r="H97" s="76"/>
      <c r="I97" s="197" t="str">
        <f ca="1">IF(I96&lt;&gt;""," Completed","")</f>
        <v xml:space="preserve"> Completed</v>
      </c>
      <c r="J97" s="47" t="str">
        <f ca="1">IF(J95&lt;&gt;"","Completed","")</f>
        <v>Completed</v>
      </c>
    </row>
    <row r="98" spans="1:10" ht="15.75" customHeight="1" x14ac:dyDescent="0.35">
      <c r="A98" s="79" t="s">
        <v>50</v>
      </c>
      <c r="B98" s="79"/>
      <c r="C98" s="67" t="s">
        <v>144</v>
      </c>
      <c r="D98" s="67" t="s">
        <v>86</v>
      </c>
      <c r="E98" s="79" t="s">
        <v>88</v>
      </c>
      <c r="F98" s="79"/>
      <c r="G98" s="79" t="s">
        <v>87</v>
      </c>
      <c r="H98" s="79"/>
      <c r="I98" s="14" t="s">
        <v>146</v>
      </c>
      <c r="J98" s="26">
        <f ca="1">H96*25%</f>
        <v>1.75</v>
      </c>
    </row>
    <row r="99" spans="1:10" x14ac:dyDescent="0.35">
      <c r="A99" s="79" t="s">
        <v>133</v>
      </c>
      <c r="B99" s="79"/>
      <c r="C99" s="67">
        <f ca="1">J100</f>
        <v>7</v>
      </c>
      <c r="D99" s="56">
        <f ca="1">((100/H96)*C99)/100</f>
        <v>1</v>
      </c>
      <c r="E99" s="203">
        <f ca="1">(((C100/H96*10)+(40/(D96+F96+H96)*C101)+(7.5/(H96)*C102)+(7.5/(H96)*C103)+(10/H96*C104)+(10/H96*C105)+(5/H96*C106)+(5/H96*C107)+(5/H96*C108))/100)</f>
        <v>0.82857142857142851</v>
      </c>
      <c r="F99" s="203"/>
      <c r="G99" s="203">
        <f ca="1">((((C99/H96)*20)+((C100/H96)*25)+(30/(H96+F96+D96)*C101)+(5/H96*C102)+(5/H96*C103)+(5/H96*C104)+(5/H96*C105)+(0/H96*C106)+(0/H96*C107)+(5/H96*C108))/100)</f>
        <v>0.9285714285714286</v>
      </c>
      <c r="H99" s="203"/>
      <c r="I99" s="14" t="s">
        <v>104</v>
      </c>
      <c r="J99" s="27">
        <f ca="1">H96*50%</f>
        <v>3.5</v>
      </c>
    </row>
    <row r="100" spans="1:10" x14ac:dyDescent="0.35">
      <c r="A100" s="79" t="s">
        <v>51</v>
      </c>
      <c r="B100" s="79"/>
      <c r="C100" s="59">
        <f ca="1">J108</f>
        <v>7</v>
      </c>
      <c r="D100" s="56">
        <f ca="1">((100/H96)*C100)/100</f>
        <v>1</v>
      </c>
      <c r="E100" s="203"/>
      <c r="F100" s="203"/>
      <c r="G100" s="203"/>
      <c r="H100" s="203"/>
      <c r="I100" s="14" t="s">
        <v>105</v>
      </c>
      <c r="J100" s="27">
        <f ca="1">H96</f>
        <v>7</v>
      </c>
    </row>
    <row r="101" spans="1:10" ht="15.75" customHeight="1" x14ac:dyDescent="0.35">
      <c r="A101" s="79" t="s">
        <v>134</v>
      </c>
      <c r="B101" s="79"/>
      <c r="C101" s="67">
        <v>8</v>
      </c>
      <c r="D101" s="56">
        <f ca="1">((100/(D96+F96+H96))*C101)/100</f>
        <v>1</v>
      </c>
      <c r="E101" s="203"/>
      <c r="F101" s="203"/>
      <c r="G101" s="203"/>
      <c r="H101" s="203"/>
      <c r="I101" s="14" t="s">
        <v>106</v>
      </c>
      <c r="J101" s="28">
        <f ca="1">(IF(B96&gt;1,(H96/(B96+2)),H96/4))</f>
        <v>1.75</v>
      </c>
    </row>
    <row r="102" spans="1:10" ht="15.75" customHeight="1" x14ac:dyDescent="0.35">
      <c r="A102" s="79" t="s">
        <v>141</v>
      </c>
      <c r="B102" s="79" t="s">
        <v>135</v>
      </c>
      <c r="C102" s="67">
        <v>7</v>
      </c>
      <c r="D102" s="56">
        <f ca="1">((100/H96)*C102)/100</f>
        <v>1</v>
      </c>
      <c r="E102" s="203"/>
      <c r="F102" s="203"/>
      <c r="G102" s="203"/>
      <c r="H102" s="203"/>
      <c r="I102" s="14" t="s">
        <v>107</v>
      </c>
      <c r="J102" s="28">
        <f ca="1">(IF(B96&gt;1,(H96/(B96+2)+J101),H96/4+J101))</f>
        <v>3.5</v>
      </c>
    </row>
    <row r="103" spans="1:10" ht="15.75" customHeight="1" x14ac:dyDescent="0.35">
      <c r="A103" s="79" t="s">
        <v>142</v>
      </c>
      <c r="B103" s="79" t="s">
        <v>135</v>
      </c>
      <c r="C103" s="67">
        <v>7</v>
      </c>
      <c r="D103" s="56">
        <f ca="1">((100/H96)*C103)/100</f>
        <v>1</v>
      </c>
      <c r="E103" s="203"/>
      <c r="F103" s="203"/>
      <c r="G103" s="203"/>
      <c r="H103" s="203"/>
      <c r="I103" s="14" t="s">
        <v>151</v>
      </c>
      <c r="J103" s="28">
        <f>(IF(B96&gt;1,(H96/(B96+2)+J102),0))</f>
        <v>0</v>
      </c>
    </row>
    <row r="104" spans="1:10" ht="15" customHeight="1" x14ac:dyDescent="0.35">
      <c r="A104" s="79" t="s">
        <v>140</v>
      </c>
      <c r="B104" s="79" t="s">
        <v>137</v>
      </c>
      <c r="C104" s="67">
        <v>7</v>
      </c>
      <c r="D104" s="56">
        <f ca="1">((100/(H96))*C104)/100</f>
        <v>1</v>
      </c>
      <c r="E104" s="203"/>
      <c r="F104" s="203"/>
      <c r="G104" s="203"/>
      <c r="H104" s="203"/>
      <c r="I104" s="14" t="s">
        <v>148</v>
      </c>
      <c r="J104" s="28">
        <f>(IF(B96&gt;2,(H96/(B96+2)+J103),0))</f>
        <v>0</v>
      </c>
    </row>
    <row r="105" spans="1:10" ht="15.75" customHeight="1" x14ac:dyDescent="0.35">
      <c r="A105" s="79" t="s">
        <v>136</v>
      </c>
      <c r="B105" s="79" t="s">
        <v>136</v>
      </c>
      <c r="C105" s="67">
        <v>4</v>
      </c>
      <c r="D105" s="56">
        <f ca="1">((100/H96)*C105)/100</f>
        <v>0.57142857142857151</v>
      </c>
      <c r="E105" s="203"/>
      <c r="F105" s="203"/>
      <c r="G105" s="203"/>
      <c r="H105" s="203"/>
      <c r="I105" s="14" t="s">
        <v>149</v>
      </c>
      <c r="J105" s="29">
        <f>(IF(B96&gt;3,(H96/(B96+2)+J104),0))</f>
        <v>0</v>
      </c>
    </row>
    <row r="106" spans="1:10" ht="15.75" customHeight="1" x14ac:dyDescent="0.35">
      <c r="A106" s="79" t="s">
        <v>143</v>
      </c>
      <c r="B106" s="79"/>
      <c r="C106" s="67">
        <v>3</v>
      </c>
      <c r="D106" s="56">
        <f ca="1">((100/H96)*C106)/100</f>
        <v>0.4285714285714286</v>
      </c>
      <c r="E106" s="203"/>
      <c r="F106" s="203"/>
      <c r="G106" s="203"/>
      <c r="H106" s="203"/>
      <c r="I106" s="14" t="s">
        <v>150</v>
      </c>
      <c r="J106" s="28">
        <f>(IF(B96&gt;4,(H96/(B96+2)+J105),0))</f>
        <v>0</v>
      </c>
    </row>
    <row r="107" spans="1:10" ht="15.75" customHeight="1" x14ac:dyDescent="0.35">
      <c r="A107" s="79" t="s">
        <v>138</v>
      </c>
      <c r="B107" s="79" t="s">
        <v>138</v>
      </c>
      <c r="C107" s="67">
        <v>0</v>
      </c>
      <c r="D107" s="56">
        <f ca="1">((100/(H96))*C107)/100</f>
        <v>0</v>
      </c>
      <c r="E107" s="203"/>
      <c r="F107" s="203"/>
      <c r="G107" s="203"/>
      <c r="H107" s="203"/>
      <c r="I107" s="14" t="s">
        <v>152</v>
      </c>
      <c r="J107" s="28">
        <f ca="1">(IF(B96=1,(H96/(B96+3)+J102),IF(B96=0,(H96/4+J102),IF(B96&gt;1,0))))</f>
        <v>5.25</v>
      </c>
    </row>
    <row r="108" spans="1:10" ht="16" thickBot="1" x14ac:dyDescent="0.4">
      <c r="A108" s="79" t="s">
        <v>139</v>
      </c>
      <c r="B108" s="79"/>
      <c r="C108" s="67">
        <v>0</v>
      </c>
      <c r="D108" s="56">
        <f ca="1">((100/(H96))*C108)/100</f>
        <v>0</v>
      </c>
      <c r="E108" s="203"/>
      <c r="F108" s="203"/>
      <c r="G108" s="203"/>
      <c r="H108" s="203"/>
      <c r="I108" s="15" t="s">
        <v>108</v>
      </c>
      <c r="J108" s="30">
        <f ca="1">(IF(B96&gt;1.5,(H96/(B96+2)+J102+MAX(0,J103-J102)+MAX(0,J104-J103)+MAX(0,J105-J104)+MAX(0,J106-J105)+MAX(0,J107-J106)),IF(B96=1,(H96/(B96+3)+J107),IF(B96=0,H96/4+J107))))</f>
        <v>7</v>
      </c>
    </row>
    <row r="109" spans="1:10" ht="15.75" customHeight="1" x14ac:dyDescent="0.35">
      <c r="A109" s="198" t="s">
        <v>145</v>
      </c>
      <c r="B109" s="199"/>
      <c r="C109" s="200" t="s">
        <v>227</v>
      </c>
      <c r="D109" s="201"/>
      <c r="E109" s="201"/>
      <c r="F109" s="201"/>
      <c r="G109" s="201"/>
      <c r="H109" s="202"/>
      <c r="I109" s="44" t="str">
        <f ca="1">IF(D122=100%,"All work Completed. Possession granted to the Building.",IF(D121=100%,"All work Completed, Waiting for OC",I110&amp;""&amp;I111&amp;""&amp;J110&amp;""&amp;J109&amp;" "&amp;J111))</f>
        <v>All work Completed. Possession granted to the Building.</v>
      </c>
      <c r="J109" s="45" t="str">
        <f ca="1">(IF(C115=(D110+F110+H110),"",IF(C115&gt;0,", RCC upto "&amp;C115&amp;" Slab","")))&amp;(IF(C116=H110,"",IF(C116&gt;0,", Brickwork upto "&amp;C116&amp;" Floor","")))&amp;(IF(C117=H110,"",IF(C117&gt;0,", Internal Plaster upto "&amp;C117&amp;" Floor","")))&amp;(IF(C118=H110,"",IF(C118&gt;0,", External Plaster upto "&amp;C118&amp;" Floor","")))&amp;(IF(C119=H110,"",IF(C119&gt;0,", Flooring upto "&amp;C119&amp;" Floor","")))&amp;(IF(C120=H110,"",IF(C120&gt;0,", Painting upto "&amp;C120&amp;" Floor","")))&amp;(IF(C121=H110,"",IF(C121&gt;0,", Finishing upto "&amp;C121&amp;" Floor","")))&amp;(IF(C122=H110,"",IF(C122&gt;0,", Possession upto "&amp;C122&amp;" Floor","")))</f>
        <v/>
      </c>
    </row>
    <row r="110" spans="1:10" x14ac:dyDescent="0.35">
      <c r="A110" s="16" t="s">
        <v>147</v>
      </c>
      <c r="B110" s="54">
        <v>0</v>
      </c>
      <c r="C110" s="54" t="s">
        <v>74</v>
      </c>
      <c r="D110" s="54">
        <v>1</v>
      </c>
      <c r="E110" s="54" t="s">
        <v>73</v>
      </c>
      <c r="F110" s="54">
        <v>0</v>
      </c>
      <c r="G110" s="54" t="s">
        <v>83</v>
      </c>
      <c r="H110" s="17">
        <f ca="1">--TRIM(RIGHT(SUBSTITUTE(LEFT(C109,_xlfn.AGGREGATE(16,6,FIND({0,1,2,3,4,5,6,7,8,9},C109,ROW(INDIRECT("1:"&amp;LEN(C109)))),1))," ",REPT(" ",LEN(C109))),LEN(C109)))</f>
        <v>7</v>
      </c>
      <c r="I110" s="46" t="str">
        <f ca="1">IF(D113=100%,"Excavation","")&amp;IF(D114=100%,", Plinth","")&amp;IF(D115=100%,", RCC Slab","")&amp;IF(D116=100%,", Brickwork","")&amp;IF(D117=100%,", Internal Plaster","")&amp;IF(D118=100%,", External Plaster","")&amp;IF(D119=100%,", Flooring","")&amp;IF(D120=100%,", Painting","")&amp;IF(D121=100%,", Building common Amenities","")</f>
        <v>Excavation, Plinth, RCC Slab, Brickwork, Internal Plaster, External Plaster, Flooring, Painting, Building common Amenities</v>
      </c>
      <c r="J110" s="47" t="str">
        <f ca="1">(IF(C113=0,"Work not yet Started.",IF(D113=25%,"Piling work in process",IF(D113=50%,"Excavation work in process",IF(D113=100%,"","0")))))&amp;(IF(C114=0%,"",IF(C114=J115,", Footing work is process",IF(C114=J116,", Footing work Completed",IF(C114=J117,", 1st Basement Completed",IF(C114=J118,", 1st &amp; 2nd Basement Completed",IF(C114=J119,", 1st to 3rd Basement Completed",IF(C114=J120,", 1st to 4th Basement Completed",IF(C114=J121,", Plinth work is process",IF(C114=J122,"","0"))))))))))</f>
        <v/>
      </c>
    </row>
    <row r="111" spans="1:10" x14ac:dyDescent="0.35">
      <c r="A111" s="74" t="s">
        <v>93</v>
      </c>
      <c r="B111" s="75"/>
      <c r="C111" s="76" t="str">
        <f ca="1">(IF($G$52="NA",I109,"All work Completed. OC Received."))</f>
        <v>All work Completed. Possession granted to the Building.</v>
      </c>
      <c r="D111" s="76"/>
      <c r="E111" s="76"/>
      <c r="F111" s="76"/>
      <c r="G111" s="76"/>
      <c r="H111" s="77"/>
      <c r="I111" s="46" t="str">
        <f ca="1">IF(I110&lt;&gt;""," Completed","")</f>
        <v xml:space="preserve"> Completed</v>
      </c>
      <c r="J111" s="47" t="str">
        <f ca="1">IF(J109&lt;&gt;"","Completed","")</f>
        <v/>
      </c>
    </row>
    <row r="112" spans="1:10" ht="15.75" customHeight="1" x14ac:dyDescent="0.35">
      <c r="A112" s="78" t="s">
        <v>50</v>
      </c>
      <c r="B112" s="79"/>
      <c r="C112" s="55" t="s">
        <v>144</v>
      </c>
      <c r="D112" s="55" t="s">
        <v>86</v>
      </c>
      <c r="E112" s="79" t="s">
        <v>88</v>
      </c>
      <c r="F112" s="79"/>
      <c r="G112" s="79" t="s">
        <v>87</v>
      </c>
      <c r="H112" s="80"/>
      <c r="I112" s="14" t="s">
        <v>146</v>
      </c>
      <c r="J112" s="26">
        <f ca="1">H110*25%</f>
        <v>1.75</v>
      </c>
    </row>
    <row r="113" spans="1:13" x14ac:dyDescent="0.35">
      <c r="A113" s="78" t="s">
        <v>133</v>
      </c>
      <c r="B113" s="79"/>
      <c r="C113" s="55">
        <f ca="1">J114</f>
        <v>7</v>
      </c>
      <c r="D113" s="56">
        <f ca="1">((100/H110)*C113)/100</f>
        <v>1</v>
      </c>
      <c r="E113" s="81">
        <f ca="1">(((C114/H110*10)+(40/(D110+F110+H110)*C115)+(7.5/(H110)*C116)+(7.5/(H110)*C117)+(10/H110*C118)+(10/H110*C119)+(5/H110*C120)+(5/H110*C121)+(5/H110*C122))/100)</f>
        <v>1</v>
      </c>
      <c r="F113" s="82"/>
      <c r="G113" s="81">
        <f ca="1">((((C113/H110)*20)+((C114/H110)*25)+(30/(H110+F110+D110)*C115)+(5/H110*C116)+(5/H110*C117)+(5/H110*C118)+(5/H110*C119)+(0/H110*C120)+(0/H110*C121)+(5/H110*C122))/100)</f>
        <v>1</v>
      </c>
      <c r="H113" s="87"/>
      <c r="I113" s="14" t="s">
        <v>104</v>
      </c>
      <c r="J113" s="27">
        <f ca="1">H110*50%</f>
        <v>3.5</v>
      </c>
    </row>
    <row r="114" spans="1:13" x14ac:dyDescent="0.35">
      <c r="A114" s="78" t="s">
        <v>51</v>
      </c>
      <c r="B114" s="79"/>
      <c r="C114" s="59">
        <f ca="1">J122</f>
        <v>7</v>
      </c>
      <c r="D114" s="56">
        <f ca="1">((100/H110)*C114)/100</f>
        <v>1</v>
      </c>
      <c r="E114" s="83"/>
      <c r="F114" s="84"/>
      <c r="G114" s="83"/>
      <c r="H114" s="88"/>
      <c r="I114" s="14" t="s">
        <v>105</v>
      </c>
      <c r="J114" s="27">
        <f ca="1">H110</f>
        <v>7</v>
      </c>
    </row>
    <row r="115" spans="1:13" ht="15.75" customHeight="1" x14ac:dyDescent="0.35">
      <c r="A115" s="78" t="s">
        <v>134</v>
      </c>
      <c r="B115" s="79"/>
      <c r="C115" s="55">
        <v>8</v>
      </c>
      <c r="D115" s="56">
        <f ca="1">((100/(D110+F110+H110))*C115)/100</f>
        <v>1</v>
      </c>
      <c r="E115" s="83"/>
      <c r="F115" s="84"/>
      <c r="G115" s="83"/>
      <c r="H115" s="88"/>
      <c r="I115" s="14" t="s">
        <v>106</v>
      </c>
      <c r="J115" s="28">
        <f ca="1">(IF(B110&gt;1,(H110/(B110+2)),H110/4))</f>
        <v>1.75</v>
      </c>
    </row>
    <row r="116" spans="1:13" ht="15.75" customHeight="1" x14ac:dyDescent="0.35">
      <c r="A116" s="78" t="s">
        <v>141</v>
      </c>
      <c r="B116" s="79" t="s">
        <v>135</v>
      </c>
      <c r="C116" s="55">
        <v>7</v>
      </c>
      <c r="D116" s="56">
        <f ca="1">((100/H110)*C116)/100</f>
        <v>1</v>
      </c>
      <c r="E116" s="83"/>
      <c r="F116" s="84"/>
      <c r="G116" s="83"/>
      <c r="H116" s="88"/>
      <c r="I116" s="14" t="s">
        <v>107</v>
      </c>
      <c r="J116" s="28">
        <f ca="1">(IF(B110&gt;1,(H110/(B110+2)+J115),H110/4+J115))</f>
        <v>3.5</v>
      </c>
    </row>
    <row r="117" spans="1:13" ht="15.75" customHeight="1" x14ac:dyDescent="0.35">
      <c r="A117" s="78" t="s">
        <v>142</v>
      </c>
      <c r="B117" s="79" t="s">
        <v>135</v>
      </c>
      <c r="C117" s="55">
        <v>7</v>
      </c>
      <c r="D117" s="56">
        <f ca="1">((100/H110)*C117)/100</f>
        <v>1</v>
      </c>
      <c r="E117" s="83"/>
      <c r="F117" s="84"/>
      <c r="G117" s="83"/>
      <c r="H117" s="88"/>
      <c r="I117" s="14" t="s">
        <v>151</v>
      </c>
      <c r="J117" s="28">
        <f>(IF(B110&gt;1,(H110/(B110+2)+J116),0))</f>
        <v>0</v>
      </c>
    </row>
    <row r="118" spans="1:13" ht="15" customHeight="1" x14ac:dyDescent="0.35">
      <c r="A118" s="78" t="s">
        <v>140</v>
      </c>
      <c r="B118" s="79" t="s">
        <v>137</v>
      </c>
      <c r="C118" s="55">
        <v>7</v>
      </c>
      <c r="D118" s="56">
        <f ca="1">((100/(H110))*C118)/100</f>
        <v>1</v>
      </c>
      <c r="E118" s="83"/>
      <c r="F118" s="84"/>
      <c r="G118" s="83"/>
      <c r="H118" s="88"/>
      <c r="I118" s="14" t="s">
        <v>148</v>
      </c>
      <c r="J118" s="28">
        <f>(IF(B110&gt;2,(H110/(B110+2)+J117),0))</f>
        <v>0</v>
      </c>
    </row>
    <row r="119" spans="1:13" ht="15.75" customHeight="1" x14ac:dyDescent="0.35">
      <c r="A119" s="78" t="s">
        <v>136</v>
      </c>
      <c r="B119" s="79" t="s">
        <v>136</v>
      </c>
      <c r="C119" s="67">
        <v>7</v>
      </c>
      <c r="D119" s="56">
        <f ca="1">((100/H110)*C119)/100</f>
        <v>1</v>
      </c>
      <c r="E119" s="83"/>
      <c r="F119" s="84"/>
      <c r="G119" s="83"/>
      <c r="H119" s="88"/>
      <c r="I119" s="14" t="s">
        <v>149</v>
      </c>
      <c r="J119" s="29">
        <f>(IF(B110&gt;3,(H110/(B110+2)+J118),0))</f>
        <v>0</v>
      </c>
    </row>
    <row r="120" spans="1:13" ht="15.75" customHeight="1" x14ac:dyDescent="0.35">
      <c r="A120" s="78" t="s">
        <v>143</v>
      </c>
      <c r="B120" s="79"/>
      <c r="C120" s="67">
        <v>7</v>
      </c>
      <c r="D120" s="56">
        <f ca="1">((100/H110)*C120)/100</f>
        <v>1</v>
      </c>
      <c r="E120" s="83"/>
      <c r="F120" s="84"/>
      <c r="G120" s="83"/>
      <c r="H120" s="88"/>
      <c r="I120" s="14" t="s">
        <v>150</v>
      </c>
      <c r="J120" s="28">
        <f>(IF(B110&gt;4,(H110/(B110+2)+J119),0))</f>
        <v>0</v>
      </c>
    </row>
    <row r="121" spans="1:13" ht="15.75" customHeight="1" x14ac:dyDescent="0.35">
      <c r="A121" s="78" t="s">
        <v>138</v>
      </c>
      <c r="B121" s="79" t="s">
        <v>138</v>
      </c>
      <c r="C121" s="67">
        <v>7</v>
      </c>
      <c r="D121" s="56">
        <f ca="1">((100/(H110))*C121)/100</f>
        <v>1</v>
      </c>
      <c r="E121" s="83"/>
      <c r="F121" s="84"/>
      <c r="G121" s="83"/>
      <c r="H121" s="88"/>
      <c r="I121" s="14" t="s">
        <v>152</v>
      </c>
      <c r="J121" s="28">
        <f ca="1">(IF(B110=1,(H110/(B110+3)+J116),IF(B110=0,(H110/4+J116),IF(B110&gt;1,0))))</f>
        <v>5.25</v>
      </c>
    </row>
    <row r="122" spans="1:13" ht="16" thickBot="1" x14ac:dyDescent="0.4">
      <c r="A122" s="90" t="s">
        <v>139</v>
      </c>
      <c r="B122" s="91"/>
      <c r="C122" s="57">
        <v>7</v>
      </c>
      <c r="D122" s="58">
        <f ca="1">((100/(H110))*C122)/100</f>
        <v>1</v>
      </c>
      <c r="E122" s="85"/>
      <c r="F122" s="86"/>
      <c r="G122" s="85"/>
      <c r="H122" s="89"/>
      <c r="I122" s="15" t="s">
        <v>108</v>
      </c>
      <c r="J122" s="30">
        <f ca="1">(IF(B110&gt;1.5,(H110/(B110+2)+J116+MAX(0,J117-J116)+MAX(0,J118-J117)+MAX(0,J119-J118)+MAX(0,J120-J119)+MAX(0,J121-J120)),IF(B110=1,(H110/(B110+3)+J121),IF(B110=0,H110/4+J121))))</f>
        <v>7</v>
      </c>
    </row>
    <row r="123" spans="1:13" x14ac:dyDescent="0.35">
      <c r="A123" s="125" t="s">
        <v>162</v>
      </c>
      <c r="B123" s="125"/>
      <c r="C123" s="125"/>
      <c r="D123" s="125"/>
      <c r="E123" s="125"/>
      <c r="F123" s="129" t="s">
        <v>166</v>
      </c>
      <c r="G123" s="129"/>
      <c r="H123" s="129"/>
      <c r="I123" s="60"/>
      <c r="J123" s="60" t="s">
        <v>217</v>
      </c>
      <c r="K123" s="60" t="s">
        <v>218</v>
      </c>
      <c r="L123" s="60" t="s">
        <v>219</v>
      </c>
      <c r="M123" s="60" t="s">
        <v>220</v>
      </c>
    </row>
    <row r="124" spans="1:13" x14ac:dyDescent="0.35">
      <c r="A124" s="122" t="s">
        <v>165</v>
      </c>
      <c r="B124" s="122"/>
      <c r="C124" s="122"/>
      <c r="D124" s="122"/>
      <c r="E124" s="122"/>
      <c r="F124" s="121">
        <v>4300</v>
      </c>
      <c r="G124" s="121"/>
      <c r="H124" s="121"/>
      <c r="I124" s="61">
        <f>AVERAGE(J124:L124)</f>
        <v>4329.4453824733364</v>
      </c>
      <c r="J124" s="60">
        <v>5000</v>
      </c>
      <c r="K124" s="60">
        <v>4000</v>
      </c>
      <c r="L124" s="61">
        <f>AVERAGE(K174:K182)</f>
        <v>3988.336147420011</v>
      </c>
      <c r="M124" s="60"/>
    </row>
    <row r="125" spans="1:13" x14ac:dyDescent="0.35">
      <c r="A125" s="122" t="s">
        <v>164</v>
      </c>
      <c r="B125" s="122"/>
      <c r="C125" s="122"/>
      <c r="D125" s="122"/>
      <c r="E125" s="122"/>
      <c r="F125" s="121">
        <v>10000</v>
      </c>
      <c r="G125" s="121"/>
      <c r="H125" s="121"/>
      <c r="I125" s="60"/>
      <c r="J125" s="60"/>
      <c r="K125" s="60"/>
      <c r="L125" s="60"/>
      <c r="M125" s="60"/>
    </row>
    <row r="126" spans="1:13" x14ac:dyDescent="0.35">
      <c r="A126" s="122" t="s">
        <v>231</v>
      </c>
      <c r="B126" s="122"/>
      <c r="C126" s="122"/>
      <c r="D126" s="122"/>
      <c r="E126" s="122"/>
      <c r="F126" s="121">
        <v>200000</v>
      </c>
      <c r="G126" s="121"/>
      <c r="H126" s="121"/>
      <c r="I126" s="60" t="s">
        <v>232</v>
      </c>
      <c r="J126" s="60"/>
      <c r="K126" s="60"/>
      <c r="L126" s="60"/>
      <c r="M126" s="60"/>
    </row>
    <row r="127" spans="1:13" s="31" customFormat="1" hidden="1" x14ac:dyDescent="0.3">
      <c r="A127" s="122" t="s">
        <v>163</v>
      </c>
      <c r="B127" s="122"/>
      <c r="C127" s="122"/>
      <c r="D127" s="122"/>
      <c r="E127" s="122"/>
      <c r="F127" s="121"/>
      <c r="G127" s="121"/>
      <c r="H127" s="121"/>
    </row>
    <row r="128" spans="1:13" s="31" customFormat="1" hidden="1" x14ac:dyDescent="0.3">
      <c r="A128" s="122" t="s">
        <v>98</v>
      </c>
      <c r="B128" s="122"/>
      <c r="C128" s="122"/>
      <c r="D128" s="122"/>
      <c r="E128" s="122"/>
      <c r="F128" s="121"/>
      <c r="G128" s="121"/>
      <c r="H128" s="121"/>
    </row>
    <row r="129" spans="1:8" s="31" customFormat="1" hidden="1" x14ac:dyDescent="0.3">
      <c r="A129" s="122" t="s">
        <v>99</v>
      </c>
      <c r="B129" s="122"/>
      <c r="C129" s="122"/>
      <c r="D129" s="122"/>
      <c r="E129" s="122"/>
      <c r="F129" s="121"/>
      <c r="G129" s="121"/>
      <c r="H129" s="121"/>
    </row>
    <row r="130" spans="1:8" s="31" customFormat="1" hidden="1" x14ac:dyDescent="0.3">
      <c r="A130" s="122" t="s">
        <v>167</v>
      </c>
      <c r="B130" s="122"/>
      <c r="C130" s="122"/>
      <c r="D130" s="122"/>
      <c r="E130" s="122"/>
      <c r="F130" s="121"/>
      <c r="G130" s="121"/>
      <c r="H130" s="121"/>
    </row>
    <row r="131" spans="1:8" s="31" customFormat="1" hidden="1" x14ac:dyDescent="0.3">
      <c r="A131" s="122" t="s">
        <v>100</v>
      </c>
      <c r="B131" s="122"/>
      <c r="C131" s="122"/>
      <c r="D131" s="122"/>
      <c r="E131" s="122"/>
      <c r="F131" s="121"/>
      <c r="G131" s="121"/>
      <c r="H131" s="121"/>
    </row>
    <row r="132" spans="1:8" s="31" customFormat="1" hidden="1" x14ac:dyDescent="0.3">
      <c r="A132" s="122" t="s">
        <v>101</v>
      </c>
      <c r="B132" s="122"/>
      <c r="C132" s="122"/>
      <c r="D132" s="122"/>
      <c r="E132" s="122"/>
      <c r="F132" s="121"/>
      <c r="G132" s="121"/>
      <c r="H132" s="121"/>
    </row>
    <row r="133" spans="1:8" s="31" customFormat="1" hidden="1" x14ac:dyDescent="0.3">
      <c r="A133" s="122" t="s">
        <v>102</v>
      </c>
      <c r="B133" s="122"/>
      <c r="C133" s="122"/>
      <c r="D133" s="122"/>
      <c r="E133" s="122"/>
      <c r="F133" s="121"/>
      <c r="G133" s="121"/>
      <c r="H133" s="121"/>
    </row>
    <row r="134" spans="1:8" s="31" customFormat="1" hidden="1" x14ac:dyDescent="0.3">
      <c r="A134" s="122" t="s">
        <v>103</v>
      </c>
      <c r="B134" s="122"/>
      <c r="C134" s="122"/>
      <c r="D134" s="122"/>
      <c r="E134" s="122"/>
      <c r="F134" s="121"/>
      <c r="G134" s="121"/>
      <c r="H134" s="121"/>
    </row>
    <row r="135" spans="1:8" x14ac:dyDescent="0.35">
      <c r="A135" s="122" t="s">
        <v>52</v>
      </c>
      <c r="B135" s="122"/>
      <c r="C135" s="122"/>
      <c r="D135" s="122"/>
      <c r="E135" s="122"/>
      <c r="F135" s="121">
        <v>200000</v>
      </c>
      <c r="G135" s="121"/>
      <c r="H135" s="121"/>
    </row>
    <row r="136" spans="1:8" s="32" customFormat="1" x14ac:dyDescent="0.35">
      <c r="A136" s="144" t="s">
        <v>53</v>
      </c>
      <c r="B136" s="144"/>
      <c r="C136" s="144"/>
      <c r="D136" s="144"/>
      <c r="E136" s="144"/>
      <c r="F136" s="121">
        <f>F124*0.8</f>
        <v>3440</v>
      </c>
      <c r="G136" s="121"/>
      <c r="H136" s="121"/>
    </row>
    <row r="137" spans="1:8" s="33" customFormat="1" ht="15.75" customHeight="1" x14ac:dyDescent="0.35">
      <c r="A137" s="107" t="s">
        <v>78</v>
      </c>
      <c r="B137" s="107"/>
      <c r="C137" s="107"/>
      <c r="D137" s="107"/>
      <c r="E137" s="107"/>
      <c r="F137" s="107"/>
      <c r="G137" s="107"/>
      <c r="H137" s="107"/>
    </row>
    <row r="138" spans="1:8" s="33" customFormat="1" ht="15.75" customHeight="1" x14ac:dyDescent="0.35">
      <c r="A138" s="131" t="s">
        <v>54</v>
      </c>
      <c r="B138" s="131"/>
      <c r="C138" s="134" t="s">
        <v>81</v>
      </c>
      <c r="D138" s="134"/>
      <c r="E138" s="109" t="s">
        <v>55</v>
      </c>
      <c r="F138" s="109"/>
      <c r="G138" s="131" t="s">
        <v>56</v>
      </c>
      <c r="H138" s="131"/>
    </row>
    <row r="139" spans="1:8" s="33" customFormat="1" x14ac:dyDescent="0.35">
      <c r="A139" s="104" t="s">
        <v>185</v>
      </c>
      <c r="B139" s="104"/>
      <c r="C139" s="174">
        <f>COUNT(D155:D158)</f>
        <v>4</v>
      </c>
      <c r="D139" s="105"/>
      <c r="E139" s="106">
        <f>SUM(D155:D158)</f>
        <v>1148.8417199999999</v>
      </c>
      <c r="F139" s="132"/>
      <c r="G139" s="106">
        <f>SUM(F155:F158)</f>
        <v>1838.1467519999999</v>
      </c>
      <c r="H139" s="132"/>
    </row>
    <row r="140" spans="1:8" s="33" customFormat="1" x14ac:dyDescent="0.35">
      <c r="A140" s="104" t="s">
        <v>195</v>
      </c>
      <c r="B140" s="104"/>
      <c r="C140" s="106">
        <f>COUNT(D161:D167)</f>
        <v>7</v>
      </c>
      <c r="D140" s="132"/>
      <c r="E140" s="106">
        <f>SUM(D161:D167)</f>
        <v>1089.53208</v>
      </c>
      <c r="F140" s="132"/>
      <c r="G140" s="106">
        <f>SUM(F161:F167)</f>
        <v>1743.2513280000003</v>
      </c>
      <c r="H140" s="132"/>
    </row>
    <row r="141" spans="1:8" s="33" customFormat="1" x14ac:dyDescent="0.35">
      <c r="A141" s="107" t="s">
        <v>155</v>
      </c>
      <c r="B141" s="107"/>
      <c r="C141" s="133">
        <f>SUM(C139:C140)</f>
        <v>11</v>
      </c>
      <c r="D141" s="134"/>
      <c r="E141" s="108">
        <f>SUM(E139:E140)</f>
        <v>2238.3737999999998</v>
      </c>
      <c r="F141" s="109"/>
      <c r="G141" s="131">
        <f>SUM(G139:G140)</f>
        <v>3581.3980799999999</v>
      </c>
      <c r="H141" s="131"/>
    </row>
    <row r="142" spans="1:8" s="33" customFormat="1" x14ac:dyDescent="0.35">
      <c r="A142" s="107" t="s">
        <v>72</v>
      </c>
      <c r="B142" s="107"/>
      <c r="C142" s="107"/>
      <c r="D142" s="107"/>
      <c r="E142" s="107"/>
      <c r="F142" s="107"/>
      <c r="G142" s="107"/>
      <c r="H142" s="107"/>
    </row>
    <row r="143" spans="1:8" s="33" customFormat="1" ht="15.75" customHeight="1" x14ac:dyDescent="0.35">
      <c r="A143" s="131" t="s">
        <v>54</v>
      </c>
      <c r="B143" s="131"/>
      <c r="C143" s="134" t="s">
        <v>81</v>
      </c>
      <c r="D143" s="134"/>
      <c r="E143" s="109" t="s">
        <v>55</v>
      </c>
      <c r="F143" s="109"/>
      <c r="G143" s="131" t="s">
        <v>56</v>
      </c>
      <c r="H143" s="131"/>
    </row>
    <row r="144" spans="1:8" s="33" customFormat="1" x14ac:dyDescent="0.35">
      <c r="A144" s="104" t="s">
        <v>185</v>
      </c>
      <c r="B144" s="104"/>
      <c r="C144" s="105">
        <f>COUNT(D174:D177)*7</f>
        <v>28</v>
      </c>
      <c r="D144" s="105"/>
      <c r="E144" s="106">
        <f>SUM(D174:D177)*7</f>
        <v>16883.557891199998</v>
      </c>
      <c r="F144" s="132"/>
      <c r="G144" s="106">
        <f>SUM(F174:F177)*7</f>
        <v>24481.158942239996</v>
      </c>
      <c r="H144" s="132"/>
    </row>
    <row r="145" spans="1:14" s="33" customFormat="1" x14ac:dyDescent="0.35">
      <c r="A145" s="104" t="s">
        <v>193</v>
      </c>
      <c r="B145" s="104"/>
      <c r="C145" s="105">
        <f>COUNT(D181:D184)*7</f>
        <v>28</v>
      </c>
      <c r="D145" s="105"/>
      <c r="E145" s="106">
        <f>SUM(D181:D184)*7</f>
        <v>14246.649143999997</v>
      </c>
      <c r="F145" s="106"/>
      <c r="G145" s="106">
        <f>SUM(F181:F184)*7</f>
        <v>20657.641258799998</v>
      </c>
      <c r="H145" s="106"/>
      <c r="J145" s="65">
        <f>G141+G148</f>
        <v>130389.56319635997</v>
      </c>
    </row>
    <row r="146" spans="1:14" s="33" customFormat="1" x14ac:dyDescent="0.35">
      <c r="A146" s="104" t="s">
        <v>194</v>
      </c>
      <c r="B146" s="104"/>
      <c r="C146" s="105">
        <f>COUNT(D188:D195)*7</f>
        <v>56</v>
      </c>
      <c r="D146" s="105"/>
      <c r="E146" s="106">
        <f>SUM(D188:D195)*7</f>
        <v>27508.771180799999</v>
      </c>
      <c r="F146" s="106"/>
      <c r="G146" s="106">
        <f>SUM(F188:F195)*7</f>
        <v>39887.718212159991</v>
      </c>
      <c r="H146" s="106"/>
    </row>
    <row r="147" spans="1:14" s="33" customFormat="1" x14ac:dyDescent="0.35">
      <c r="A147" s="104" t="s">
        <v>195</v>
      </c>
      <c r="B147" s="104"/>
      <c r="C147" s="105">
        <f>COUNT(D199:D206)*7</f>
        <v>56</v>
      </c>
      <c r="D147" s="105"/>
      <c r="E147" s="106">
        <f>SUM(D199:D206)*7</f>
        <v>28814.928760800005</v>
      </c>
      <c r="F147" s="106"/>
      <c r="G147" s="106">
        <f>SUM(F199:F206)*7</f>
        <v>41781.646703159997</v>
      </c>
      <c r="H147" s="106"/>
    </row>
    <row r="148" spans="1:14" s="33" customFormat="1" x14ac:dyDescent="0.35">
      <c r="A148" s="107" t="s">
        <v>155</v>
      </c>
      <c r="B148" s="107"/>
      <c r="C148" s="134">
        <f>SUM(C144:C147)</f>
        <v>168</v>
      </c>
      <c r="D148" s="134"/>
      <c r="E148" s="108">
        <f>SUM(E144:E147)</f>
        <v>87453.90697679999</v>
      </c>
      <c r="F148" s="109"/>
      <c r="G148" s="131">
        <f>SUM(G144:G147)</f>
        <v>126808.16511635997</v>
      </c>
      <c r="H148" s="131"/>
    </row>
    <row r="149" spans="1:14" s="32" customFormat="1" x14ac:dyDescent="0.35">
      <c r="A149" s="110" t="s">
        <v>57</v>
      </c>
      <c r="B149" s="110"/>
      <c r="C149" s="110"/>
      <c r="D149" s="110"/>
      <c r="E149" s="110"/>
      <c r="F149" s="110"/>
      <c r="G149" s="110"/>
      <c r="H149" s="110"/>
    </row>
    <row r="150" spans="1:14" x14ac:dyDescent="0.35">
      <c r="A150" s="110" t="s">
        <v>58</v>
      </c>
      <c r="B150" s="110"/>
      <c r="C150" s="110"/>
      <c r="D150" s="110"/>
      <c r="E150" s="110"/>
      <c r="F150" s="110"/>
      <c r="G150" s="110"/>
      <c r="H150" s="110"/>
    </row>
    <row r="151" spans="1:14" ht="47.25" customHeight="1" x14ac:dyDescent="0.35">
      <c r="A151" s="123" t="s">
        <v>124</v>
      </c>
      <c r="B151" s="123" t="s">
        <v>123</v>
      </c>
      <c r="C151" s="123" t="s">
        <v>59</v>
      </c>
      <c r="D151" s="123" t="s">
        <v>60</v>
      </c>
      <c r="E151" s="137" t="s">
        <v>161</v>
      </c>
      <c r="F151" s="41" t="s">
        <v>154</v>
      </c>
      <c r="G151" s="127" t="s">
        <v>62</v>
      </c>
      <c r="H151" s="139"/>
    </row>
    <row r="152" spans="1:14" s="35" customFormat="1" x14ac:dyDescent="0.35">
      <c r="A152" s="124"/>
      <c r="B152" s="124"/>
      <c r="C152" s="124"/>
      <c r="D152" s="124"/>
      <c r="E152" s="138"/>
      <c r="F152" s="13">
        <v>0.6</v>
      </c>
      <c r="G152" s="128"/>
      <c r="H152" s="140"/>
    </row>
    <row r="153" spans="1:14" s="49" customFormat="1" x14ac:dyDescent="0.35">
      <c r="A153" s="92" t="s">
        <v>185</v>
      </c>
      <c r="B153" s="93"/>
      <c r="C153" s="93"/>
      <c r="D153" s="93"/>
      <c r="E153" s="93"/>
      <c r="F153" s="93"/>
      <c r="G153" s="93"/>
      <c r="H153" s="94"/>
      <c r="J153" s="34"/>
    </row>
    <row r="154" spans="1:14" s="35" customFormat="1" x14ac:dyDescent="0.35">
      <c r="A154" s="92" t="s">
        <v>186</v>
      </c>
      <c r="B154" s="93"/>
      <c r="C154" s="93"/>
      <c r="D154" s="93"/>
      <c r="E154" s="93"/>
      <c r="F154" s="93"/>
      <c r="G154" s="93"/>
      <c r="H154" s="94"/>
      <c r="J154" s="34"/>
    </row>
    <row r="155" spans="1:14" s="35" customFormat="1" ht="15.75" customHeight="1" x14ac:dyDescent="0.35">
      <c r="A155" s="95">
        <v>1</v>
      </c>
      <c r="B155" s="96"/>
      <c r="C155" s="40" t="s">
        <v>187</v>
      </c>
      <c r="D155" s="50">
        <f>(22.15)*10.764</f>
        <v>238.42259999999996</v>
      </c>
      <c r="E155" s="50">
        <v>0</v>
      </c>
      <c r="F155" s="40">
        <f>(D155+E155)*(($F$152)+1)</f>
        <v>381.47615999999994</v>
      </c>
      <c r="G155" s="97" t="str">
        <f>A154</f>
        <v>Ground Floor for Commercial &amp; Parking</v>
      </c>
      <c r="H155" s="98"/>
      <c r="I155" s="34"/>
      <c r="L155" s="103"/>
      <c r="M155" s="103"/>
      <c r="N155" s="34"/>
    </row>
    <row r="156" spans="1:14" s="35" customFormat="1" x14ac:dyDescent="0.35">
      <c r="A156" s="95">
        <f t="shared" ref="A156:A158" si="0">A155+1</f>
        <v>2</v>
      </c>
      <c r="B156" s="96"/>
      <c r="C156" s="48" t="s">
        <v>187</v>
      </c>
      <c r="D156" s="50">
        <f>(30.38)*10.764</f>
        <v>327.01031999999998</v>
      </c>
      <c r="E156" s="50">
        <v>0</v>
      </c>
      <c r="F156" s="40">
        <f t="shared" ref="F156:F158" si="1">(D156+E156)*(($F$152)+1)</f>
        <v>523.21651199999997</v>
      </c>
      <c r="G156" s="99"/>
      <c r="H156" s="100"/>
      <c r="I156" s="34"/>
      <c r="L156" s="103"/>
      <c r="M156" s="103"/>
      <c r="N156" s="34"/>
    </row>
    <row r="157" spans="1:14" s="35" customFormat="1" x14ac:dyDescent="0.35">
      <c r="A157" s="95">
        <f t="shared" si="0"/>
        <v>3</v>
      </c>
      <c r="B157" s="96"/>
      <c r="C157" s="48" t="s">
        <v>187</v>
      </c>
      <c r="D157" s="50">
        <f>(30.38)*10.764</f>
        <v>327.01031999999998</v>
      </c>
      <c r="E157" s="50">
        <v>0</v>
      </c>
      <c r="F157" s="40">
        <f t="shared" si="1"/>
        <v>523.21651199999997</v>
      </c>
      <c r="G157" s="99"/>
      <c r="H157" s="100"/>
      <c r="I157" s="34"/>
      <c r="L157" s="103"/>
      <c r="M157" s="103"/>
      <c r="N157" s="34"/>
    </row>
    <row r="158" spans="1:14" s="35" customFormat="1" x14ac:dyDescent="0.35">
      <c r="A158" s="95">
        <f t="shared" si="0"/>
        <v>4</v>
      </c>
      <c r="B158" s="96"/>
      <c r="C158" s="48" t="s">
        <v>187</v>
      </c>
      <c r="D158" s="50">
        <f>(23.82)*10.764</f>
        <v>256.39848000000001</v>
      </c>
      <c r="E158" s="50">
        <v>0</v>
      </c>
      <c r="F158" s="40">
        <f t="shared" si="1"/>
        <v>410.23756800000001</v>
      </c>
      <c r="G158" s="101"/>
      <c r="H158" s="102"/>
      <c r="I158" s="34"/>
      <c r="L158" s="103"/>
      <c r="M158" s="103"/>
      <c r="N158" s="34"/>
    </row>
    <row r="159" spans="1:14" s="49" customFormat="1" x14ac:dyDescent="0.35">
      <c r="A159" s="92" t="s">
        <v>195</v>
      </c>
      <c r="B159" s="93"/>
      <c r="C159" s="93"/>
      <c r="D159" s="93"/>
      <c r="E159" s="93"/>
      <c r="F159" s="93"/>
      <c r="G159" s="93"/>
      <c r="H159" s="94"/>
      <c r="J159" s="34"/>
    </row>
    <row r="160" spans="1:14" s="49" customFormat="1" x14ac:dyDescent="0.35">
      <c r="A160" s="92" t="s">
        <v>186</v>
      </c>
      <c r="B160" s="93"/>
      <c r="C160" s="93"/>
      <c r="D160" s="93"/>
      <c r="E160" s="93"/>
      <c r="F160" s="93"/>
      <c r="G160" s="93"/>
      <c r="H160" s="94"/>
      <c r="J160" s="34"/>
    </row>
    <row r="161" spans="1:14" s="49" customFormat="1" ht="15.75" customHeight="1" x14ac:dyDescent="0.35">
      <c r="A161" s="95">
        <v>1</v>
      </c>
      <c r="B161" s="96"/>
      <c r="C161" s="48" t="s">
        <v>187</v>
      </c>
      <c r="D161" s="50">
        <f>(14.23)*10.764</f>
        <v>153.17171999999999</v>
      </c>
      <c r="E161" s="50">
        <v>0</v>
      </c>
      <c r="F161" s="48">
        <f>(D161+E161)*(($F$152)+1)</f>
        <v>245.07475199999999</v>
      </c>
      <c r="G161" s="97" t="str">
        <f>A160</f>
        <v>Ground Floor for Commercial &amp; Parking</v>
      </c>
      <c r="H161" s="98"/>
      <c r="I161" s="34"/>
      <c r="L161" s="103"/>
      <c r="M161" s="103"/>
      <c r="N161" s="34"/>
    </row>
    <row r="162" spans="1:14" s="49" customFormat="1" x14ac:dyDescent="0.35">
      <c r="A162" s="95">
        <f t="shared" ref="A162:A167" si="2">A161+1</f>
        <v>2</v>
      </c>
      <c r="B162" s="96"/>
      <c r="C162" s="48" t="s">
        <v>187</v>
      </c>
      <c r="D162" s="50">
        <f>(12.89)*10.764</f>
        <v>138.74796000000001</v>
      </c>
      <c r="E162" s="50">
        <v>0</v>
      </c>
      <c r="F162" s="48">
        <f t="shared" ref="F162:F164" si="3">(D162+E162)*(($F$152)+1)</f>
        <v>221.99673600000003</v>
      </c>
      <c r="G162" s="99"/>
      <c r="H162" s="100"/>
      <c r="I162" s="34"/>
      <c r="L162" s="103"/>
      <c r="M162" s="103"/>
      <c r="N162" s="34"/>
    </row>
    <row r="163" spans="1:14" s="49" customFormat="1" x14ac:dyDescent="0.35">
      <c r="A163" s="95">
        <f t="shared" si="2"/>
        <v>3</v>
      </c>
      <c r="B163" s="96"/>
      <c r="C163" s="48" t="s">
        <v>187</v>
      </c>
      <c r="D163" s="50">
        <f>(16.88)*10.764</f>
        <v>181.69631999999999</v>
      </c>
      <c r="E163" s="50">
        <v>0</v>
      </c>
      <c r="F163" s="48">
        <f t="shared" si="3"/>
        <v>290.714112</v>
      </c>
      <c r="G163" s="99"/>
      <c r="H163" s="100"/>
      <c r="I163" s="34"/>
      <c r="L163" s="103"/>
      <c r="M163" s="103"/>
      <c r="N163" s="34"/>
    </row>
    <row r="164" spans="1:14" s="49" customFormat="1" x14ac:dyDescent="0.35">
      <c r="A164" s="95">
        <f t="shared" si="2"/>
        <v>4</v>
      </c>
      <c r="B164" s="96"/>
      <c r="C164" s="48" t="s">
        <v>187</v>
      </c>
      <c r="D164" s="50">
        <f>(18.76)*10.764</f>
        <v>201.93263999999999</v>
      </c>
      <c r="E164" s="50">
        <v>0</v>
      </c>
      <c r="F164" s="48">
        <f t="shared" si="3"/>
        <v>323.09222399999999</v>
      </c>
      <c r="G164" s="99"/>
      <c r="H164" s="100"/>
      <c r="I164" s="34"/>
      <c r="L164" s="103"/>
      <c r="M164" s="103"/>
      <c r="N164" s="34"/>
    </row>
    <row r="165" spans="1:14" s="49" customFormat="1" x14ac:dyDescent="0.35">
      <c r="A165" s="95">
        <f t="shared" si="2"/>
        <v>5</v>
      </c>
      <c r="B165" s="96"/>
      <c r="C165" s="48" t="s">
        <v>187</v>
      </c>
      <c r="D165" s="50">
        <f>(13.98)*10.764</f>
        <v>150.48071999999999</v>
      </c>
      <c r="E165" s="50">
        <v>0</v>
      </c>
      <c r="F165" s="48">
        <f t="shared" ref="F165:F167" si="4">(D165+E165)*(($F$152)+1)</f>
        <v>240.76915199999999</v>
      </c>
      <c r="G165" s="99"/>
      <c r="H165" s="100"/>
      <c r="I165" s="34"/>
      <c r="L165" s="103"/>
      <c r="M165" s="103"/>
      <c r="N165" s="34"/>
    </row>
    <row r="166" spans="1:14" s="49" customFormat="1" x14ac:dyDescent="0.35">
      <c r="A166" s="95">
        <f t="shared" si="2"/>
        <v>6</v>
      </c>
      <c r="B166" s="96"/>
      <c r="C166" s="48" t="s">
        <v>187</v>
      </c>
      <c r="D166" s="50">
        <f>(11.63)*10.764</f>
        <v>125.18532</v>
      </c>
      <c r="E166" s="50">
        <v>0</v>
      </c>
      <c r="F166" s="48">
        <f t="shared" si="4"/>
        <v>200.29651200000001</v>
      </c>
      <c r="G166" s="99"/>
      <c r="H166" s="100"/>
      <c r="I166" s="34"/>
      <c r="L166" s="103"/>
      <c r="M166" s="103"/>
      <c r="N166" s="34"/>
    </row>
    <row r="167" spans="1:14" s="49" customFormat="1" x14ac:dyDescent="0.35">
      <c r="A167" s="95">
        <f t="shared" si="2"/>
        <v>7</v>
      </c>
      <c r="B167" s="96"/>
      <c r="C167" s="48" t="s">
        <v>187</v>
      </c>
      <c r="D167" s="50">
        <f>(12.85)*10.764</f>
        <v>138.31739999999999</v>
      </c>
      <c r="E167" s="50">
        <v>0</v>
      </c>
      <c r="F167" s="48">
        <f t="shared" si="4"/>
        <v>221.30784</v>
      </c>
      <c r="G167" s="101"/>
      <c r="H167" s="102"/>
      <c r="I167" s="34"/>
      <c r="L167" s="103"/>
      <c r="M167" s="103"/>
      <c r="N167" s="34"/>
    </row>
    <row r="168" spans="1:14" s="35" customFormat="1" x14ac:dyDescent="0.35">
      <c r="A168" s="95"/>
      <c r="B168" s="130"/>
      <c r="C168" s="130"/>
      <c r="D168" s="130"/>
      <c r="E168" s="130"/>
      <c r="F168" s="130"/>
      <c r="G168" s="130"/>
      <c r="H168" s="96"/>
      <c r="I168" s="34"/>
      <c r="N168" s="34"/>
    </row>
    <row r="169" spans="1:14" ht="47.25" customHeight="1" x14ac:dyDescent="0.35">
      <c r="A169" s="127" t="s">
        <v>125</v>
      </c>
      <c r="B169" s="127" t="s">
        <v>126</v>
      </c>
      <c r="C169" s="123" t="s">
        <v>59</v>
      </c>
      <c r="D169" s="123" t="s">
        <v>60</v>
      </c>
      <c r="E169" s="137" t="s">
        <v>61</v>
      </c>
      <c r="F169" s="41" t="s">
        <v>154</v>
      </c>
      <c r="G169" s="127" t="s">
        <v>62</v>
      </c>
      <c r="H169" s="139"/>
      <c r="I169" s="34"/>
      <c r="J169" s="51"/>
    </row>
    <row r="170" spans="1:14" s="35" customFormat="1" x14ac:dyDescent="0.35">
      <c r="A170" s="128"/>
      <c r="B170" s="128"/>
      <c r="C170" s="124"/>
      <c r="D170" s="124"/>
      <c r="E170" s="138"/>
      <c r="F170" s="13">
        <v>0.45</v>
      </c>
      <c r="G170" s="128"/>
      <c r="H170" s="140"/>
      <c r="I170" s="34"/>
      <c r="J170" s="52"/>
    </row>
    <row r="171" spans="1:14" s="49" customFormat="1" x14ac:dyDescent="0.35">
      <c r="A171" s="92" t="s">
        <v>185</v>
      </c>
      <c r="B171" s="93"/>
      <c r="C171" s="93"/>
      <c r="D171" s="93"/>
      <c r="E171" s="93"/>
      <c r="F171" s="93"/>
      <c r="G171" s="93"/>
      <c r="H171" s="94"/>
      <c r="J171" s="53"/>
    </row>
    <row r="172" spans="1:14" s="49" customFormat="1" x14ac:dyDescent="0.35">
      <c r="A172" s="92" t="s">
        <v>186</v>
      </c>
      <c r="B172" s="93"/>
      <c r="C172" s="93"/>
      <c r="D172" s="93"/>
      <c r="E172" s="93"/>
      <c r="F172" s="93"/>
      <c r="G172" s="93"/>
      <c r="H172" s="94"/>
      <c r="J172" s="53"/>
    </row>
    <row r="173" spans="1:14" s="49" customFormat="1" x14ac:dyDescent="0.35">
      <c r="A173" s="92" t="s">
        <v>188</v>
      </c>
      <c r="B173" s="93"/>
      <c r="C173" s="93"/>
      <c r="D173" s="93"/>
      <c r="E173" s="93"/>
      <c r="F173" s="93"/>
      <c r="G173" s="93"/>
      <c r="H173" s="94"/>
      <c r="I173" s="34"/>
      <c r="J173" s="52"/>
    </row>
    <row r="174" spans="1:14" s="49" customFormat="1" ht="15.75" customHeight="1" x14ac:dyDescent="0.35">
      <c r="A174" s="95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10^ROW(INDIRECT("1:"&amp;LEN((LEFT(A173,SUM(LEN(A173)-LEN(SUBSTITUTE(A173,{"0","1","2"},""))))))))/10))*100+1&amp;""&amp;" to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101 to 701</v>
      </c>
      <c r="B174" s="96"/>
      <c r="C174" s="48" t="s">
        <v>189</v>
      </c>
      <c r="D174" s="50">
        <f>(35.55+1.16*(2.74+2.28+2.74))*10.764</f>
        <v>479.55342239999987</v>
      </c>
      <c r="E174" s="50">
        <v>0</v>
      </c>
      <c r="F174" s="48">
        <f>D174*(($F$170)+1)+(IF(E174&lt;101,E174,IF(E174&lt;201,E174/2,IF(E174&lt;=301,E174/3,E174/4))))</f>
        <v>695.35246247999976</v>
      </c>
      <c r="G174" s="97" t="str">
        <f>A173</f>
        <v>1st to 7th Floor for Residential</v>
      </c>
      <c r="H174" s="98"/>
      <c r="I174" s="34">
        <f>2.74*4.26+2.28*2.43+2.74*3.43+1.22*2+2.03*1.22+1.25*1.3+1.1*0.9+1.7*0.45</f>
        <v>34.907600000000009</v>
      </c>
      <c r="J174" s="53"/>
      <c r="K174" s="34">
        <f>2820000/F174</f>
        <v>4055.4972509083636</v>
      </c>
    </row>
    <row r="175" spans="1:14" s="49" customFormat="1" x14ac:dyDescent="0.35">
      <c r="A175" s="95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to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102 to 702</v>
      </c>
      <c r="B175" s="96"/>
      <c r="C175" s="48" t="s">
        <v>189</v>
      </c>
      <c r="D175" s="50">
        <f>(35.55+1.16*(2.74+2.28+2.74))*10.764</f>
        <v>479.55342239999987</v>
      </c>
      <c r="E175" s="50">
        <v>0</v>
      </c>
      <c r="F175" s="48">
        <f>D175*(($F$170)+1)+(IF(E175&lt;101,E175,IF(E175&lt;201,E175/2,IF(E175&lt;=301,E175/3,E175/4))))</f>
        <v>695.35246247999976</v>
      </c>
      <c r="G175" s="99"/>
      <c r="H175" s="100"/>
      <c r="I175" s="34"/>
    </row>
    <row r="176" spans="1:14" s="49" customFormat="1" x14ac:dyDescent="0.35">
      <c r="A176" s="95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103 to 703</v>
      </c>
      <c r="B176" s="96"/>
      <c r="C176" s="48" t="s">
        <v>191</v>
      </c>
      <c r="D176" s="50">
        <f>(57.73+1.16*(2.89+2.28+2.59+2.74+2.83))*10.764</f>
        <v>787.84729919999984</v>
      </c>
      <c r="E176" s="50">
        <v>0</v>
      </c>
      <c r="F176" s="48">
        <f>D176*(($F$170)+1)+(IF(E176&lt;101,E176,IF(E176&lt;201,E176/2,IF(E176&lt;=301,E176/3,E176/4))))</f>
        <v>1142.3785838399997</v>
      </c>
      <c r="G176" s="99"/>
      <c r="H176" s="100"/>
      <c r="I176" s="34"/>
      <c r="K176" s="34">
        <f>4580000/F176</f>
        <v>4009.1788000828542</v>
      </c>
    </row>
    <row r="177" spans="1:11" s="49" customFormat="1" x14ac:dyDescent="0.35">
      <c r="A177" s="95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104 to 704</v>
      </c>
      <c r="B177" s="96"/>
      <c r="C177" s="48" t="s">
        <v>190</v>
      </c>
      <c r="D177" s="50">
        <f>(49.32+1.16*(2.89+2.28+2.74+2.83))*10.764</f>
        <v>664.98269759999994</v>
      </c>
      <c r="E177" s="50">
        <v>0</v>
      </c>
      <c r="F177" s="48">
        <f>D177*(($F$170)+1)+(IF(E177&lt;101,E177,IF(E177&lt;201,E177/2,IF(E177&lt;=301,E177/3,E177/4))))</f>
        <v>964.22491151999986</v>
      </c>
      <c r="G177" s="99"/>
      <c r="H177" s="100"/>
      <c r="I177" s="34"/>
      <c r="K177" s="34">
        <f>3560000/F177</f>
        <v>3692.0846552160033</v>
      </c>
    </row>
    <row r="178" spans="1:11" s="49" customFormat="1" x14ac:dyDescent="0.35">
      <c r="A178" s="92" t="s">
        <v>193</v>
      </c>
      <c r="B178" s="93"/>
      <c r="C178" s="93"/>
      <c r="D178" s="93"/>
      <c r="E178" s="93"/>
      <c r="F178" s="93"/>
      <c r="G178" s="93"/>
      <c r="H178" s="94"/>
      <c r="J178" s="34"/>
    </row>
    <row r="179" spans="1:11" s="49" customFormat="1" x14ac:dyDescent="0.35">
      <c r="A179" s="92" t="s">
        <v>192</v>
      </c>
      <c r="B179" s="93"/>
      <c r="C179" s="93"/>
      <c r="D179" s="93"/>
      <c r="E179" s="93"/>
      <c r="F179" s="93"/>
      <c r="G179" s="93"/>
      <c r="H179" s="94"/>
      <c r="J179" s="34"/>
    </row>
    <row r="180" spans="1:11" s="49" customFormat="1" x14ac:dyDescent="0.35">
      <c r="A180" s="92" t="s">
        <v>188</v>
      </c>
      <c r="B180" s="93"/>
      <c r="C180" s="93"/>
      <c r="D180" s="93"/>
      <c r="E180" s="93"/>
      <c r="F180" s="93"/>
      <c r="G180" s="93"/>
      <c r="H180" s="94"/>
      <c r="I180" s="34"/>
    </row>
    <row r="181" spans="1:11" s="49" customFormat="1" ht="15.75" customHeight="1" x14ac:dyDescent="0.35">
      <c r="A181" s="95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10^ROW(INDIRECT("1:"&amp;LEN((LEFT(A180,SUM(LEN(A180)-LEN(SUBSTITUTE(A180,{"0","1","2"},""))))))))/10))*100+1&amp;""&amp;"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",LEN(A180))),LEN(A180)))))))/10))*100+1</f>
        <v>101 to 701</v>
      </c>
      <c r="B181" s="96"/>
      <c r="C181" s="48" t="s">
        <v>189</v>
      </c>
      <c r="D181" s="50">
        <f>(35.74+1.16*(1.95+2.28+2.74))*10.764</f>
        <v>471.73445279999999</v>
      </c>
      <c r="E181" s="50">
        <v>0</v>
      </c>
      <c r="F181" s="48">
        <f>D181*(($F$170)+1)+(IF(E181&lt;101,E181,IF(E181&lt;201,E181/2,IF(E181&lt;=301,E181/3,E181/4))))</f>
        <v>684.01495655999997</v>
      </c>
      <c r="G181" s="97" t="str">
        <f>A180</f>
        <v>1st to 7th Floor for Residential</v>
      </c>
      <c r="H181" s="98"/>
      <c r="I181" s="34"/>
      <c r="K181" s="34">
        <f>2820000/F181</f>
        <v>4122.7168689148939</v>
      </c>
    </row>
    <row r="182" spans="1:11" s="49" customFormat="1" x14ac:dyDescent="0.35">
      <c r="A182" s="95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102 to 702</v>
      </c>
      <c r="B182" s="96"/>
      <c r="C182" s="48" t="s">
        <v>190</v>
      </c>
      <c r="D182" s="50">
        <f>(45.06+1.16*(1.95+2.28+2.74+2.59))*10.764</f>
        <v>604.39429439999992</v>
      </c>
      <c r="E182" s="50">
        <v>0</v>
      </c>
      <c r="F182" s="48">
        <f>D182*(($F$170)+1)+(IF(E182&lt;101,E182,IF(E182&lt;201,E182/2,IF(E182&lt;=301,E182/3,E182/4))))</f>
        <v>876.37172687999987</v>
      </c>
      <c r="G182" s="99"/>
      <c r="H182" s="100"/>
      <c r="I182" s="34"/>
      <c r="K182" s="34">
        <f>3560000/F182</f>
        <v>4062.2031619779364</v>
      </c>
    </row>
    <row r="183" spans="1:11" s="49" customFormat="1" x14ac:dyDescent="0.35">
      <c r="A183" s="95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103 to 703</v>
      </c>
      <c r="B183" s="96"/>
      <c r="C183" s="48" t="s">
        <v>189</v>
      </c>
      <c r="D183" s="50">
        <f>(35.55+1.16*(2.74+2.28+2.74))*10.764</f>
        <v>479.55342239999987</v>
      </c>
      <c r="E183" s="50">
        <v>0</v>
      </c>
      <c r="F183" s="48">
        <f>D183*(($F$170)+1)+(IF(E183&lt;101,E183,IF(E183&lt;201,E183/2,IF(E183&lt;=301,E183/3,E183/4))))</f>
        <v>695.35246247999976</v>
      </c>
      <c r="G183" s="99"/>
      <c r="H183" s="100"/>
      <c r="I183" s="34"/>
    </row>
    <row r="184" spans="1:11" s="49" customFormat="1" x14ac:dyDescent="0.35">
      <c r="A184" s="95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104 to 704</v>
      </c>
      <c r="B184" s="96"/>
      <c r="C184" s="48" t="s">
        <v>189</v>
      </c>
      <c r="D184" s="50">
        <f>(35.55+1.16*(2.74+2.28+2.74))*10.764</f>
        <v>479.55342239999987</v>
      </c>
      <c r="E184" s="50">
        <v>0</v>
      </c>
      <c r="F184" s="48">
        <f>D184*(($F$170)+1)+(IF(E184&lt;101,E184,IF(E184&lt;201,E184/2,IF(E184&lt;=301,E184/3,E184/4))))</f>
        <v>695.35246247999976</v>
      </c>
      <c r="G184" s="99"/>
      <c r="H184" s="100"/>
      <c r="I184" s="34"/>
    </row>
    <row r="185" spans="1:11" s="49" customFormat="1" x14ac:dyDescent="0.35">
      <c r="A185" s="92" t="s">
        <v>194</v>
      </c>
      <c r="B185" s="93"/>
      <c r="C185" s="93"/>
      <c r="D185" s="93"/>
      <c r="E185" s="93"/>
      <c r="F185" s="93"/>
      <c r="G185" s="93"/>
      <c r="H185" s="94"/>
      <c r="J185" s="34"/>
    </row>
    <row r="186" spans="1:11" s="49" customFormat="1" x14ac:dyDescent="0.35">
      <c r="A186" s="92" t="s">
        <v>224</v>
      </c>
      <c r="B186" s="93"/>
      <c r="C186" s="93"/>
      <c r="D186" s="93"/>
      <c r="E186" s="93"/>
      <c r="F186" s="93"/>
      <c r="G186" s="93"/>
      <c r="H186" s="94"/>
      <c r="J186" s="34"/>
    </row>
    <row r="187" spans="1:11" s="49" customFormat="1" x14ac:dyDescent="0.35">
      <c r="A187" s="92" t="s">
        <v>188</v>
      </c>
      <c r="B187" s="93"/>
      <c r="C187" s="93"/>
      <c r="D187" s="93"/>
      <c r="E187" s="93"/>
      <c r="F187" s="93"/>
      <c r="G187" s="93"/>
      <c r="H187" s="94"/>
      <c r="I187" s="34"/>
    </row>
    <row r="188" spans="1:11" s="49" customFormat="1" ht="15.75" customHeight="1" x14ac:dyDescent="0.35">
      <c r="A188" s="95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10^ROW(INDIRECT("1:"&amp;LEN((LEFT(A187,SUM(LEN(A187)-LEN(SUBSTITUTE(A187,{"0","1","2"},""))))))))/10))*100+1&amp;""&amp;"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",LEN(A187))),LEN(A187)))))))/10))*100+1</f>
        <v>101 to 701</v>
      </c>
      <c r="B188" s="96"/>
      <c r="C188" s="48" t="s">
        <v>189</v>
      </c>
      <c r="D188" s="50">
        <f>(35.6+1.16*(2.74+2.28+2.74))*10.764</f>
        <v>480.09162240000001</v>
      </c>
      <c r="E188" s="50">
        <v>0</v>
      </c>
      <c r="F188" s="48">
        <f t="shared" ref="F188:F195" si="5">D188*(($F$170)+1)+(IF(E188&lt;101,E188,IF(E188&lt;201,E188/2,IF(E188&lt;=301,E188/3,E188/4))))</f>
        <v>696.13285248</v>
      </c>
      <c r="G188" s="97" t="str">
        <f>A187</f>
        <v>1st to 7th Floor for Residential</v>
      </c>
      <c r="H188" s="98"/>
      <c r="I188" s="34"/>
    </row>
    <row r="189" spans="1:11" s="49" customFormat="1" x14ac:dyDescent="0.35">
      <c r="A189" s="95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to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102 to 702</v>
      </c>
      <c r="B189" s="96"/>
      <c r="C189" s="48" t="s">
        <v>189</v>
      </c>
      <c r="D189" s="50">
        <f>(35.6+1.16*(2.74+2.28+2.74))*10.764</f>
        <v>480.09162240000001</v>
      </c>
      <c r="E189" s="50">
        <v>0</v>
      </c>
      <c r="F189" s="48">
        <f t="shared" si="5"/>
        <v>696.13285248</v>
      </c>
      <c r="G189" s="99"/>
      <c r="H189" s="100"/>
      <c r="I189" s="34"/>
    </row>
    <row r="190" spans="1:11" s="49" customFormat="1" x14ac:dyDescent="0.35">
      <c r="A190" s="95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to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103 to 703</v>
      </c>
      <c r="B190" s="96"/>
      <c r="C190" s="48" t="s">
        <v>189</v>
      </c>
      <c r="D190" s="50">
        <f>(35.6+1.16*(1.9+2.28+2.74))*10.764</f>
        <v>469.60318080000002</v>
      </c>
      <c r="E190" s="50">
        <v>0</v>
      </c>
      <c r="F190" s="48">
        <f t="shared" si="5"/>
        <v>680.92461216000004</v>
      </c>
      <c r="G190" s="99"/>
      <c r="H190" s="100"/>
      <c r="I190" s="34"/>
    </row>
    <row r="191" spans="1:11" s="49" customFormat="1" x14ac:dyDescent="0.35">
      <c r="A191" s="95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to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104 to 704</v>
      </c>
      <c r="B191" s="96"/>
      <c r="C191" s="48" t="s">
        <v>189</v>
      </c>
      <c r="D191" s="50">
        <f>(35.78+1.16*(1.9+2.28+2.74))*10.764</f>
        <v>471.54070079999997</v>
      </c>
      <c r="E191" s="50">
        <v>0</v>
      </c>
      <c r="F191" s="48">
        <f t="shared" si="5"/>
        <v>683.7340161599999</v>
      </c>
      <c r="G191" s="99"/>
      <c r="H191" s="100"/>
      <c r="I191" s="34"/>
    </row>
    <row r="192" spans="1:11" s="49" customFormat="1" ht="15.75" customHeight="1" x14ac:dyDescent="0.35">
      <c r="A192" s="95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105 to 705</v>
      </c>
      <c r="B192" s="96"/>
      <c r="C192" s="48" t="s">
        <v>189</v>
      </c>
      <c r="D192" s="50">
        <f>(35.66+1.16*(2.74+2.28+2.74))*10.764</f>
        <v>480.73746239999991</v>
      </c>
      <c r="E192" s="50">
        <v>0</v>
      </c>
      <c r="F192" s="48">
        <f t="shared" si="5"/>
        <v>697.06932047999987</v>
      </c>
      <c r="G192" s="99"/>
      <c r="H192" s="100"/>
      <c r="I192" s="34"/>
    </row>
    <row r="193" spans="1:10" s="49" customFormat="1" ht="15.75" customHeight="1" x14ac:dyDescent="0.35">
      <c r="A193" s="95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106 to 706</v>
      </c>
      <c r="B193" s="96"/>
      <c r="C193" s="48" t="s">
        <v>190</v>
      </c>
      <c r="D193" s="50">
        <f>(44.17+1.16*(2.74+2.28+2.74+2.59))*10.764</f>
        <v>604.67846399999996</v>
      </c>
      <c r="E193" s="50">
        <v>0</v>
      </c>
      <c r="F193" s="48">
        <f t="shared" si="5"/>
        <v>876.78377279999995</v>
      </c>
      <c r="G193" s="99"/>
      <c r="H193" s="100"/>
      <c r="I193" s="34"/>
    </row>
    <row r="194" spans="1:10" s="49" customFormat="1" ht="15.75" customHeight="1" x14ac:dyDescent="0.35">
      <c r="A194" s="95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107 to 707</v>
      </c>
      <c r="B194" s="96"/>
      <c r="C194" s="48" t="s">
        <v>189</v>
      </c>
      <c r="D194" s="50">
        <f t="shared" ref="D194:D195" si="6">(35.78+1.16*(1.9+2.28+2.74))*10.764</f>
        <v>471.54070079999997</v>
      </c>
      <c r="E194" s="50">
        <v>0</v>
      </c>
      <c r="F194" s="48">
        <f t="shared" si="5"/>
        <v>683.7340161599999</v>
      </c>
      <c r="G194" s="99"/>
      <c r="H194" s="100"/>
      <c r="I194" s="34"/>
    </row>
    <row r="195" spans="1:10" s="49" customFormat="1" ht="15.75" customHeight="1" x14ac:dyDescent="0.35">
      <c r="A195" s="95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108 to 708</v>
      </c>
      <c r="B195" s="96"/>
      <c r="C195" s="48" t="s">
        <v>189</v>
      </c>
      <c r="D195" s="50">
        <f t="shared" si="6"/>
        <v>471.54070079999997</v>
      </c>
      <c r="E195" s="50">
        <v>0</v>
      </c>
      <c r="F195" s="48">
        <f t="shared" si="5"/>
        <v>683.7340161599999</v>
      </c>
      <c r="G195" s="101"/>
      <c r="H195" s="102"/>
      <c r="I195" s="34"/>
    </row>
    <row r="196" spans="1:10" s="49" customFormat="1" x14ac:dyDescent="0.35">
      <c r="A196" s="92" t="s">
        <v>195</v>
      </c>
      <c r="B196" s="93"/>
      <c r="C196" s="93"/>
      <c r="D196" s="93"/>
      <c r="E196" s="93"/>
      <c r="F196" s="93"/>
      <c r="G196" s="93"/>
      <c r="H196" s="94"/>
      <c r="J196" s="34"/>
    </row>
    <row r="197" spans="1:10" s="49" customFormat="1" x14ac:dyDescent="0.35">
      <c r="A197" s="92" t="s">
        <v>186</v>
      </c>
      <c r="B197" s="93"/>
      <c r="C197" s="93"/>
      <c r="D197" s="93"/>
      <c r="E197" s="93"/>
      <c r="F197" s="93"/>
      <c r="G197" s="93"/>
      <c r="H197" s="94"/>
      <c r="J197" s="34"/>
    </row>
    <row r="198" spans="1:10" s="49" customFormat="1" x14ac:dyDescent="0.35">
      <c r="A198" s="92" t="s">
        <v>188</v>
      </c>
      <c r="B198" s="93"/>
      <c r="C198" s="93"/>
      <c r="D198" s="93"/>
      <c r="E198" s="93"/>
      <c r="F198" s="93"/>
      <c r="G198" s="93"/>
      <c r="H198" s="94"/>
      <c r="I198" s="34"/>
    </row>
    <row r="199" spans="1:10" s="49" customFormat="1" ht="15.75" customHeight="1" x14ac:dyDescent="0.35">
      <c r="A199" s="95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10^ROW(INDIRECT("1:"&amp;LEN((LEFT(A198,SUM(LEN(A198)-LEN(SUBSTITUTE(A198,{"0","1","2"},""))))))))/10))*100+1&amp;""&amp;"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",LEN(A198))),LEN(A198)))))))/10))*100+1</f>
        <v>101 to 701</v>
      </c>
      <c r="B199" s="96"/>
      <c r="C199" s="48" t="s">
        <v>189</v>
      </c>
      <c r="D199" s="50">
        <f>(36.35+1.16*(1.9+2.28+2.74))*10.764</f>
        <v>477.6761808</v>
      </c>
      <c r="E199" s="50">
        <v>0</v>
      </c>
      <c r="F199" s="48">
        <f t="shared" ref="F199:F206" si="7">D199*(($F$170)+1)+(IF(E199&lt;101,E199,IF(E199&lt;201,E199/2,IF(E199&lt;=301,E199/3,E199/4))))</f>
        <v>692.63046215999998</v>
      </c>
      <c r="G199" s="97" t="str">
        <f>A198</f>
        <v>1st to 7th Floor for Residential</v>
      </c>
      <c r="H199" s="98"/>
      <c r="I199" s="34"/>
    </row>
    <row r="200" spans="1:10" s="49" customFormat="1" x14ac:dyDescent="0.35">
      <c r="A200" s="95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102 to 702</v>
      </c>
      <c r="B200" s="96"/>
      <c r="C200" s="48" t="s">
        <v>189</v>
      </c>
      <c r="D200" s="50">
        <f>(36.35+1.16*(1.9+2.28+2.74))*10.764</f>
        <v>477.6761808</v>
      </c>
      <c r="E200" s="50">
        <v>0</v>
      </c>
      <c r="F200" s="48">
        <f t="shared" si="7"/>
        <v>692.63046215999998</v>
      </c>
      <c r="G200" s="99"/>
      <c r="H200" s="100"/>
      <c r="I200" s="34"/>
    </row>
    <row r="201" spans="1:10" s="49" customFormat="1" x14ac:dyDescent="0.35">
      <c r="A201" s="95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to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103 to 703</v>
      </c>
      <c r="B201" s="96"/>
      <c r="C201" s="48" t="s">
        <v>189</v>
      </c>
      <c r="D201" s="50">
        <f>(38.16+1.16*(2.74+2.28+2.74))*10.764</f>
        <v>507.64746239999988</v>
      </c>
      <c r="E201" s="50">
        <v>0</v>
      </c>
      <c r="F201" s="48">
        <f t="shared" si="7"/>
        <v>736.08882047999975</v>
      </c>
      <c r="G201" s="99"/>
      <c r="H201" s="100"/>
      <c r="I201" s="34"/>
    </row>
    <row r="202" spans="1:10" s="49" customFormat="1" x14ac:dyDescent="0.35">
      <c r="A202" s="95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to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104 to 704</v>
      </c>
      <c r="B202" s="96"/>
      <c r="C202" s="48" t="s">
        <v>190</v>
      </c>
      <c r="D202" s="50">
        <f>(50.85+1.16*(3.04+2.28+2.74+1.35))*10.764</f>
        <v>664.84491839999998</v>
      </c>
      <c r="E202" s="50">
        <v>0</v>
      </c>
      <c r="F202" s="48">
        <f t="shared" si="7"/>
        <v>964.02513167999996</v>
      </c>
      <c r="G202" s="99"/>
      <c r="H202" s="100"/>
      <c r="I202" s="34"/>
    </row>
    <row r="203" spans="1:10" s="49" customFormat="1" ht="15.75" customHeight="1" x14ac:dyDescent="0.35">
      <c r="A203" s="95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to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105 to 705</v>
      </c>
      <c r="B203" s="96"/>
      <c r="C203" s="48" t="s">
        <v>189</v>
      </c>
      <c r="D203" s="50">
        <f>(36.35+1.16*(1.85+2.28+2.74))*10.764</f>
        <v>477.05186880000002</v>
      </c>
      <c r="E203" s="50">
        <v>0</v>
      </c>
      <c r="F203" s="48">
        <f t="shared" si="7"/>
        <v>691.72520975999998</v>
      </c>
      <c r="G203" s="99"/>
      <c r="H203" s="100"/>
      <c r="I203" s="34"/>
    </row>
    <row r="204" spans="1:10" s="49" customFormat="1" ht="15.75" customHeight="1" x14ac:dyDescent="0.35">
      <c r="A204" s="95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to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106 to 706</v>
      </c>
      <c r="B204" s="96"/>
      <c r="C204" s="48" t="s">
        <v>190</v>
      </c>
      <c r="D204" s="50">
        <f>(41.07+1.16*(1.9+2.59)+1.35*(2.74+2.28))*10.764</f>
        <v>571.08832559999996</v>
      </c>
      <c r="E204" s="50">
        <v>0</v>
      </c>
      <c r="F204" s="48">
        <f t="shared" si="7"/>
        <v>828.07807211999989</v>
      </c>
      <c r="G204" s="99"/>
      <c r="H204" s="100"/>
      <c r="I204" s="34">
        <f>3.01*4.26+2.28*1.9+2.74*2.9+2.59*3+1.21*2.3+1.21*2+1.21*1.25+0.45*1.45</f>
        <v>40.238600000000005</v>
      </c>
    </row>
    <row r="205" spans="1:10" s="49" customFormat="1" ht="15.75" customHeight="1" x14ac:dyDescent="0.35">
      <c r="A205" s="95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107 to 707</v>
      </c>
      <c r="B205" s="96"/>
      <c r="C205" s="48" t="s">
        <v>189</v>
      </c>
      <c r="D205" s="50">
        <f>(36.08+1.16*(1.85+2.28+2.74))*10.764</f>
        <v>474.14558879999998</v>
      </c>
      <c r="E205" s="50">
        <v>0</v>
      </c>
      <c r="F205" s="48">
        <f t="shared" si="7"/>
        <v>687.51110375999997</v>
      </c>
      <c r="G205" s="99"/>
      <c r="H205" s="100"/>
      <c r="I205" s="34"/>
    </row>
    <row r="206" spans="1:10" s="49" customFormat="1" ht="15.75" customHeight="1" x14ac:dyDescent="0.35">
      <c r="A206" s="95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to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108 to 708</v>
      </c>
      <c r="B206" s="96"/>
      <c r="C206" s="48" t="s">
        <v>189</v>
      </c>
      <c r="D206" s="50">
        <f>(35.35+1.16*(1.85+2.28+2.74))*10.764</f>
        <v>466.28786880000001</v>
      </c>
      <c r="E206" s="50">
        <v>0</v>
      </c>
      <c r="F206" s="48">
        <f t="shared" si="7"/>
        <v>676.11740975999999</v>
      </c>
      <c r="G206" s="101"/>
      <c r="H206" s="102"/>
      <c r="I206" s="34"/>
    </row>
    <row r="207" spans="1:10" s="33" customFormat="1" x14ac:dyDescent="0.35">
      <c r="A207" s="126" t="s">
        <v>70</v>
      </c>
      <c r="B207" s="126"/>
      <c r="C207" s="126"/>
      <c r="D207" s="126"/>
      <c r="E207" s="126"/>
      <c r="F207" s="126"/>
      <c r="G207" s="126"/>
      <c r="H207" s="126"/>
    </row>
    <row r="208" spans="1:10" s="33" customFormat="1" ht="32.25" customHeight="1" x14ac:dyDescent="0.35">
      <c r="A208" s="43" t="s">
        <v>158</v>
      </c>
      <c r="B208" s="171" t="s">
        <v>234</v>
      </c>
      <c r="C208" s="172"/>
      <c r="D208" s="172"/>
      <c r="E208" s="172"/>
      <c r="F208" s="172"/>
      <c r="G208" s="172"/>
      <c r="H208" s="173"/>
    </row>
    <row r="209" spans="1:8" s="33" customFormat="1" x14ac:dyDescent="0.35">
      <c r="A209" s="43" t="s">
        <v>158</v>
      </c>
      <c r="B209" s="171" t="str">
        <f>(IF(F169="Saleable area Loading :","We have considered Saleable area of Flats as per our Calculation.","We considered Saleable area of Flat as per Builder area Sheet."))</f>
        <v>We have considered Saleable area of Flats as per our Calculation.</v>
      </c>
      <c r="C209" s="172"/>
      <c r="D209" s="172"/>
      <c r="E209" s="172"/>
      <c r="F209" s="172"/>
      <c r="G209" s="172"/>
      <c r="H209" s="173"/>
    </row>
    <row r="210" spans="1:8" s="33" customFormat="1" x14ac:dyDescent="0.35">
      <c r="A210" s="43" t="s">
        <v>158</v>
      </c>
      <c r="B210" s="171" t="str">
        <f>(IF(F151="Saleable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0" s="172"/>
      <c r="D210" s="172"/>
      <c r="E210" s="172"/>
      <c r="F210" s="172"/>
      <c r="G210" s="172"/>
      <c r="H210" s="173"/>
    </row>
    <row r="211" spans="1:8" s="33" customFormat="1" x14ac:dyDescent="0.35">
      <c r="A211" s="43" t="s">
        <v>158</v>
      </c>
      <c r="B211" s="113" t="s">
        <v>128</v>
      </c>
      <c r="C211" s="114"/>
      <c r="D211" s="114"/>
      <c r="E211" s="114"/>
      <c r="F211" s="114"/>
      <c r="G211" s="114"/>
      <c r="H211" s="115"/>
    </row>
    <row r="212" spans="1:8" s="33" customFormat="1" x14ac:dyDescent="0.35">
      <c r="A212" s="43" t="s">
        <v>158</v>
      </c>
      <c r="B212" s="113" t="s">
        <v>196</v>
      </c>
      <c r="C212" s="114"/>
      <c r="D212" s="114"/>
      <c r="E212" s="114"/>
      <c r="F212" s="114"/>
      <c r="G212" s="114"/>
      <c r="H212" s="115"/>
    </row>
    <row r="213" spans="1:8" s="33" customFormat="1" x14ac:dyDescent="0.35">
      <c r="A213" s="43" t="s">
        <v>158</v>
      </c>
      <c r="B213" s="113" t="s">
        <v>157</v>
      </c>
      <c r="C213" s="114"/>
      <c r="D213" s="114"/>
      <c r="E213" s="114"/>
      <c r="F213" s="114"/>
      <c r="G213" s="114"/>
      <c r="H213" s="115"/>
    </row>
    <row r="214" spans="1:8" s="33" customFormat="1" x14ac:dyDescent="0.35">
      <c r="A214" s="43" t="s">
        <v>158</v>
      </c>
      <c r="B214" s="113" t="s">
        <v>129</v>
      </c>
      <c r="C214" s="114"/>
      <c r="D214" s="114"/>
      <c r="E214" s="114"/>
      <c r="F214" s="114"/>
      <c r="G214" s="114"/>
      <c r="H214" s="115"/>
    </row>
    <row r="215" spans="1:8" s="33" customFormat="1" ht="34.5" customHeight="1" x14ac:dyDescent="0.35">
      <c r="A215" s="43" t="s">
        <v>158</v>
      </c>
      <c r="B215" s="113" t="s">
        <v>159</v>
      </c>
      <c r="C215" s="114"/>
      <c r="D215" s="114"/>
      <c r="E215" s="114"/>
      <c r="F215" s="114"/>
      <c r="G215" s="114"/>
      <c r="H215" s="115"/>
    </row>
    <row r="216" spans="1:8" s="33" customFormat="1" x14ac:dyDescent="0.35">
      <c r="A216" s="66" t="s">
        <v>158</v>
      </c>
      <c r="B216" s="113" t="s">
        <v>130</v>
      </c>
      <c r="C216" s="114"/>
      <c r="D216" s="114"/>
      <c r="E216" s="114"/>
      <c r="F216" s="114"/>
      <c r="G216" s="114"/>
      <c r="H216" s="115"/>
    </row>
    <row r="217" spans="1:8" s="33" customFormat="1" x14ac:dyDescent="0.35">
      <c r="A217" s="43" t="s">
        <v>158</v>
      </c>
      <c r="B217" s="113" t="s">
        <v>233</v>
      </c>
      <c r="C217" s="114"/>
      <c r="D217" s="114"/>
      <c r="E217" s="114"/>
      <c r="F217" s="114"/>
      <c r="G217" s="114"/>
      <c r="H217" s="115"/>
    </row>
    <row r="218" spans="1:8" x14ac:dyDescent="0.35">
      <c r="A218" s="170" t="s">
        <v>63</v>
      </c>
      <c r="B218" s="170"/>
      <c r="C218" s="170"/>
      <c r="D218" s="170"/>
      <c r="E218" s="170"/>
      <c r="F218" s="170"/>
      <c r="G218" s="170"/>
      <c r="H218" s="170"/>
    </row>
    <row r="219" spans="1:8" x14ac:dyDescent="0.35">
      <c r="A219" s="122" t="s">
        <v>64</v>
      </c>
      <c r="B219" s="122"/>
      <c r="C219" s="122"/>
      <c r="D219" s="122"/>
      <c r="E219" s="122"/>
      <c r="F219" s="122"/>
      <c r="G219" s="122"/>
      <c r="H219" s="122"/>
    </row>
    <row r="220" spans="1:8" ht="15.75" customHeight="1" x14ac:dyDescent="0.35">
      <c r="A220" s="194" t="s">
        <v>65</v>
      </c>
      <c r="B220" s="194"/>
      <c r="C220" s="194"/>
      <c r="D220" s="194"/>
      <c r="E220" s="194"/>
      <c r="F220" s="194"/>
      <c r="G220" s="194"/>
      <c r="H220" s="194"/>
    </row>
    <row r="221" spans="1:8" x14ac:dyDescent="0.35">
      <c r="A221" s="122" t="s">
        <v>66</v>
      </c>
      <c r="B221" s="122"/>
      <c r="C221" s="122"/>
      <c r="D221" s="122"/>
      <c r="E221" s="122"/>
      <c r="F221" s="122"/>
      <c r="G221" s="122"/>
      <c r="H221" s="122"/>
    </row>
    <row r="222" spans="1:8" x14ac:dyDescent="0.35">
      <c r="A222" s="122" t="s">
        <v>67</v>
      </c>
      <c r="B222" s="122"/>
      <c r="C222" s="122"/>
      <c r="D222" s="122"/>
      <c r="E222" s="122"/>
      <c r="F222" s="122"/>
      <c r="G222" s="122"/>
      <c r="H222" s="122"/>
    </row>
    <row r="223" spans="1:8" x14ac:dyDescent="0.35">
      <c r="A223" s="122" t="s">
        <v>131</v>
      </c>
      <c r="B223" s="122"/>
      <c r="C223" s="122"/>
      <c r="D223" s="122"/>
      <c r="E223" s="122"/>
      <c r="F223" s="122"/>
      <c r="G223" s="122"/>
      <c r="H223" s="122"/>
    </row>
    <row r="224" spans="1:8" ht="30.75" customHeight="1" x14ac:dyDescent="0.35">
      <c r="A224" s="152" t="s">
        <v>132</v>
      </c>
      <c r="B224" s="152"/>
      <c r="C224" s="152"/>
      <c r="D224" s="152"/>
      <c r="E224" s="152"/>
      <c r="F224" s="152"/>
      <c r="G224" s="152"/>
      <c r="H224" s="152"/>
    </row>
    <row r="225" spans="1:8" x14ac:dyDescent="0.35">
      <c r="A225" s="168" t="s">
        <v>80</v>
      </c>
      <c r="B225" s="168"/>
      <c r="C225" s="169" t="s">
        <v>230</v>
      </c>
      <c r="D225" s="169"/>
      <c r="E225" s="168" t="s">
        <v>110</v>
      </c>
      <c r="F225" s="168"/>
      <c r="G225" s="168" t="s">
        <v>235</v>
      </c>
      <c r="H225" s="168"/>
    </row>
    <row r="226" spans="1:8" x14ac:dyDescent="0.35">
      <c r="A226" s="167" t="s">
        <v>82</v>
      </c>
      <c r="B226" s="167"/>
      <c r="C226" s="167"/>
      <c r="D226" s="167"/>
      <c r="E226" s="167"/>
      <c r="F226" s="167"/>
      <c r="G226" s="167"/>
      <c r="H226" s="167"/>
    </row>
    <row r="227" spans="1:8" x14ac:dyDescent="0.35">
      <c r="A227" s="167"/>
      <c r="B227" s="167"/>
      <c r="C227" s="167"/>
      <c r="D227" s="167"/>
      <c r="E227" s="167"/>
      <c r="F227" s="167"/>
      <c r="G227" s="167"/>
      <c r="H227" s="167"/>
    </row>
    <row r="228" spans="1:8" x14ac:dyDescent="0.35">
      <c r="A228" s="167"/>
      <c r="B228" s="167"/>
      <c r="C228" s="167"/>
      <c r="D228" s="167"/>
      <c r="E228" s="167"/>
      <c r="F228" s="167"/>
      <c r="G228" s="167"/>
      <c r="H228" s="167"/>
    </row>
    <row r="229" spans="1:8" x14ac:dyDescent="0.35">
      <c r="A229" s="167"/>
      <c r="B229" s="167"/>
      <c r="C229" s="167"/>
      <c r="D229" s="167"/>
      <c r="E229" s="167"/>
      <c r="F229" s="167"/>
      <c r="G229" s="167"/>
      <c r="H229" s="167"/>
    </row>
    <row r="230" spans="1:8" x14ac:dyDescent="0.35">
      <c r="A230" s="36" t="s">
        <v>68</v>
      </c>
      <c r="B230" s="37"/>
      <c r="C230" s="37"/>
      <c r="D230" s="36" t="str">
        <f>E8</f>
        <v>Precious Harmony NX</v>
      </c>
      <c r="F230" s="37"/>
      <c r="G230" s="37"/>
      <c r="H230" s="37"/>
    </row>
    <row r="231" spans="1:8" x14ac:dyDescent="0.35">
      <c r="A231" s="37"/>
      <c r="B231" s="37"/>
      <c r="C231" s="37"/>
      <c r="D231" s="37"/>
      <c r="E231" s="37"/>
      <c r="F231" s="37"/>
      <c r="G231" s="37"/>
      <c r="H231" s="37"/>
    </row>
    <row r="232" spans="1:8" x14ac:dyDescent="0.35">
      <c r="A232" s="37"/>
      <c r="B232" s="37"/>
      <c r="C232" s="37"/>
      <c r="D232" s="37"/>
      <c r="E232" s="37"/>
      <c r="F232" s="37"/>
      <c r="G232" s="37"/>
      <c r="H232" s="37"/>
    </row>
    <row r="233" spans="1:8" ht="15" customHeight="1" x14ac:dyDescent="0.35"/>
    <row r="273" spans="1:1" x14ac:dyDescent="0.35">
      <c r="A273" s="39" t="s">
        <v>172</v>
      </c>
    </row>
    <row r="316" spans="1:1" x14ac:dyDescent="0.35">
      <c r="A316" s="39" t="s">
        <v>69</v>
      </c>
    </row>
  </sheetData>
  <mergeCells count="390">
    <mergeCell ref="B216:H216"/>
    <mergeCell ref="A16:B16"/>
    <mergeCell ref="C16:H16"/>
    <mergeCell ref="E41:H41"/>
    <mergeCell ref="A41:D41"/>
    <mergeCell ref="A223:H223"/>
    <mergeCell ref="A220:H220"/>
    <mergeCell ref="A143:B143"/>
    <mergeCell ref="D169:D170"/>
    <mergeCell ref="E169:E170"/>
    <mergeCell ref="G169:H170"/>
    <mergeCell ref="A103:B103"/>
    <mergeCell ref="A104:B104"/>
    <mergeCell ref="A105:B105"/>
    <mergeCell ref="A95:B95"/>
    <mergeCell ref="C95:H95"/>
    <mergeCell ref="A119:B119"/>
    <mergeCell ref="A76:B76"/>
    <mergeCell ref="F124:H124"/>
    <mergeCell ref="G139:H139"/>
    <mergeCell ref="A122:B122"/>
    <mergeCell ref="A48:B48"/>
    <mergeCell ref="C48:E48"/>
    <mergeCell ref="G48:H48"/>
    <mergeCell ref="G50:H5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B217:H217"/>
    <mergeCell ref="B214:H214"/>
    <mergeCell ref="B210:H210"/>
    <mergeCell ref="A149:H149"/>
    <mergeCell ref="B208:H208"/>
    <mergeCell ref="B209:H209"/>
    <mergeCell ref="F131:H131"/>
    <mergeCell ref="C138:D138"/>
    <mergeCell ref="F134:H134"/>
    <mergeCell ref="F132:H132"/>
    <mergeCell ref="A150:H150"/>
    <mergeCell ref="G138:H138"/>
    <mergeCell ref="A133:E133"/>
    <mergeCell ref="C139:D139"/>
    <mergeCell ref="E139:F139"/>
    <mergeCell ref="B151:B152"/>
    <mergeCell ref="A151:A152"/>
    <mergeCell ref="C169:C170"/>
    <mergeCell ref="C148:D148"/>
    <mergeCell ref="F133:H133"/>
    <mergeCell ref="E138:F138"/>
    <mergeCell ref="A138:B138"/>
    <mergeCell ref="A140:B140"/>
    <mergeCell ref="A141:B141"/>
    <mergeCell ref="D64:H64"/>
    <mergeCell ref="A65:C65"/>
    <mergeCell ref="D65:H65"/>
    <mergeCell ref="A71:B71"/>
    <mergeCell ref="G70:H70"/>
    <mergeCell ref="A226:H229"/>
    <mergeCell ref="A225:B225"/>
    <mergeCell ref="E225:F225"/>
    <mergeCell ref="C225:D225"/>
    <mergeCell ref="G225:H225"/>
    <mergeCell ref="A137:H137"/>
    <mergeCell ref="A135:E135"/>
    <mergeCell ref="F135:H135"/>
    <mergeCell ref="A136:E136"/>
    <mergeCell ref="F136:H136"/>
    <mergeCell ref="A144:B144"/>
    <mergeCell ref="A139:B139"/>
    <mergeCell ref="A221:H221"/>
    <mergeCell ref="A142:H142"/>
    <mergeCell ref="A224:H224"/>
    <mergeCell ref="A222:H222"/>
    <mergeCell ref="A218:H218"/>
    <mergeCell ref="A219:H219"/>
    <mergeCell ref="E143:F143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G113:H122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C37:H37"/>
    <mergeCell ref="A44:D44"/>
    <mergeCell ref="L158:M158"/>
    <mergeCell ref="L157:M157"/>
    <mergeCell ref="L156:M156"/>
    <mergeCell ref="L155:M155"/>
    <mergeCell ref="A78:B78"/>
    <mergeCell ref="C144:D144"/>
    <mergeCell ref="E144:F144"/>
    <mergeCell ref="G144:H144"/>
    <mergeCell ref="F130:H130"/>
    <mergeCell ref="A124:E124"/>
    <mergeCell ref="A109:B109"/>
    <mergeCell ref="C109:H109"/>
    <mergeCell ref="A154:H154"/>
    <mergeCell ref="E151:E152"/>
    <mergeCell ref="G151:H152"/>
    <mergeCell ref="A99:B99"/>
    <mergeCell ref="E99:F108"/>
    <mergeCell ref="A106:B106"/>
    <mergeCell ref="A107:B107"/>
    <mergeCell ref="A108:B108"/>
    <mergeCell ref="A113:B113"/>
    <mergeCell ref="C141:D141"/>
    <mergeCell ref="E141:F141"/>
    <mergeCell ref="G141:H141"/>
    <mergeCell ref="A145:B145"/>
    <mergeCell ref="C145:D145"/>
    <mergeCell ref="E145:F145"/>
    <mergeCell ref="G145:H145"/>
    <mergeCell ref="C143:D143"/>
    <mergeCell ref="G143:H143"/>
    <mergeCell ref="G112:H112"/>
    <mergeCell ref="A111:B111"/>
    <mergeCell ref="C111:H111"/>
    <mergeCell ref="A112:B112"/>
    <mergeCell ref="E112:F112"/>
    <mergeCell ref="B211:H211"/>
    <mergeCell ref="B212:H212"/>
    <mergeCell ref="A207:H207"/>
    <mergeCell ref="C151:C152"/>
    <mergeCell ref="B169:B170"/>
    <mergeCell ref="A158:B158"/>
    <mergeCell ref="A176:B176"/>
    <mergeCell ref="A177:B177"/>
    <mergeCell ref="A178:H178"/>
    <mergeCell ref="E113:F122"/>
    <mergeCell ref="F123:H123"/>
    <mergeCell ref="F128:H128"/>
    <mergeCell ref="A168:H168"/>
    <mergeCell ref="A169:A170"/>
    <mergeCell ref="A134:E134"/>
    <mergeCell ref="G148:H148"/>
    <mergeCell ref="C140:D140"/>
    <mergeCell ref="E140:F140"/>
    <mergeCell ref="G140:H140"/>
    <mergeCell ref="F129:H129"/>
    <mergeCell ref="A130:E130"/>
    <mergeCell ref="A132:E132"/>
    <mergeCell ref="F126:H126"/>
    <mergeCell ref="A131:E131"/>
    <mergeCell ref="A116:B116"/>
    <mergeCell ref="A117:B117"/>
    <mergeCell ref="A118:B118"/>
    <mergeCell ref="A120:B120"/>
    <mergeCell ref="A121:B121"/>
    <mergeCell ref="A126:E126"/>
    <mergeCell ref="A123:E123"/>
    <mergeCell ref="F127:H127"/>
    <mergeCell ref="A128:E128"/>
    <mergeCell ref="A129:E129"/>
    <mergeCell ref="A38:B38"/>
    <mergeCell ref="C38:H38"/>
    <mergeCell ref="B215:H215"/>
    <mergeCell ref="A47:B47"/>
    <mergeCell ref="C47:H47"/>
    <mergeCell ref="B213:H213"/>
    <mergeCell ref="A114:B114"/>
    <mergeCell ref="A115:B115"/>
    <mergeCell ref="G99:H108"/>
    <mergeCell ref="A100:B100"/>
    <mergeCell ref="A101:B101"/>
    <mergeCell ref="A102:B102"/>
    <mergeCell ref="F125:H125"/>
    <mergeCell ref="A125:E125"/>
    <mergeCell ref="D151:D152"/>
    <mergeCell ref="A127:E127"/>
    <mergeCell ref="A155:B155"/>
    <mergeCell ref="A156:B156"/>
    <mergeCell ref="A157:B157"/>
    <mergeCell ref="A97:B97"/>
    <mergeCell ref="C97:H97"/>
    <mergeCell ref="A98:B98"/>
    <mergeCell ref="E98:F98"/>
    <mergeCell ref="G98:H98"/>
    <mergeCell ref="A153:H153"/>
    <mergeCell ref="G155:H158"/>
    <mergeCell ref="A171:H171"/>
    <mergeCell ref="A172:H172"/>
    <mergeCell ref="A173:H173"/>
    <mergeCell ref="A174:B174"/>
    <mergeCell ref="A175:B175"/>
    <mergeCell ref="G174:H177"/>
    <mergeCell ref="A159:H159"/>
    <mergeCell ref="A160:H160"/>
    <mergeCell ref="A161:B161"/>
    <mergeCell ref="A166:B166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148:B148"/>
    <mergeCell ref="E148:F148"/>
    <mergeCell ref="A195:B195"/>
    <mergeCell ref="G188:H195"/>
    <mergeCell ref="A179:H179"/>
    <mergeCell ref="A180:H180"/>
    <mergeCell ref="A181:B181"/>
    <mergeCell ref="G181:H184"/>
    <mergeCell ref="A182:B182"/>
    <mergeCell ref="A183:B183"/>
    <mergeCell ref="A184:B184"/>
    <mergeCell ref="A185:H185"/>
    <mergeCell ref="A186:H186"/>
    <mergeCell ref="L165:M165"/>
    <mergeCell ref="A187:H187"/>
    <mergeCell ref="A188:B188"/>
    <mergeCell ref="A189:B189"/>
    <mergeCell ref="A190:B190"/>
    <mergeCell ref="A191:B191"/>
    <mergeCell ref="A192:B192"/>
    <mergeCell ref="A193:B193"/>
    <mergeCell ref="A194:B194"/>
    <mergeCell ref="L166:M166"/>
    <mergeCell ref="A167:B167"/>
    <mergeCell ref="L167:M167"/>
    <mergeCell ref="G161:H167"/>
    <mergeCell ref="L161:M161"/>
    <mergeCell ref="A162:B162"/>
    <mergeCell ref="L162:M162"/>
    <mergeCell ref="A163:B163"/>
    <mergeCell ref="L163:M163"/>
    <mergeCell ref="A164:B164"/>
    <mergeCell ref="L164:M164"/>
    <mergeCell ref="A165:B165"/>
    <mergeCell ref="A196:H196"/>
    <mergeCell ref="A197:H197"/>
    <mergeCell ref="A198:H198"/>
    <mergeCell ref="A199:B199"/>
    <mergeCell ref="G199:H206"/>
    <mergeCell ref="A200:B200"/>
    <mergeCell ref="A201:B201"/>
    <mergeCell ref="A202:B202"/>
    <mergeCell ref="A203:B203"/>
    <mergeCell ref="A204:B204"/>
    <mergeCell ref="A205:B205"/>
    <mergeCell ref="A206:B206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29" max="16383" man="1"/>
    <brk id="272" max="16383" man="1"/>
    <brk id="3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5" t="s">
        <v>111</v>
      </c>
      <c r="C3" s="195"/>
      <c r="D3" s="195"/>
      <c r="E3" s="195"/>
      <c r="F3" s="195"/>
      <c r="G3" s="195"/>
      <c r="H3" s="195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2025-02-17T08:02:20Z</cp:lastPrinted>
  <dcterms:created xsi:type="dcterms:W3CDTF">2019-07-16T09:29:46Z</dcterms:created>
  <dcterms:modified xsi:type="dcterms:W3CDTF">2025-07-15T12:46:50Z</dcterms:modified>
</cp:coreProperties>
</file>