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00"/>
  </bookViews>
  <sheets>
    <sheet name="Report" sheetId="1" r:id="rId1"/>
    <sheet name="C% for old Flormat" sheetId="8" r:id="rId2"/>
    <sheet name="C% for new format" sheetId="6" r:id="rId3"/>
    <sheet name="valuation" sheetId="5" r:id="rId4"/>
    <sheet name="Note" sheetId="4" r:id="rId5"/>
  </sheets>
  <definedNames>
    <definedName name="_xlnm.Print_Area" localSheetId="0">Report!$A$1:$H$430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274" i="1" l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59" i="1"/>
  <c r="D258" i="1"/>
  <c r="D253" i="1"/>
  <c r="D252" i="1"/>
  <c r="F274" i="1"/>
  <c r="D264" i="1"/>
  <c r="F264" i="1" s="1"/>
  <c r="G263" i="1"/>
  <c r="D263" i="1"/>
  <c r="F263" i="1" s="1"/>
  <c r="D261" i="1"/>
  <c r="D260" i="1"/>
  <c r="D257" i="1"/>
  <c r="D256" i="1"/>
  <c r="D255" i="1"/>
  <c r="D254" i="1"/>
  <c r="D251" i="1"/>
  <c r="D250" i="1"/>
  <c r="G61" i="1"/>
  <c r="G60" i="1"/>
  <c r="C60" i="1"/>
  <c r="O263" i="1"/>
  <c r="P263" i="1"/>
  <c r="C141" i="1" l="1"/>
  <c r="E141" i="1"/>
  <c r="P264" i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N263" i="1"/>
  <c r="O264" i="1"/>
  <c r="I71" i="1"/>
  <c r="N264" i="1" l="1"/>
  <c r="O265" i="1"/>
  <c r="C79" i="1"/>
  <c r="O266" i="1" l="1"/>
  <c r="N265" i="1"/>
  <c r="D64" i="1"/>
  <c r="N266" i="1" l="1"/>
  <c r="O267" i="1"/>
  <c r="E40" i="1"/>
  <c r="N267" i="1" l="1"/>
  <c r="O268" i="1"/>
  <c r="D245" i="1"/>
  <c r="D244" i="1"/>
  <c r="D242" i="1"/>
  <c r="D241" i="1"/>
  <c r="D240" i="1"/>
  <c r="D239" i="1"/>
  <c r="D238" i="1"/>
  <c r="D237" i="1"/>
  <c r="D236" i="1"/>
  <c r="D235" i="1"/>
  <c r="D234" i="1"/>
  <c r="D232" i="1"/>
  <c r="D229" i="1"/>
  <c r="D228" i="1"/>
  <c r="D225" i="1"/>
  <c r="D224" i="1"/>
  <c r="D222" i="1"/>
  <c r="D221" i="1"/>
  <c r="N268" i="1" l="1"/>
  <c r="O269" i="1"/>
  <c r="G55" i="1"/>
  <c r="C55" i="1"/>
  <c r="E183" i="1"/>
  <c r="E182" i="1"/>
  <c r="E179" i="1"/>
  <c r="E178" i="1"/>
  <c r="E177" i="1"/>
  <c r="E176" i="1"/>
  <c r="E175" i="1"/>
  <c r="E174" i="1"/>
  <c r="F256" i="1"/>
  <c r="F257" i="1"/>
  <c r="F258" i="1"/>
  <c r="F259" i="1"/>
  <c r="F260" i="1"/>
  <c r="F261" i="1"/>
  <c r="F244" i="1"/>
  <c r="F245" i="1"/>
  <c r="F242" i="1"/>
  <c r="F241" i="1"/>
  <c r="F240" i="1"/>
  <c r="F239" i="1"/>
  <c r="F238" i="1"/>
  <c r="F237" i="1"/>
  <c r="F236" i="1"/>
  <c r="F235" i="1"/>
  <c r="G234" i="1"/>
  <c r="F234" i="1"/>
  <c r="D230" i="1"/>
  <c r="F230" i="1" s="1"/>
  <c r="F229" i="1"/>
  <c r="F228" i="1"/>
  <c r="D227" i="1"/>
  <c r="F227" i="1" s="1"/>
  <c r="D226" i="1"/>
  <c r="D223" i="1"/>
  <c r="D231" i="1"/>
  <c r="F231" i="1" s="1"/>
  <c r="F232" i="1"/>
  <c r="E216" i="1"/>
  <c r="E215" i="1"/>
  <c r="E214" i="1"/>
  <c r="E213" i="1"/>
  <c r="E212" i="1"/>
  <c r="E211" i="1"/>
  <c r="E210" i="1"/>
  <c r="E209" i="1"/>
  <c r="E208" i="1"/>
  <c r="E207" i="1"/>
  <c r="D216" i="1"/>
  <c r="D215" i="1"/>
  <c r="D214" i="1"/>
  <c r="D213" i="1"/>
  <c r="D212" i="1"/>
  <c r="D211" i="1"/>
  <c r="D210" i="1"/>
  <c r="D209" i="1"/>
  <c r="D208" i="1"/>
  <c r="D207" i="1"/>
  <c r="A208" i="1"/>
  <c r="A209" i="1" s="1"/>
  <c r="A210" i="1" s="1"/>
  <c r="A211" i="1" s="1"/>
  <c r="A212" i="1" s="1"/>
  <c r="A213" i="1" s="1"/>
  <c r="A214" i="1" s="1"/>
  <c r="A215" i="1" s="1"/>
  <c r="A216" i="1" s="1"/>
  <c r="G207" i="1"/>
  <c r="E204" i="1"/>
  <c r="E201" i="1"/>
  <c r="E200" i="1"/>
  <c r="E199" i="1"/>
  <c r="E196" i="1"/>
  <c r="D204" i="1"/>
  <c r="D203" i="1"/>
  <c r="F203" i="1" s="1"/>
  <c r="D202" i="1"/>
  <c r="F202" i="1" s="1"/>
  <c r="D201" i="1"/>
  <c r="D200" i="1"/>
  <c r="D199" i="1"/>
  <c r="D198" i="1"/>
  <c r="F198" i="1" s="1"/>
  <c r="D197" i="1"/>
  <c r="F197" i="1" s="1"/>
  <c r="D196" i="1"/>
  <c r="A197" i="1"/>
  <c r="A198" i="1" s="1"/>
  <c r="A199" i="1" s="1"/>
  <c r="A200" i="1" s="1"/>
  <c r="A201" i="1" s="1"/>
  <c r="A202" i="1" s="1"/>
  <c r="A203" i="1" s="1"/>
  <c r="A204" i="1" s="1"/>
  <c r="A205" i="1" s="1"/>
  <c r="G196" i="1"/>
  <c r="E194" i="1"/>
  <c r="E193" i="1"/>
  <c r="E190" i="1"/>
  <c r="E189" i="1"/>
  <c r="E188" i="1"/>
  <c r="E185" i="1"/>
  <c r="D194" i="1"/>
  <c r="D193" i="1"/>
  <c r="D192" i="1"/>
  <c r="F192" i="1" s="1"/>
  <c r="D191" i="1"/>
  <c r="F191" i="1" s="1"/>
  <c r="D190" i="1"/>
  <c r="D189" i="1"/>
  <c r="D188" i="1"/>
  <c r="D187" i="1"/>
  <c r="F187" i="1" s="1"/>
  <c r="D186" i="1"/>
  <c r="F186" i="1" s="1"/>
  <c r="D185" i="1"/>
  <c r="A186" i="1"/>
  <c r="A187" i="1" s="1"/>
  <c r="A188" i="1" s="1"/>
  <c r="A189" i="1" s="1"/>
  <c r="A190" i="1" s="1"/>
  <c r="A191" i="1" s="1"/>
  <c r="A192" i="1" s="1"/>
  <c r="A193" i="1" s="1"/>
  <c r="A194" i="1" s="1"/>
  <c r="G185" i="1"/>
  <c r="D183" i="1"/>
  <c r="D182" i="1"/>
  <c r="D179" i="1"/>
  <c r="D178" i="1"/>
  <c r="D177" i="1"/>
  <c r="D176" i="1"/>
  <c r="D175" i="1"/>
  <c r="D174" i="1"/>
  <c r="D166" i="1"/>
  <c r="F166" i="1" s="1"/>
  <c r="D165" i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D156" i="1"/>
  <c r="D155" i="1"/>
  <c r="D154" i="1"/>
  <c r="D153" i="1"/>
  <c r="D152" i="1"/>
  <c r="D151" i="1"/>
  <c r="F165" i="1"/>
  <c r="O234" i="1"/>
  <c r="P234" i="1"/>
  <c r="F183" i="1" l="1"/>
  <c r="F189" i="1"/>
  <c r="F190" i="1"/>
  <c r="F182" i="1"/>
  <c r="F188" i="1"/>
  <c r="N269" i="1"/>
  <c r="O270" i="1"/>
  <c r="F194" i="1"/>
  <c r="C140" i="1"/>
  <c r="C139" i="1"/>
  <c r="C142" i="1" s="1"/>
  <c r="E136" i="1"/>
  <c r="F193" i="1"/>
  <c r="F200" i="1"/>
  <c r="C136" i="1"/>
  <c r="E140" i="1"/>
  <c r="F211" i="1"/>
  <c r="E139" i="1"/>
  <c r="F196" i="1"/>
  <c r="F210" i="1"/>
  <c r="F185" i="1"/>
  <c r="F209" i="1"/>
  <c r="F199" i="1"/>
  <c r="F212" i="1"/>
  <c r="F207" i="1"/>
  <c r="F215" i="1"/>
  <c r="F213" i="1"/>
  <c r="F208" i="1"/>
  <c r="F214" i="1"/>
  <c r="F201" i="1"/>
  <c r="F204" i="1"/>
  <c r="N234" i="1"/>
  <c r="O235" i="1"/>
  <c r="P235" i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F216" i="1"/>
  <c r="O271" i="1" l="1"/>
  <c r="N270" i="1"/>
  <c r="E142" i="1"/>
  <c r="O236" i="1"/>
  <c r="N235" i="1"/>
  <c r="N271" i="1" l="1"/>
  <c r="O272" i="1"/>
  <c r="N236" i="1"/>
  <c r="O237" i="1"/>
  <c r="N272" i="1" l="1"/>
  <c r="O273" i="1"/>
  <c r="N237" i="1"/>
  <c r="O238" i="1"/>
  <c r="O274" i="1" l="1"/>
  <c r="N274" i="1" s="1"/>
  <c r="N273" i="1"/>
  <c r="N238" i="1"/>
  <c r="O239" i="1"/>
  <c r="O240" i="1" l="1"/>
  <c r="N239" i="1"/>
  <c r="N240" i="1" l="1"/>
  <c r="O241" i="1"/>
  <c r="N241" i="1" l="1"/>
  <c r="O242" i="1"/>
  <c r="N242" i="1" l="1"/>
  <c r="O243" i="1"/>
  <c r="C14" i="1"/>
  <c r="N243" i="1" l="1"/>
  <c r="O244" i="1"/>
  <c r="E28" i="1"/>
  <c r="O245" i="1" l="1"/>
  <c r="N245" i="1" s="1"/>
  <c r="N244" i="1"/>
  <c r="F255" i="1"/>
  <c r="F254" i="1"/>
  <c r="F253" i="1"/>
  <c r="F252" i="1"/>
  <c r="F251" i="1"/>
  <c r="F250" i="1"/>
  <c r="G141" i="1" s="1"/>
  <c r="F226" i="1"/>
  <c r="F225" i="1"/>
  <c r="F224" i="1"/>
  <c r="F223" i="1"/>
  <c r="F222" i="1"/>
  <c r="F221" i="1"/>
  <c r="F179" i="1"/>
  <c r="F178" i="1"/>
  <c r="F177" i="1"/>
  <c r="F175" i="1"/>
  <c r="F174" i="1"/>
  <c r="F176" i="1"/>
  <c r="G139" i="1" l="1"/>
  <c r="G140" i="1"/>
  <c r="F152" i="1"/>
  <c r="F153" i="1"/>
  <c r="F154" i="1"/>
  <c r="F155" i="1"/>
  <c r="F156" i="1"/>
  <c r="F157" i="1"/>
  <c r="F151" i="1"/>
  <c r="P221" i="1"/>
  <c r="O221" i="1"/>
  <c r="G136" i="1" l="1"/>
  <c r="G142" i="1"/>
  <c r="B278" i="1"/>
  <c r="B277" i="1"/>
  <c r="O25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J13" i="6"/>
  <c r="J12" i="6"/>
  <c r="J11" i="6"/>
  <c r="J10" i="6"/>
  <c r="L14" i="8"/>
  <c r="L13" i="8"/>
  <c r="L12" i="8"/>
  <c r="L11" i="8"/>
  <c r="D302" i="1"/>
  <c r="A277" i="1"/>
  <c r="G250" i="1"/>
  <c r="G221" i="1"/>
  <c r="G174" i="1"/>
  <c r="A175" i="1"/>
  <c r="A176" i="1" s="1"/>
  <c r="A177" i="1" s="1"/>
  <c r="A178" i="1" s="1"/>
  <c r="A179" i="1" s="1"/>
  <c r="A180" i="1" s="1"/>
  <c r="A181" i="1" s="1"/>
  <c r="A182" i="1" s="1"/>
  <c r="A183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G151" i="1"/>
  <c r="F133" i="1"/>
  <c r="J117" i="1"/>
  <c r="J116" i="1"/>
  <c r="J115" i="1"/>
  <c r="J114" i="1"/>
  <c r="C106" i="1"/>
  <c r="J103" i="1"/>
  <c r="J102" i="1"/>
  <c r="J101" i="1"/>
  <c r="J100" i="1"/>
  <c r="C92" i="1"/>
  <c r="J89" i="1"/>
  <c r="J88" i="1"/>
  <c r="J87" i="1"/>
  <c r="J86" i="1"/>
  <c r="C77" i="1"/>
  <c r="G49" i="1"/>
  <c r="G50" i="1" s="1"/>
  <c r="C49" i="1"/>
  <c r="E41" i="1"/>
  <c r="E42" i="1" s="1"/>
  <c r="E25" i="1"/>
  <c r="E23" i="1"/>
  <c r="E3" i="1"/>
  <c r="H93" i="1"/>
  <c r="H107" i="1"/>
  <c r="H78" i="1"/>
  <c r="P250" i="1"/>
  <c r="H3" i="6"/>
  <c r="I4" i="8"/>
  <c r="A278" i="1" l="1"/>
  <c r="C84" i="1"/>
  <c r="D84" i="1" s="1"/>
  <c r="J82" i="1"/>
  <c r="D91" i="1"/>
  <c r="D89" i="1"/>
  <c r="D87" i="1"/>
  <c r="D85" i="1"/>
  <c r="J83" i="1"/>
  <c r="C82" i="1" s="1"/>
  <c r="D82" i="1" s="1"/>
  <c r="J81" i="1"/>
  <c r="J84" i="1"/>
  <c r="J85" i="1" s="1"/>
  <c r="J90" i="1" s="1"/>
  <c r="J91" i="1" s="1"/>
  <c r="C83" i="1" s="1"/>
  <c r="D90" i="1"/>
  <c r="D86" i="1"/>
  <c r="D88" i="1"/>
  <c r="D112" i="1"/>
  <c r="J110" i="1"/>
  <c r="D119" i="1"/>
  <c r="D117" i="1"/>
  <c r="D115" i="1"/>
  <c r="D113" i="1"/>
  <c r="J111" i="1"/>
  <c r="J109" i="1"/>
  <c r="J112" i="1"/>
  <c r="J113" i="1" s="1"/>
  <c r="J118" i="1" s="1"/>
  <c r="D118" i="1"/>
  <c r="D116" i="1"/>
  <c r="D114" i="1"/>
  <c r="J98" i="1"/>
  <c r="J99" i="1" s="1"/>
  <c r="J104" i="1" s="1"/>
  <c r="J105" i="1" s="1"/>
  <c r="C97" i="1" s="1"/>
  <c r="D104" i="1"/>
  <c r="D102" i="1"/>
  <c r="D100" i="1"/>
  <c r="D98" i="1"/>
  <c r="J96" i="1"/>
  <c r="D105" i="1"/>
  <c r="J97" i="1"/>
  <c r="C96" i="1" s="1"/>
  <c r="D99" i="1"/>
  <c r="D101" i="1"/>
  <c r="D103" i="1"/>
  <c r="J95" i="1"/>
  <c r="N221" i="1"/>
  <c r="O222" i="1"/>
  <c r="N250" i="1"/>
  <c r="O251" i="1"/>
  <c r="P222" i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51" i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C9" i="8"/>
  <c r="D9" i="8" s="1"/>
  <c r="L7" i="8"/>
  <c r="D16" i="8"/>
  <c r="D14" i="8"/>
  <c r="D12" i="8"/>
  <c r="D10" i="8"/>
  <c r="L8" i="8"/>
  <c r="C7" i="8" s="1"/>
  <c r="L6" i="8"/>
  <c r="D13" i="8"/>
  <c r="L9" i="8"/>
  <c r="L10" i="8" s="1"/>
  <c r="L15" i="8" s="1"/>
  <c r="L16" i="8" s="1"/>
  <c r="C8" i="8" s="1"/>
  <c r="D15" i="8"/>
  <c r="D11" i="8"/>
  <c r="D14" i="6"/>
  <c r="D12" i="6"/>
  <c r="D10" i="6"/>
  <c r="C8" i="6"/>
  <c r="D8" i="6" s="1"/>
  <c r="J6" i="6"/>
  <c r="D15" i="6"/>
  <c r="D13" i="6"/>
  <c r="D11" i="6"/>
  <c r="D9" i="6"/>
  <c r="J7" i="6"/>
  <c r="C6" i="6" s="1"/>
  <c r="D6" i="6" s="1"/>
  <c r="J5" i="6"/>
  <c r="J8" i="6"/>
  <c r="J9" i="6" s="1"/>
  <c r="J14" i="6" s="1"/>
  <c r="J15" i="6" s="1"/>
  <c r="C7" i="6" s="1"/>
  <c r="J119" i="1" l="1"/>
  <c r="C111" i="1" s="1"/>
  <c r="D111" i="1" s="1"/>
  <c r="C110" i="1"/>
  <c r="D110" i="1" s="1"/>
  <c r="G96" i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E96" i="1"/>
  <c r="D97" i="1"/>
  <c r="E6" i="6"/>
  <c r="D7" i="6"/>
  <c r="F7" i="8"/>
  <c r="D8" i="8"/>
  <c r="E82" i="1"/>
  <c r="I77" i="1" s="1"/>
  <c r="D83" i="1"/>
  <c r="H7" i="8"/>
  <c r="H18" i="8" s="1"/>
  <c r="G6" i="6"/>
  <c r="G17" i="6" s="1"/>
  <c r="N251" i="1"/>
  <c r="O252" i="1"/>
  <c r="N222" i="1"/>
  <c r="O223" i="1"/>
  <c r="D7" i="8"/>
  <c r="G82" i="1"/>
  <c r="D75" i="1" l="1"/>
  <c r="F76" i="1" s="1"/>
  <c r="E110" i="1"/>
  <c r="I106" i="1" s="1"/>
  <c r="C108" i="1" s="1"/>
  <c r="G110" i="1"/>
  <c r="D96" i="1"/>
  <c r="I92" i="1" s="1"/>
  <c r="C94" i="1" s="1"/>
  <c r="N252" i="1"/>
  <c r="O253" i="1"/>
  <c r="N223" i="1"/>
  <c r="O224" i="1"/>
  <c r="K3" i="8"/>
  <c r="C5" i="8" s="1"/>
  <c r="F18" i="8"/>
  <c r="E17" i="6"/>
  <c r="I2" i="6"/>
  <c r="C4" i="6" s="1"/>
  <c r="D76" i="1" l="1"/>
  <c r="N224" i="1"/>
  <c r="O225" i="1"/>
  <c r="N253" i="1"/>
  <c r="O254" i="1"/>
  <c r="N225" i="1" l="1"/>
  <c r="O226" i="1"/>
  <c r="N254" i="1"/>
  <c r="O255" i="1"/>
  <c r="N255" i="1" l="1"/>
  <c r="O256" i="1"/>
  <c r="N226" i="1"/>
  <c r="O227" i="1"/>
  <c r="O257" i="1" l="1"/>
  <c r="N256" i="1"/>
  <c r="O228" i="1"/>
  <c r="N227" i="1"/>
  <c r="N257" i="1" l="1"/>
  <c r="O258" i="1"/>
  <c r="N228" i="1"/>
  <c r="O229" i="1"/>
  <c r="N258" i="1" l="1"/>
  <c r="O259" i="1"/>
  <c r="N229" i="1"/>
  <c r="O230" i="1"/>
  <c r="N259" i="1" l="1"/>
  <c r="O260" i="1"/>
  <c r="O231" i="1"/>
  <c r="N230" i="1"/>
  <c r="N260" i="1" l="1"/>
  <c r="O261" i="1"/>
  <c r="N261" i="1" s="1"/>
  <c r="N231" i="1"/>
  <c r="O232" i="1"/>
  <c r="N232" i="1" s="1"/>
</calcChain>
</file>

<file path=xl/sharedStrings.xml><?xml version="1.0" encoding="utf-8"?>
<sst xmlns="http://schemas.openxmlformats.org/spreadsheetml/2006/main" count="565" uniqueCount="259">
  <si>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</si>
  <si>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</si>
  <si>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</si>
  <si>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</si>
  <si>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</si>
  <si>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</si>
  <si>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</si>
  <si>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</si>
  <si>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</si>
  <si>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</si>
  <si>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</si>
  <si>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</si>
  <si>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</si>
  <si>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</si>
  <si>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</si>
  <si>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</si>
  <si>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</si>
  <si>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</si>
  <si>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</si>
  <si>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</si>
  <si>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</si>
  <si>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</si>
  <si>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</si>
  <si>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</si>
  <si>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</si>
  <si>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</si>
  <si>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</si>
  <si>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</si>
  <si>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</si>
  <si>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</si>
  <si>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</si>
  <si>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</si>
  <si>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</si>
  <si>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</si>
  <si>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</si>
  <si>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</si>
  <si>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</si>
  <si>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</si>
  <si>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</si>
  <si>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</si>
  <si>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</si>
  <si>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</si>
  <si>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</si>
  <si>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</si>
  <si>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</si>
  <si>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</si>
  <si>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</si>
  <si>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</si>
  <si>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</si>
  <si>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</si>
  <si>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</si>
  <si>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</si>
  <si>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</si>
  <si>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</si>
  <si>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</si>
  <si>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</si>
  <si>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</si>
  <si>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</si>
  <si>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</si>
  <si>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</si>
  <si>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</si>
  <si>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</si>
  <si>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</si>
  <si>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</si>
  <si>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</si>
  <si>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</si>
  <si>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</si>
  <si>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</si>
  <si>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</si>
  <si>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</si>
  <si>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</si>
  <si>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</si>
  <si>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</si>
  <si>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</si>
  <si>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</si>
  <si>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</si>
  <si>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</si>
  <si>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</si>
  <si>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</si>
  <si>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</si>
  <si>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</si>
  <si>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</si>
  <si>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</si>
  <si>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</si>
  <si>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</si>
  <si>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</si>
  <si>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</si>
  <si>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</si>
  <si>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</si>
  <si>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</si>
  <si>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</si>
  <si>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</si>
  <si>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</si>
  <si>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</si>
  <si>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</si>
  <si>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</si>
  <si>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</si>
  <si>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</si>
  <si>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</si>
  <si>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</si>
  <si>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</si>
  <si>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</si>
  <si>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</si>
  <si>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</si>
  <si>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</si>
  <si>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</si>
  <si>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</si>
  <si>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</si>
  <si>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</si>
  <si>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</si>
  <si>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</si>
  <si>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</si>
  <si>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</si>
  <si>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</si>
  <si>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</si>
  <si>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</si>
  <si>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</si>
  <si>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</si>
  <si>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</si>
  <si>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</si>
  <si>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</si>
  <si>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</si>
  <si>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</si>
  <si>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</si>
  <si>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</si>
  <si>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</si>
  <si>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</si>
  <si>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</si>
  <si>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</si>
  <si>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</si>
  <si>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</si>
  <si>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</si>
  <si>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</si>
  <si>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</si>
  <si>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</si>
  <si>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</si>
  <si>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</si>
  <si>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</si>
  <si>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</si>
  <si>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</si>
  <si>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</si>
  <si>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</si>
  <si>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</si>
  <si>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</si>
  <si>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</si>
  <si>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</si>
  <si>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</si>
  <si>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</si>
  <si>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</si>
  <si>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</si>
  <si>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</si>
  <si>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</si>
  <si>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Add 14 Black Row in OLD APF format</t>
  </si>
  <si>
    <t>Piling Work in process</t>
  </si>
  <si>
    <t>Basement</t>
  </si>
  <si>
    <t>Basement 2</t>
  </si>
  <si>
    <t>Basement 3</t>
  </si>
  <si>
    <t>Basement 4</t>
  </si>
  <si>
    <t xml:space="preserve"> Building No.  = G + 20th Floor</t>
  </si>
  <si>
    <t>Basement 1</t>
  </si>
  <si>
    <t>Plinth in process</t>
  </si>
  <si>
    <t xml:space="preserve">Violations Observed if any : </t>
  </si>
  <si>
    <t>Saleable area Loading :</t>
  </si>
  <si>
    <t>Total</t>
  </si>
  <si>
    <t xml:space="preserve"> Building No.  = G + 1st to 20th Floor</t>
  </si>
  <si>
    <t>Name of Municipal Corporation/Authority</t>
  </si>
  <si>
    <t>We have considered proposed No. of Floor for Stage Calculation.</t>
  </si>
  <si>
    <t xml:space="preserve">Phase I </t>
  </si>
  <si>
    <t>Shop</t>
  </si>
  <si>
    <t>1st Floor for Residential</t>
  </si>
  <si>
    <t>Double Height</t>
  </si>
  <si>
    <t>2BHK</t>
  </si>
  <si>
    <t>1BHK</t>
  </si>
  <si>
    <t>2nd, 4th, 6th, 10th &amp; 12th Floor</t>
  </si>
  <si>
    <t>Refuge area</t>
  </si>
  <si>
    <t>8th Floor (Part Refuge Area)</t>
  </si>
  <si>
    <t>3rd, 5th, 7th, 9th &amp; 11th Floor</t>
  </si>
  <si>
    <t>Ground Floor for Commercial &amp; Parking</t>
  </si>
  <si>
    <t xml:space="preserve">Phase II </t>
  </si>
  <si>
    <t xml:space="preserve">Ground Floor for Parking </t>
  </si>
  <si>
    <t>1st to 7th, 9th to 12th &amp; 14th Floor for Residential</t>
  </si>
  <si>
    <t>8th &amp; 13th Floor (Part Refuge Area)</t>
  </si>
  <si>
    <t>Phase III</t>
  </si>
  <si>
    <t>Axis Goregaon</t>
  </si>
  <si>
    <t>M/s. Tharwani Realtors</t>
  </si>
  <si>
    <t>Approved Plans, CC, Sale Plans.</t>
  </si>
  <si>
    <t>Proposed Panvel Hwy</t>
  </si>
  <si>
    <t>Belavali</t>
  </si>
  <si>
    <t>Thane</t>
  </si>
  <si>
    <t>Ambarnath</t>
  </si>
  <si>
    <t>Kartik Residency</t>
  </si>
  <si>
    <t>KBNP/NRV/BD/6989-59/2019-20</t>
  </si>
  <si>
    <t>KBNP/NRV/BP/5319-57</t>
  </si>
  <si>
    <t>KBNP/BP/2021-2022/5319/Unique No. 57</t>
  </si>
  <si>
    <t>A1 Wing = G/St + 1st to 12th Floor</t>
  </si>
  <si>
    <t>B1 Wing = G/St + 1st to 14th Floor</t>
  </si>
  <si>
    <t>We considered Gross carpet area = Net carpet + Balcony + ORA Projection Area.</t>
  </si>
  <si>
    <t>KBNP./B.P/2019-2020/6989/59</t>
  </si>
  <si>
    <t xml:space="preserve">Valid Up to:  A1 Wing = G + 12th Floor
</t>
  </si>
  <si>
    <t>We have updated approved plans &amp; CC of Wing B1 &amp; C1 (on 30/12/2021).</t>
  </si>
  <si>
    <t>Plot No</t>
  </si>
  <si>
    <t>Other Plot</t>
  </si>
  <si>
    <t>S. No. 63</t>
  </si>
  <si>
    <t>30.00 M. Wide DP Road</t>
  </si>
  <si>
    <t>Latitude, Longitude</t>
  </si>
  <si>
    <t>Location Link</t>
  </si>
  <si>
    <t>19.175145,73.223507</t>
  </si>
  <si>
    <t>https://maps.app.goo.gl/2NpXjUnkzfnemSam6</t>
  </si>
  <si>
    <t>03 Buildings</t>
  </si>
  <si>
    <t>Kulgoan Badlapur Municipal Council</t>
  </si>
  <si>
    <t>C1 Wing = G/St + 1st to 14th Floor</t>
  </si>
  <si>
    <t>As per rera</t>
  </si>
  <si>
    <t>https://tharwanirealty.com/ongoing-residential/tharwani-millennium-city</t>
  </si>
  <si>
    <t>Decorative Entrance Lobby, Gymnasium, Kids Play Area, Swimming Pool, Squash Court, Indoor Games, etc.</t>
  </si>
  <si>
    <t>Tharwani Millennium City Phase I, II &amp; III</t>
  </si>
  <si>
    <t>Provided Contact Details (Name &amp; Contact No.)</t>
  </si>
  <si>
    <t>Site Person - Contact Details (Name &amp; Contact No.)</t>
  </si>
  <si>
    <t>Layout :</t>
  </si>
  <si>
    <t>2.10Km from Badlapur Railway Station</t>
  </si>
  <si>
    <t>Badlapur East</t>
  </si>
  <si>
    <t xml:space="preserve"> Wing A1 (Allura) </t>
  </si>
  <si>
    <t>PLOT 2</t>
  </si>
  <si>
    <t>Wing B1 (Blissta)</t>
  </si>
  <si>
    <t>Wing C1 (Celestia)</t>
  </si>
  <si>
    <t>1 &amp; 2, S. No. 63/1/1/2A(p), 63/1/1/2B, 63/1/3, 63/1/4, 64/1, 64/2, 64/3, 64/4(p)</t>
  </si>
  <si>
    <t>Open Plot/Road</t>
  </si>
  <si>
    <t>Open Plot</t>
  </si>
  <si>
    <t>Office No. 1031, Wing J, Akshar Business Park, Plot No. 03 Sector 25, Near APMC Market,
Vashi, Navi Mumbai, Maharashtra 400703 TEL: 022-46090378/79/8
E mail : vsjcapf@gmail.com. Web site : www.vsjadon.com</t>
  </si>
  <si>
    <t>Miss.Payal : 7770019388</t>
  </si>
  <si>
    <t>We have updated OC for Wing A1 from Rera (On 17/06/2024).</t>
  </si>
  <si>
    <t>Rate 4500  for case 211 blista   by Rushikesh verbal   On 05/09/2024</t>
  </si>
  <si>
    <t>Sudhir Bhosale</t>
  </si>
  <si>
    <t>Phase I = Wing A1 (Allura) = P51700023974
Phase II = Wing B1 (Blissta) = P51700023782
Phase III = Wing C1 (Celestia) = P51700023784</t>
  </si>
  <si>
    <t xml:space="preserve">PLOT 2
Phase I = Wing A1 (Allura)
Phase II = Wing B1 (Blissta)
Phase III = Wing C1 (Celestia)
</t>
  </si>
  <si>
    <t>60 Years After Completion</t>
  </si>
  <si>
    <t>KBNP/NRV/BD/432-171</t>
  </si>
  <si>
    <t xml:space="preserve">Ground Floor for Meter Room, drivers Room &amp; Parking </t>
  </si>
  <si>
    <t>We have updated latest approved floor plans &amp; CC for Wing C1 (On 06/11/2024).</t>
  </si>
  <si>
    <t>Flats - 449, Shops - 16</t>
  </si>
  <si>
    <t>Valid Up to: C1 Wing = G/St + 1st to 14th Floor</t>
  </si>
  <si>
    <t>Valid Up to:  B1 Wing = G/St + 1st to 14th Floor
                    C1 Wing = G/St + 1st to 7th Floor</t>
  </si>
  <si>
    <t xml:space="preserve">Commencement Certificate No.
</t>
  </si>
  <si>
    <t>Wing B1</t>
  </si>
  <si>
    <t>Wing C1</t>
  </si>
  <si>
    <t>Wing A1</t>
  </si>
  <si>
    <t>KBNP/NRV/367/2022-2023
Wing A1 = G/St + 1st to 12th Floor (Shops = 16 Nos. &amp; Flats = 117 Nos.)</t>
  </si>
  <si>
    <t xml:space="preserve">O. Certificate No.: 
Approved upto : </t>
  </si>
  <si>
    <t xml:space="preserve">Approved Floor plan No. </t>
  </si>
  <si>
    <t xml:space="preserve">Layout Approval No 
     </t>
  </si>
  <si>
    <t xml:space="preserve">Layout Approval No 
</t>
  </si>
  <si>
    <t>KBNP/BP/2022-2023/432/Unique No.171</t>
  </si>
  <si>
    <t>A1 Wing = G/St + 1st to 12th Floor
B1 &amp; C1 Wing = G/St + 1st to 14th Floor
C1 Wing = G/St + 1st to 14th Floor</t>
  </si>
  <si>
    <t xml:space="preserve"> 4500 to 4800 rate 2.5 lacs development charges and 3 lacs car park</t>
  </si>
  <si>
    <t>Recommended Rates of the Property have been revised on 05/09/2024 &amp; 27/11/2024.</t>
  </si>
  <si>
    <t>As per RERA, completion period of project Tharwani Millennium City Phase II is expired on 30/12/2024 but still project is under construction.</t>
  </si>
  <si>
    <t>As per RERA - A1 Wing = Completed
                         B1 Wing = 29/06/2025
                         C1 Wing = 30/12/2026</t>
  </si>
  <si>
    <t>A1 Wing = All work Completed. OC Received.
B1 &amp; C1 Wing = Construction work is in process. (Internal visit not allowed only for C1 Wing).</t>
  </si>
  <si>
    <t>Pooja</t>
  </si>
  <si>
    <t>As per RERA, completion period of project Tharwani Millennium City Phase II is expired on 29/06/2025 but still project is under construction.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</si>
</sst>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13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Border="1" applyAlignment="1" applyProtection="1">
      <alignment horizont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0" xfId="0" applyNumberFormat="1" applyFont="1" applyBorder="1" applyProtection="1">
      <protection hidden="1"/>
    </xf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0" fillId="0" borderId="0" xfId="0" applyNumberFormat="1" applyFont="1" applyAlignment="1">
      <alignment horizontal="center"/>
    </xf>
    <xf numFmtId="9" fontId="0" fillId="0" borderId="0" xfId="0" applyNumberFormat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Border="1" applyAlignment="1" applyProtection="1">
      <alignment horizontal="center" wrapText="1"/>
      <protection locked="0"/>
    </xf>
    <xf numFmtId="0" fontId="18" fillId="0" borderId="0" xfId="0" applyFont="1" applyFill="1" applyBorder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8" fillId="0" borderId="0" xfId="1" applyNumberFormat="1" applyFont="1"/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NumberFormat="1" applyFont="1" applyBorder="1" applyProtection="1">
      <protection hidden="1"/>
    </xf>
    <xf numFmtId="0" fontId="8" fillId="0" borderId="11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16" fillId="0" borderId="1" xfId="1" applyFont="1" applyFill="1" applyBorder="1" applyAlignment="1" applyProtection="1">
      <alignment horizontal="center" vertical="top"/>
      <protection locked="0"/>
    </xf>
    <xf numFmtId="0" fontId="0" fillId="0" borderId="0" xfId="0" applyBorder="1"/>
    <xf numFmtId="0" fontId="18" fillId="0" borderId="14" xfId="0" applyFont="1" applyFill="1" applyBorder="1" applyProtection="1">
      <protection hidden="1"/>
    </xf>
    <xf numFmtId="2" fontId="0" fillId="0" borderId="0" xfId="0" applyNumberFormat="1"/>
    <xf numFmtId="2" fontId="0" fillId="0" borderId="0" xfId="0" applyNumberFormat="1" applyBorder="1"/>
    <xf numFmtId="2" fontId="18" fillId="0" borderId="0" xfId="0" applyNumberFormat="1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164" fontId="0" fillId="0" borderId="0" xfId="0" applyNumberFormat="1"/>
    <xf numFmtId="0" fontId="13" fillId="0" borderId="4" xfId="1" applyFont="1" applyFill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9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9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0" xfId="1" applyFont="1" applyBorder="1" applyProtection="1">
      <protection hidden="1"/>
    </xf>
    <xf numFmtId="0" fontId="8" fillId="0" borderId="0" xfId="1" applyFont="1" applyBorder="1"/>
    <xf numFmtId="0" fontId="18" fillId="0" borderId="0" xfId="0" applyNumberFormat="1" applyFont="1" applyBorder="1" applyProtection="1">
      <protection hidden="1"/>
    </xf>
    <xf numFmtId="1" fontId="0" fillId="0" borderId="0" xfId="0" applyNumberFormat="1" applyBorder="1"/>
    <xf numFmtId="1" fontId="0" fillId="0" borderId="0" xfId="0" applyNumberFormat="1" applyBorder="1" applyAlignment="1">
      <alignment horizontal="right"/>
    </xf>
    <xf numFmtId="0" fontId="16" fillId="0" borderId="9" xfId="1" applyFont="1" applyFill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top"/>
      <protection locked="0"/>
    </xf>
    <xf numFmtId="0" fontId="24" fillId="0" borderId="0" xfId="1" applyFont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1" applyNumberFormat="1" applyFont="1" applyBorder="1" applyAlignment="1"/>
    <xf numFmtId="0" fontId="25" fillId="0" borderId="0" xfId="9"/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1" fontId="14" fillId="0" borderId="24" xfId="0" applyNumberFormat="1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 applyProtection="1">
      <alignment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 applyProtection="1">
      <alignment horizontal="center" vertical="top" wrapText="1"/>
      <protection locked="0"/>
    </xf>
    <xf numFmtId="0" fontId="14" fillId="4" borderId="24" xfId="1" applyFont="1" applyFill="1" applyBorder="1" applyAlignment="1" applyProtection="1">
      <alignment horizontal="center" vertical="top" wrapText="1"/>
      <protection locked="0"/>
    </xf>
    <xf numFmtId="0" fontId="14" fillId="4" borderId="10" xfId="1" applyFont="1" applyFill="1" applyBorder="1" applyAlignment="1" applyProtection="1">
      <alignment horizontal="center" vertical="top" wrapText="1"/>
      <protection locked="0"/>
    </xf>
    <xf numFmtId="0" fontId="14" fillId="5" borderId="9" xfId="1" applyFont="1" applyFill="1" applyBorder="1" applyAlignment="1" applyProtection="1">
      <alignment horizontal="center" vertical="top" wrapText="1"/>
      <protection locked="0"/>
    </xf>
    <xf numFmtId="0" fontId="14" fillId="5" borderId="24" xfId="1" applyFont="1" applyFill="1" applyBorder="1" applyAlignment="1" applyProtection="1">
      <alignment horizontal="center" vertical="top" wrapText="1"/>
      <protection locked="0"/>
    </xf>
    <xf numFmtId="0" fontId="14" fillId="5" borderId="10" xfId="1" applyFont="1" applyFill="1" applyBorder="1" applyAlignment="1" applyProtection="1">
      <alignment horizontal="center" vertical="top" wrapText="1"/>
      <protection locked="0"/>
    </xf>
    <xf numFmtId="0" fontId="14" fillId="6" borderId="9" xfId="1" applyFont="1" applyFill="1" applyBorder="1" applyAlignment="1" applyProtection="1">
      <alignment horizontal="center" vertical="top" wrapText="1"/>
      <protection locked="0"/>
    </xf>
    <xf numFmtId="0" fontId="14" fillId="6" borderId="24" xfId="1" applyFont="1" applyFill="1" applyBorder="1" applyAlignment="1" applyProtection="1">
      <alignment horizontal="center" vertical="top" wrapText="1"/>
      <protection locked="0"/>
    </xf>
    <xf numFmtId="0" fontId="14" fillId="6" borderId="10" xfId="1" applyFont="1" applyFill="1" applyBorder="1" applyAlignment="1" applyProtection="1">
      <alignment horizontal="center" vertical="top" wrapText="1"/>
      <protection locked="0"/>
    </xf>
    <xf numFmtId="1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>
      <alignment horizontal="center" vertical="center" wrapText="1"/>
    </xf>
    <xf numFmtId="1" fontId="7" fillId="0" borderId="24" xfId="1" applyNumberFormat="1" applyFont="1" applyFill="1" applyBorder="1" applyAlignment="1">
      <alignment horizontal="center" vertical="center" wrapText="1"/>
    </xf>
    <xf numFmtId="1" fontId="7" fillId="0" borderId="10" xfId="1" applyNumberFormat="1" applyFont="1" applyFill="1" applyBorder="1" applyAlignment="1">
      <alignment horizontal="center" vertical="center" wrapText="1"/>
    </xf>
    <xf numFmtId="1" fontId="7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3" fontId="13" fillId="2" borderId="1" xfId="1" applyNumberFormat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7" xfId="1" applyFont="1" applyFill="1" applyBorder="1" applyAlignment="1" applyProtection="1">
      <alignment horizontal="center" vertical="top" wrapText="1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5" xfId="1" applyFont="1" applyFill="1" applyBorder="1" applyAlignment="1" applyProtection="1">
      <alignment horizontal="left" vertical="top" wrapText="1"/>
      <protection locked="0"/>
    </xf>
    <xf numFmtId="0" fontId="14" fillId="0" borderId="25" xfId="1" applyFont="1" applyFill="1" applyBorder="1" applyAlignment="1" applyProtection="1">
      <alignment horizontal="left" vertical="top" wrapText="1"/>
      <protection locked="0"/>
    </xf>
    <xf numFmtId="0" fontId="14" fillId="0" borderId="18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" xfId="1" applyNumberFormat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Fill="1" applyBorder="1" applyAlignment="1" applyProtection="1">
      <alignment horizontal="center" vertical="top" wrapText="1"/>
      <protection locked="0"/>
    </xf>
    <xf numFmtId="1" fontId="9" fillId="0" borderId="22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26" fillId="0" borderId="9" xfId="9" applyFont="1" applyBorder="1" applyAlignment="1" applyProtection="1">
      <alignment horizontal="left"/>
      <protection locked="0"/>
    </xf>
    <xf numFmtId="0" fontId="1" fillId="0" borderId="24" xfId="1" applyFont="1" applyBorder="1" applyAlignment="1" applyProtection="1">
      <alignment horizontal="left"/>
      <protection locked="0"/>
    </xf>
    <xf numFmtId="0" fontId="1" fillId="0" borderId="10" xfId="1" applyFont="1" applyBorder="1" applyAlignment="1" applyProtection="1">
      <alignment horizontal="left"/>
      <protection locked="0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27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164" fontId="7" fillId="0" borderId="1" xfId="1" applyNumberFormat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4" fillId="0" borderId="9" xfId="1" applyFont="1" applyFill="1" applyBorder="1" applyAlignment="1" applyProtection="1">
      <alignment horizontal="left" vertical="top" wrapText="1"/>
      <protection locked="0"/>
    </xf>
    <xf numFmtId="0" fontId="14" fillId="0" borderId="24" xfId="1" applyFont="1" applyFill="1" applyBorder="1" applyAlignment="1" applyProtection="1">
      <alignment horizontal="left" vertical="top"/>
      <protection locked="0"/>
    </xf>
    <xf numFmtId="0" fontId="14" fillId="0" borderId="10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>
      <alignment horizontal="left" vertical="top" wrapText="1"/>
    </xf>
    <xf numFmtId="0" fontId="7" fillId="0" borderId="10" xfId="1" applyFont="1" applyFill="1" applyBorder="1" applyAlignment="1">
      <alignment horizontal="left" vertical="top" wrapText="1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38" xfId="1" applyFont="1" applyFill="1" applyBorder="1" applyAlignment="1" applyProtection="1">
      <alignment horizontal="center" vertical="top" wrapText="1"/>
      <protection locked="0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14" fillId="0" borderId="40" xfId="1" applyFont="1" applyFill="1" applyBorder="1" applyAlignment="1" applyProtection="1">
      <alignment horizontal="center" vertical="center"/>
      <protection locked="0"/>
    </xf>
    <xf numFmtId="0" fontId="14" fillId="0" borderId="41" xfId="1" applyFont="1" applyFill="1" applyBorder="1" applyAlignment="1" applyProtection="1">
      <alignment horizontal="center" vertical="center"/>
      <protection locked="0"/>
    </xf>
    <xf numFmtId="9" fontId="14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3" xfId="1" applyFont="1" applyFill="1" applyBorder="1" applyAlignment="1" applyProtection="1">
      <alignment horizontal="center" vertical="center" wrapText="1"/>
      <protection locked="0"/>
    </xf>
    <xf numFmtId="0" fontId="14" fillId="0" borderId="42" xfId="1" applyFont="1" applyFill="1" applyBorder="1" applyAlignment="1" applyProtection="1">
      <alignment horizontal="center" vertical="center" wrapText="1"/>
      <protection locked="0"/>
    </xf>
    <xf numFmtId="0" fontId="14" fillId="0" borderId="4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4" fillId="0" borderId="3" xfId="1" applyFont="1" applyFill="1" applyBorder="1" applyAlignment="1" applyProtection="1">
      <alignment horizontal="left" vertical="top" wrapText="1"/>
      <protection locked="0"/>
    </xf>
    <xf numFmtId="0" fontId="14" fillId="0" borderId="37" xfId="1" applyFont="1" applyFill="1" applyBorder="1" applyAlignment="1" applyProtection="1">
      <alignment horizontal="left" vertical="top" wrapText="1"/>
      <protection locked="0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19" xfId="1" applyNumberFormat="1" applyFont="1" applyFill="1" applyBorder="1" applyAlignment="1" applyProtection="1">
      <alignment horizontal="center" vertical="top" wrapText="1"/>
      <protection locked="0"/>
    </xf>
    <xf numFmtId="1" fontId="9" fillId="0" borderId="21" xfId="1" applyNumberFormat="1" applyFont="1" applyFill="1" applyBorder="1" applyAlignment="1" applyProtection="1">
      <alignment horizontal="center" vertical="top" wrapText="1"/>
      <protection locked="0"/>
    </xf>
    <xf numFmtId="1" fontId="9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vertical="top"/>
      <protection locked="0"/>
    </xf>
    <xf numFmtId="167" fontId="14" fillId="0" borderId="1" xfId="1" applyNumberFormat="1" applyFont="1" applyFill="1" applyBorder="1" applyAlignment="1" applyProtection="1">
      <alignment horizontal="left" vertical="top" wrapText="1"/>
      <protection locked="0"/>
    </xf>
    <xf numFmtId="2" fontId="13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4" fillId="0" borderId="16" xfId="1" applyFont="1" applyFill="1" applyBorder="1" applyAlignment="1" applyProtection="1">
      <alignment horizontal="left" vertical="top" wrapText="1"/>
      <protection locked="0"/>
    </xf>
    <xf numFmtId="0" fontId="14" fillId="0" borderId="17" xfId="1" applyFont="1" applyFill="1" applyBorder="1" applyAlignment="1" applyProtection="1">
      <alignment horizontal="left" vertical="top" wrapText="1"/>
      <protection locked="0"/>
    </xf>
    <xf numFmtId="0" fontId="14" fillId="0" borderId="26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1" fontId="27" fillId="0" borderId="9" xfId="0" applyNumberFormat="1" applyFont="1" applyFill="1" applyBorder="1" applyAlignment="1" applyProtection="1">
      <alignment vertical="top" wrapText="1"/>
      <protection locked="0"/>
    </xf>
    <xf numFmtId="1" fontId="27" fillId="0" borderId="24" xfId="0" applyNumberFormat="1" applyFont="1" applyFill="1" applyBorder="1" applyAlignment="1" applyProtection="1">
      <alignment vertical="top" wrapText="1"/>
      <protection locked="0"/>
    </xf>
    <xf numFmtId="1" fontId="27" fillId="0" borderId="10" xfId="0" applyNumberFormat="1" applyFont="1" applyFill="1" applyBorder="1" applyAlignment="1" applyProtection="1">
      <alignment vertical="top" wrapText="1"/>
      <protection locked="0"/>
    </xf>
    <xf numFmtId="0" fontId="13" fillId="0" borderId="39" xfId="1" applyFont="1" applyFill="1" applyBorder="1" applyAlignment="1" applyProtection="1">
      <alignment horizontal="center" vertical="top" wrapText="1"/>
      <protection locked="0"/>
    </xf>
    <xf numFmtId="0" fontId="14" fillId="0" borderId="36" xfId="1" applyFont="1" applyFill="1" applyBorder="1" applyAlignment="1" applyProtection="1">
      <alignment horizontal="left" vertical="top"/>
      <protection locked="0"/>
    </xf>
    <xf numFmtId="0" fontId="14" fillId="0" borderId="3" xfId="1" applyFont="1" applyFill="1" applyBorder="1" applyAlignment="1" applyProtection="1">
      <alignment horizontal="left" vertical="top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9" fillId="0" borderId="25" xfId="1" applyFont="1" applyFill="1" applyBorder="1" applyAlignment="1" applyProtection="1">
      <alignment horizontal="center" vertical="top" wrapText="1"/>
      <protection locked="0"/>
    </xf>
    <xf numFmtId="0" fontId="9" fillId="0" borderId="17" xfId="1" applyFont="1" applyFill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34" xfId="1" applyFont="1" applyFill="1" applyBorder="1" applyAlignment="1" applyProtection="1">
      <alignment horizontal="center" vertical="top" wrapText="1"/>
      <protection locked="0"/>
    </xf>
    <xf numFmtId="0" fontId="0" fillId="3" borderId="0" xfId="0" applyFill="1" applyAlignment="1">
      <alignment horizontal="center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8" fillId="0" borderId="33" xfId="1" applyFont="1" applyBorder="1" applyAlignment="1" applyProtection="1">
      <alignment horizontal="center" vertical="top" wrapText="1"/>
      <protection locked="0"/>
    </xf>
    <xf numFmtId="0" fontId="8" fillId="0" borderId="24" xfId="1" applyFont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9" fillId="0" borderId="25" xfId="1" applyFont="1" applyFill="1" applyBorder="1" applyAlignment="1" applyProtection="1">
      <alignment horizontal="left" vertical="top" wrapText="1"/>
      <protection locked="0"/>
    </xf>
    <xf numFmtId="0" fontId="9" fillId="0" borderId="18" xfId="1" applyFont="1" applyFill="1" applyBorder="1" applyAlignment="1" applyProtection="1">
      <alignment horizontal="left" vertical="top" wrapText="1"/>
      <protection locked="0"/>
    </xf>
    <xf numFmtId="0" fontId="9" fillId="0" borderId="16" xfId="1" applyFont="1" applyFill="1" applyBorder="1" applyAlignment="1" applyProtection="1">
      <alignment horizontal="left" vertical="top" wrapText="1"/>
      <protection locked="0"/>
    </xf>
    <xf numFmtId="0" fontId="9" fillId="0" borderId="17" xfId="1" applyFont="1" applyFill="1" applyBorder="1" applyAlignment="1" applyProtection="1">
      <alignment horizontal="left" vertical="top" wrapText="1"/>
      <protection locked="0"/>
    </xf>
    <xf numFmtId="0" fontId="9" fillId="0" borderId="26" xfId="1" applyFont="1" applyFill="1" applyBorder="1" applyAlignment="1" applyProtection="1">
      <alignment horizontal="left" vertical="top" wrapText="1"/>
      <protection locked="0"/>
    </xf>
    <xf numFmtId="9" fontId="8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3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0" xfId="1" applyFont="1" applyFill="1" applyBorder="1" applyAlignment="1" applyProtection="1">
      <alignment horizontal="center" vertical="top" wrapText="1"/>
      <protection locked="0"/>
    </xf>
    <xf numFmtId="0" fontId="8" fillId="0" borderId="30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9" fontId="8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9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4" xfId="1" applyFont="1" applyFill="1" applyBorder="1" applyAlignment="1" applyProtection="1">
      <alignment horizontal="left" vertical="top" wrapText="1"/>
      <protection locked="0"/>
    </xf>
    <xf numFmtId="0" fontId="14" fillId="0" borderId="30" xfId="1" applyFont="1" applyFill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  <xf numFmtId="1" fontId="14" fillId="0" borderId="1" xfId="0" applyNumberFormat="1" applyFont="1" applyFill="1" applyBorder="1" applyAlignment="1" applyProtection="1">
      <alignment vertical="top" wrapText="1"/>
      <protection locked="0"/>
    </xf>
    <xf numFmtId="1" fontId="9" fillId="0" borderId="1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136168</xdr:colOff>
      <xdr:row>369</xdr:row>
      <xdr:rowOff>52203</xdr:rowOff>
    </xdr:from>
    <xdr:to>
      <xdr:col>5</xdr:col>
      <xdr:colOff>679706</xdr:colOff>
      <xdr:row>385</xdr:row>
      <xdr:rowOff>101601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4468" y="73502653"/>
          <a:ext cx="3242288" cy="31989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168088</xdr:colOff>
      <xdr:row>347</xdr:row>
      <xdr:rowOff>22412</xdr:rowOff>
    </xdr:from>
    <xdr:to>
      <xdr:col>7</xdr:col>
      <xdr:colOff>704946</xdr:colOff>
      <xdr:row>368</xdr:row>
      <xdr:rowOff>117794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68088" y="70742362"/>
          <a:ext cx="6474108" cy="4222882"/>
          <a:chOff x="191524" y="252000"/>
          <a:chExt cx="6666476" cy="4320000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364762" y="-921238"/>
            <a:ext cx="4320000" cy="66664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 rot="21102406">
            <a:off x="1234757" y="1802835"/>
            <a:ext cx="1500489" cy="8858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 rot="21102406">
            <a:off x="2745940" y="1564710"/>
            <a:ext cx="1500489" cy="8858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 rot="17209063">
            <a:off x="4199519" y="972055"/>
            <a:ext cx="1250248" cy="8858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3" name="TextBox 6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4436899" y="319101"/>
            <a:ext cx="99257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A1</a:t>
            </a:r>
          </a:p>
        </xdr:txBody>
      </xdr:sp>
      <xdr:sp macro="" textlink="">
        <xdr:nvSpPr>
          <xdr:cNvPr id="54" name="TextBox 7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075417" y="1414967"/>
            <a:ext cx="97494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C1</a:t>
            </a:r>
          </a:p>
        </xdr:txBody>
      </xdr:sp>
      <xdr:sp macro="" textlink="">
        <xdr:nvSpPr>
          <xdr:cNvPr id="55" name="Text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3004702" y="2603894"/>
            <a:ext cx="9829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B1</a:t>
            </a:r>
          </a:p>
        </xdr:txBody>
      </xdr:sp>
    </xdr:grpSp>
    <xdr:clientData/>
  </xdr:twoCellAnchor>
  <xdr:twoCellAnchor editAs="oneCell">
    <xdr:from>
      <xdr:col>0</xdr:col>
      <xdr:colOff>437029</xdr:colOff>
      <xdr:row>389</xdr:row>
      <xdr:rowOff>44823</xdr:rowOff>
    </xdr:from>
    <xdr:to>
      <xdr:col>7</xdr:col>
      <xdr:colOff>455986</xdr:colOff>
      <xdr:row>410</xdr:row>
      <xdr:rowOff>33569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7029" y="78889411"/>
          <a:ext cx="6120000" cy="42245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249000</xdr:colOff>
      <xdr:row>410</xdr:row>
      <xdr:rowOff>191219</xdr:rowOff>
    </xdr:from>
    <xdr:to>
      <xdr:col>6</xdr:col>
      <xdr:colOff>637853</xdr:colOff>
      <xdr:row>427</xdr:row>
      <xdr:rowOff>2219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1017350" y="83306369"/>
          <a:ext cx="4744953" cy="3157450"/>
          <a:chOff x="1044068" y="4572001"/>
          <a:chExt cx="4860000" cy="3240000"/>
        </a:xfrm>
      </xdr:grpSpPr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4068" y="4572001"/>
            <a:ext cx="486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20865860">
            <a:off x="1865499" y="5684627"/>
            <a:ext cx="2430742" cy="849846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oneCellAnchor>
    <xdr:from>
      <xdr:col>10</xdr:col>
      <xdr:colOff>234237</xdr:colOff>
      <xdr:row>304</xdr:row>
      <xdr:rowOff>133350</xdr:rowOff>
    </xdr:from>
    <xdr:ext cx="337785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95637" y="61810900"/>
          <a:ext cx="3377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A1</a:t>
          </a:r>
        </a:p>
      </xdr:txBody>
    </xdr:sp>
    <xdr:clientData/>
  </xdr:oneCellAnchor>
  <xdr:twoCellAnchor editAs="oneCell">
    <xdr:from>
      <xdr:col>9</xdr:col>
      <xdr:colOff>0</xdr:colOff>
      <xdr:row>56</xdr:row>
      <xdr:rowOff>0</xdr:rowOff>
    </xdr:from>
    <xdr:to>
      <xdr:col>16</xdr:col>
      <xdr:colOff>501200</xdr:colOff>
      <xdr:row>67</xdr:row>
      <xdr:rowOff>194300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4500" y="13893800"/>
          <a:ext cx="3600000" cy="2585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984250</xdr:colOff>
      <xdr:row>302</xdr:row>
      <xdr:rowOff>85725</xdr:rowOff>
    </xdr:from>
    <xdr:to>
      <xdr:col>20</xdr:col>
      <xdr:colOff>512236</xdr:colOff>
      <xdr:row>336</xdr:row>
      <xdr:rowOff>143701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26350" y="61953775"/>
          <a:ext cx="6411386" cy="6744526"/>
          <a:chOff x="120650" y="61150500"/>
          <a:chExt cx="6366936" cy="6744526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6118" y="6344276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0435" y="65735026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228" y="6115050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696" y="61150500"/>
            <a:ext cx="281347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3141" y="65735026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4892" y="6115050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6344276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1586" y="63442763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11</xdr:col>
      <xdr:colOff>28575</xdr:colOff>
      <xdr:row>314</xdr:row>
      <xdr:rowOff>22225</xdr:rowOff>
    </xdr:from>
    <xdr:ext cx="337785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991600" y="64897000"/>
          <a:ext cx="3377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A1</a:t>
          </a:r>
        </a:p>
      </xdr:txBody>
    </xdr:sp>
    <xdr:clientData/>
  </xdr:oneCellAnchor>
  <xdr:oneCellAnchor>
    <xdr:from>
      <xdr:col>8</xdr:col>
      <xdr:colOff>1022350</xdr:colOff>
      <xdr:row>302</xdr:row>
      <xdr:rowOff>92075</xdr:rowOff>
    </xdr:from>
    <xdr:ext cx="337785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356475" y="62576075"/>
          <a:ext cx="3377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</a:t>
          </a:r>
        </a:p>
      </xdr:txBody>
    </xdr:sp>
    <xdr:clientData/>
  </xdr:oneCellAnchor>
  <xdr:oneCellAnchor>
    <xdr:from>
      <xdr:col>11</xdr:col>
      <xdr:colOff>66675</xdr:colOff>
      <xdr:row>302</xdr:row>
      <xdr:rowOff>85725</xdr:rowOff>
    </xdr:from>
    <xdr:ext cx="337785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029700" y="62569725"/>
          <a:ext cx="3377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</a:t>
          </a:r>
        </a:p>
      </xdr:txBody>
    </xdr:sp>
    <xdr:clientData/>
  </xdr:oneCellAnchor>
  <xdr:oneCellAnchor>
    <xdr:from>
      <xdr:col>10</xdr:col>
      <xdr:colOff>0</xdr:colOff>
      <xdr:row>299</xdr:row>
      <xdr:rowOff>0</xdr:rowOff>
    </xdr:from>
    <xdr:ext cx="663067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661400" y="60871100"/>
          <a:ext cx="663067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Phase III</a:t>
          </a:r>
        </a:p>
      </xdr:txBody>
    </xdr:sp>
    <xdr:clientData/>
  </xdr:oneCellAnchor>
  <xdr:twoCellAnchor>
    <xdr:from>
      <xdr:col>0</xdr:col>
      <xdr:colOff>114300</xdr:colOff>
      <xdr:row>302</xdr:row>
      <xdr:rowOff>63500</xdr:rowOff>
    </xdr:from>
    <xdr:to>
      <xdr:col>7</xdr:col>
      <xdr:colOff>595634</xdr:colOff>
      <xdr:row>343</xdr:row>
      <xdr:rowOff>139404</xdr:rowOff>
    </xdr:to>
    <xdr:grpSp>
      <xdr:nvGrpSpPr>
        <xdr:cNvPr id="3" name="Group 2"/>
        <xdr:cNvGrpSpPr/>
      </xdr:nvGrpSpPr>
      <xdr:grpSpPr>
        <a:xfrm>
          <a:off x="114300" y="61931550"/>
          <a:ext cx="6424934" cy="8140404"/>
          <a:chOff x="114300" y="61525150"/>
          <a:chExt cx="6424934" cy="8140404"/>
        </a:xfrm>
      </xdr:grpSpPr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0309" y="68579371"/>
            <a:ext cx="1432693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64356557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9812" y="68585554"/>
            <a:ext cx="808875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7714" y="66467964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615251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1510" y="615251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7905" y="615251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5578" y="66467964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7714" y="64356557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66467964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5578" y="64356557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9939" y="64356557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9939" y="66467964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5014910" y="61728350"/>
            <a:ext cx="663067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Phase III</a:t>
            </a:r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3612355" y="61582300"/>
            <a:ext cx="62754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Phase II</a:t>
            </a: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685800" y="61995050"/>
            <a:ext cx="62754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Phase II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harwanirealty.com/ongoing-residential/tharwani-millennium-city" TargetMode="External"/><Relationship Id="rId1" Type="http://schemas.openxmlformats.org/officeDocument/2006/relationships/hyperlink" Target="https://maps.app.goo.gl/2NpXjUnkzfnemSam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88"/>
  <sheetViews>
    <sheetView tabSelected="1" view="pageBreakPreview" topLeftCell="A265" zoomScaleNormal="100" zoomScaleSheetLayoutView="100" zoomScalePageLayoutView="85" workbookViewId="0">
      <selection activeCell="A293" sqref="A293:H293"/>
    </sheetView>
  </sheetViews>
  <sheetFormatPr defaultColWidth="9.1796875" defaultRowHeight="15.5" x14ac:dyDescent="0.35"/>
  <cols>
    <col min="1" max="1" width="11" style="13" customWidth="1"/>
    <col min="2" max="2" width="12" style="13" customWidth="1"/>
    <col min="3" max="3" width="12.7265625" style="13" customWidth="1"/>
    <col min="4" max="4" width="14.1796875" style="13" customWidth="1"/>
    <col min="5" max="7" width="11.7265625" style="13" customWidth="1"/>
    <col min="8" max="8" width="10" style="13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230" t="s">
        <v>227</v>
      </c>
      <c r="B1" s="230"/>
      <c r="C1" s="230"/>
      <c r="D1" s="230"/>
      <c r="E1" s="230"/>
      <c r="F1" s="230"/>
      <c r="G1" s="230"/>
      <c r="H1" s="230"/>
    </row>
    <row r="2" spans="1:8" ht="16.5" customHeight="1" x14ac:dyDescent="0.35">
      <c r="A2" s="231" t="s">
        <v>0</v>
      </c>
      <c r="B2" s="231"/>
      <c r="C2" s="231"/>
      <c r="D2" s="231"/>
      <c r="E2" s="231"/>
      <c r="F2" s="231"/>
      <c r="G2" s="231"/>
      <c r="H2" s="231"/>
    </row>
    <row r="3" spans="1:8" x14ac:dyDescent="0.35">
      <c r="A3" s="226" t="s">
        <v>1</v>
      </c>
      <c r="B3" s="226"/>
      <c r="C3" s="226"/>
      <c r="D3" s="226"/>
      <c r="E3" s="232" t="str">
        <f ca="1">TEXT(TODAY(),"DD/MM/YYYY")</f>
        <v>12/07/2025</v>
      </c>
      <c r="F3" s="232"/>
      <c r="G3" s="232"/>
      <c r="H3" s="232"/>
    </row>
    <row r="4" spans="1:8" ht="15" customHeight="1" x14ac:dyDescent="0.35">
      <c r="A4" s="226" t="s">
        <v>2</v>
      </c>
      <c r="B4" s="226"/>
      <c r="C4" s="226"/>
      <c r="D4" s="226"/>
      <c r="E4" s="221" t="s">
        <v>183</v>
      </c>
      <c r="F4" s="221"/>
      <c r="G4" s="221"/>
      <c r="H4" s="221"/>
    </row>
    <row r="5" spans="1:8" x14ac:dyDescent="0.35">
      <c r="A5" s="226" t="s">
        <v>3</v>
      </c>
      <c r="B5" s="226"/>
      <c r="C5" s="226"/>
      <c r="D5" s="226"/>
      <c r="E5" s="232">
        <v>45847</v>
      </c>
      <c r="F5" s="232"/>
      <c r="G5" s="232"/>
      <c r="H5" s="232"/>
    </row>
    <row r="6" spans="1:8" ht="16.5" customHeight="1" x14ac:dyDescent="0.35">
      <c r="A6" s="226" t="s">
        <v>4</v>
      </c>
      <c r="B6" s="226"/>
      <c r="C6" s="226"/>
      <c r="D6" s="226"/>
      <c r="E6" s="229" t="s">
        <v>184</v>
      </c>
      <c r="F6" s="229"/>
      <c r="G6" s="229"/>
      <c r="H6" s="229"/>
    </row>
    <row r="7" spans="1:8" ht="15" customHeight="1" x14ac:dyDescent="0.35">
      <c r="A7" s="226" t="s">
        <v>5</v>
      </c>
      <c r="B7" s="226"/>
      <c r="C7" s="226"/>
      <c r="D7" s="226"/>
      <c r="E7" s="229" t="str">
        <f>E6</f>
        <v>M/s. Tharwani Realtors</v>
      </c>
      <c r="F7" s="229"/>
      <c r="G7" s="229"/>
      <c r="H7" s="229"/>
    </row>
    <row r="8" spans="1:8" x14ac:dyDescent="0.35">
      <c r="A8" s="226" t="s">
        <v>6</v>
      </c>
      <c r="B8" s="226"/>
      <c r="C8" s="226"/>
      <c r="D8" s="226"/>
      <c r="E8" s="233" t="s">
        <v>214</v>
      </c>
      <c r="F8" s="233"/>
      <c r="G8" s="233"/>
      <c r="H8" s="233"/>
    </row>
    <row r="9" spans="1:8" x14ac:dyDescent="0.35">
      <c r="A9" s="226" t="s">
        <v>215</v>
      </c>
      <c r="B9" s="226"/>
      <c r="C9" s="226"/>
      <c r="D9" s="226"/>
      <c r="E9" s="228">
        <v>9209205666</v>
      </c>
      <c r="F9" s="228"/>
      <c r="G9" s="228"/>
      <c r="H9" s="228"/>
    </row>
    <row r="10" spans="1:8" hidden="1" x14ac:dyDescent="0.35">
      <c r="A10" s="226" t="s">
        <v>216</v>
      </c>
      <c r="B10" s="226"/>
      <c r="C10" s="226"/>
      <c r="D10" s="226"/>
      <c r="E10" s="228" t="s">
        <v>228</v>
      </c>
      <c r="F10" s="228"/>
      <c r="G10" s="228"/>
      <c r="H10" s="228"/>
    </row>
    <row r="11" spans="1:8" ht="65.25" customHeight="1" x14ac:dyDescent="0.35">
      <c r="A11" s="228" t="s">
        <v>7</v>
      </c>
      <c r="B11" s="228"/>
      <c r="C11" s="228"/>
      <c r="D11" s="228"/>
      <c r="E11" s="227" t="s">
        <v>233</v>
      </c>
      <c r="F11" s="228"/>
      <c r="G11" s="228"/>
      <c r="H11" s="228"/>
    </row>
    <row r="12" spans="1:8" x14ac:dyDescent="0.35">
      <c r="A12" s="226" t="s">
        <v>8</v>
      </c>
      <c r="B12" s="226"/>
      <c r="C12" s="226"/>
      <c r="D12" s="226"/>
      <c r="E12" s="227" t="s">
        <v>185</v>
      </c>
      <c r="F12" s="227"/>
      <c r="G12" s="227"/>
      <c r="H12" s="227"/>
    </row>
    <row r="13" spans="1:8" ht="54" customHeight="1" x14ac:dyDescent="0.35">
      <c r="A13" s="226" t="s">
        <v>9</v>
      </c>
      <c r="B13" s="226"/>
      <c r="C13" s="226"/>
      <c r="D13" s="226"/>
      <c r="E13" s="227" t="s">
        <v>232</v>
      </c>
      <c r="F13" s="228"/>
      <c r="G13" s="228"/>
      <c r="H13" s="228"/>
    </row>
    <row r="14" spans="1:8" ht="52.5" customHeight="1" x14ac:dyDescent="0.35">
      <c r="A14" s="229" t="s">
        <v>10</v>
      </c>
      <c r="B14" s="229"/>
      <c r="C14" s="22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Tharwani Millennium City Phase I, II &amp; III, Plot No.1 &amp; 2, S. No. 63/1/1/2A(p), 63/1/1/2B, 63/1/3, 63/1/4, 64/1, 64/2, 64/3, 64/4(p), near Kartik Residency, Proposed Panvel Hwy, Belavali, Badlapur East, Ambarnath, Thane - 421503.</v>
      </c>
      <c r="D14" s="229"/>
      <c r="E14" s="229"/>
      <c r="F14" s="229"/>
      <c r="G14" s="229"/>
      <c r="H14" s="229"/>
    </row>
    <row r="15" spans="1:8" ht="18.75" customHeight="1" x14ac:dyDescent="0.35">
      <c r="A15" s="224" t="s">
        <v>200</v>
      </c>
      <c r="B15" s="225"/>
      <c r="C15" s="125" t="s">
        <v>224</v>
      </c>
      <c r="D15" s="125"/>
      <c r="E15" s="125"/>
      <c r="F15" s="125"/>
      <c r="G15" s="125"/>
      <c r="H15" s="125"/>
    </row>
    <row r="16" spans="1:8" ht="15.75" customHeight="1" x14ac:dyDescent="0.35">
      <c r="A16" s="220" t="s">
        <v>11</v>
      </c>
      <c r="B16" s="220"/>
      <c r="C16" s="167" t="s">
        <v>186</v>
      </c>
      <c r="D16" s="167"/>
      <c r="E16" s="220" t="s">
        <v>76</v>
      </c>
      <c r="F16" s="220"/>
      <c r="G16" s="125" t="s">
        <v>187</v>
      </c>
      <c r="H16" s="125"/>
    </row>
    <row r="17" spans="1:8" x14ac:dyDescent="0.35">
      <c r="A17" s="195" t="s">
        <v>13</v>
      </c>
      <c r="B17" s="195"/>
      <c r="C17" s="125" t="s">
        <v>219</v>
      </c>
      <c r="D17" s="125"/>
      <c r="E17" s="220" t="s">
        <v>12</v>
      </c>
      <c r="F17" s="220"/>
      <c r="G17" s="222" t="s">
        <v>188</v>
      </c>
      <c r="H17" s="222"/>
    </row>
    <row r="18" spans="1:8" x14ac:dyDescent="0.35">
      <c r="A18" s="195" t="s">
        <v>77</v>
      </c>
      <c r="B18" s="195"/>
      <c r="C18" s="125" t="s">
        <v>189</v>
      </c>
      <c r="D18" s="125"/>
      <c r="E18" s="220" t="s">
        <v>14</v>
      </c>
      <c r="F18" s="220"/>
      <c r="G18" s="125">
        <v>421503</v>
      </c>
      <c r="H18" s="125"/>
    </row>
    <row r="19" spans="1:8" ht="32.25" customHeight="1" x14ac:dyDescent="0.35">
      <c r="A19" s="195" t="s">
        <v>133</v>
      </c>
      <c r="B19" s="195"/>
      <c r="C19" s="223" t="s">
        <v>190</v>
      </c>
      <c r="D19" s="223"/>
      <c r="E19" s="220" t="s">
        <v>15</v>
      </c>
      <c r="F19" s="220"/>
      <c r="G19" s="125" t="s">
        <v>218</v>
      </c>
      <c r="H19" s="125"/>
    </row>
    <row r="20" spans="1:8" ht="15" customHeight="1" x14ac:dyDescent="0.35">
      <c r="A20" s="220" t="s">
        <v>81</v>
      </c>
      <c r="B20" s="220"/>
      <c r="C20" s="220"/>
      <c r="D20" s="220"/>
      <c r="E20" s="167" t="s">
        <v>16</v>
      </c>
      <c r="F20" s="167"/>
      <c r="G20" s="167"/>
      <c r="H20" s="167"/>
    </row>
    <row r="21" spans="1:8" ht="18.75" customHeight="1" x14ac:dyDescent="0.35">
      <c r="A21" s="220"/>
      <c r="B21" s="220"/>
      <c r="C21" s="220"/>
      <c r="D21" s="220"/>
      <c r="E21" s="167"/>
      <c r="F21" s="167"/>
      <c r="G21" s="167"/>
      <c r="H21" s="167"/>
    </row>
    <row r="22" spans="1:8" ht="15" customHeight="1" x14ac:dyDescent="0.35">
      <c r="A22" s="220" t="s">
        <v>17</v>
      </c>
      <c r="B22" s="220"/>
      <c r="C22" s="220"/>
      <c r="D22" s="220"/>
      <c r="E22" s="125" t="s">
        <v>18</v>
      </c>
      <c r="F22" s="125"/>
      <c r="G22" s="125"/>
      <c r="H22" s="125"/>
    </row>
    <row r="23" spans="1:8" ht="15" customHeight="1" x14ac:dyDescent="0.35">
      <c r="A23" s="195" t="s">
        <v>19</v>
      </c>
      <c r="B23" s="195"/>
      <c r="C23" s="195"/>
      <c r="D23" s="195"/>
      <c r="E23" s="125" t="str">
        <f>IF(AND(G17="Mumbai"),"Upper Class","Middle Class")</f>
        <v>Middle Class</v>
      </c>
      <c r="F23" s="125"/>
      <c r="G23" s="125"/>
      <c r="H23" s="125"/>
    </row>
    <row r="24" spans="1:8" x14ac:dyDescent="0.35">
      <c r="A24" s="195" t="s">
        <v>20</v>
      </c>
      <c r="B24" s="195"/>
      <c r="C24" s="195"/>
      <c r="D24" s="195"/>
      <c r="E24" s="125" t="s">
        <v>21</v>
      </c>
      <c r="F24" s="125"/>
      <c r="G24" s="125"/>
      <c r="H24" s="125"/>
    </row>
    <row r="25" spans="1:8" ht="15.75" customHeight="1" x14ac:dyDescent="0.35">
      <c r="A25" s="195" t="s">
        <v>22</v>
      </c>
      <c r="B25" s="195"/>
      <c r="C25" s="195"/>
      <c r="D25" s="195"/>
      <c r="E25" s="125" t="str">
        <f>IF(AND(G17="Mumbai"),"Developed","Developing")</f>
        <v>Developing</v>
      </c>
      <c r="F25" s="125"/>
      <c r="G25" s="125"/>
      <c r="H25" s="125"/>
    </row>
    <row r="26" spans="1:8" x14ac:dyDescent="0.35">
      <c r="A26" s="195" t="s">
        <v>23</v>
      </c>
      <c r="B26" s="195"/>
      <c r="C26" s="195"/>
      <c r="D26" s="195"/>
      <c r="E26" s="125" t="s">
        <v>24</v>
      </c>
      <c r="F26" s="125"/>
      <c r="G26" s="125"/>
      <c r="H26" s="125"/>
    </row>
    <row r="27" spans="1:8" x14ac:dyDescent="0.35">
      <c r="A27" s="195" t="s">
        <v>88</v>
      </c>
      <c r="B27" s="195"/>
      <c r="C27" s="195"/>
      <c r="D27" s="195"/>
      <c r="E27" s="125" t="s">
        <v>89</v>
      </c>
      <c r="F27" s="125"/>
      <c r="G27" s="125"/>
      <c r="H27" s="125"/>
    </row>
    <row r="28" spans="1:8" ht="15" customHeight="1" x14ac:dyDescent="0.35">
      <c r="A28" s="220" t="s">
        <v>33</v>
      </c>
      <c r="B28" s="220"/>
      <c r="C28" s="220"/>
      <c r="D28" s="220"/>
      <c r="E28" s="221" t="str">
        <f>IF(ISNUMBER(SEARCH("Shop",D65)),"Residential + Commercial",IF(ISNUMBER(SEARCH("Office",D65)),"Residential + Commercial",IF(SEARCH("Flats",D65),"Residential","")))</f>
        <v>Residential + Commercial</v>
      </c>
      <c r="F28" s="221"/>
      <c r="G28" s="221"/>
      <c r="H28" s="221"/>
    </row>
    <row r="29" spans="1:8" x14ac:dyDescent="0.35">
      <c r="A29" s="220" t="s">
        <v>100</v>
      </c>
      <c r="B29" s="220"/>
      <c r="C29" s="220"/>
      <c r="D29" s="220"/>
      <c r="E29" s="220" t="s">
        <v>34</v>
      </c>
      <c r="F29" s="220"/>
      <c r="G29" s="220"/>
      <c r="H29" s="220"/>
    </row>
    <row r="30" spans="1:8" s="6" customFormat="1" x14ac:dyDescent="0.35">
      <c r="A30" s="216" t="s">
        <v>101</v>
      </c>
      <c r="B30" s="216"/>
      <c r="C30" s="214" t="s">
        <v>29</v>
      </c>
      <c r="D30" s="214"/>
      <c r="E30" s="214"/>
      <c r="F30" s="214" t="s">
        <v>31</v>
      </c>
      <c r="G30" s="214"/>
      <c r="H30" s="214"/>
    </row>
    <row r="31" spans="1:8" s="6" customFormat="1" x14ac:dyDescent="0.35">
      <c r="A31" s="215" t="s">
        <v>25</v>
      </c>
      <c r="B31" s="215" t="s">
        <v>30</v>
      </c>
      <c r="C31" s="197" t="s">
        <v>203</v>
      </c>
      <c r="D31" s="197"/>
      <c r="E31" s="197"/>
      <c r="F31" s="197" t="s">
        <v>186</v>
      </c>
      <c r="G31" s="197"/>
      <c r="H31" s="197"/>
    </row>
    <row r="32" spans="1:8" x14ac:dyDescent="0.35">
      <c r="A32" s="215" t="s">
        <v>26</v>
      </c>
      <c r="B32" s="215" t="s">
        <v>30</v>
      </c>
      <c r="C32" s="197" t="s">
        <v>201</v>
      </c>
      <c r="D32" s="197"/>
      <c r="E32" s="197"/>
      <c r="F32" s="197" t="s">
        <v>226</v>
      </c>
      <c r="G32" s="197"/>
      <c r="H32" s="197"/>
    </row>
    <row r="33" spans="1:8" s="6" customFormat="1" x14ac:dyDescent="0.35">
      <c r="A33" s="215" t="s">
        <v>28</v>
      </c>
      <c r="B33" s="215" t="s">
        <v>30</v>
      </c>
      <c r="C33" s="197" t="s">
        <v>201</v>
      </c>
      <c r="D33" s="197"/>
      <c r="E33" s="197"/>
      <c r="F33" s="197" t="s">
        <v>190</v>
      </c>
      <c r="G33" s="197"/>
      <c r="H33" s="197"/>
    </row>
    <row r="34" spans="1:8" x14ac:dyDescent="0.35">
      <c r="A34" s="215" t="s">
        <v>27</v>
      </c>
      <c r="B34" s="215" t="s">
        <v>30</v>
      </c>
      <c r="C34" s="197" t="s">
        <v>202</v>
      </c>
      <c r="D34" s="197"/>
      <c r="E34" s="197"/>
      <c r="F34" s="197" t="s">
        <v>225</v>
      </c>
      <c r="G34" s="197"/>
      <c r="H34" s="197"/>
    </row>
    <row r="35" spans="1:8" x14ac:dyDescent="0.35">
      <c r="A35" s="195" t="s">
        <v>32</v>
      </c>
      <c r="B35" s="195"/>
      <c r="C35" s="195"/>
      <c r="D35" s="195"/>
      <c r="E35" s="195"/>
      <c r="F35" s="195"/>
      <c r="G35" s="195"/>
      <c r="H35" s="195"/>
    </row>
    <row r="36" spans="1:8" ht="15.75" customHeight="1" x14ac:dyDescent="0.35">
      <c r="A36" s="195" t="s">
        <v>204</v>
      </c>
      <c r="B36" s="195"/>
      <c r="C36" s="217" t="s">
        <v>206</v>
      </c>
      <c r="D36" s="218"/>
      <c r="E36" s="218"/>
      <c r="F36" s="218"/>
      <c r="G36" s="218"/>
      <c r="H36" s="219"/>
    </row>
    <row r="37" spans="1:8" ht="15.75" customHeight="1" x14ac:dyDescent="0.35">
      <c r="A37" s="195" t="s">
        <v>205</v>
      </c>
      <c r="B37" s="195"/>
      <c r="C37" s="199" t="s">
        <v>207</v>
      </c>
      <c r="D37" s="200"/>
      <c r="E37" s="200"/>
      <c r="F37" s="200"/>
      <c r="G37" s="200"/>
      <c r="H37" s="201"/>
    </row>
    <row r="38" spans="1:8" x14ac:dyDescent="0.35">
      <c r="A38" s="198" t="s">
        <v>35</v>
      </c>
      <c r="B38" s="198"/>
      <c r="C38" s="198"/>
      <c r="D38" s="198"/>
      <c r="E38" s="198"/>
      <c r="F38" s="198"/>
      <c r="G38" s="198"/>
      <c r="H38" s="198"/>
    </row>
    <row r="39" spans="1:8" x14ac:dyDescent="0.35">
      <c r="A39" s="195" t="s">
        <v>36</v>
      </c>
      <c r="B39" s="195"/>
      <c r="C39" s="195"/>
      <c r="D39" s="195"/>
      <c r="E39" s="196">
        <v>9227.98</v>
      </c>
      <c r="F39" s="196"/>
      <c r="G39" s="196"/>
      <c r="H39" s="196"/>
    </row>
    <row r="40" spans="1:8" x14ac:dyDescent="0.35">
      <c r="A40" s="195" t="s">
        <v>37</v>
      </c>
      <c r="B40" s="195"/>
      <c r="C40" s="195"/>
      <c r="D40" s="195"/>
      <c r="E40" s="207">
        <f>10150.77/E39</f>
        <v>1.0999991330713765</v>
      </c>
      <c r="F40" s="207"/>
      <c r="G40" s="207"/>
      <c r="H40" s="207"/>
    </row>
    <row r="41" spans="1:8" x14ac:dyDescent="0.35">
      <c r="A41" s="195" t="s">
        <v>38</v>
      </c>
      <c r="B41" s="195"/>
      <c r="C41" s="195"/>
      <c r="D41" s="195"/>
      <c r="E41" s="207">
        <f>E43/E39-E40</f>
        <v>2.2433977967009029</v>
      </c>
      <c r="F41" s="207"/>
      <c r="G41" s="207"/>
      <c r="H41" s="207"/>
    </row>
    <row r="42" spans="1:8" x14ac:dyDescent="0.35">
      <c r="A42" s="195" t="s">
        <v>39</v>
      </c>
      <c r="B42" s="195"/>
      <c r="C42" s="195"/>
      <c r="D42" s="195"/>
      <c r="E42" s="207">
        <f>E40+E41</f>
        <v>3.3433969297722794</v>
      </c>
      <c r="F42" s="207"/>
      <c r="G42" s="207"/>
      <c r="H42" s="207"/>
    </row>
    <row r="43" spans="1:8" x14ac:dyDescent="0.35">
      <c r="A43" s="195" t="s">
        <v>99</v>
      </c>
      <c r="B43" s="195"/>
      <c r="C43" s="195"/>
      <c r="D43" s="195"/>
      <c r="E43" s="208">
        <v>30852.799999999999</v>
      </c>
      <c r="F43" s="208"/>
      <c r="G43" s="208"/>
      <c r="H43" s="208"/>
    </row>
    <row r="44" spans="1:8" x14ac:dyDescent="0.35">
      <c r="A44" s="167" t="s">
        <v>40</v>
      </c>
      <c r="B44" s="167"/>
      <c r="C44" s="167"/>
      <c r="D44" s="167"/>
      <c r="E44" s="167" t="s">
        <v>208</v>
      </c>
      <c r="F44" s="167"/>
      <c r="G44" s="167"/>
      <c r="H44" s="167"/>
    </row>
    <row r="45" spans="1:8" x14ac:dyDescent="0.35">
      <c r="A45" s="175" t="s">
        <v>41</v>
      </c>
      <c r="B45" s="175"/>
      <c r="C45" s="175"/>
      <c r="D45" s="175"/>
      <c r="E45" s="175"/>
      <c r="F45" s="175"/>
      <c r="G45" s="175"/>
      <c r="H45" s="175"/>
    </row>
    <row r="46" spans="1:8" ht="33.75" customHeight="1" x14ac:dyDescent="0.35">
      <c r="A46" s="209" t="s">
        <v>165</v>
      </c>
      <c r="B46" s="210"/>
      <c r="C46" s="211" t="s">
        <v>209</v>
      </c>
      <c r="D46" s="212"/>
      <c r="E46" s="212"/>
      <c r="F46" s="212"/>
      <c r="G46" s="212"/>
      <c r="H46" s="213"/>
    </row>
    <row r="47" spans="1:8" x14ac:dyDescent="0.35">
      <c r="A47" s="143" t="s">
        <v>244</v>
      </c>
      <c r="B47" s="144"/>
      <c r="C47" s="144"/>
      <c r="D47" s="144"/>
      <c r="E47" s="144"/>
      <c r="F47" s="144"/>
      <c r="G47" s="144"/>
      <c r="H47" s="145"/>
    </row>
    <row r="48" spans="1:8" x14ac:dyDescent="0.35">
      <c r="A48" s="125" t="s">
        <v>42</v>
      </c>
      <c r="B48" s="125"/>
      <c r="C48" s="126" t="s">
        <v>191</v>
      </c>
      <c r="D48" s="126"/>
      <c r="E48" s="126"/>
      <c r="F48" s="93" t="s">
        <v>43</v>
      </c>
      <c r="G48" s="124">
        <v>43686</v>
      </c>
      <c r="H48" s="124"/>
    </row>
    <row r="49" spans="1:8" x14ac:dyDescent="0.35">
      <c r="A49" s="125" t="s">
        <v>247</v>
      </c>
      <c r="B49" s="167"/>
      <c r="C49" s="126" t="str">
        <f>C48</f>
        <v>KBNP/NRV/BD/6989-59/2019-20</v>
      </c>
      <c r="D49" s="126"/>
      <c r="E49" s="126"/>
      <c r="F49" s="93" t="s">
        <v>43</v>
      </c>
      <c r="G49" s="124">
        <f>G48</f>
        <v>43686</v>
      </c>
      <c r="H49" s="124"/>
    </row>
    <row r="50" spans="1:8" s="5" customFormat="1" x14ac:dyDescent="0.35">
      <c r="A50" s="125" t="s">
        <v>44</v>
      </c>
      <c r="B50" s="125"/>
      <c r="C50" s="126" t="s">
        <v>197</v>
      </c>
      <c r="D50" s="127"/>
      <c r="E50" s="127"/>
      <c r="F50" s="8" t="s">
        <v>43</v>
      </c>
      <c r="G50" s="124">
        <f>G49</f>
        <v>43686</v>
      </c>
      <c r="H50" s="124"/>
    </row>
    <row r="51" spans="1:8" s="5" customFormat="1" x14ac:dyDescent="0.35">
      <c r="A51" s="125"/>
      <c r="B51" s="125"/>
      <c r="C51" s="128" t="s">
        <v>198</v>
      </c>
      <c r="D51" s="129"/>
      <c r="E51" s="129"/>
      <c r="F51" s="129"/>
      <c r="G51" s="129"/>
      <c r="H51" s="130"/>
    </row>
    <row r="52" spans="1:8" ht="51" customHeight="1" x14ac:dyDescent="0.35">
      <c r="A52" s="176" t="s">
        <v>246</v>
      </c>
      <c r="B52" s="176"/>
      <c r="C52" s="256" t="s">
        <v>245</v>
      </c>
      <c r="D52" s="257"/>
      <c r="E52" s="257" t="s">
        <v>45</v>
      </c>
      <c r="F52" s="100" t="s">
        <v>43</v>
      </c>
      <c r="G52" s="259">
        <v>44838</v>
      </c>
      <c r="H52" s="259"/>
    </row>
    <row r="53" spans="1:8" x14ac:dyDescent="0.35">
      <c r="A53" s="146" t="s">
        <v>242</v>
      </c>
      <c r="B53" s="147"/>
      <c r="C53" s="147"/>
      <c r="D53" s="147"/>
      <c r="E53" s="147"/>
      <c r="F53" s="147"/>
      <c r="G53" s="147"/>
      <c r="H53" s="148"/>
    </row>
    <row r="54" spans="1:8" x14ac:dyDescent="0.35">
      <c r="A54" s="125" t="s">
        <v>248</v>
      </c>
      <c r="B54" s="125"/>
      <c r="C54" s="126" t="s">
        <v>192</v>
      </c>
      <c r="D54" s="126"/>
      <c r="E54" s="126"/>
      <c r="F54" s="93" t="s">
        <v>43</v>
      </c>
      <c r="G54" s="124">
        <v>44376</v>
      </c>
      <c r="H54" s="124"/>
    </row>
    <row r="55" spans="1:8" x14ac:dyDescent="0.35">
      <c r="A55" s="125" t="s">
        <v>247</v>
      </c>
      <c r="B55" s="167"/>
      <c r="C55" s="126" t="str">
        <f>C54</f>
        <v>KBNP/NRV/BP/5319-57</v>
      </c>
      <c r="D55" s="126"/>
      <c r="E55" s="126"/>
      <c r="F55" s="93" t="s">
        <v>43</v>
      </c>
      <c r="G55" s="124">
        <f>G54</f>
        <v>44376</v>
      </c>
      <c r="H55" s="124"/>
    </row>
    <row r="56" spans="1:8" s="5" customFormat="1" x14ac:dyDescent="0.35">
      <c r="A56" s="125" t="s">
        <v>241</v>
      </c>
      <c r="B56" s="125"/>
      <c r="C56" s="126" t="s">
        <v>193</v>
      </c>
      <c r="D56" s="127"/>
      <c r="E56" s="127"/>
      <c r="F56" s="8" t="s">
        <v>43</v>
      </c>
      <c r="G56" s="124">
        <v>44376</v>
      </c>
      <c r="H56" s="124"/>
    </row>
    <row r="57" spans="1:8" s="5" customFormat="1" x14ac:dyDescent="0.35">
      <c r="A57" s="125"/>
      <c r="B57" s="125"/>
      <c r="C57" s="128" t="s">
        <v>240</v>
      </c>
      <c r="D57" s="129"/>
      <c r="E57" s="129"/>
      <c r="F57" s="129"/>
      <c r="G57" s="129"/>
      <c r="H57" s="130"/>
    </row>
    <row r="58" spans="1:8" x14ac:dyDescent="0.35">
      <c r="A58" s="149" t="s">
        <v>243</v>
      </c>
      <c r="B58" s="150"/>
      <c r="C58" s="150"/>
      <c r="D58" s="150"/>
      <c r="E58" s="150"/>
      <c r="F58" s="150"/>
      <c r="G58" s="150"/>
      <c r="H58" s="151"/>
    </row>
    <row r="59" spans="1:8" x14ac:dyDescent="0.35">
      <c r="A59" s="125" t="s">
        <v>249</v>
      </c>
      <c r="B59" s="125"/>
      <c r="C59" s="126" t="s">
        <v>235</v>
      </c>
      <c r="D59" s="126"/>
      <c r="E59" s="126"/>
      <c r="F59" s="115" t="s">
        <v>43</v>
      </c>
      <c r="G59" s="124">
        <v>44981</v>
      </c>
      <c r="H59" s="124"/>
    </row>
    <row r="60" spans="1:8" x14ac:dyDescent="0.35">
      <c r="A60" s="125" t="s">
        <v>247</v>
      </c>
      <c r="B60" s="167"/>
      <c r="C60" s="126" t="str">
        <f>C59</f>
        <v>KBNP/NRV/BD/432-171</v>
      </c>
      <c r="D60" s="126"/>
      <c r="E60" s="126"/>
      <c r="F60" s="115" t="s">
        <v>43</v>
      </c>
      <c r="G60" s="124">
        <f>G59</f>
        <v>44981</v>
      </c>
      <c r="H60" s="124"/>
    </row>
    <row r="61" spans="1:8" s="5" customFormat="1" x14ac:dyDescent="0.35">
      <c r="A61" s="125" t="s">
        <v>241</v>
      </c>
      <c r="B61" s="125"/>
      <c r="C61" s="126" t="s">
        <v>250</v>
      </c>
      <c r="D61" s="127"/>
      <c r="E61" s="127"/>
      <c r="F61" s="8" t="s">
        <v>43</v>
      </c>
      <c r="G61" s="124">
        <f>G59</f>
        <v>44981</v>
      </c>
      <c r="H61" s="124"/>
    </row>
    <row r="62" spans="1:8" s="5" customFormat="1" x14ac:dyDescent="0.35">
      <c r="A62" s="125"/>
      <c r="B62" s="125"/>
      <c r="C62" s="128" t="s">
        <v>239</v>
      </c>
      <c r="D62" s="129"/>
      <c r="E62" s="129"/>
      <c r="F62" s="129"/>
      <c r="G62" s="129"/>
      <c r="H62" s="130"/>
    </row>
    <row r="63" spans="1:8" x14ac:dyDescent="0.35">
      <c r="A63" s="258" t="s">
        <v>47</v>
      </c>
      <c r="B63" s="258"/>
      <c r="C63" s="258"/>
      <c r="D63" s="258"/>
      <c r="E63" s="258"/>
      <c r="F63" s="258"/>
      <c r="G63" s="258"/>
      <c r="H63" s="258"/>
    </row>
    <row r="64" spans="1:8" x14ac:dyDescent="0.35">
      <c r="A64" s="125" t="s">
        <v>98</v>
      </c>
      <c r="B64" s="125"/>
      <c r="C64" s="125"/>
      <c r="D64" s="260">
        <f>E43</f>
        <v>30852.799999999999</v>
      </c>
      <c r="E64" s="167"/>
      <c r="F64" s="167"/>
      <c r="G64" s="167"/>
      <c r="H64" s="167"/>
    </row>
    <row r="65" spans="1:14" x14ac:dyDescent="0.35">
      <c r="A65" s="125" t="s">
        <v>48</v>
      </c>
      <c r="B65" s="167"/>
      <c r="C65" s="167"/>
      <c r="D65" s="167" t="s">
        <v>238</v>
      </c>
      <c r="E65" s="167"/>
      <c r="F65" s="167"/>
      <c r="G65" s="167"/>
      <c r="H65" s="167"/>
      <c r="I65" s="51"/>
    </row>
    <row r="66" spans="1:14" ht="31.5" customHeight="1" x14ac:dyDescent="0.35">
      <c r="A66" s="204" t="s">
        <v>49</v>
      </c>
      <c r="B66" s="205"/>
      <c r="C66" s="206"/>
      <c r="D66" s="202" t="s">
        <v>251</v>
      </c>
      <c r="E66" s="203"/>
      <c r="F66" s="203"/>
      <c r="G66" s="203"/>
      <c r="H66" s="203"/>
      <c r="I66" s="52"/>
    </row>
    <row r="67" spans="1:14" ht="15.75" customHeight="1" x14ac:dyDescent="0.35">
      <c r="A67" s="125" t="s">
        <v>96</v>
      </c>
      <c r="B67" s="125"/>
      <c r="C67" s="125"/>
      <c r="D67" s="167" t="s">
        <v>194</v>
      </c>
      <c r="E67" s="167"/>
      <c r="F67" s="167"/>
      <c r="G67" s="167"/>
      <c r="H67" s="167"/>
      <c r="I67" s="110"/>
    </row>
    <row r="68" spans="1:14" ht="15.75" customHeight="1" x14ac:dyDescent="0.35">
      <c r="A68" s="125"/>
      <c r="B68" s="125"/>
      <c r="C68" s="125"/>
      <c r="D68" s="167" t="s">
        <v>195</v>
      </c>
      <c r="E68" s="167"/>
      <c r="F68" s="167"/>
      <c r="G68" s="167"/>
      <c r="H68" s="167"/>
      <c r="I68" s="110" t="s">
        <v>211</v>
      </c>
    </row>
    <row r="69" spans="1:14" ht="15.75" customHeight="1" x14ac:dyDescent="0.35">
      <c r="A69" s="125"/>
      <c r="B69" s="125"/>
      <c r="C69" s="125"/>
      <c r="D69" s="167" t="s">
        <v>210</v>
      </c>
      <c r="E69" s="167"/>
      <c r="F69" s="167"/>
      <c r="G69" s="167"/>
      <c r="H69" s="167"/>
      <c r="I69" s="110" t="s">
        <v>211</v>
      </c>
    </row>
    <row r="70" spans="1:14" ht="50.25" customHeight="1" x14ac:dyDescent="0.35">
      <c r="A70" s="195" t="s">
        <v>46</v>
      </c>
      <c r="B70" s="195"/>
      <c r="C70" s="195"/>
      <c r="D70" s="220" t="s">
        <v>255</v>
      </c>
      <c r="E70" s="220"/>
      <c r="F70" s="220"/>
      <c r="G70" s="220"/>
      <c r="H70" s="220"/>
      <c r="J70" s="50"/>
      <c r="K70" s="51"/>
      <c r="N70" s="51"/>
    </row>
    <row r="71" spans="1:14" ht="15.75" customHeight="1" x14ac:dyDescent="0.35">
      <c r="A71" s="195" t="s">
        <v>94</v>
      </c>
      <c r="B71" s="195"/>
      <c r="C71" s="195"/>
      <c r="D71" s="234" t="s">
        <v>234</v>
      </c>
      <c r="E71" s="234"/>
      <c r="F71" s="234"/>
      <c r="G71" s="234"/>
      <c r="H71" s="234"/>
      <c r="I71" s="234" t="str">
        <f>(IF(L52="NA","60 Years After Completion",IF(L52&lt;&gt;"NA",""&amp;60-ROUNDDOWN((J3-L52)/360,0)&amp;" Years"," ")))</f>
        <v>60 Years</v>
      </c>
      <c r="J71" s="234"/>
      <c r="K71" s="234"/>
      <c r="L71" s="234"/>
      <c r="M71" s="234"/>
      <c r="N71" s="51"/>
    </row>
    <row r="72" spans="1:14" ht="15.75" customHeight="1" x14ac:dyDescent="0.35">
      <c r="A72" s="195" t="s">
        <v>95</v>
      </c>
      <c r="B72" s="195"/>
      <c r="C72" s="195"/>
      <c r="D72" s="220" t="s">
        <v>24</v>
      </c>
      <c r="E72" s="220"/>
      <c r="F72" s="220"/>
      <c r="G72" s="220"/>
      <c r="H72" s="220"/>
      <c r="J72" s="15"/>
      <c r="K72" s="15"/>
    </row>
    <row r="73" spans="1:14" ht="33.75" customHeight="1" x14ac:dyDescent="0.35">
      <c r="A73" s="195" t="s">
        <v>78</v>
      </c>
      <c r="B73" s="195"/>
      <c r="C73" s="195"/>
      <c r="D73" s="125" t="s">
        <v>213</v>
      </c>
      <c r="E73" s="220"/>
      <c r="F73" s="220"/>
      <c r="G73" s="220"/>
      <c r="H73" s="220"/>
      <c r="I73" s="111" t="s">
        <v>212</v>
      </c>
    </row>
    <row r="74" spans="1:14" x14ac:dyDescent="0.35">
      <c r="A74" s="220" t="s">
        <v>161</v>
      </c>
      <c r="B74" s="220"/>
      <c r="C74" s="220"/>
      <c r="D74" s="220" t="s">
        <v>30</v>
      </c>
      <c r="E74" s="220"/>
      <c r="F74" s="220"/>
      <c r="G74" s="220"/>
      <c r="H74" s="220"/>
      <c r="I74" s="91"/>
      <c r="J74" s="91"/>
      <c r="K74" s="91"/>
      <c r="L74" s="91"/>
      <c r="M74" s="91"/>
      <c r="N74" s="91"/>
    </row>
    <row r="75" spans="1:14" ht="15.75" customHeight="1" x14ac:dyDescent="0.35">
      <c r="A75" s="243" t="s">
        <v>93</v>
      </c>
      <c r="B75" s="243"/>
      <c r="C75" s="243"/>
      <c r="D75" s="202" t="str">
        <f ca="1">(IF(G96&gt;95%,"Nothing",IF(G96&gt;0%,"Cement, Aggregate, Steel, etc",IF(G96=0%,"Work not yet Started"))))</f>
        <v>Cement, Aggregate, Steel, etc</v>
      </c>
      <c r="E75" s="202"/>
      <c r="F75" s="202"/>
      <c r="G75" s="202"/>
      <c r="H75" s="202"/>
      <c r="J75" s="15"/>
    </row>
    <row r="76" spans="1:14" ht="33.75" customHeight="1" thickBot="1" x14ac:dyDescent="0.4">
      <c r="A76" s="269" t="s">
        <v>128</v>
      </c>
      <c r="B76" s="269"/>
      <c r="C76" s="269"/>
      <c r="D76" s="202" t="str">
        <f ca="1">(IF(D75="Nothing","Yes",IF(D75="Cement, Aggregate, Steel, etc","Under Construction",IF(D75="Work not yet Started","Work not yet Started"))))</f>
        <v>Under Construction</v>
      </c>
      <c r="E76" s="202"/>
      <c r="F76" s="202" t="str">
        <f ca="1">(IF(D75="Nothing","Yes",IF(D75="Cement, Aggregate, Steel, etc","Under Construction",IF(D75="Work not yet Started","Work not yet Started"))))</f>
        <v>Under Construction</v>
      </c>
      <c r="G76" s="202"/>
      <c r="H76" s="202"/>
    </row>
    <row r="77" spans="1:14" ht="15.75" customHeight="1" x14ac:dyDescent="0.35">
      <c r="A77" s="178" t="s">
        <v>151</v>
      </c>
      <c r="B77" s="179"/>
      <c r="C77" s="266" t="str">
        <f>D67</f>
        <v>A1 Wing = G/St + 1st to 12th Floor</v>
      </c>
      <c r="D77" s="267"/>
      <c r="E77" s="267"/>
      <c r="F77" s="267"/>
      <c r="G77" s="267"/>
      <c r="H77" s="268"/>
      <c r="I77" s="5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completed","0")))))))))))&amp;(IF(C84=(D78+F78+H78),", RCC Slab",IF(C84&gt;0,", RCC upto "&amp;C84&amp;" Slab",""))&amp;(IF(C85=H78,", Brickwork",IF(C85&gt;0,", Brickwork upto "&amp;C85&amp;" Floor",""))&amp;(IF(C86=H78,", Internal Plaster",IF(C86&gt;0,", Internal Plaster upto "&amp;C86&amp;" Floor",""))&amp;(IF(C87=H78,", External Plaster",IF(C87&gt;0,", External Plaster upto "&amp;C87&amp;" Floor",""))&amp;(IF(C88=H78,", Flooring",IF(C88&gt;0,", Flooring upto "&amp;C88&amp;" Floor",""))&amp;(IF(C89=H78,", Painting",IF(C89&gt;0,", Painting upto "&amp;C89&amp;" Floor",""))&amp;(IF(C90&gt;0,", Finishing upto "&amp;C90&amp;" Floor","")&amp;(IF(C84&gt;0.5," Completed",""))))))))))))))</f>
        <v>All work completed. Please provide OC.</v>
      </c>
      <c r="J77" s="18"/>
    </row>
    <row r="78" spans="1:14" x14ac:dyDescent="0.35">
      <c r="A78" s="69" t="s">
        <v>154</v>
      </c>
      <c r="B78" s="96">
        <v>0</v>
      </c>
      <c r="C78" s="96" t="s">
        <v>75</v>
      </c>
      <c r="D78" s="96">
        <v>1</v>
      </c>
      <c r="E78" s="96" t="s">
        <v>74</v>
      </c>
      <c r="F78" s="96">
        <v>0</v>
      </c>
      <c r="G78" s="96" t="s">
        <v>87</v>
      </c>
      <c r="H78" s="72">
        <f ca="1">--TRIM(RIGHT(SUBSTITUTE(LEFT(C77,_xlfn.AGGREGATE(16,6,FIND({0,1,2,3,4,5,6,7,8,9},C77,ROW(INDIRECT("1:"&amp;LEN(C77)))),1))," ",REPT(" ",LEN(C77))),LEN(C77)))</f>
        <v>12</v>
      </c>
      <c r="I78" s="58"/>
      <c r="J78" s="19"/>
    </row>
    <row r="79" spans="1:14" ht="16" thickBot="1" x14ac:dyDescent="0.4">
      <c r="A79" s="274" t="s">
        <v>97</v>
      </c>
      <c r="B79" s="275"/>
      <c r="C79" s="244" t="str">
        <f>I79</f>
        <v>All work Completed. OC Received.</v>
      </c>
      <c r="D79" s="244"/>
      <c r="E79" s="244"/>
      <c r="F79" s="244"/>
      <c r="G79" s="244"/>
      <c r="H79" s="245"/>
      <c r="I79" s="58" t="s">
        <v>115</v>
      </c>
      <c r="J79" s="19"/>
    </row>
    <row r="80" spans="1:14" ht="31" customHeight="1" thickBot="1" x14ac:dyDescent="0.4">
      <c r="A80" s="237" t="s">
        <v>92</v>
      </c>
      <c r="B80" s="238"/>
      <c r="C80" s="239">
        <v>1</v>
      </c>
      <c r="D80" s="240"/>
      <c r="E80" s="241" t="s">
        <v>91</v>
      </c>
      <c r="F80" s="240"/>
      <c r="G80" s="239">
        <v>1</v>
      </c>
      <c r="H80" s="242"/>
      <c r="I80" s="58"/>
      <c r="J80" s="19"/>
    </row>
    <row r="81" spans="1:10" ht="15.75" hidden="1" customHeight="1" x14ac:dyDescent="0.35">
      <c r="A81" s="235" t="s">
        <v>50</v>
      </c>
      <c r="B81" s="236"/>
      <c r="C81" s="113" t="s">
        <v>150</v>
      </c>
      <c r="D81" s="114" t="s">
        <v>90</v>
      </c>
      <c r="E81" s="236" t="s">
        <v>92</v>
      </c>
      <c r="F81" s="236"/>
      <c r="G81" s="236" t="s">
        <v>91</v>
      </c>
      <c r="H81" s="273"/>
      <c r="I81" s="49" t="s">
        <v>153</v>
      </c>
      <c r="J81" s="20">
        <f ca="1">H78*25%</f>
        <v>3</v>
      </c>
    </row>
    <row r="82" spans="1:10" hidden="1" x14ac:dyDescent="0.35">
      <c r="A82" s="161" t="s">
        <v>139</v>
      </c>
      <c r="B82" s="162"/>
      <c r="C82" s="103">
        <f ca="1">J83</f>
        <v>12</v>
      </c>
      <c r="D82" s="104">
        <f ca="1">((100/H78)*C82)/100</f>
        <v>1</v>
      </c>
      <c r="E82" s="163">
        <f ca="1">(((C83/H78*10)+(40/(D78+F78+H78)*C84)+(7.5/(H78)*C85)+(7.5/(H78)*C86)+(10/H78*C87)+(10/H78*C88)+(5/H78*C89)+(5/H78*C90)+(5/H78*C91))/100)</f>
        <v>1</v>
      </c>
      <c r="F82" s="163"/>
      <c r="G82" s="163">
        <f ca="1">((((C82/H78)*20)+((C83/H78)*25)+(30/(H78+F78+D78)*C84)+(5/H78*C85)+(5/H78*C86)+(5/H78*C87)+(5/H78*C88)+(0/H78*C89)+(0/H78*C90)+(5/H78*C91))/100)</f>
        <v>1</v>
      </c>
      <c r="H82" s="164"/>
      <c r="I82" s="49" t="s">
        <v>110</v>
      </c>
      <c r="J82" s="56">
        <f ca="1">H78*50%</f>
        <v>6</v>
      </c>
    </row>
    <row r="83" spans="1:10" hidden="1" x14ac:dyDescent="0.35">
      <c r="A83" s="161" t="s">
        <v>51</v>
      </c>
      <c r="B83" s="162"/>
      <c r="C83" s="105">
        <f ca="1">J91</f>
        <v>12</v>
      </c>
      <c r="D83" s="104">
        <f ca="1">((100/H78)*C83)/100</f>
        <v>1</v>
      </c>
      <c r="E83" s="163"/>
      <c r="F83" s="163"/>
      <c r="G83" s="163"/>
      <c r="H83" s="164"/>
      <c r="I83" s="49" t="s">
        <v>111</v>
      </c>
      <c r="J83" s="56">
        <f ca="1">H78</f>
        <v>12</v>
      </c>
    </row>
    <row r="84" spans="1:10" ht="15.75" hidden="1" customHeight="1" x14ac:dyDescent="0.35">
      <c r="A84" s="161" t="s">
        <v>140</v>
      </c>
      <c r="B84" s="162"/>
      <c r="C84" s="105">
        <f ca="1">D78+H78</f>
        <v>13</v>
      </c>
      <c r="D84" s="104">
        <f ca="1">((100/(D78+F78+H78))*C84)/100</f>
        <v>1</v>
      </c>
      <c r="E84" s="163"/>
      <c r="F84" s="163"/>
      <c r="G84" s="163"/>
      <c r="H84" s="164"/>
      <c r="I84" s="49" t="s">
        <v>112</v>
      </c>
      <c r="J84" s="65">
        <f ca="1">(IF(B78&gt;1,(H78/(B78+2)),H78/4))</f>
        <v>3</v>
      </c>
    </row>
    <row r="85" spans="1:10" ht="15.75" hidden="1" customHeight="1" x14ac:dyDescent="0.35">
      <c r="A85" s="161" t="s">
        <v>147</v>
      </c>
      <c r="B85" s="162" t="s">
        <v>141</v>
      </c>
      <c r="C85" s="103">
        <v>12</v>
      </c>
      <c r="D85" s="104">
        <f ca="1">((100/H78)*C85)/100</f>
        <v>1</v>
      </c>
      <c r="E85" s="163"/>
      <c r="F85" s="163"/>
      <c r="G85" s="163"/>
      <c r="H85" s="164"/>
      <c r="I85" s="49" t="s">
        <v>113</v>
      </c>
      <c r="J85" s="65">
        <f ca="1">(IF(B78&gt;1,(H78/(B78+2)+J84),H78/4+J84))</f>
        <v>6</v>
      </c>
    </row>
    <row r="86" spans="1:10" ht="15.75" hidden="1" customHeight="1" x14ac:dyDescent="0.35">
      <c r="A86" s="161" t="s">
        <v>148</v>
      </c>
      <c r="B86" s="162" t="s">
        <v>141</v>
      </c>
      <c r="C86" s="103">
        <v>12</v>
      </c>
      <c r="D86" s="104">
        <f ca="1">((100/H78)*C86)/100</f>
        <v>1</v>
      </c>
      <c r="E86" s="163"/>
      <c r="F86" s="163"/>
      <c r="G86" s="163"/>
      <c r="H86" s="164"/>
      <c r="I86" s="49" t="s">
        <v>159</v>
      </c>
      <c r="J86" s="65">
        <f>(IF(B78&gt;1,(H78/(B78+2)+J85),0))</f>
        <v>0</v>
      </c>
    </row>
    <row r="87" spans="1:10" ht="15" hidden="1" customHeight="1" x14ac:dyDescent="0.35">
      <c r="A87" s="161" t="s">
        <v>146</v>
      </c>
      <c r="B87" s="162" t="s">
        <v>143</v>
      </c>
      <c r="C87" s="103">
        <v>12</v>
      </c>
      <c r="D87" s="104">
        <f ca="1">((100/(H78))*C87)/100</f>
        <v>1</v>
      </c>
      <c r="E87" s="163"/>
      <c r="F87" s="163"/>
      <c r="G87" s="163"/>
      <c r="H87" s="164"/>
      <c r="I87" s="49" t="s">
        <v>155</v>
      </c>
      <c r="J87" s="65">
        <f>(IF(B78&gt;2,(H78/(B78+2)+J86),0))</f>
        <v>0</v>
      </c>
    </row>
    <row r="88" spans="1:10" ht="15.75" hidden="1" customHeight="1" x14ac:dyDescent="0.35">
      <c r="A88" s="161" t="s">
        <v>142</v>
      </c>
      <c r="B88" s="162" t="s">
        <v>142</v>
      </c>
      <c r="C88" s="103">
        <v>12</v>
      </c>
      <c r="D88" s="104">
        <f ca="1">((100/H78)*C88)/100</f>
        <v>1</v>
      </c>
      <c r="E88" s="163"/>
      <c r="F88" s="163"/>
      <c r="G88" s="163"/>
      <c r="H88" s="164"/>
      <c r="I88" s="49" t="s">
        <v>156</v>
      </c>
      <c r="J88" s="66">
        <f>(IF(B78&gt;3,(H78/(B78+2)+J87),0))</f>
        <v>0</v>
      </c>
    </row>
    <row r="89" spans="1:10" ht="15.75" hidden="1" customHeight="1" x14ac:dyDescent="0.35">
      <c r="A89" s="161" t="s">
        <v>149</v>
      </c>
      <c r="B89" s="162"/>
      <c r="C89" s="103">
        <v>12</v>
      </c>
      <c r="D89" s="104">
        <f ca="1">((100/H78)*C89)/100</f>
        <v>1</v>
      </c>
      <c r="E89" s="163"/>
      <c r="F89" s="163"/>
      <c r="G89" s="163"/>
      <c r="H89" s="164"/>
      <c r="I89" s="49" t="s">
        <v>157</v>
      </c>
      <c r="J89" s="65">
        <f>(IF(B78&gt;4,(H78/(B78+2)+J88),0))</f>
        <v>0</v>
      </c>
    </row>
    <row r="90" spans="1:10" ht="15.75" hidden="1" customHeight="1" x14ac:dyDescent="0.35">
      <c r="A90" s="161" t="s">
        <v>144</v>
      </c>
      <c r="B90" s="162" t="s">
        <v>144</v>
      </c>
      <c r="C90" s="103">
        <v>12</v>
      </c>
      <c r="D90" s="104">
        <f ca="1">((100/(H78))*C90)/100</f>
        <v>1</v>
      </c>
      <c r="E90" s="163"/>
      <c r="F90" s="163"/>
      <c r="G90" s="163"/>
      <c r="H90" s="164"/>
      <c r="I90" s="49" t="s">
        <v>160</v>
      </c>
      <c r="J90" s="65">
        <f ca="1">(IF(B78=1,(H78/(B78+3)+J85),IF(B78=0,(H78/4+J85),IF(B78&gt;1,0))))</f>
        <v>9</v>
      </c>
    </row>
    <row r="91" spans="1:10" ht="16" hidden="1" thickBot="1" x14ac:dyDescent="0.4">
      <c r="A91" s="172" t="s">
        <v>145</v>
      </c>
      <c r="B91" s="173"/>
      <c r="C91" s="106">
        <v>12</v>
      </c>
      <c r="D91" s="107">
        <f ca="1">((100/(H78))*C91)/100</f>
        <v>1</v>
      </c>
      <c r="E91" s="165"/>
      <c r="F91" s="165"/>
      <c r="G91" s="165"/>
      <c r="H91" s="166"/>
      <c r="I91" s="61" t="s">
        <v>114</v>
      </c>
      <c r="J91" s="67">
        <f ca="1">(IF(B78&gt;1.5,(H78/(B78+2)+J85+MAX(0,J86-J85)+MAX(0,J87-J86)+MAX(0,J88-J87)+MAX(0,J89-J88)+MAX(0,J90-J89)),IF(B78=1,(H78/(B78+3)+J90),IF(B78=0,H78/4+J90))))</f>
        <v>12</v>
      </c>
    </row>
    <row r="92" spans="1:10" ht="15.75" customHeight="1" x14ac:dyDescent="0.35">
      <c r="A92" s="178" t="s">
        <v>151</v>
      </c>
      <c r="B92" s="179"/>
      <c r="C92" s="266" t="str">
        <f>D68</f>
        <v>B1 Wing = G/St + 1st to 14th Floor</v>
      </c>
      <c r="D92" s="267"/>
      <c r="E92" s="267"/>
      <c r="F92" s="267"/>
      <c r="G92" s="267"/>
      <c r="H92" s="268"/>
      <c r="I92" s="57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Slab, Brickwork, Internal Plaster, External Plaster, Flooring upto 13 Floor, Painting upto 13 Floor Completed</v>
      </c>
      <c r="J92" s="18"/>
    </row>
    <row r="93" spans="1:10" x14ac:dyDescent="0.35">
      <c r="A93" s="69" t="s">
        <v>154</v>
      </c>
      <c r="B93" s="96">
        <v>0</v>
      </c>
      <c r="C93" s="96" t="s">
        <v>75</v>
      </c>
      <c r="D93" s="96">
        <v>1</v>
      </c>
      <c r="E93" s="96" t="s">
        <v>74</v>
      </c>
      <c r="F93" s="96">
        <v>0</v>
      </c>
      <c r="G93" s="96" t="s">
        <v>87</v>
      </c>
      <c r="H93" s="72">
        <f ca="1">--TRIM(RIGHT(SUBSTITUTE(LEFT(C92,_xlfn.AGGREGATE(16,6,FIND({0,1,2,3,4,5,6,7,8,9},C92,ROW(INDIRECT("1:"&amp;LEN(C92)))),1))," ",REPT(" ",LEN(C92))),LEN(C92)))</f>
        <v>14</v>
      </c>
      <c r="I93" s="58"/>
      <c r="J93" s="19"/>
    </row>
    <row r="94" spans="1:10" ht="50.15" customHeight="1" x14ac:dyDescent="0.35">
      <c r="A94" s="174" t="s">
        <v>97</v>
      </c>
      <c r="B94" s="175"/>
      <c r="C94" s="176" t="str">
        <f ca="1">I92</f>
        <v>Excavation work Completed. Plinth work completed, RCC Slab, Brickwork, Internal Plaster, External Plaster, Flooring upto 13 Floor, Painting upto 13 Floor Completed</v>
      </c>
      <c r="D94" s="176"/>
      <c r="E94" s="176"/>
      <c r="F94" s="176"/>
      <c r="G94" s="176"/>
      <c r="H94" s="177"/>
      <c r="I94" s="58" t="s">
        <v>115</v>
      </c>
      <c r="J94" s="19"/>
    </row>
    <row r="95" spans="1:10" ht="15.75" customHeight="1" x14ac:dyDescent="0.35">
      <c r="A95" s="161" t="s">
        <v>50</v>
      </c>
      <c r="B95" s="162"/>
      <c r="C95" s="101" t="s">
        <v>150</v>
      </c>
      <c r="D95" s="102" t="s">
        <v>90</v>
      </c>
      <c r="E95" s="162" t="s">
        <v>92</v>
      </c>
      <c r="F95" s="162"/>
      <c r="G95" s="162" t="s">
        <v>91</v>
      </c>
      <c r="H95" s="171"/>
      <c r="I95" s="49" t="s">
        <v>153</v>
      </c>
      <c r="J95" s="20">
        <f ca="1">H93*25%</f>
        <v>3.5</v>
      </c>
    </row>
    <row r="96" spans="1:10" x14ac:dyDescent="0.35">
      <c r="A96" s="161" t="s">
        <v>139</v>
      </c>
      <c r="B96" s="162"/>
      <c r="C96" s="103">
        <f ca="1">J97</f>
        <v>14</v>
      </c>
      <c r="D96" s="104">
        <f ca="1">((100/H93)*C96)/100</f>
        <v>1</v>
      </c>
      <c r="E96" s="163">
        <f ca="1">(((C97/H93*10)+(40/(D93+F93+H93)*C98)+(7.5/(H93)*C99)+(7.5/(H93)*C100)+(10/H93*C101)+(10/H93*C102)+(5/H93*C103)+(5/H93*C104)+(5/H93*C105))/100)</f>
        <v>0.88928571428571435</v>
      </c>
      <c r="F96" s="163"/>
      <c r="G96" s="163">
        <f ca="1">((((C96/H93)*20)+((C97/H93)*25)+(30/(H93+F93+D93)*C98)+(5/H93*C99)+(5/H93*C100)+(5/H93*C101)+(5/H93*C102)+(0/H93*C103)+(0/H93*C104)+(5/H93*C105))/100)</f>
        <v>0.9464285714285714</v>
      </c>
      <c r="H96" s="164"/>
      <c r="I96" s="49" t="s">
        <v>110</v>
      </c>
      <c r="J96" s="56">
        <f ca="1">H93*50%</f>
        <v>7</v>
      </c>
    </row>
    <row r="97" spans="1:10" x14ac:dyDescent="0.35">
      <c r="A97" s="161" t="s">
        <v>51</v>
      </c>
      <c r="B97" s="162"/>
      <c r="C97" s="105">
        <f ca="1">J105</f>
        <v>14</v>
      </c>
      <c r="D97" s="104">
        <f ca="1">((100/H93)*C97)/100</f>
        <v>1</v>
      </c>
      <c r="E97" s="163"/>
      <c r="F97" s="163"/>
      <c r="G97" s="163"/>
      <c r="H97" s="164"/>
      <c r="I97" s="49" t="s">
        <v>111</v>
      </c>
      <c r="J97" s="56">
        <f ca="1">H93</f>
        <v>14</v>
      </c>
    </row>
    <row r="98" spans="1:10" ht="15.75" customHeight="1" x14ac:dyDescent="0.35">
      <c r="A98" s="161" t="s">
        <v>140</v>
      </c>
      <c r="B98" s="162"/>
      <c r="C98" s="105">
        <v>15</v>
      </c>
      <c r="D98" s="104">
        <f ca="1">((100/(D93+F93+H93))*C98)/100</f>
        <v>1</v>
      </c>
      <c r="E98" s="163"/>
      <c r="F98" s="163"/>
      <c r="G98" s="163"/>
      <c r="H98" s="164"/>
      <c r="I98" s="49" t="s">
        <v>112</v>
      </c>
      <c r="J98" s="65">
        <f ca="1">(IF(B93&gt;1,(H93/(B93+2)),H93/4))</f>
        <v>3.5</v>
      </c>
    </row>
    <row r="99" spans="1:10" ht="15.75" customHeight="1" x14ac:dyDescent="0.35">
      <c r="A99" s="161" t="s">
        <v>147</v>
      </c>
      <c r="B99" s="162" t="s">
        <v>141</v>
      </c>
      <c r="C99" s="103">
        <v>14</v>
      </c>
      <c r="D99" s="104">
        <f ca="1">((100/H93)*C99)/100</f>
        <v>1</v>
      </c>
      <c r="E99" s="163"/>
      <c r="F99" s="163"/>
      <c r="G99" s="163"/>
      <c r="H99" s="164"/>
      <c r="I99" s="49" t="s">
        <v>113</v>
      </c>
      <c r="J99" s="65">
        <f ca="1">(IF(B93&gt;1,(H93/(B93+2)+J98),H93/4+J98))</f>
        <v>7</v>
      </c>
    </row>
    <row r="100" spans="1:10" ht="15.75" customHeight="1" x14ac:dyDescent="0.35">
      <c r="A100" s="161" t="s">
        <v>148</v>
      </c>
      <c r="B100" s="162" t="s">
        <v>141</v>
      </c>
      <c r="C100" s="103">
        <v>14</v>
      </c>
      <c r="D100" s="104">
        <f ca="1">((100/H93)*C100)/100</f>
        <v>1</v>
      </c>
      <c r="E100" s="163"/>
      <c r="F100" s="163"/>
      <c r="G100" s="163"/>
      <c r="H100" s="164"/>
      <c r="I100" s="49" t="s">
        <v>159</v>
      </c>
      <c r="J100" s="65">
        <f>(IF(B93&gt;1,(H93/(B93+2)+J99),0))</f>
        <v>0</v>
      </c>
    </row>
    <row r="101" spans="1:10" ht="15" customHeight="1" x14ac:dyDescent="0.35">
      <c r="A101" s="161" t="s">
        <v>146</v>
      </c>
      <c r="B101" s="162" t="s">
        <v>143</v>
      </c>
      <c r="C101" s="103">
        <v>14</v>
      </c>
      <c r="D101" s="104">
        <f ca="1">((100/(H93))*C101)/100</f>
        <v>1</v>
      </c>
      <c r="E101" s="163"/>
      <c r="F101" s="163"/>
      <c r="G101" s="163"/>
      <c r="H101" s="164"/>
      <c r="I101" s="49" t="s">
        <v>155</v>
      </c>
      <c r="J101" s="65">
        <f>(IF(B93&gt;2,(H93/(B93+2)+J100),0))</f>
        <v>0</v>
      </c>
    </row>
    <row r="102" spans="1:10" ht="15.75" customHeight="1" x14ac:dyDescent="0.35">
      <c r="A102" s="161" t="s">
        <v>142</v>
      </c>
      <c r="B102" s="162" t="s">
        <v>142</v>
      </c>
      <c r="C102" s="103">
        <v>13</v>
      </c>
      <c r="D102" s="104">
        <f ca="1">((100/H93)*C102)/100</f>
        <v>0.9285714285714286</v>
      </c>
      <c r="E102" s="163"/>
      <c r="F102" s="163"/>
      <c r="G102" s="163"/>
      <c r="H102" s="164"/>
      <c r="I102" s="49" t="s">
        <v>156</v>
      </c>
      <c r="J102" s="66">
        <f>(IF(B93&gt;3,(H93/(B93+2)+J101),0))</f>
        <v>0</v>
      </c>
    </row>
    <row r="103" spans="1:10" ht="15.75" customHeight="1" x14ac:dyDescent="0.35">
      <c r="A103" s="161" t="s">
        <v>149</v>
      </c>
      <c r="B103" s="162"/>
      <c r="C103" s="103">
        <v>13</v>
      </c>
      <c r="D103" s="104">
        <f ca="1">((100/H93)*C103)/100</f>
        <v>0.9285714285714286</v>
      </c>
      <c r="E103" s="163"/>
      <c r="F103" s="163"/>
      <c r="G103" s="163"/>
      <c r="H103" s="164"/>
      <c r="I103" s="49" t="s">
        <v>157</v>
      </c>
      <c r="J103" s="65">
        <f>(IF(B93&gt;4,(H93/(B93+2)+J102),0))</f>
        <v>0</v>
      </c>
    </row>
    <row r="104" spans="1:10" ht="15.75" customHeight="1" x14ac:dyDescent="0.35">
      <c r="A104" s="161" t="s">
        <v>144</v>
      </c>
      <c r="B104" s="162" t="s">
        <v>144</v>
      </c>
      <c r="C104" s="103">
        <v>0</v>
      </c>
      <c r="D104" s="104">
        <f ca="1">((100/(H93))*C104)/100</f>
        <v>0</v>
      </c>
      <c r="E104" s="163"/>
      <c r="F104" s="163"/>
      <c r="G104" s="163"/>
      <c r="H104" s="164"/>
      <c r="I104" s="49" t="s">
        <v>160</v>
      </c>
      <c r="J104" s="65">
        <f ca="1">(IF(B93=1,(H93/(B93+3)+J99),IF(B93=0,(H93/4+J99),IF(B93&gt;1,0))))</f>
        <v>10.5</v>
      </c>
    </row>
    <row r="105" spans="1:10" ht="16" thickBot="1" x14ac:dyDescent="0.4">
      <c r="A105" s="172" t="s">
        <v>145</v>
      </c>
      <c r="B105" s="173"/>
      <c r="C105" s="106">
        <v>0</v>
      </c>
      <c r="D105" s="107">
        <f ca="1">((100/(H93))*C105)/100</f>
        <v>0</v>
      </c>
      <c r="E105" s="165"/>
      <c r="F105" s="165"/>
      <c r="G105" s="165"/>
      <c r="H105" s="166"/>
      <c r="I105" s="61" t="s">
        <v>114</v>
      </c>
      <c r="J105" s="67">
        <f ca="1">(IF(B93&gt;1.5,(H93/(B93+2)+J99+MAX(0,J100-J99)+MAX(0,J101-J100)+MAX(0,J102-J101)+MAX(0,J103-J102)+MAX(0,J104-J103)),IF(B93=1,(H93/(B93+3)+J104),IF(B93=0,H93/4+J104))))</f>
        <v>14</v>
      </c>
    </row>
    <row r="106" spans="1:10" ht="15.75" customHeight="1" x14ac:dyDescent="0.35">
      <c r="A106" s="178" t="s">
        <v>151</v>
      </c>
      <c r="B106" s="179"/>
      <c r="C106" s="266" t="str">
        <f>D69</f>
        <v>C1 Wing = G/St + 1st to 14th Floor</v>
      </c>
      <c r="D106" s="267"/>
      <c r="E106" s="267"/>
      <c r="F106" s="267"/>
      <c r="G106" s="267"/>
      <c r="H106" s="268"/>
      <c r="I106" s="57" t="str">
        <f ca="1">(IF(E110&gt;99%,"All work completed. Please provide OC.",IF(E110&gt;89.8%,"Plinth, RCC, Brick, Plaster, Flooring, Painting work Completed. Finishing work is in process.",IF(E110&lt;94%,(IF(C110=0,"Work not yet Started.",IF(D110=25%,"Piling work in process",IF(D110=50%,"Excavation work in process",IF(D110=100%,"Excavation work Completed. ","0")))&amp;(IF(C111=0%,"",IF(C111=J112,"Footing work is process",IF(C111=J113,"Footing work Completed",IF(C111=J114,"1st Basement Completed",IF(C111=J115,"1st &amp; 2nd Basement Completed",IF(C111=J116,"1st to 3rd Basement Completed",IF(C111=J117,"1st to 4th Basement Completed",IF(C111=J118,"Plinth work is process",IF(C111=J119,"Plinth work completed","0")))))))))))&amp;(IF(C112=(D107+F107+H107),", RCC Slab",IF(C112&gt;0,", RCC upto "&amp;C112&amp;" Slab",""))&amp;(IF(C113=H107,", Brickwork",IF(C113&gt;0,", Brickwork upto "&amp;C113&amp;" Floor",""))&amp;(IF(C114=H107,", Internal Plaster",IF(C114&gt;0,", Internal Plaster upto "&amp;C114&amp;" Floor",""))&amp;(IF(C115=H107,", External Plaster",IF(C115&gt;0,", External Plaster upto "&amp;C115&amp;" Floor",""))&amp;(IF(C116=H107,", Flooring",IF(C116&gt;0,", Flooring upto "&amp;C116&amp;" Floor",""))&amp;(IF(C117=H107,", Painting",IF(C117&gt;0,", Painting upto "&amp;C117&amp;" Floor",""))&amp;(IF(C118&gt;0,", Finishing upto "&amp;C118&amp;" Floor","")&amp;(IF(C112&gt;0.5," Completed",""))))))))))))))</f>
        <v>Excavation work Completed. Plinth work completed, RCC Slab, Brickwork upto 13 Floor, Internal Plaster upto 5 Floor, External Plaster upto 2 Floor Completed</v>
      </c>
      <c r="J106" s="18"/>
    </row>
    <row r="107" spans="1:10" x14ac:dyDescent="0.35">
      <c r="A107" s="69" t="s">
        <v>154</v>
      </c>
      <c r="B107" s="96">
        <v>0</v>
      </c>
      <c r="C107" s="96" t="s">
        <v>75</v>
      </c>
      <c r="D107" s="96">
        <v>1</v>
      </c>
      <c r="E107" s="96" t="s">
        <v>74</v>
      </c>
      <c r="F107" s="96">
        <v>0</v>
      </c>
      <c r="G107" s="96" t="s">
        <v>87</v>
      </c>
      <c r="H107" s="72">
        <f ca="1">--TRIM(RIGHT(SUBSTITUTE(LEFT(C106,_xlfn.AGGREGATE(16,6,FIND({0,1,2,3,4,5,6,7,8,9},C106,ROW(INDIRECT("1:"&amp;LEN(C106)))),1))," ",REPT(" ",LEN(C106))),LEN(C106)))</f>
        <v>14</v>
      </c>
      <c r="I107" s="58"/>
      <c r="J107" s="19"/>
    </row>
    <row r="108" spans="1:10" ht="31" customHeight="1" x14ac:dyDescent="0.35">
      <c r="A108" s="174" t="s">
        <v>97</v>
      </c>
      <c r="B108" s="175"/>
      <c r="C108" s="176" t="str">
        <f ca="1">I106</f>
        <v>Excavation work Completed. Plinth work completed, RCC Slab, Brickwork upto 13 Floor, Internal Plaster upto 5 Floor, External Plaster upto 2 Floor Completed</v>
      </c>
      <c r="D108" s="176"/>
      <c r="E108" s="176"/>
      <c r="F108" s="176"/>
      <c r="G108" s="176"/>
      <c r="H108" s="177"/>
      <c r="I108" s="58" t="s">
        <v>115</v>
      </c>
      <c r="J108" s="19"/>
    </row>
    <row r="109" spans="1:10" ht="15.75" customHeight="1" x14ac:dyDescent="0.35">
      <c r="A109" s="161" t="s">
        <v>50</v>
      </c>
      <c r="B109" s="162"/>
      <c r="C109" s="101" t="s">
        <v>150</v>
      </c>
      <c r="D109" s="102" t="s">
        <v>90</v>
      </c>
      <c r="E109" s="162" t="s">
        <v>92</v>
      </c>
      <c r="F109" s="162"/>
      <c r="G109" s="162" t="s">
        <v>91</v>
      </c>
      <c r="H109" s="171"/>
      <c r="I109" s="49" t="s">
        <v>153</v>
      </c>
      <c r="J109" s="20">
        <f ca="1">H107*25%</f>
        <v>3.5</v>
      </c>
    </row>
    <row r="110" spans="1:10" x14ac:dyDescent="0.35">
      <c r="A110" s="161" t="s">
        <v>139</v>
      </c>
      <c r="B110" s="162"/>
      <c r="C110" s="103">
        <f ca="1">J111</f>
        <v>14</v>
      </c>
      <c r="D110" s="104">
        <f ca="1">((100/H107)*C110)/100</f>
        <v>1</v>
      </c>
      <c r="E110" s="163">
        <f ca="1">(((C111/H107*10)+(40/(D107+F107+H107)*C112)+(7.5/(H107)*C113)+(7.5/(H107)*C114)+(10/H107*C115)+(10/H107*C116)+(5/H107*C117)+(5/H107*C118)+(5/H107*C119))/100)</f>
        <v>0.61071428571428577</v>
      </c>
      <c r="F110" s="163"/>
      <c r="G110" s="163">
        <f ca="1">((((C110/H107)*20)+((C111/H107)*25)+(30/(H107+F107+D107)*C112)+(5/H107*C113)+(5/H107*C114)+(5/H107*C115)+(5/H107*C116)+(0/H107*C117)+(0/H107*C118)+(5/H107*C119))/100)</f>
        <v>0.8214285714285714</v>
      </c>
      <c r="H110" s="164"/>
      <c r="I110" s="49" t="s">
        <v>110</v>
      </c>
      <c r="J110" s="56">
        <f ca="1">H107*50%</f>
        <v>7</v>
      </c>
    </row>
    <row r="111" spans="1:10" x14ac:dyDescent="0.35">
      <c r="A111" s="161" t="s">
        <v>51</v>
      </c>
      <c r="B111" s="162"/>
      <c r="C111" s="105">
        <f ca="1">J119</f>
        <v>14</v>
      </c>
      <c r="D111" s="104">
        <f ca="1">((100/H107)*C111)/100</f>
        <v>1</v>
      </c>
      <c r="E111" s="163"/>
      <c r="F111" s="163"/>
      <c r="G111" s="163"/>
      <c r="H111" s="164"/>
      <c r="I111" s="49" t="s">
        <v>111</v>
      </c>
      <c r="J111" s="56">
        <f ca="1">H107</f>
        <v>14</v>
      </c>
    </row>
    <row r="112" spans="1:10" ht="15.75" customHeight="1" x14ac:dyDescent="0.35">
      <c r="A112" s="161" t="s">
        <v>140</v>
      </c>
      <c r="B112" s="162"/>
      <c r="C112" s="105">
        <v>15</v>
      </c>
      <c r="D112" s="104">
        <f ca="1">((100/(D107+F107+H107))*C112)/100</f>
        <v>1</v>
      </c>
      <c r="E112" s="163"/>
      <c r="F112" s="163"/>
      <c r="G112" s="163"/>
      <c r="H112" s="164"/>
      <c r="I112" s="49" t="s">
        <v>112</v>
      </c>
      <c r="J112" s="65">
        <f ca="1">(IF(B107&gt;1,(H107/(B107+2)),H107/4))</f>
        <v>3.5</v>
      </c>
    </row>
    <row r="113" spans="1:10" ht="15.75" customHeight="1" x14ac:dyDescent="0.35">
      <c r="A113" s="161" t="s">
        <v>147</v>
      </c>
      <c r="B113" s="162" t="s">
        <v>141</v>
      </c>
      <c r="C113" s="103">
        <v>13</v>
      </c>
      <c r="D113" s="104">
        <f ca="1">((100/H107)*C113)/100</f>
        <v>0.9285714285714286</v>
      </c>
      <c r="E113" s="163"/>
      <c r="F113" s="163"/>
      <c r="G113" s="163"/>
      <c r="H113" s="164"/>
      <c r="I113" s="49" t="s">
        <v>113</v>
      </c>
      <c r="J113" s="65">
        <f ca="1">(IF(B107&gt;1,(H107/(B107+2)+J112),H107/4+J112))</f>
        <v>7</v>
      </c>
    </row>
    <row r="114" spans="1:10" ht="15.75" customHeight="1" x14ac:dyDescent="0.35">
      <c r="A114" s="161" t="s">
        <v>148</v>
      </c>
      <c r="B114" s="162" t="s">
        <v>141</v>
      </c>
      <c r="C114" s="103">
        <v>5</v>
      </c>
      <c r="D114" s="104">
        <f ca="1">((100/H107)*C114)/100</f>
        <v>0.35714285714285715</v>
      </c>
      <c r="E114" s="163"/>
      <c r="F114" s="163"/>
      <c r="G114" s="163"/>
      <c r="H114" s="164"/>
      <c r="I114" s="49" t="s">
        <v>159</v>
      </c>
      <c r="J114" s="65">
        <f>(IF(B107&gt;1,(H107/(B107+2)+J113),0))</f>
        <v>0</v>
      </c>
    </row>
    <row r="115" spans="1:10" ht="15" customHeight="1" x14ac:dyDescent="0.35">
      <c r="A115" s="161" t="s">
        <v>146</v>
      </c>
      <c r="B115" s="162" t="s">
        <v>143</v>
      </c>
      <c r="C115" s="103">
        <v>2</v>
      </c>
      <c r="D115" s="104">
        <f ca="1">((100/(H107))*C115)/100</f>
        <v>0.14285714285714288</v>
      </c>
      <c r="E115" s="163"/>
      <c r="F115" s="163"/>
      <c r="G115" s="163"/>
      <c r="H115" s="164"/>
      <c r="I115" s="49" t="s">
        <v>155</v>
      </c>
      <c r="J115" s="65">
        <f>(IF(B107&gt;2,(H107/(B107+2)+J114),0))</f>
        <v>0</v>
      </c>
    </row>
    <row r="116" spans="1:10" ht="15.75" customHeight="1" x14ac:dyDescent="0.35">
      <c r="A116" s="161" t="s">
        <v>142</v>
      </c>
      <c r="B116" s="162" t="s">
        <v>142</v>
      </c>
      <c r="C116" s="103">
        <v>0</v>
      </c>
      <c r="D116" s="104">
        <f ca="1">((100/H107)*C116)/100</f>
        <v>0</v>
      </c>
      <c r="E116" s="163"/>
      <c r="F116" s="163"/>
      <c r="G116" s="163"/>
      <c r="H116" s="164"/>
      <c r="I116" s="49" t="s">
        <v>156</v>
      </c>
      <c r="J116" s="66">
        <f>(IF(B107&gt;3,(H107/(B107+2)+J115),0))</f>
        <v>0</v>
      </c>
    </row>
    <row r="117" spans="1:10" ht="15.75" customHeight="1" x14ac:dyDescent="0.35">
      <c r="A117" s="161" t="s">
        <v>149</v>
      </c>
      <c r="B117" s="162"/>
      <c r="C117" s="103">
        <v>0</v>
      </c>
      <c r="D117" s="104">
        <f ca="1">((100/H107)*C117)/100</f>
        <v>0</v>
      </c>
      <c r="E117" s="163"/>
      <c r="F117" s="163"/>
      <c r="G117" s="163"/>
      <c r="H117" s="164"/>
      <c r="I117" s="49" t="s">
        <v>157</v>
      </c>
      <c r="J117" s="65">
        <f>(IF(B107&gt;4,(H107/(B107+2)+J116),0))</f>
        <v>0</v>
      </c>
    </row>
    <row r="118" spans="1:10" ht="15.75" customHeight="1" x14ac:dyDescent="0.35">
      <c r="A118" s="161" t="s">
        <v>144</v>
      </c>
      <c r="B118" s="162" t="s">
        <v>144</v>
      </c>
      <c r="C118" s="103">
        <v>0</v>
      </c>
      <c r="D118" s="104">
        <f ca="1">((100/(H107))*C118)/100</f>
        <v>0</v>
      </c>
      <c r="E118" s="163"/>
      <c r="F118" s="163"/>
      <c r="G118" s="163"/>
      <c r="H118" s="164"/>
      <c r="I118" s="49" t="s">
        <v>160</v>
      </c>
      <c r="J118" s="65">
        <f ca="1">(IF(B107=1,(H107/(B107+3)+J113),IF(B107=0,(H107/4+J113),IF(B107&gt;1,0))))</f>
        <v>10.5</v>
      </c>
    </row>
    <row r="119" spans="1:10" ht="16" thickBot="1" x14ac:dyDescent="0.4">
      <c r="A119" s="172" t="s">
        <v>145</v>
      </c>
      <c r="B119" s="173"/>
      <c r="C119" s="106">
        <v>0</v>
      </c>
      <c r="D119" s="107">
        <f ca="1">((100/(H107))*C119)/100</f>
        <v>0</v>
      </c>
      <c r="E119" s="165"/>
      <c r="F119" s="165"/>
      <c r="G119" s="165"/>
      <c r="H119" s="166"/>
      <c r="I119" s="61" t="s">
        <v>114</v>
      </c>
      <c r="J119" s="67">
        <f ca="1">(IF(B107&gt;1.5,(H107/(B107+2)+J113+MAX(0,J114-J113)+MAX(0,J115-J114)+MAX(0,J116-J115)+MAX(0,J117-J116)+MAX(0,J118-J117)),IF(B107=1,(H107/(B107+3)+J118),IF(B107=0,H107/4+J118))))</f>
        <v>14</v>
      </c>
    </row>
    <row r="120" spans="1:10" x14ac:dyDescent="0.35">
      <c r="A120" s="175" t="s">
        <v>52</v>
      </c>
      <c r="B120" s="175"/>
      <c r="C120" s="175"/>
      <c r="D120" s="175"/>
      <c r="E120" s="175"/>
      <c r="F120" s="175"/>
      <c r="G120" s="175"/>
      <c r="H120" s="175"/>
    </row>
    <row r="121" spans="1:10" x14ac:dyDescent="0.35">
      <c r="A121" s="167" t="s">
        <v>79</v>
      </c>
      <c r="B121" s="167"/>
      <c r="C121" s="167"/>
      <c r="D121" s="167"/>
      <c r="E121" s="167"/>
      <c r="F121" s="127">
        <v>4800</v>
      </c>
      <c r="G121" s="127"/>
      <c r="H121" s="127"/>
      <c r="J121" s="3" t="s">
        <v>230</v>
      </c>
    </row>
    <row r="122" spans="1:10" x14ac:dyDescent="0.35">
      <c r="A122" s="167" t="s">
        <v>85</v>
      </c>
      <c r="B122" s="167"/>
      <c r="C122" s="167"/>
      <c r="D122" s="167"/>
      <c r="E122" s="167"/>
      <c r="F122" s="127">
        <v>6500</v>
      </c>
      <c r="G122" s="127"/>
      <c r="H122" s="127"/>
      <c r="J122" s="3" t="s">
        <v>252</v>
      </c>
    </row>
    <row r="123" spans="1:10" hidden="1" x14ac:dyDescent="0.35">
      <c r="A123" s="167" t="s">
        <v>86</v>
      </c>
      <c r="B123" s="167"/>
      <c r="C123" s="167"/>
      <c r="D123" s="167"/>
      <c r="E123" s="167"/>
      <c r="F123" s="127"/>
      <c r="G123" s="127"/>
      <c r="H123" s="127"/>
    </row>
    <row r="124" spans="1:10" s="7" customFormat="1" hidden="1" x14ac:dyDescent="0.3">
      <c r="A124" s="167" t="s">
        <v>102</v>
      </c>
      <c r="B124" s="167"/>
      <c r="C124" s="167"/>
      <c r="D124" s="167"/>
      <c r="E124" s="167"/>
      <c r="F124" s="127" t="s">
        <v>30</v>
      </c>
      <c r="G124" s="127"/>
      <c r="H124" s="127"/>
    </row>
    <row r="125" spans="1:10" s="7" customFormat="1" x14ac:dyDescent="0.3">
      <c r="A125" s="167" t="s">
        <v>103</v>
      </c>
      <c r="B125" s="167"/>
      <c r="C125" s="167"/>
      <c r="D125" s="167"/>
      <c r="E125" s="167"/>
      <c r="F125" s="170">
        <v>250000</v>
      </c>
      <c r="G125" s="127"/>
      <c r="H125" s="127"/>
    </row>
    <row r="126" spans="1:10" s="7" customFormat="1" hidden="1" x14ac:dyDescent="0.3">
      <c r="A126" s="167" t="s">
        <v>104</v>
      </c>
      <c r="B126" s="167"/>
      <c r="C126" s="167"/>
      <c r="D126" s="167"/>
      <c r="E126" s="167"/>
      <c r="F126" s="127" t="s">
        <v>30</v>
      </c>
      <c r="G126" s="127"/>
      <c r="H126" s="127"/>
    </row>
    <row r="127" spans="1:10" s="7" customFormat="1" hidden="1" x14ac:dyDescent="0.3">
      <c r="A127" s="167" t="s">
        <v>105</v>
      </c>
      <c r="B127" s="167"/>
      <c r="C127" s="167"/>
      <c r="D127" s="167"/>
      <c r="E127" s="167"/>
      <c r="F127" s="127" t="s">
        <v>30</v>
      </c>
      <c r="G127" s="127"/>
      <c r="H127" s="127"/>
    </row>
    <row r="128" spans="1:10" s="7" customFormat="1" hidden="1" x14ac:dyDescent="0.3">
      <c r="A128" s="167" t="s">
        <v>106</v>
      </c>
      <c r="B128" s="167"/>
      <c r="C128" s="167"/>
      <c r="D128" s="167"/>
      <c r="E128" s="167"/>
      <c r="F128" s="127" t="s">
        <v>30</v>
      </c>
      <c r="G128" s="127"/>
      <c r="H128" s="127"/>
    </row>
    <row r="129" spans="1:8" s="7" customFormat="1" hidden="1" x14ac:dyDescent="0.3">
      <c r="A129" s="167" t="s">
        <v>107</v>
      </c>
      <c r="B129" s="167"/>
      <c r="C129" s="167"/>
      <c r="D129" s="167"/>
      <c r="E129" s="167"/>
      <c r="F129" s="127" t="s">
        <v>30</v>
      </c>
      <c r="G129" s="127"/>
      <c r="H129" s="127"/>
    </row>
    <row r="130" spans="1:8" s="7" customFormat="1" hidden="1" x14ac:dyDescent="0.3">
      <c r="A130" s="167" t="s">
        <v>108</v>
      </c>
      <c r="B130" s="167"/>
      <c r="C130" s="167"/>
      <c r="D130" s="167"/>
      <c r="E130" s="167"/>
      <c r="F130" s="127" t="s">
        <v>30</v>
      </c>
      <c r="G130" s="127"/>
      <c r="H130" s="127"/>
    </row>
    <row r="131" spans="1:8" s="7" customFormat="1" hidden="1" x14ac:dyDescent="0.3">
      <c r="A131" s="167" t="s">
        <v>109</v>
      </c>
      <c r="B131" s="167"/>
      <c r="C131" s="167"/>
      <c r="D131" s="167"/>
      <c r="E131" s="167"/>
      <c r="F131" s="127" t="s">
        <v>30</v>
      </c>
      <c r="G131" s="127"/>
      <c r="H131" s="127"/>
    </row>
    <row r="132" spans="1:8" x14ac:dyDescent="0.35">
      <c r="A132" s="167" t="s">
        <v>53</v>
      </c>
      <c r="B132" s="167"/>
      <c r="C132" s="167"/>
      <c r="D132" s="167"/>
      <c r="E132" s="167"/>
      <c r="F132" s="183">
        <v>300000</v>
      </c>
      <c r="G132" s="126"/>
      <c r="H132" s="126"/>
    </row>
    <row r="133" spans="1:8" s="4" customFormat="1" x14ac:dyDescent="0.35">
      <c r="A133" s="175" t="s">
        <v>54</v>
      </c>
      <c r="B133" s="175"/>
      <c r="C133" s="175"/>
      <c r="D133" s="175"/>
      <c r="E133" s="175"/>
      <c r="F133" s="127">
        <f>F121*0.8</f>
        <v>3840</v>
      </c>
      <c r="G133" s="127"/>
      <c r="H133" s="127"/>
    </row>
    <row r="134" spans="1:8" s="1" customFormat="1" ht="15.75" customHeight="1" x14ac:dyDescent="0.35">
      <c r="A134" s="182" t="s">
        <v>80</v>
      </c>
      <c r="B134" s="182"/>
      <c r="C134" s="182"/>
      <c r="D134" s="182"/>
      <c r="E134" s="182"/>
      <c r="F134" s="182"/>
      <c r="G134" s="182"/>
      <c r="H134" s="182"/>
    </row>
    <row r="135" spans="1:8" s="1" customFormat="1" ht="15.75" customHeight="1" x14ac:dyDescent="0.35">
      <c r="A135" s="188" t="s">
        <v>55</v>
      </c>
      <c r="B135" s="188"/>
      <c r="C135" s="189" t="s">
        <v>83</v>
      </c>
      <c r="D135" s="189"/>
      <c r="E135" s="247" t="s">
        <v>56</v>
      </c>
      <c r="F135" s="247"/>
      <c r="G135" s="188" t="s">
        <v>57</v>
      </c>
      <c r="H135" s="188"/>
    </row>
    <row r="136" spans="1:8" s="1" customFormat="1" x14ac:dyDescent="0.35">
      <c r="A136" s="185" t="s">
        <v>220</v>
      </c>
      <c r="B136" s="185"/>
      <c r="C136" s="190">
        <f>COUNT(D151:D166)</f>
        <v>16</v>
      </c>
      <c r="D136" s="191"/>
      <c r="E136" s="180">
        <f>SUM(D151:D166)</f>
        <v>4563.6023159999995</v>
      </c>
      <c r="F136" s="181"/>
      <c r="G136" s="180">
        <f>SUM(F151:F166)</f>
        <v>7301.7637055999985</v>
      </c>
      <c r="H136" s="181"/>
    </row>
    <row r="137" spans="1:8" s="1" customFormat="1" x14ac:dyDescent="0.35">
      <c r="A137" s="186" t="s">
        <v>73</v>
      </c>
      <c r="B137" s="186"/>
      <c r="C137" s="186"/>
      <c r="D137" s="186"/>
      <c r="E137" s="186"/>
      <c r="F137" s="186"/>
      <c r="G137" s="186"/>
      <c r="H137" s="186"/>
    </row>
    <row r="138" spans="1:8" s="1" customFormat="1" ht="15.75" customHeight="1" x14ac:dyDescent="0.35">
      <c r="A138" s="262" t="s">
        <v>55</v>
      </c>
      <c r="B138" s="262"/>
      <c r="C138" s="263" t="s">
        <v>83</v>
      </c>
      <c r="D138" s="263"/>
      <c r="E138" s="265" t="s">
        <v>56</v>
      </c>
      <c r="F138" s="265"/>
      <c r="G138" s="262" t="s">
        <v>57</v>
      </c>
      <c r="H138" s="262"/>
    </row>
    <row r="139" spans="1:8" s="1" customFormat="1" x14ac:dyDescent="0.35">
      <c r="A139" s="184" t="s">
        <v>220</v>
      </c>
      <c r="B139" s="184"/>
      <c r="C139" s="187">
        <f>COUNT(D174:D179,D182:D183)+COUNT(D185:D194)*5+COUNT(D196:D204)+COUNT(D207:D216)*5</f>
        <v>117</v>
      </c>
      <c r="D139" s="187"/>
      <c r="E139" s="192">
        <f>SUM(D174:D179,D182:D183)+SUM(D185:D194)*5+SUM(D196:D204)+SUM(D207:D216)*5</f>
        <v>51547.369770000005</v>
      </c>
      <c r="F139" s="192"/>
      <c r="G139" s="192">
        <f>SUM(F174:F179,F182:F183)+SUM(F185:F194)*5+SUM(F196:F204)+SUM(F207:F216)*5</f>
        <v>82939.539734999998</v>
      </c>
      <c r="H139" s="192"/>
    </row>
    <row r="140" spans="1:8" s="1" customFormat="1" x14ac:dyDescent="0.35">
      <c r="A140" s="184" t="s">
        <v>222</v>
      </c>
      <c r="B140" s="184"/>
      <c r="C140" s="187">
        <f>COUNT(D221:D232)*12+COUNT(D234:D242,D244:D245)*2</f>
        <v>166</v>
      </c>
      <c r="D140" s="187"/>
      <c r="E140" s="192">
        <f>SUM(D221:D232)*12+SUM(D234:D242,D244:D245)*2</f>
        <v>95485.93703999999</v>
      </c>
      <c r="F140" s="192"/>
      <c r="G140" s="192">
        <f>SUM(F221:F232)*12+SUM(F234:F242,F244:F245)*2</f>
        <v>143228.90555999996</v>
      </c>
      <c r="H140" s="192"/>
    </row>
    <row r="141" spans="1:8" s="1" customFormat="1" x14ac:dyDescent="0.35">
      <c r="A141" s="184" t="s">
        <v>223</v>
      </c>
      <c r="B141" s="184"/>
      <c r="C141" s="192">
        <f>COUNT(D250:D261)*12+COUNT(D263:D264,D266:D274)*2</f>
        <v>166</v>
      </c>
      <c r="D141" s="264"/>
      <c r="E141" s="192">
        <f>SUM(D250:D261)*12+SUM(D263:D264,D266:D274)*2</f>
        <v>96815.829239999992</v>
      </c>
      <c r="F141" s="264"/>
      <c r="G141" s="192">
        <f>SUM(F250:F261)*12+SUM(F263:F264,F266:F274)*2</f>
        <v>145223.74385999999</v>
      </c>
      <c r="H141" s="264"/>
    </row>
    <row r="142" spans="1:8" s="1" customFormat="1" x14ac:dyDescent="0.35">
      <c r="A142" s="182" t="s">
        <v>163</v>
      </c>
      <c r="B142" s="182"/>
      <c r="C142" s="189">
        <f>SUM(C139:D141)</f>
        <v>449</v>
      </c>
      <c r="D142" s="189"/>
      <c r="E142" s="246">
        <f>SUM(E139:F141)</f>
        <v>243849.13604999997</v>
      </c>
      <c r="F142" s="247"/>
      <c r="G142" s="188">
        <f>SUM(G139:H141)</f>
        <v>371392.18915499991</v>
      </c>
      <c r="H142" s="188"/>
    </row>
    <row r="143" spans="1:8" s="4" customFormat="1" x14ac:dyDescent="0.35">
      <c r="A143" s="131" t="s">
        <v>58</v>
      </c>
      <c r="B143" s="131"/>
      <c r="C143" s="131"/>
      <c r="D143" s="131"/>
      <c r="E143" s="131"/>
      <c r="F143" s="131"/>
      <c r="G143" s="131"/>
      <c r="H143" s="131"/>
    </row>
    <row r="144" spans="1:8" x14ac:dyDescent="0.35">
      <c r="A144" s="131" t="s">
        <v>59</v>
      </c>
      <c r="B144" s="131"/>
      <c r="C144" s="131"/>
      <c r="D144" s="131"/>
      <c r="E144" s="131"/>
      <c r="F144" s="131"/>
      <c r="G144" s="131"/>
      <c r="H144" s="131"/>
    </row>
    <row r="145" spans="1:14" ht="47.25" customHeight="1" x14ac:dyDescent="0.35">
      <c r="A145" s="168" t="s">
        <v>130</v>
      </c>
      <c r="B145" s="168" t="s">
        <v>129</v>
      </c>
      <c r="C145" s="168" t="s">
        <v>60</v>
      </c>
      <c r="D145" s="168" t="s">
        <v>61</v>
      </c>
      <c r="E145" s="252" t="s">
        <v>62</v>
      </c>
      <c r="F145" s="36" t="s">
        <v>162</v>
      </c>
      <c r="G145" s="193" t="s">
        <v>63</v>
      </c>
      <c r="H145" s="254"/>
    </row>
    <row r="146" spans="1:14" s="2" customFormat="1" x14ac:dyDescent="0.35">
      <c r="A146" s="169"/>
      <c r="B146" s="169"/>
      <c r="C146" s="169"/>
      <c r="D146" s="169"/>
      <c r="E146" s="253"/>
      <c r="F146" s="37">
        <v>0.6</v>
      </c>
      <c r="G146" s="194"/>
      <c r="H146" s="255"/>
    </row>
    <row r="147" spans="1:14" x14ac:dyDescent="0.35">
      <c r="A147" s="131" t="s">
        <v>221</v>
      </c>
      <c r="B147" s="131"/>
      <c r="C147" s="131"/>
      <c r="D147" s="131"/>
      <c r="E147" s="131"/>
      <c r="F147" s="131"/>
      <c r="G147" s="131"/>
      <c r="H147" s="131"/>
    </row>
    <row r="148" spans="1:14" x14ac:dyDescent="0.35">
      <c r="A148" s="131" t="s">
        <v>167</v>
      </c>
      <c r="B148" s="131"/>
      <c r="C148" s="131"/>
      <c r="D148" s="131"/>
      <c r="E148" s="131"/>
      <c r="F148" s="131"/>
      <c r="G148" s="131"/>
      <c r="H148" s="131"/>
    </row>
    <row r="149" spans="1:14" x14ac:dyDescent="0.35">
      <c r="A149" s="131" t="s">
        <v>220</v>
      </c>
      <c r="B149" s="131"/>
      <c r="C149" s="131"/>
      <c r="D149" s="131"/>
      <c r="E149" s="131"/>
      <c r="F149" s="131"/>
      <c r="G149" s="131"/>
      <c r="H149" s="131"/>
    </row>
    <row r="150" spans="1:14" s="2" customFormat="1" x14ac:dyDescent="0.35">
      <c r="A150" s="134" t="s">
        <v>177</v>
      </c>
      <c r="B150" s="135"/>
      <c r="C150" s="135"/>
      <c r="D150" s="135"/>
      <c r="E150" s="135"/>
      <c r="F150" s="135"/>
      <c r="G150" s="135"/>
      <c r="H150" s="136"/>
      <c r="J150" s="39"/>
    </row>
    <row r="151" spans="1:14" s="2" customFormat="1" ht="15.75" customHeight="1" x14ac:dyDescent="0.35">
      <c r="A151" s="132">
        <v>1</v>
      </c>
      <c r="B151" s="133"/>
      <c r="C151" s="38" t="s">
        <v>168</v>
      </c>
      <c r="D151" s="98">
        <f>(2.95*7.15)*10.764</f>
        <v>227.03967</v>
      </c>
      <c r="E151" s="38">
        <v>0</v>
      </c>
      <c r="F151" s="38">
        <f>D151*(($F$146)+1)+(IF(E151&lt;101,E151,IF(E151&lt;201,E151/2,IF(E151&lt;=301,E151/3,E151/4))))</f>
        <v>363.26347200000004</v>
      </c>
      <c r="G151" s="137" t="str">
        <f>A150</f>
        <v>Ground Floor for Commercial &amp; Parking</v>
      </c>
      <c r="H151" s="138"/>
      <c r="I151" s="39"/>
      <c r="L151" s="153"/>
      <c r="M151" s="153"/>
      <c r="N151" s="39"/>
    </row>
    <row r="152" spans="1:14" s="2" customFormat="1" ht="15.75" customHeight="1" x14ac:dyDescent="0.35">
      <c r="A152" s="132">
        <f t="shared" ref="A152:A166" si="0">A151+1</f>
        <v>2</v>
      </c>
      <c r="B152" s="133"/>
      <c r="C152" s="94" t="s">
        <v>168</v>
      </c>
      <c r="D152" s="98">
        <f>(2.75*8.9)*10.764</f>
        <v>263.44889999999998</v>
      </c>
      <c r="E152" s="55">
        <v>0</v>
      </c>
      <c r="F152" s="89">
        <f t="shared" ref="F152:F157" si="1">D152*(($F$146)+1)+(IF(E152&lt;101,E152,IF(E152&lt;201,E152/2,IF(E152&lt;=301,E152/3,E152/4))))</f>
        <v>421.51823999999999</v>
      </c>
      <c r="G152" s="139"/>
      <c r="H152" s="140"/>
      <c r="I152" s="39"/>
      <c r="L152" s="153"/>
      <c r="M152" s="153"/>
      <c r="N152" s="39"/>
    </row>
    <row r="153" spans="1:14" s="2" customFormat="1" ht="15.75" customHeight="1" x14ac:dyDescent="0.35">
      <c r="A153" s="132">
        <f t="shared" si="0"/>
        <v>3</v>
      </c>
      <c r="B153" s="133"/>
      <c r="C153" s="94" t="s">
        <v>168</v>
      </c>
      <c r="D153" s="98">
        <f>(2.75*8.9)*10.764</f>
        <v>263.44889999999998</v>
      </c>
      <c r="E153" s="55">
        <v>0</v>
      </c>
      <c r="F153" s="89">
        <f t="shared" si="1"/>
        <v>421.51823999999999</v>
      </c>
      <c r="G153" s="139"/>
      <c r="H153" s="140"/>
      <c r="I153" s="39"/>
      <c r="L153" s="153"/>
      <c r="M153" s="153"/>
      <c r="N153" s="39"/>
    </row>
    <row r="154" spans="1:14" s="2" customFormat="1" ht="15.75" customHeight="1" x14ac:dyDescent="0.35">
      <c r="A154" s="132">
        <f t="shared" si="0"/>
        <v>4</v>
      </c>
      <c r="B154" s="133"/>
      <c r="C154" s="94" t="s">
        <v>168</v>
      </c>
      <c r="D154" s="98">
        <f>(2.75*8.9)*10.764</f>
        <v>263.44889999999998</v>
      </c>
      <c r="E154" s="55">
        <v>0</v>
      </c>
      <c r="F154" s="89">
        <f t="shared" si="1"/>
        <v>421.51823999999999</v>
      </c>
      <c r="G154" s="139"/>
      <c r="H154" s="140"/>
      <c r="I154" s="39"/>
      <c r="L154" s="153"/>
      <c r="M154" s="153"/>
      <c r="N154" s="39"/>
    </row>
    <row r="155" spans="1:14" s="2" customFormat="1" ht="15.75" customHeight="1" x14ac:dyDescent="0.35">
      <c r="A155" s="132">
        <f t="shared" si="0"/>
        <v>5</v>
      </c>
      <c r="B155" s="133"/>
      <c r="C155" s="94" t="s">
        <v>168</v>
      </c>
      <c r="D155" s="98">
        <f>(2.75*8.9)*10.764</f>
        <v>263.44889999999998</v>
      </c>
      <c r="E155" s="55">
        <v>0</v>
      </c>
      <c r="F155" s="89">
        <f t="shared" si="1"/>
        <v>421.51823999999999</v>
      </c>
      <c r="G155" s="139"/>
      <c r="H155" s="140"/>
      <c r="I155" s="39"/>
      <c r="L155" s="153"/>
      <c r="M155" s="153"/>
      <c r="N155" s="39"/>
    </row>
    <row r="156" spans="1:14" s="2" customFormat="1" ht="15.75" customHeight="1" x14ac:dyDescent="0.35">
      <c r="A156" s="132">
        <f t="shared" si="0"/>
        <v>6</v>
      </c>
      <c r="B156" s="133"/>
      <c r="C156" s="94" t="s">
        <v>168</v>
      </c>
      <c r="D156" s="98">
        <f>(3.05*8.9)*10.764</f>
        <v>292.18877999999995</v>
      </c>
      <c r="E156" s="55">
        <v>0</v>
      </c>
      <c r="F156" s="89">
        <f t="shared" si="1"/>
        <v>467.50204799999995</v>
      </c>
      <c r="G156" s="139"/>
      <c r="H156" s="140"/>
      <c r="I156" s="39"/>
      <c r="L156" s="153"/>
      <c r="M156" s="153"/>
      <c r="N156" s="39"/>
    </row>
    <row r="157" spans="1:14" s="2" customFormat="1" ht="15.75" customHeight="1" x14ac:dyDescent="0.35">
      <c r="A157" s="132">
        <f t="shared" si="0"/>
        <v>7</v>
      </c>
      <c r="B157" s="133"/>
      <c r="C157" s="94" t="s">
        <v>168</v>
      </c>
      <c r="D157" s="98">
        <f>(2.75*8.3+1*1.15)*10.764</f>
        <v>258.06689999999998</v>
      </c>
      <c r="E157" s="55">
        <v>0</v>
      </c>
      <c r="F157" s="89">
        <f t="shared" si="1"/>
        <v>412.90703999999999</v>
      </c>
      <c r="G157" s="139"/>
      <c r="H157" s="140"/>
      <c r="I157" s="39"/>
      <c r="L157" s="153"/>
      <c r="M157" s="153"/>
      <c r="N157" s="39"/>
    </row>
    <row r="158" spans="1:14" s="95" customFormat="1" ht="15.75" customHeight="1" x14ac:dyDescent="0.35">
      <c r="A158" s="132">
        <f t="shared" si="0"/>
        <v>8</v>
      </c>
      <c r="B158" s="133"/>
      <c r="C158" s="94" t="s">
        <v>168</v>
      </c>
      <c r="D158" s="98">
        <f>(2.2*8.3)*10.764</f>
        <v>196.55064000000002</v>
      </c>
      <c r="E158" s="94">
        <v>0</v>
      </c>
      <c r="F158" s="94">
        <f t="shared" ref="F158:F163" si="2">D158*(($F$146)+1)+(IF(E158&lt;101,E158,IF(E158&lt;201,E158/2,IF(E158&lt;=301,E158/3,E158/4))))</f>
        <v>314.48102400000005</v>
      </c>
      <c r="G158" s="139"/>
      <c r="H158" s="140"/>
      <c r="I158" s="39"/>
      <c r="L158" s="153"/>
      <c r="M158" s="153"/>
      <c r="N158" s="39"/>
    </row>
    <row r="159" spans="1:14" s="95" customFormat="1" ht="15.75" customHeight="1" x14ac:dyDescent="0.35">
      <c r="A159" s="132">
        <f t="shared" si="0"/>
        <v>9</v>
      </c>
      <c r="B159" s="133"/>
      <c r="C159" s="94" t="s">
        <v>168</v>
      </c>
      <c r="D159" s="98">
        <f>(4.25*8.45+6.25*1.4)*10.764</f>
        <v>480.74714999999992</v>
      </c>
      <c r="E159" s="94">
        <v>0</v>
      </c>
      <c r="F159" s="94">
        <f t="shared" si="2"/>
        <v>769.19543999999996</v>
      </c>
      <c r="G159" s="139"/>
      <c r="H159" s="140"/>
      <c r="I159" s="39"/>
      <c r="L159" s="153"/>
      <c r="M159" s="153"/>
      <c r="N159" s="39"/>
    </row>
    <row r="160" spans="1:14" s="95" customFormat="1" ht="15.75" customHeight="1" x14ac:dyDescent="0.35">
      <c r="A160" s="132">
        <f t="shared" si="0"/>
        <v>10</v>
      </c>
      <c r="B160" s="133"/>
      <c r="C160" s="94" t="s">
        <v>168</v>
      </c>
      <c r="D160" s="98">
        <f>(2.2*8.3)*10.764</f>
        <v>196.55064000000002</v>
      </c>
      <c r="E160" s="94">
        <v>0</v>
      </c>
      <c r="F160" s="94">
        <f t="shared" si="2"/>
        <v>314.48102400000005</v>
      </c>
      <c r="G160" s="139"/>
      <c r="H160" s="140"/>
      <c r="I160" s="39"/>
      <c r="L160" s="153"/>
      <c r="M160" s="153"/>
      <c r="N160" s="39"/>
    </row>
    <row r="161" spans="1:14" s="95" customFormat="1" ht="15.75" customHeight="1" x14ac:dyDescent="0.35">
      <c r="A161" s="132">
        <f t="shared" si="0"/>
        <v>11</v>
      </c>
      <c r="B161" s="133"/>
      <c r="C161" s="94" t="s">
        <v>168</v>
      </c>
      <c r="D161" s="98">
        <f>(3.05*8.3)*10.764</f>
        <v>272.49065999999999</v>
      </c>
      <c r="E161" s="94">
        <v>0</v>
      </c>
      <c r="F161" s="94">
        <f t="shared" si="2"/>
        <v>435.98505599999999</v>
      </c>
      <c r="G161" s="139"/>
      <c r="H161" s="140"/>
      <c r="I161" s="39"/>
      <c r="L161" s="153"/>
      <c r="M161" s="153"/>
      <c r="N161" s="39"/>
    </row>
    <row r="162" spans="1:14" s="95" customFormat="1" ht="15.75" customHeight="1" x14ac:dyDescent="0.35">
      <c r="A162" s="132">
        <f t="shared" si="0"/>
        <v>12</v>
      </c>
      <c r="B162" s="133"/>
      <c r="C162" s="94" t="s">
        <v>168</v>
      </c>
      <c r="D162" s="98">
        <f>(4.4*8.3+3.05*1.55)*10.764</f>
        <v>443.98809</v>
      </c>
      <c r="E162" s="94">
        <v>0</v>
      </c>
      <c r="F162" s="94">
        <f t="shared" si="2"/>
        <v>710.380944</v>
      </c>
      <c r="G162" s="139"/>
      <c r="H162" s="140"/>
      <c r="I162" s="39"/>
      <c r="L162" s="153"/>
      <c r="M162" s="153"/>
      <c r="N162" s="39"/>
    </row>
    <row r="163" spans="1:14" s="95" customFormat="1" ht="15.75" customHeight="1" x14ac:dyDescent="0.35">
      <c r="A163" s="132">
        <f t="shared" si="0"/>
        <v>13</v>
      </c>
      <c r="B163" s="133"/>
      <c r="C163" s="94" t="s">
        <v>168</v>
      </c>
      <c r="D163" s="98">
        <f>(2.75*8.3)*10.764</f>
        <v>245.68830000000003</v>
      </c>
      <c r="E163" s="94">
        <v>0</v>
      </c>
      <c r="F163" s="94">
        <f t="shared" si="2"/>
        <v>393.10128000000009</v>
      </c>
      <c r="G163" s="139"/>
      <c r="H163" s="140"/>
      <c r="I163" s="39"/>
      <c r="L163" s="153"/>
      <c r="M163" s="153"/>
      <c r="N163" s="39"/>
    </row>
    <row r="164" spans="1:14" s="95" customFormat="1" ht="15.75" customHeight="1" x14ac:dyDescent="0.35">
      <c r="A164" s="132">
        <f t="shared" si="0"/>
        <v>14</v>
      </c>
      <c r="B164" s="133"/>
      <c r="C164" s="94" t="s">
        <v>168</v>
      </c>
      <c r="D164" s="98">
        <f>(3.05*7.15)*10.764</f>
        <v>234.73593</v>
      </c>
      <c r="E164" s="94">
        <v>0</v>
      </c>
      <c r="F164" s="94">
        <f t="shared" ref="F164:F166" si="3">D164*(($F$146)+1)+(IF(E164&lt;101,E164,IF(E164&lt;201,E164/2,IF(E164&lt;=301,E164/3,E164/4))))</f>
        <v>375.57748800000002</v>
      </c>
      <c r="G164" s="139"/>
      <c r="H164" s="140"/>
      <c r="I164" s="39"/>
      <c r="L164" s="153"/>
      <c r="M164" s="153"/>
      <c r="N164" s="39"/>
    </row>
    <row r="165" spans="1:14" s="95" customFormat="1" ht="15.75" customHeight="1" x14ac:dyDescent="0.35">
      <c r="A165" s="132">
        <f t="shared" si="0"/>
        <v>15</v>
      </c>
      <c r="B165" s="133"/>
      <c r="C165" s="94" t="s">
        <v>168</v>
      </c>
      <c r="D165" s="98">
        <f>(2.97*10.35)*10.764</f>
        <v>330.87997799999999</v>
      </c>
      <c r="E165" s="94">
        <v>0</v>
      </c>
      <c r="F165" s="94">
        <f t="shared" si="3"/>
        <v>529.40796480000006</v>
      </c>
      <c r="G165" s="139"/>
      <c r="H165" s="140"/>
      <c r="I165" s="39"/>
      <c r="L165" s="153"/>
      <c r="M165" s="153"/>
      <c r="N165" s="39"/>
    </row>
    <row r="166" spans="1:14" s="95" customFormat="1" ht="15.75" customHeight="1" x14ac:dyDescent="0.35">
      <c r="A166" s="132">
        <f t="shared" si="0"/>
        <v>16</v>
      </c>
      <c r="B166" s="133"/>
      <c r="C166" s="94" t="s">
        <v>168</v>
      </c>
      <c r="D166" s="98">
        <f>(2.97*10.35)*10.764</f>
        <v>330.87997799999999</v>
      </c>
      <c r="E166" s="94">
        <v>0</v>
      </c>
      <c r="F166" s="94">
        <f t="shared" si="3"/>
        <v>529.40796480000006</v>
      </c>
      <c r="G166" s="141"/>
      <c r="H166" s="142"/>
      <c r="I166" s="39"/>
      <c r="L166" s="153"/>
      <c r="M166" s="153"/>
      <c r="N166" s="39"/>
    </row>
    <row r="167" spans="1:14" s="41" customFormat="1" x14ac:dyDescent="0.35">
      <c r="A167" s="132"/>
      <c r="B167" s="152"/>
      <c r="C167" s="152"/>
      <c r="D167" s="152"/>
      <c r="E167" s="152"/>
      <c r="F167" s="152"/>
      <c r="G167" s="152"/>
      <c r="H167" s="133"/>
      <c r="I167" s="39"/>
      <c r="N167" s="39"/>
    </row>
    <row r="168" spans="1:14" ht="47.25" customHeight="1" x14ac:dyDescent="0.35">
      <c r="A168" s="193" t="s">
        <v>131</v>
      </c>
      <c r="B168" s="193" t="s">
        <v>132</v>
      </c>
      <c r="C168" s="168" t="s">
        <v>60</v>
      </c>
      <c r="D168" s="168" t="s">
        <v>61</v>
      </c>
      <c r="E168" s="252" t="s">
        <v>62</v>
      </c>
      <c r="F168" s="42" t="s">
        <v>162</v>
      </c>
      <c r="G168" s="193" t="s">
        <v>63</v>
      </c>
      <c r="H168" s="254"/>
      <c r="I168" s="39"/>
    </row>
    <row r="169" spans="1:14" s="41" customFormat="1" x14ac:dyDescent="0.35">
      <c r="A169" s="194"/>
      <c r="B169" s="194"/>
      <c r="C169" s="169"/>
      <c r="D169" s="169"/>
      <c r="E169" s="253"/>
      <c r="F169" s="37">
        <v>0.5</v>
      </c>
      <c r="G169" s="194"/>
      <c r="H169" s="255"/>
      <c r="I169" s="39"/>
    </row>
    <row r="170" spans="1:14" x14ac:dyDescent="0.35">
      <c r="A170" s="131" t="s">
        <v>221</v>
      </c>
      <c r="B170" s="131"/>
      <c r="C170" s="131"/>
      <c r="D170" s="131"/>
      <c r="E170" s="131"/>
      <c r="F170" s="131"/>
      <c r="G170" s="131"/>
      <c r="H170" s="131"/>
    </row>
    <row r="171" spans="1:14" x14ac:dyDescent="0.35">
      <c r="A171" s="131" t="s">
        <v>167</v>
      </c>
      <c r="B171" s="131"/>
      <c r="C171" s="131"/>
      <c r="D171" s="131"/>
      <c r="E171" s="131"/>
      <c r="F171" s="131"/>
      <c r="G171" s="131"/>
      <c r="H171" s="131"/>
    </row>
    <row r="172" spans="1:14" x14ac:dyDescent="0.35">
      <c r="A172" s="131" t="s">
        <v>220</v>
      </c>
      <c r="B172" s="131"/>
      <c r="C172" s="131"/>
      <c r="D172" s="131"/>
      <c r="E172" s="131"/>
      <c r="F172" s="131"/>
      <c r="G172" s="131"/>
      <c r="H172" s="131"/>
    </row>
    <row r="173" spans="1:14" s="2" customFormat="1" x14ac:dyDescent="0.35">
      <c r="A173" s="155" t="s">
        <v>169</v>
      </c>
      <c r="B173" s="155"/>
      <c r="C173" s="155"/>
      <c r="D173" s="155"/>
      <c r="E173" s="155"/>
      <c r="F173" s="155"/>
      <c r="G173" s="155"/>
      <c r="H173" s="155"/>
      <c r="I173" s="39"/>
      <c r="L173" s="153"/>
      <c r="M173" s="153"/>
    </row>
    <row r="174" spans="1:14" s="2" customFormat="1" ht="15.75" customHeight="1" x14ac:dyDescent="0.35">
      <c r="A174" s="154">
        <v>1</v>
      </c>
      <c r="B174" s="154"/>
      <c r="C174" s="99" t="s">
        <v>171</v>
      </c>
      <c r="D174" s="98">
        <f>(3.05*4.05+1.8*1.85+2.3*1.85+2.75*3.55+1.2*1.8+1.2*1.8+1*2.9+0.45*1.85+0.4*1.85+1.2*2.4+1.8*2.7)*10.764</f>
        <v>497.64663000000002</v>
      </c>
      <c r="E174" s="99">
        <f>(2.05*2)*10.764</f>
        <v>44.132399999999997</v>
      </c>
      <c r="F174" s="92">
        <f t="shared" ref="F174:F175" si="4">D174*(($F$169)+1)+(IF(E174&lt;101,E174,IF(E174&lt;201,E174/2,IF(E174&lt;=301,E174/3,E174/4))))</f>
        <v>790.60234500000001</v>
      </c>
      <c r="G174" s="137" t="str">
        <f>A173</f>
        <v>1st Floor for Residential</v>
      </c>
      <c r="H174" s="138"/>
      <c r="I174" s="39"/>
      <c r="L174" s="53"/>
      <c r="M174" s="53"/>
      <c r="N174" s="39"/>
    </row>
    <row r="175" spans="1:14" s="2" customFormat="1" ht="15.75" customHeight="1" x14ac:dyDescent="0.35">
      <c r="A175" s="154">
        <f t="shared" ref="A175:A183" si="5">A174+1</f>
        <v>2</v>
      </c>
      <c r="B175" s="154"/>
      <c r="C175" s="99" t="s">
        <v>172</v>
      </c>
      <c r="D175" s="98">
        <f>(3.05*4.05+1.7*1.95+1.7*2.3+1.8*1.2+1.8*1.2+1.2*1.2+1*1.2+0.25*1.7+0.45*1.7+1.35*2.15+1.8*2.75)*10.764</f>
        <v>382.98311999999999</v>
      </c>
      <c r="E175" s="99">
        <f>(2*2.25)*10.764</f>
        <v>48.437999999999995</v>
      </c>
      <c r="F175" s="92">
        <f t="shared" si="4"/>
        <v>622.91268000000002</v>
      </c>
      <c r="G175" s="139"/>
      <c r="H175" s="140"/>
      <c r="I175" s="39"/>
      <c r="L175" s="53"/>
      <c r="M175" s="53"/>
      <c r="N175" s="39"/>
    </row>
    <row r="176" spans="1:14" s="2" customFormat="1" ht="15.75" customHeight="1" x14ac:dyDescent="0.35">
      <c r="A176" s="154">
        <f t="shared" si="5"/>
        <v>3</v>
      </c>
      <c r="B176" s="154"/>
      <c r="C176" s="99" t="s">
        <v>172</v>
      </c>
      <c r="D176" s="98">
        <f>(3.05*4.05+1.7*1.95+1.7*2.3+1.8*1.2+1.8*1.2+1.2*1.2+1*1.2+0.25*1.7+0.45*1.7+1.35*2.15+1.8*2.75)*10.764</f>
        <v>382.98311999999999</v>
      </c>
      <c r="E176" s="99">
        <f>(2*2.25)*10.764</f>
        <v>48.437999999999995</v>
      </c>
      <c r="F176" s="89">
        <f>D176*(($F$169)+1)+(IF(E176&lt;101,E176,IF(E176&lt;201,E176/2,IF(E176&lt;=301,E176/3,E176/4))))</f>
        <v>622.91268000000002</v>
      </c>
      <c r="G176" s="139"/>
      <c r="H176" s="140"/>
      <c r="I176" s="39"/>
      <c r="L176" s="53"/>
      <c r="M176" s="53"/>
      <c r="N176" s="39"/>
    </row>
    <row r="177" spans="1:14" s="2" customFormat="1" ht="15.75" customHeight="1" x14ac:dyDescent="0.35">
      <c r="A177" s="154">
        <f t="shared" si="5"/>
        <v>4</v>
      </c>
      <c r="B177" s="154"/>
      <c r="C177" s="99" t="s">
        <v>171</v>
      </c>
      <c r="D177" s="98">
        <f>(3.05*4.05+1.8*1.85+2.3*1.85+2.75*3.55+1.2*1.8+1.2*1.8+1*2.9+0.45*1.85+0.4*1.85+1.2*2.4+1.8*2.7)*10.764</f>
        <v>497.64663000000002</v>
      </c>
      <c r="E177" s="99">
        <f>(2.05*2)*10.764</f>
        <v>44.132399999999997</v>
      </c>
      <c r="F177" s="92">
        <f t="shared" ref="F177:F179" si="6">D177*(($F$169)+1)+(IF(E177&lt;101,E177,IF(E177&lt;201,E177/2,IF(E177&lt;=301,E177/3,E177/4))))</f>
        <v>790.60234500000001</v>
      </c>
      <c r="G177" s="139"/>
      <c r="H177" s="140"/>
      <c r="I177" s="39"/>
      <c r="L177" s="53"/>
      <c r="M177" s="53"/>
      <c r="N177" s="39"/>
    </row>
    <row r="178" spans="1:14" s="2" customFormat="1" ht="15.75" customHeight="1" x14ac:dyDescent="0.35">
      <c r="A178" s="154">
        <f t="shared" si="5"/>
        <v>5</v>
      </c>
      <c r="B178" s="154"/>
      <c r="C178" s="99" t="s">
        <v>172</v>
      </c>
      <c r="D178" s="98">
        <f>(3.05*4.05+1.8*1.85+3.05*3.35+1.2*1.8+1.2*1.8+1*1.2+0.45*1.85+0.45*1.7+1.2*2.25+0.75*3.05)*10.764</f>
        <v>409.08582000000001</v>
      </c>
      <c r="E178" s="99">
        <f>(2.05*2)*10.764</f>
        <v>44.132399999999997</v>
      </c>
      <c r="F178" s="92">
        <f t="shared" si="6"/>
        <v>657.76112999999998</v>
      </c>
      <c r="G178" s="139"/>
      <c r="H178" s="140"/>
      <c r="I178" s="39"/>
      <c r="L178" s="53"/>
      <c r="M178" s="53"/>
      <c r="N178" s="39"/>
    </row>
    <row r="179" spans="1:14" s="2" customFormat="1" ht="15.75" customHeight="1" x14ac:dyDescent="0.35">
      <c r="A179" s="154">
        <f t="shared" si="5"/>
        <v>6</v>
      </c>
      <c r="B179" s="154"/>
      <c r="C179" s="99" t="s">
        <v>171</v>
      </c>
      <c r="D179" s="98">
        <f>(3.05*4.05+1.8*1.85+2.3*1.85+2.75*3.55+1.2*1.8+1.2*1.8+1*2.9+0.45*1.85+0.4*1.85+1.2*2.4+1.8*2.7)*10.764</f>
        <v>497.64663000000002</v>
      </c>
      <c r="E179" s="99">
        <f>(2.05*2)*10.764</f>
        <v>44.132399999999997</v>
      </c>
      <c r="F179" s="92">
        <f t="shared" si="6"/>
        <v>790.60234500000001</v>
      </c>
      <c r="G179" s="139"/>
      <c r="H179" s="140"/>
      <c r="I179" s="39"/>
      <c r="L179" s="53"/>
      <c r="M179" s="53"/>
      <c r="N179" s="39"/>
    </row>
    <row r="180" spans="1:14" s="95" customFormat="1" ht="15.75" customHeight="1" x14ac:dyDescent="0.35">
      <c r="A180" s="154">
        <f t="shared" si="5"/>
        <v>7</v>
      </c>
      <c r="B180" s="154"/>
      <c r="C180" s="137" t="s">
        <v>170</v>
      </c>
      <c r="D180" s="159"/>
      <c r="E180" s="159"/>
      <c r="F180" s="138"/>
      <c r="G180" s="139"/>
      <c r="H180" s="140"/>
      <c r="I180" s="39"/>
      <c r="N180" s="39"/>
    </row>
    <row r="181" spans="1:14" s="95" customFormat="1" ht="15.75" customHeight="1" x14ac:dyDescent="0.35">
      <c r="A181" s="154">
        <f t="shared" si="5"/>
        <v>8</v>
      </c>
      <c r="B181" s="154"/>
      <c r="C181" s="141"/>
      <c r="D181" s="160"/>
      <c r="E181" s="160"/>
      <c r="F181" s="142"/>
      <c r="G181" s="139"/>
      <c r="H181" s="140"/>
      <c r="I181" s="39"/>
      <c r="N181" s="39"/>
    </row>
    <row r="182" spans="1:14" s="95" customFormat="1" ht="15.75" customHeight="1" x14ac:dyDescent="0.35">
      <c r="A182" s="154">
        <f t="shared" si="5"/>
        <v>9</v>
      </c>
      <c r="B182" s="154"/>
      <c r="C182" s="99" t="s">
        <v>171</v>
      </c>
      <c r="D182" s="99">
        <f>(3.05*4.05+1.8*1.85+2.3*1.85+2.75*3.55+1.2*1.8+1.2*1.8+1*2.9+0.4*1.85+0.45*1.85+1.2*2.4+1.8*2.7)*10.764</f>
        <v>497.64663000000002</v>
      </c>
      <c r="E182" s="99">
        <f>(2.05*2)*10.764</f>
        <v>44.132399999999997</v>
      </c>
      <c r="F182" s="94">
        <f t="shared" ref="F182:F183" si="7">D182*(($F$169)+1)+(IF(E182&lt;101,E182,IF(E182&lt;201,E182/2,IF(E182&lt;=301,E182/3,E182/4))))</f>
        <v>790.60234500000001</v>
      </c>
      <c r="G182" s="139"/>
      <c r="H182" s="140"/>
      <c r="I182" s="39"/>
      <c r="N182" s="39"/>
    </row>
    <row r="183" spans="1:14" s="95" customFormat="1" ht="15.75" customHeight="1" x14ac:dyDescent="0.35">
      <c r="A183" s="154">
        <f t="shared" si="5"/>
        <v>10</v>
      </c>
      <c r="B183" s="154"/>
      <c r="C183" s="99" t="s">
        <v>172</v>
      </c>
      <c r="D183" s="98">
        <f>(3.05*4.05+1.8*1.85+3.05*3.35+1.2*1.8+1.2*1.8+1*1.2+0.45*1.85+0.45*1.7+1.2*2.25+0.75*3.05)*10.764</f>
        <v>409.08582000000001</v>
      </c>
      <c r="E183" s="99">
        <f>(2.05*2)*10.764</f>
        <v>44.132399999999997</v>
      </c>
      <c r="F183" s="94">
        <f t="shared" si="7"/>
        <v>657.76112999999998</v>
      </c>
      <c r="G183" s="141"/>
      <c r="H183" s="142"/>
      <c r="I183" s="39"/>
      <c r="N183" s="39"/>
    </row>
    <row r="184" spans="1:14" s="95" customFormat="1" x14ac:dyDescent="0.35">
      <c r="A184" s="155" t="s">
        <v>173</v>
      </c>
      <c r="B184" s="155"/>
      <c r="C184" s="155"/>
      <c r="D184" s="155"/>
      <c r="E184" s="155"/>
      <c r="F184" s="155"/>
      <c r="G184" s="155"/>
      <c r="H184" s="155"/>
      <c r="I184" s="39"/>
      <c r="L184" s="153"/>
      <c r="M184" s="153"/>
    </row>
    <row r="185" spans="1:14" s="95" customFormat="1" ht="15.75" customHeight="1" x14ac:dyDescent="0.35">
      <c r="A185" s="154">
        <v>1</v>
      </c>
      <c r="B185" s="154"/>
      <c r="C185" s="99" t="s">
        <v>171</v>
      </c>
      <c r="D185" s="98">
        <f>(3.05*4.05+1.8*1.85+2.3*1.85+2.75*3.55+1.2*1.8+1.2*1.8+1*2.9+0.45*1.85+0.4*1.85+1.2*2.4+1.8*2.7+1.9*0.75)*10.764</f>
        <v>512.98532999999998</v>
      </c>
      <c r="E185" s="99">
        <f>(3.05*1.85+1.7*1.95)*10.764</f>
        <v>96.41852999999999</v>
      </c>
      <c r="F185" s="94">
        <f t="shared" ref="F185:F186" si="8">D185*(($F$169)+1)+(IF(E185&lt;101,E185,IF(E185&lt;201,E185/2,IF(E185&lt;=301,E185/3,E185/4))))</f>
        <v>865.896525</v>
      </c>
      <c r="G185" s="137" t="str">
        <f>A184</f>
        <v>2nd, 4th, 6th, 10th &amp; 12th Floor</v>
      </c>
      <c r="H185" s="138"/>
      <c r="I185" s="39"/>
      <c r="N185" s="39"/>
    </row>
    <row r="186" spans="1:14" s="95" customFormat="1" ht="15.75" customHeight="1" x14ac:dyDescent="0.35">
      <c r="A186" s="154">
        <f t="shared" ref="A186:A194" si="9">A185+1</f>
        <v>2</v>
      </c>
      <c r="B186" s="154"/>
      <c r="C186" s="99" t="s">
        <v>172</v>
      </c>
      <c r="D186" s="98">
        <f>(3.05*4.05+1.7*1.95+1.7*2.3+1.8*1.2+1.8*1.2+1.2*1.2+1*1.2+0.25*1.7+0.45*1.7+1.35*2.15+1.8*2.75+1.9*0.75)*10.764</f>
        <v>398.32181999999995</v>
      </c>
      <c r="E186" s="99">
        <v>0</v>
      </c>
      <c r="F186" s="94">
        <f t="shared" si="8"/>
        <v>597.48272999999995</v>
      </c>
      <c r="G186" s="139"/>
      <c r="H186" s="140"/>
      <c r="I186" s="39"/>
      <c r="N186" s="39"/>
    </row>
    <row r="187" spans="1:14" s="95" customFormat="1" ht="15.75" customHeight="1" x14ac:dyDescent="0.35">
      <c r="A187" s="154">
        <f t="shared" si="9"/>
        <v>3</v>
      </c>
      <c r="B187" s="154"/>
      <c r="C187" s="99" t="s">
        <v>172</v>
      </c>
      <c r="D187" s="98">
        <f>(3.05*4.05+1.7*1.95+1.7*2.3+1.8*1.2+1.8*1.2+1.2*1.2+1*1.2+0.25*1.7+0.45*1.7+1.35*2.15+1.8*2.75+1.9*0.75)*10.764</f>
        <v>398.32181999999995</v>
      </c>
      <c r="E187" s="99">
        <v>0</v>
      </c>
      <c r="F187" s="94">
        <f>D187*(($F$169)+1)+(IF(E187&lt;101,E187,IF(E187&lt;201,E187/2,IF(E187&lt;=301,E187/3,E187/4))))</f>
        <v>597.48272999999995</v>
      </c>
      <c r="G187" s="139"/>
      <c r="H187" s="140"/>
      <c r="I187" s="39"/>
      <c r="N187" s="39"/>
    </row>
    <row r="188" spans="1:14" s="95" customFormat="1" ht="15.75" customHeight="1" x14ac:dyDescent="0.35">
      <c r="A188" s="154">
        <f t="shared" si="9"/>
        <v>4</v>
      </c>
      <c r="B188" s="154"/>
      <c r="C188" s="99" t="s">
        <v>171</v>
      </c>
      <c r="D188" s="98">
        <f>(3.05*4.05+1.8*1.85+2.3*1.85+2.75*3.55+1.2*1.8+1.2*1.8+1*2.9+0.45*1.85+0.4*1.85+1.2*2.4+1.8*2.7+1.9*0.75)*10.764</f>
        <v>512.98532999999998</v>
      </c>
      <c r="E188" s="99">
        <f>(3.05*1.85+1.7*1.95)*10.764</f>
        <v>96.41852999999999</v>
      </c>
      <c r="F188" s="94">
        <f t="shared" ref="F188:F190" si="10">D188*(($F$169)+1)+(IF(E188&lt;101,E188,IF(E188&lt;201,E188/2,IF(E188&lt;=301,E188/3,E188/4))))</f>
        <v>865.896525</v>
      </c>
      <c r="G188" s="139"/>
      <c r="H188" s="140"/>
      <c r="I188" s="39"/>
      <c r="N188" s="39"/>
    </row>
    <row r="189" spans="1:14" s="95" customFormat="1" ht="15.75" customHeight="1" x14ac:dyDescent="0.35">
      <c r="A189" s="154">
        <f t="shared" si="9"/>
        <v>5</v>
      </c>
      <c r="B189" s="154"/>
      <c r="C189" s="99" t="s">
        <v>172</v>
      </c>
      <c r="D189" s="98">
        <f>(3.05*4.05+1.8*1.85+3.05*3.35+1.2*1.8+1.2*1.8+1*1.2+0.45*1.85+0.45*1.7+1.2*2.25+0.75*1.9)*10.764</f>
        <v>399.80186999999995</v>
      </c>
      <c r="E189" s="99">
        <f>(3.05*1.8)*10.764</f>
        <v>59.094360000000002</v>
      </c>
      <c r="F189" s="94">
        <f t="shared" si="10"/>
        <v>658.79716499999995</v>
      </c>
      <c r="G189" s="139"/>
      <c r="H189" s="140"/>
      <c r="I189" s="39"/>
      <c r="N189" s="39"/>
    </row>
    <row r="190" spans="1:14" s="95" customFormat="1" ht="15.75" customHeight="1" x14ac:dyDescent="0.35">
      <c r="A190" s="154">
        <f t="shared" si="9"/>
        <v>6</v>
      </c>
      <c r="B190" s="154"/>
      <c r="C190" s="99" t="s">
        <v>171</v>
      </c>
      <c r="D190" s="98">
        <f>(3.05*4.05+1.8*1.85+2.3*1.85+2.75*3.55+1.2*1.8+1.2*1.8+1*2.9+0.45*1.85+0.4*1.85+1.2*2.4+1.8*2.7+1.9*0.75)*10.764</f>
        <v>512.98532999999998</v>
      </c>
      <c r="E190" s="99">
        <f>(3.05*1.85+1.7*1.95)*10.764</f>
        <v>96.41852999999999</v>
      </c>
      <c r="F190" s="94">
        <f t="shared" si="10"/>
        <v>865.896525</v>
      </c>
      <c r="G190" s="139"/>
      <c r="H190" s="140"/>
      <c r="I190" s="39"/>
      <c r="N190" s="39"/>
    </row>
    <row r="191" spans="1:14" s="95" customFormat="1" ht="15.75" customHeight="1" x14ac:dyDescent="0.35">
      <c r="A191" s="154">
        <f t="shared" si="9"/>
        <v>7</v>
      </c>
      <c r="B191" s="154"/>
      <c r="C191" s="99" t="s">
        <v>172</v>
      </c>
      <c r="D191" s="98">
        <f>(3.05*4.05+1.7*1.95+1.7*2.3+1.8*1.2+1.8*1.2+1.2*1.2+1*1.2+0.25*1.7+0.45*1.7+1.35*2.15+1.8*2.75+1.9*0.75)*10.764</f>
        <v>398.32181999999995</v>
      </c>
      <c r="E191" s="99">
        <v>0</v>
      </c>
      <c r="F191" s="94">
        <f t="shared" ref="F191:F192" si="11">D191*(($F$169)+1)+(IF(E191&lt;101,E191,IF(E191&lt;201,E191/2,IF(E191&lt;=301,E191/3,E191/4))))</f>
        <v>597.48272999999995</v>
      </c>
      <c r="G191" s="139"/>
      <c r="H191" s="140"/>
      <c r="I191" s="39"/>
      <c r="N191" s="39"/>
    </row>
    <row r="192" spans="1:14" s="95" customFormat="1" ht="15.75" customHeight="1" x14ac:dyDescent="0.35">
      <c r="A192" s="154">
        <f t="shared" si="9"/>
        <v>8</v>
      </c>
      <c r="B192" s="154"/>
      <c r="C192" s="99" t="s">
        <v>172</v>
      </c>
      <c r="D192" s="98">
        <f>(3.05*4.05+1.7*1.95+1.7*2.3+1.8*1.2+1.8*1.2+1.2*1.2+1*1.2+0.25*1.7+0.45*1.7+1.35*2.15+1.8*2.75+1.9*0.75)*10.764</f>
        <v>398.32181999999995</v>
      </c>
      <c r="E192" s="99">
        <v>0</v>
      </c>
      <c r="F192" s="94">
        <f t="shared" si="11"/>
        <v>597.48272999999995</v>
      </c>
      <c r="G192" s="139"/>
      <c r="H192" s="140"/>
      <c r="I192" s="39"/>
      <c r="N192" s="39"/>
    </row>
    <row r="193" spans="1:14" s="95" customFormat="1" ht="15.75" customHeight="1" x14ac:dyDescent="0.35">
      <c r="A193" s="154">
        <f t="shared" si="9"/>
        <v>9</v>
      </c>
      <c r="B193" s="154"/>
      <c r="C193" s="99" t="s">
        <v>171</v>
      </c>
      <c r="D193" s="98">
        <f>(3.05*4.05+1.8*1.85+2.3*1.85+2.75*3.55+1.2*1.8+1.2*1.8+1*2.9+0.45*1.85+0.4*1.85+1.2*2.4+1.8*2.7+1.9*0.75)*10.764</f>
        <v>512.98532999999998</v>
      </c>
      <c r="E193" s="99">
        <f>(3.05*1.85+1.7*1.95)*10.764</f>
        <v>96.41852999999999</v>
      </c>
      <c r="F193" s="94">
        <f t="shared" ref="F193:F194" si="12">D193*(($F$169)+1)+(IF(E193&lt;101,E193,IF(E193&lt;201,E193/2,IF(E193&lt;=301,E193/3,E193/4))))</f>
        <v>865.896525</v>
      </c>
      <c r="G193" s="139"/>
      <c r="H193" s="140"/>
      <c r="I193" s="39"/>
      <c r="N193" s="39"/>
    </row>
    <row r="194" spans="1:14" s="95" customFormat="1" ht="15.75" customHeight="1" x14ac:dyDescent="0.35">
      <c r="A194" s="154">
        <f t="shared" si="9"/>
        <v>10</v>
      </c>
      <c r="B194" s="154"/>
      <c r="C194" s="99" t="s">
        <v>172</v>
      </c>
      <c r="D194" s="98">
        <f>(3.05*4.05+1.8*1.85+3.05*3.35+1.2*1.8+1.2*1.8+1*1.2+0.45*1.85+0.45*1.7+1.2*2.25+0.75*1.9)*10.764</f>
        <v>399.80186999999995</v>
      </c>
      <c r="E194" s="99">
        <f>(3.05*1.8)*10.764</f>
        <v>59.094360000000002</v>
      </c>
      <c r="F194" s="94">
        <f t="shared" si="12"/>
        <v>658.79716499999995</v>
      </c>
      <c r="G194" s="141"/>
      <c r="H194" s="142"/>
      <c r="I194" s="39"/>
      <c r="N194" s="39"/>
    </row>
    <row r="195" spans="1:14" s="95" customFormat="1" x14ac:dyDescent="0.35">
      <c r="A195" s="155" t="s">
        <v>175</v>
      </c>
      <c r="B195" s="155"/>
      <c r="C195" s="155"/>
      <c r="D195" s="155"/>
      <c r="E195" s="155"/>
      <c r="F195" s="155"/>
      <c r="G195" s="155"/>
      <c r="H195" s="155"/>
      <c r="I195" s="39"/>
      <c r="L195" s="153"/>
      <c r="M195" s="153"/>
    </row>
    <row r="196" spans="1:14" s="95" customFormat="1" ht="15.75" customHeight="1" x14ac:dyDescent="0.35">
      <c r="A196" s="154">
        <v>1</v>
      </c>
      <c r="B196" s="154"/>
      <c r="C196" s="99" t="s">
        <v>171</v>
      </c>
      <c r="D196" s="98">
        <f>(3.05*4.05+1.8*1.85+2.3*1.85+2.75*3.55+1.2*1.8+1.2*1.8+1*2.9+0.45*1.85+0.4*1.85+1.2*2.4+1.8*2.7+1.9*0.75)*10.764</f>
        <v>512.98532999999998</v>
      </c>
      <c r="E196" s="99">
        <f>(3.05*1.85+1.7*1.95)*10.764</f>
        <v>96.41852999999999</v>
      </c>
      <c r="F196" s="94">
        <f t="shared" ref="F196:F197" si="13">D196*(($F$169)+1)+(IF(E196&lt;101,E196,IF(E196&lt;201,E196/2,IF(E196&lt;=301,E196/3,E196/4))))</f>
        <v>865.896525</v>
      </c>
      <c r="G196" s="137" t="str">
        <f>A195</f>
        <v>8th Floor (Part Refuge Area)</v>
      </c>
      <c r="H196" s="138"/>
      <c r="I196" s="39"/>
      <c r="N196" s="39"/>
    </row>
    <row r="197" spans="1:14" s="95" customFormat="1" ht="15.75" customHeight="1" x14ac:dyDescent="0.35">
      <c r="A197" s="154">
        <f t="shared" ref="A197:A205" si="14">A196+1</f>
        <v>2</v>
      </c>
      <c r="B197" s="154"/>
      <c r="C197" s="99" t="s">
        <v>172</v>
      </c>
      <c r="D197" s="98">
        <f>(3.05*4.05+1.7*1.95+1.7*2.3+1.8*1.2+1.8*1.2+1.2*1.2+1*1.2+0.25*1.7+0.45*1.7+1.35*2.15+1.8*2.75+1.9*0.75)*10.764</f>
        <v>398.32181999999995</v>
      </c>
      <c r="E197" s="99">
        <v>0</v>
      </c>
      <c r="F197" s="94">
        <f t="shared" si="13"/>
        <v>597.48272999999995</v>
      </c>
      <c r="G197" s="139"/>
      <c r="H197" s="140"/>
      <c r="I197" s="39"/>
      <c r="N197" s="39"/>
    </row>
    <row r="198" spans="1:14" s="95" customFormat="1" ht="15.75" customHeight="1" x14ac:dyDescent="0.35">
      <c r="A198" s="154">
        <f t="shared" si="14"/>
        <v>3</v>
      </c>
      <c r="B198" s="154"/>
      <c r="C198" s="99" t="s">
        <v>172</v>
      </c>
      <c r="D198" s="98">
        <f>(3.05*4.05+1.7*1.95+1.7*2.3+1.8*1.2+1.8*1.2+1.2*1.2+1*1.2+0.25*1.7+0.45*1.7+1.35*2.15+1.8*2.75+1.9*0.75)*10.764</f>
        <v>398.32181999999995</v>
      </c>
      <c r="E198" s="99">
        <v>0</v>
      </c>
      <c r="F198" s="94">
        <f>D198*(($F$169)+1)+(IF(E198&lt;101,E198,IF(E198&lt;201,E198/2,IF(E198&lt;=301,E198/3,E198/4))))</f>
        <v>597.48272999999995</v>
      </c>
      <c r="G198" s="139"/>
      <c r="H198" s="140"/>
      <c r="I198" s="39"/>
      <c r="N198" s="39"/>
    </row>
    <row r="199" spans="1:14" s="95" customFormat="1" ht="15.75" customHeight="1" x14ac:dyDescent="0.35">
      <c r="A199" s="154">
        <f t="shared" si="14"/>
        <v>4</v>
      </c>
      <c r="B199" s="154"/>
      <c r="C199" s="99" t="s">
        <v>171</v>
      </c>
      <c r="D199" s="98">
        <f>(3.05*4.05+1.8*1.85+2.3*1.85+2.75*3.55+1.2*1.8+1.2*1.8+1*2.9+0.45*1.85+0.4*1.85+1.2*2.4+1.8*2.7+1.9*0.75)*10.764</f>
        <v>512.98532999999998</v>
      </c>
      <c r="E199" s="99">
        <f>(3.05*1.85+1.7*1.95)*10.764</f>
        <v>96.41852999999999</v>
      </c>
      <c r="F199" s="94">
        <f t="shared" ref="F199:F204" si="15">D199*(($F$169)+1)+(IF(E199&lt;101,E199,IF(E199&lt;201,E199/2,IF(E199&lt;=301,E199/3,E199/4))))</f>
        <v>865.896525</v>
      </c>
      <c r="G199" s="139"/>
      <c r="H199" s="140"/>
      <c r="I199" s="39"/>
      <c r="N199" s="39"/>
    </row>
    <row r="200" spans="1:14" s="95" customFormat="1" ht="15.75" customHeight="1" x14ac:dyDescent="0.35">
      <c r="A200" s="154">
        <f t="shared" si="14"/>
        <v>5</v>
      </c>
      <c r="B200" s="154"/>
      <c r="C200" s="99" t="s">
        <v>172</v>
      </c>
      <c r="D200" s="98">
        <f>(3.05*4.05+1.8*1.85+3.05*3.35+1.2*1.8+1.2*1.8+1*1.2+0.45*1.85+0.45*1.7+1.2*2.25+0.75*1.9)*10.764</f>
        <v>399.80186999999995</v>
      </c>
      <c r="E200" s="99">
        <f>(3.05*1.8)*10.764</f>
        <v>59.094360000000002</v>
      </c>
      <c r="F200" s="94">
        <f t="shared" si="15"/>
        <v>658.79716499999995</v>
      </c>
      <c r="G200" s="139"/>
      <c r="H200" s="140"/>
      <c r="I200" s="39"/>
      <c r="N200" s="39"/>
    </row>
    <row r="201" spans="1:14" s="95" customFormat="1" ht="15.75" customHeight="1" x14ac:dyDescent="0.35">
      <c r="A201" s="154">
        <f t="shared" si="14"/>
        <v>6</v>
      </c>
      <c r="B201" s="154"/>
      <c r="C201" s="99" t="s">
        <v>171</v>
      </c>
      <c r="D201" s="98">
        <f>(3.05*4.05+1.8*1.85+2.3*1.85+2.75*3.55+1.2*1.8+1.2*1.8+1*2.9+0.45*1.85+0.4*1.85+1.2*2.4+1.8*2.7+1.9*0.75)*10.764</f>
        <v>512.98532999999998</v>
      </c>
      <c r="E201" s="99">
        <f>(3.05*1.85+1.7*1.95)*10.764</f>
        <v>96.41852999999999</v>
      </c>
      <c r="F201" s="94">
        <f t="shared" si="15"/>
        <v>865.896525</v>
      </c>
      <c r="G201" s="139"/>
      <c r="H201" s="140"/>
      <c r="I201" s="39"/>
      <c r="N201" s="39"/>
    </row>
    <row r="202" spans="1:14" s="95" customFormat="1" ht="15.75" customHeight="1" x14ac:dyDescent="0.35">
      <c r="A202" s="154">
        <f t="shared" si="14"/>
        <v>7</v>
      </c>
      <c r="B202" s="154"/>
      <c r="C202" s="99" t="s">
        <v>172</v>
      </c>
      <c r="D202" s="98">
        <f>(3.05*4.05+1.7*1.95+1.7*2.3+1.8*1.2+1.8*1.2+1.2*1.2+1*1.2+0.25*1.7+0.45*1.7+1.35*2.15+1.8*2.75+1.9*0.75)*10.764</f>
        <v>398.32181999999995</v>
      </c>
      <c r="E202" s="99">
        <v>0</v>
      </c>
      <c r="F202" s="94">
        <f t="shared" si="15"/>
        <v>597.48272999999995</v>
      </c>
      <c r="G202" s="139"/>
      <c r="H202" s="140"/>
      <c r="I202" s="39"/>
      <c r="N202" s="39"/>
    </row>
    <row r="203" spans="1:14" s="95" customFormat="1" ht="15.75" customHeight="1" x14ac:dyDescent="0.35">
      <c r="A203" s="154">
        <f t="shared" si="14"/>
        <v>8</v>
      </c>
      <c r="B203" s="154"/>
      <c r="C203" s="99" t="s">
        <v>172</v>
      </c>
      <c r="D203" s="98">
        <f>(3.05*4.05+1.7*1.95+1.7*2.3+1.8*1.2+1.8*1.2+1.2*1.2+1*1.2+0.25*1.7+0.45*1.7+1.35*2.15+1.8*2.75+1.9*0.75)*10.764</f>
        <v>398.32181999999995</v>
      </c>
      <c r="E203" s="99">
        <v>0</v>
      </c>
      <c r="F203" s="94">
        <f t="shared" si="15"/>
        <v>597.48272999999995</v>
      </c>
      <c r="G203" s="139"/>
      <c r="H203" s="140"/>
      <c r="I203" s="39"/>
      <c r="N203" s="39"/>
    </row>
    <row r="204" spans="1:14" s="95" customFormat="1" ht="15.75" customHeight="1" x14ac:dyDescent="0.35">
      <c r="A204" s="154">
        <f t="shared" si="14"/>
        <v>9</v>
      </c>
      <c r="B204" s="154"/>
      <c r="C204" s="99" t="s">
        <v>171</v>
      </c>
      <c r="D204" s="98">
        <f>(3.05*4.05+1.8*1.85+2.3*1.85+2.75*3.55+1.2*1.8+1.2*1.8+1*2.9+0.45*1.85+0.4*1.85+1.2*2.4+1.8*2.7+1.9*0.75)*10.764</f>
        <v>512.98532999999998</v>
      </c>
      <c r="E204" s="99">
        <f>(3.05*1.85+1.7*1.95)*10.764</f>
        <v>96.41852999999999</v>
      </c>
      <c r="F204" s="94">
        <f t="shared" si="15"/>
        <v>865.896525</v>
      </c>
      <c r="G204" s="139"/>
      <c r="H204" s="140"/>
      <c r="I204" s="39"/>
      <c r="N204" s="39"/>
    </row>
    <row r="205" spans="1:14" s="95" customFormat="1" ht="15.75" customHeight="1" x14ac:dyDescent="0.35">
      <c r="A205" s="154">
        <f t="shared" si="14"/>
        <v>10</v>
      </c>
      <c r="B205" s="154"/>
      <c r="C205" s="156" t="s">
        <v>174</v>
      </c>
      <c r="D205" s="157"/>
      <c r="E205" s="157"/>
      <c r="F205" s="158"/>
      <c r="G205" s="141"/>
      <c r="H205" s="142"/>
      <c r="I205" s="39"/>
      <c r="N205" s="39"/>
    </row>
    <row r="206" spans="1:14" s="95" customFormat="1" x14ac:dyDescent="0.35">
      <c r="A206" s="155" t="s">
        <v>176</v>
      </c>
      <c r="B206" s="155"/>
      <c r="C206" s="155"/>
      <c r="D206" s="155"/>
      <c r="E206" s="155"/>
      <c r="F206" s="155"/>
      <c r="G206" s="155"/>
      <c r="H206" s="155"/>
      <c r="I206" s="39"/>
      <c r="L206" s="153"/>
      <c r="M206" s="153"/>
    </row>
    <row r="207" spans="1:14" s="95" customFormat="1" ht="15.75" customHeight="1" x14ac:dyDescent="0.35">
      <c r="A207" s="154">
        <v>1</v>
      </c>
      <c r="B207" s="154"/>
      <c r="C207" s="99" t="s">
        <v>171</v>
      </c>
      <c r="D207" s="98">
        <f>(3.05*4.05+1.8*1.85+2.3*1.85+2.75*3.55+1.2*1.8+1.2*1.8+1*2.9+0.45*1.85+0.4*1.85+1.2*2.4+1.8*2.7)*10.764</f>
        <v>497.64663000000002</v>
      </c>
      <c r="E207" s="99">
        <f>(2.05*2)*10.764</f>
        <v>44.132399999999997</v>
      </c>
      <c r="F207" s="94">
        <f t="shared" ref="F207:F208" si="16">D207*(($F$169)+1)+(IF(E207&lt;101,E207,IF(E207&lt;201,E207/2,IF(E207&lt;=301,E207/3,E207/4))))</f>
        <v>790.60234500000001</v>
      </c>
      <c r="G207" s="137" t="str">
        <f>A206</f>
        <v>3rd, 5th, 7th, 9th &amp; 11th Floor</v>
      </c>
      <c r="H207" s="138"/>
      <c r="I207" s="39"/>
      <c r="N207" s="39"/>
    </row>
    <row r="208" spans="1:14" s="95" customFormat="1" ht="15.75" customHeight="1" x14ac:dyDescent="0.35">
      <c r="A208" s="154">
        <f t="shared" ref="A208:A216" si="17">A207+1</f>
        <v>2</v>
      </c>
      <c r="B208" s="154"/>
      <c r="C208" s="99" t="s">
        <v>172</v>
      </c>
      <c r="D208" s="98">
        <f>(3.05*4.05+1.7*1.95+1.7*2.3+1.8*1.2+1.8*1.2+1.2*1.2+1*1.2+0.25*1.7+0.45*1.7+1.35*2.15+1.8*2.75)*10.764</f>
        <v>382.98311999999999</v>
      </c>
      <c r="E208" s="99">
        <f>(2*2.25)*10.764</f>
        <v>48.437999999999995</v>
      </c>
      <c r="F208" s="94">
        <f t="shared" si="16"/>
        <v>622.91268000000002</v>
      </c>
      <c r="G208" s="139"/>
      <c r="H208" s="140"/>
      <c r="I208" s="39"/>
      <c r="N208" s="39"/>
    </row>
    <row r="209" spans="1:16" s="95" customFormat="1" ht="15.75" customHeight="1" x14ac:dyDescent="0.35">
      <c r="A209" s="154">
        <f t="shared" si="17"/>
        <v>3</v>
      </c>
      <c r="B209" s="154"/>
      <c r="C209" s="99" t="s">
        <v>172</v>
      </c>
      <c r="D209" s="98">
        <f>(3.05*4.05+1.7*1.95+1.7*2.3+1.8*1.2+1.8*1.2+1.2*1.2+1*1.2+0.25*1.7+0.45*1.7+1.35*2.15+1.8*2.75)*10.764</f>
        <v>382.98311999999999</v>
      </c>
      <c r="E209" s="99">
        <f>(2*2.25)*10.764</f>
        <v>48.437999999999995</v>
      </c>
      <c r="F209" s="94">
        <f>D209*(($F$169)+1)+(IF(E209&lt;101,E209,IF(E209&lt;201,E209/2,IF(E209&lt;=301,E209/3,E209/4))))</f>
        <v>622.91268000000002</v>
      </c>
      <c r="G209" s="139"/>
      <c r="H209" s="140"/>
      <c r="I209" s="39"/>
      <c r="N209" s="39"/>
    </row>
    <row r="210" spans="1:16" s="95" customFormat="1" ht="15.75" customHeight="1" x14ac:dyDescent="0.35">
      <c r="A210" s="154">
        <f t="shared" si="17"/>
        <v>4</v>
      </c>
      <c r="B210" s="154"/>
      <c r="C210" s="99" t="s">
        <v>171</v>
      </c>
      <c r="D210" s="98">
        <f>(3.05*4.05+1.8*1.85+2.3*1.85+2.75*3.55+1.2*1.8+1.2*1.8+1*2.9+0.45*1.85+0.4*1.85+1.2*2.4+1.8*2.7)*10.764</f>
        <v>497.64663000000002</v>
      </c>
      <c r="E210" s="99">
        <f>(2.05*2)*10.764</f>
        <v>44.132399999999997</v>
      </c>
      <c r="F210" s="94">
        <f t="shared" ref="F210:F216" si="18">D210*(($F$169)+1)+(IF(E210&lt;101,E210,IF(E210&lt;201,E210/2,IF(E210&lt;=301,E210/3,E210/4))))</f>
        <v>790.60234500000001</v>
      </c>
      <c r="G210" s="139"/>
      <c r="H210" s="140"/>
      <c r="I210" s="39"/>
      <c r="N210" s="39"/>
    </row>
    <row r="211" spans="1:16" s="95" customFormat="1" ht="15.75" customHeight="1" x14ac:dyDescent="0.35">
      <c r="A211" s="154">
        <f t="shared" si="17"/>
        <v>5</v>
      </c>
      <c r="B211" s="154"/>
      <c r="C211" s="99" t="s">
        <v>172</v>
      </c>
      <c r="D211" s="98">
        <f>(3.05*4.05+1.8*1.85+3.05*3.35+1.2*1.8+1.2*1.8+1*1.2+0.45*1.85+0.45*1.7+1.2*2.25+0.75*3.05)*10.764</f>
        <v>409.08582000000001</v>
      </c>
      <c r="E211" s="99">
        <f>(2.05*2)*10.764</f>
        <v>44.132399999999997</v>
      </c>
      <c r="F211" s="94">
        <f t="shared" si="18"/>
        <v>657.76112999999998</v>
      </c>
      <c r="G211" s="139"/>
      <c r="H211" s="140"/>
      <c r="I211" s="39"/>
      <c r="N211" s="39"/>
    </row>
    <row r="212" spans="1:16" s="95" customFormat="1" ht="15.75" customHeight="1" x14ac:dyDescent="0.35">
      <c r="A212" s="154">
        <f t="shared" si="17"/>
        <v>6</v>
      </c>
      <c r="B212" s="154"/>
      <c r="C212" s="99" t="s">
        <v>171</v>
      </c>
      <c r="D212" s="98">
        <f>(3.05*4.05+1.8*1.85+2.3*1.85+2.75*3.55+1.2*1.8+1.2*1.8+1*2.9+0.45*1.85+0.4*1.85+1.2*2.4+1.8*2.7)*10.764</f>
        <v>497.64663000000002</v>
      </c>
      <c r="E212" s="99">
        <f>(2.05*2)*10.764</f>
        <v>44.132399999999997</v>
      </c>
      <c r="F212" s="94">
        <f t="shared" si="18"/>
        <v>790.60234500000001</v>
      </c>
      <c r="G212" s="139"/>
      <c r="H212" s="140"/>
      <c r="I212" s="39"/>
      <c r="N212" s="39"/>
    </row>
    <row r="213" spans="1:16" s="95" customFormat="1" ht="15.75" customHeight="1" x14ac:dyDescent="0.35">
      <c r="A213" s="154">
        <f t="shared" si="17"/>
        <v>7</v>
      </c>
      <c r="B213" s="154"/>
      <c r="C213" s="99" t="s">
        <v>172</v>
      </c>
      <c r="D213" s="98">
        <f>(3.05*4.05+1.7*1.95+1.7*2.3+1.8*1.2+1.8*1.2+1.2*1.2+1*1.2+0.25*1.7+0.45*1.7+1.35*2.15+1.8*2.75)*10.764</f>
        <v>382.98311999999999</v>
      </c>
      <c r="E213" s="99">
        <f>(2*2.25)*10.764</f>
        <v>48.437999999999995</v>
      </c>
      <c r="F213" s="94">
        <f t="shared" si="18"/>
        <v>622.91268000000002</v>
      </c>
      <c r="G213" s="139"/>
      <c r="H213" s="140"/>
      <c r="I213" s="39"/>
      <c r="N213" s="39"/>
    </row>
    <row r="214" spans="1:16" s="95" customFormat="1" ht="15.75" customHeight="1" x14ac:dyDescent="0.35">
      <c r="A214" s="154">
        <f t="shared" si="17"/>
        <v>8</v>
      </c>
      <c r="B214" s="154"/>
      <c r="C214" s="99" t="s">
        <v>172</v>
      </c>
      <c r="D214" s="98">
        <f>(3.05*4.05+1.7*1.95+1.7*2.3+1.8*1.2+1.8*1.2+1.2*1.2+1*1.2+0.25*1.7+0.45*1.7+1.35*2.15+1.8*2.75)*10.764</f>
        <v>382.98311999999999</v>
      </c>
      <c r="E214" s="99">
        <f>(2*2.25)*10.764</f>
        <v>48.437999999999995</v>
      </c>
      <c r="F214" s="94">
        <f t="shared" si="18"/>
        <v>622.91268000000002</v>
      </c>
      <c r="G214" s="139"/>
      <c r="H214" s="140"/>
      <c r="I214" s="39"/>
      <c r="N214" s="39"/>
    </row>
    <row r="215" spans="1:16" s="95" customFormat="1" ht="15.75" customHeight="1" x14ac:dyDescent="0.35">
      <c r="A215" s="154">
        <f t="shared" si="17"/>
        <v>9</v>
      </c>
      <c r="B215" s="154"/>
      <c r="C215" s="99" t="s">
        <v>171</v>
      </c>
      <c r="D215" s="99">
        <f>(3.05*4.05+1.8*1.85+2.3*1.85+2.75*3.55+1.2*1.8+1.2*1.8+1*2.9+0.4*1.85+0.45*1.85+1.2*2.4+1.8*2.7)*10.764</f>
        <v>497.64663000000002</v>
      </c>
      <c r="E215" s="99">
        <f>(2.05*2)*10.764</f>
        <v>44.132399999999997</v>
      </c>
      <c r="F215" s="94">
        <f t="shared" si="18"/>
        <v>790.60234500000001</v>
      </c>
      <c r="G215" s="139"/>
      <c r="H215" s="140"/>
      <c r="I215" s="39"/>
      <c r="N215" s="39"/>
    </row>
    <row r="216" spans="1:16" s="95" customFormat="1" ht="15.75" customHeight="1" x14ac:dyDescent="0.35">
      <c r="A216" s="154">
        <f t="shared" si="17"/>
        <v>10</v>
      </c>
      <c r="B216" s="154"/>
      <c r="C216" s="99" t="s">
        <v>172</v>
      </c>
      <c r="D216" s="98">
        <f>(3.05*4.05+1.8*1.85+3.05*3.35+1.2*1.8+1.2*1.8+1*1.2+0.45*1.85+0.45*1.7+1.2*2.25+0.75*3.05)*10.764</f>
        <v>409.08582000000001</v>
      </c>
      <c r="E216" s="99">
        <f>(2.05*2)*10.764</f>
        <v>44.132399999999997</v>
      </c>
      <c r="F216" s="94">
        <f t="shared" si="18"/>
        <v>657.76112999999998</v>
      </c>
      <c r="G216" s="141"/>
      <c r="H216" s="142"/>
      <c r="I216" s="39"/>
      <c r="N216" s="39"/>
    </row>
    <row r="217" spans="1:16" x14ac:dyDescent="0.35">
      <c r="A217" s="131" t="s">
        <v>178</v>
      </c>
      <c r="B217" s="131"/>
      <c r="C217" s="131"/>
      <c r="D217" s="131"/>
      <c r="E217" s="131"/>
      <c r="F217" s="131"/>
      <c r="G217" s="131"/>
      <c r="H217" s="131"/>
    </row>
    <row r="218" spans="1:16" x14ac:dyDescent="0.35">
      <c r="A218" s="131" t="s">
        <v>222</v>
      </c>
      <c r="B218" s="131"/>
      <c r="C218" s="131"/>
      <c r="D218" s="131"/>
      <c r="E218" s="131"/>
      <c r="F218" s="131"/>
      <c r="G218" s="131"/>
      <c r="H218" s="131"/>
    </row>
    <row r="219" spans="1:16" x14ac:dyDescent="0.35">
      <c r="A219" s="131" t="s">
        <v>179</v>
      </c>
      <c r="B219" s="131"/>
      <c r="C219" s="131"/>
      <c r="D219" s="131"/>
      <c r="E219" s="131"/>
      <c r="F219" s="131"/>
      <c r="G219" s="131"/>
      <c r="H219" s="131"/>
    </row>
    <row r="220" spans="1:16" s="2" customFormat="1" ht="15.75" customHeight="1" x14ac:dyDescent="0.35">
      <c r="A220" s="134" t="s">
        <v>180</v>
      </c>
      <c r="B220" s="135"/>
      <c r="C220" s="135"/>
      <c r="D220" s="135"/>
      <c r="E220" s="135"/>
      <c r="F220" s="135"/>
      <c r="G220" s="135"/>
      <c r="H220" s="136"/>
      <c r="I220" s="39"/>
      <c r="L220" s="53"/>
      <c r="M220" s="53"/>
      <c r="P220" s="40"/>
    </row>
    <row r="221" spans="1:16" s="2" customFormat="1" ht="15.75" customHeight="1" x14ac:dyDescent="0.35">
      <c r="A221" s="132">
        <v>1</v>
      </c>
      <c r="B221" s="133"/>
      <c r="C221" s="16" t="s">
        <v>171</v>
      </c>
      <c r="D221" s="16">
        <f>(4.1*4.55+1.3*2.75+2.1*3.1+2.75*3.45+3.1*3+1*3.1+3.1*1.2+1.2*3.2+1.8*2.75+1.35*2.75)*10.764</f>
        <v>719.57339999999999</v>
      </c>
      <c r="E221" s="54">
        <v>0</v>
      </c>
      <c r="F221" s="92">
        <f t="shared" ref="F221:F226" si="19">D221*(($F$169)+1)+(IF(E221&lt;101,E221,IF(E221&lt;201,E221/2,IF(E221&lt;=301,E221/3,E221/4))))</f>
        <v>1079.3600999999999</v>
      </c>
      <c r="G221" s="137" t="str">
        <f>A220</f>
        <v>1st to 7th, 9th to 12th &amp; 14th Floor for Residential</v>
      </c>
      <c r="H221" s="138"/>
      <c r="I221" s="39"/>
      <c r="M221" s="53"/>
      <c r="N221" s="53" t="str">
        <f t="shared" ref="N221:N226" ca="1" si="20">O221&amp;""&amp;",..,"&amp;""&amp;P221</f>
        <v>101,..,1401</v>
      </c>
      <c r="O221" s="88">
        <f ca="1">(SUMPRODUCT(MID(0&amp;(LEFT(A220,SUM(LEN(A220)-LEN(SUBSTITUTE(A220,{0,1,2},""))))), LARGE(INDEX(ISNUMBER(--MID((LEFT(A220,SUM(LEN(A220)-LEN(SUBSTITUTE(A220,{0,1,2},""))))), ROW(INDIRECT("1:"&amp;LEN((LEFT(A220,SUM(LEN(A220)-LEN(SUBSTITUTE(A220,{0,1,2},"")))))))), 1)) * ROW(INDIRECT("1:"&amp;LEN((LEFT(A220,SUM(LEN(A220)-LEN(SUBSTITUTE(A220,{0,1,2},"")))))))), 0), ROW(INDIRECT("1:"&amp;LEN((LEFT(A220,SUM(LEN(A220)-LEN(SUBSTITUTE(A220,{0,1,2},"")))))))))+1, 1) * 10^ROW(INDIRECT("1:"&amp;LEN((LEFT(A220,SUM(LEN(A220)-LEN(SUBSTITUTE(A220,{0,1,2},""))))))))/10))*100+1</f>
        <v>101</v>
      </c>
      <c r="P221" s="88">
        <f ca="1">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",LEN(A220))),LEN(A220)))))))/10))*100+1</f>
        <v>1401</v>
      </c>
    </row>
    <row r="222" spans="1:16" s="2" customFormat="1" ht="15.75" customHeight="1" x14ac:dyDescent="0.35">
      <c r="A222" s="132">
        <v>2</v>
      </c>
      <c r="B222" s="133"/>
      <c r="C222" s="16" t="s">
        <v>172</v>
      </c>
      <c r="D222" s="16">
        <f>(2.9*5.4+2.1*3+2.9*3.35+2*1.2+1.2*2.15+0.9*2.1+0.75*2.1+1.8*2.9)*10.764</f>
        <v>488.03976</v>
      </c>
      <c r="E222" s="54">
        <v>0</v>
      </c>
      <c r="F222" s="92">
        <f t="shared" si="19"/>
        <v>732.05963999999994</v>
      </c>
      <c r="G222" s="139"/>
      <c r="H222" s="140"/>
      <c r="I222" s="39"/>
      <c r="M222" s="53"/>
      <c r="N222" s="70" t="str">
        <f t="shared" ca="1" si="20"/>
        <v>102,..,1402</v>
      </c>
      <c r="O222" s="2">
        <f t="shared" ref="O222:P225" ca="1" si="21">O221+1</f>
        <v>102</v>
      </c>
      <c r="P222" s="2">
        <f t="shared" ca="1" si="21"/>
        <v>1402</v>
      </c>
    </row>
    <row r="223" spans="1:16" s="2" customFormat="1" ht="15.75" customHeight="1" x14ac:dyDescent="0.35">
      <c r="A223" s="132">
        <v>3</v>
      </c>
      <c r="B223" s="133"/>
      <c r="C223" s="16" t="s">
        <v>172</v>
      </c>
      <c r="D223" s="94">
        <f>(2.9*5.4+2.1*3+2.9*3.35+2*1.2+1.2*2.15+0.9*2.1+0.75*2.1+1.8*2.9)*10.764</f>
        <v>488.03976</v>
      </c>
      <c r="E223" s="54">
        <v>0</v>
      </c>
      <c r="F223" s="92">
        <f t="shared" si="19"/>
        <v>732.05963999999994</v>
      </c>
      <c r="G223" s="139"/>
      <c r="H223" s="140"/>
      <c r="I223" s="39"/>
      <c r="M223" s="53"/>
      <c r="N223" s="70" t="str">
        <f t="shared" ca="1" si="20"/>
        <v>103,..,1403</v>
      </c>
      <c r="O223" s="2">
        <f t="shared" ca="1" si="21"/>
        <v>103</v>
      </c>
      <c r="P223" s="2">
        <f t="shared" ca="1" si="21"/>
        <v>1403</v>
      </c>
    </row>
    <row r="224" spans="1:16" s="2" customFormat="1" ht="15.75" customHeight="1" x14ac:dyDescent="0.35">
      <c r="A224" s="132">
        <v>4</v>
      </c>
      <c r="B224" s="133"/>
      <c r="C224" s="38" t="s">
        <v>171</v>
      </c>
      <c r="D224" s="38">
        <f>(2.9*5.4+2.1*3+2.75*3.35+3.65*2.9+1.2*2.15+1.2*2.3+0.75*2.1+1.8*2.9+0.9*2.5+3.7*0.5+1.2*0.5)*10.764</f>
        <v>630.68966999999998</v>
      </c>
      <c r="E224" s="54">
        <v>0</v>
      </c>
      <c r="F224" s="92">
        <f t="shared" si="19"/>
        <v>946.03450499999997</v>
      </c>
      <c r="G224" s="139"/>
      <c r="H224" s="140"/>
      <c r="I224" s="39"/>
      <c r="M224" s="53"/>
      <c r="N224" s="70" t="str">
        <f t="shared" ca="1" si="20"/>
        <v>104,..,1404</v>
      </c>
      <c r="O224" s="2">
        <f t="shared" ca="1" si="21"/>
        <v>104</v>
      </c>
      <c r="P224" s="2">
        <f t="shared" ca="1" si="21"/>
        <v>1404</v>
      </c>
    </row>
    <row r="225" spans="1:16" s="2" customFormat="1" ht="15.75" customHeight="1" x14ac:dyDescent="0.35">
      <c r="A225" s="132">
        <v>5</v>
      </c>
      <c r="B225" s="133"/>
      <c r="C225" s="38" t="s">
        <v>171</v>
      </c>
      <c r="D225" s="97">
        <f>(2.9*5.4+2.1*3+2.75*3.35+3.65*2.9+1.2*2.15+1.2*2.3+0.75*2.1+1.8*2.9+0.9*2.5+3.7*0.5+1.2*0.5)*10.764</f>
        <v>630.68966999999998</v>
      </c>
      <c r="E225" s="54">
        <v>0</v>
      </c>
      <c r="F225" s="92">
        <f t="shared" si="19"/>
        <v>946.03450499999997</v>
      </c>
      <c r="G225" s="139"/>
      <c r="H225" s="140"/>
      <c r="I225" s="39"/>
      <c r="M225" s="53"/>
      <c r="N225" s="70" t="str">
        <f t="shared" ca="1" si="20"/>
        <v>105,..,1405</v>
      </c>
      <c r="O225" s="2">
        <f t="shared" ca="1" si="21"/>
        <v>105</v>
      </c>
      <c r="P225" s="2">
        <f t="shared" ca="1" si="21"/>
        <v>1405</v>
      </c>
    </row>
    <row r="226" spans="1:16" s="43" customFormat="1" ht="15.75" customHeight="1" x14ac:dyDescent="0.35">
      <c r="A226" s="132">
        <v>6</v>
      </c>
      <c r="B226" s="133"/>
      <c r="C226" s="44" t="s">
        <v>172</v>
      </c>
      <c r="D226" s="94">
        <f>(2.9*5.4+2.1*3+2.9*3.35+2*1.2+1.2*2.15+0.9*2.1+0.75*2.1+1.8*2.9)*10.764</f>
        <v>488.03976</v>
      </c>
      <c r="E226" s="54">
        <v>0</v>
      </c>
      <c r="F226" s="92">
        <f t="shared" si="19"/>
        <v>732.05963999999994</v>
      </c>
      <c r="G226" s="139"/>
      <c r="H226" s="140"/>
      <c r="I226" s="39"/>
      <c r="M226" s="53"/>
      <c r="N226" s="70" t="str">
        <f t="shared" ca="1" si="20"/>
        <v>106,..,1406</v>
      </c>
      <c r="O226" s="43">
        <f ca="1">O225+1</f>
        <v>106</v>
      </c>
      <c r="P226" s="43">
        <f ca="1">P225+1</f>
        <v>1406</v>
      </c>
    </row>
    <row r="227" spans="1:16" s="95" customFormat="1" ht="15.75" customHeight="1" x14ac:dyDescent="0.35">
      <c r="A227" s="132">
        <v>7</v>
      </c>
      <c r="B227" s="133"/>
      <c r="C227" s="94" t="s">
        <v>172</v>
      </c>
      <c r="D227" s="94">
        <f>(2.9*5.4+2.1*3+2.9*3.35+2*1.2+1.2*2.15+0.9*2.1+0.75*2.1+1.8*2.9)*10.764</f>
        <v>488.03976</v>
      </c>
      <c r="E227" s="94">
        <v>0</v>
      </c>
      <c r="F227" s="94">
        <f t="shared" ref="F227:F231" si="22">D227*(($F$169)+1)+(IF(E227&lt;101,E227,IF(E227&lt;201,E227/2,IF(E227&lt;=301,E227/3,E227/4))))</f>
        <v>732.05963999999994</v>
      </c>
      <c r="G227" s="139"/>
      <c r="H227" s="140"/>
      <c r="I227" s="39"/>
      <c r="N227" s="95" t="str">
        <f t="shared" ref="N227:N231" ca="1" si="23">O227&amp;""&amp;",..,"&amp;""&amp;P227</f>
        <v>107,..,1407</v>
      </c>
      <c r="O227" s="95">
        <f t="shared" ref="O227:P227" ca="1" si="24">O226+1</f>
        <v>107</v>
      </c>
      <c r="P227" s="95">
        <f t="shared" ca="1" si="24"/>
        <v>1407</v>
      </c>
    </row>
    <row r="228" spans="1:16" s="95" customFormat="1" ht="15.75" customHeight="1" x14ac:dyDescent="0.35">
      <c r="A228" s="132">
        <v>8</v>
      </c>
      <c r="B228" s="133"/>
      <c r="C228" s="94" t="s">
        <v>171</v>
      </c>
      <c r="D228" s="97">
        <f t="shared" ref="D228:D229" si="25">(2.9*5.4+2.1*3+2.75*3.35+3.65*2.9+1.2*2.15+1.2*2.3+0.75*2.1+1.8*2.9+0.9*2.5+3.7*0.5+1.2*0.5)*10.764</f>
        <v>630.68966999999998</v>
      </c>
      <c r="E228" s="94">
        <v>0</v>
      </c>
      <c r="F228" s="94">
        <f t="shared" si="22"/>
        <v>946.03450499999997</v>
      </c>
      <c r="G228" s="139"/>
      <c r="H228" s="140"/>
      <c r="I228" s="39"/>
      <c r="N228" s="95" t="str">
        <f t="shared" ca="1" si="23"/>
        <v>108,..,1408</v>
      </c>
      <c r="O228" s="95">
        <f t="shared" ref="O228:P228" ca="1" si="26">O227+1</f>
        <v>108</v>
      </c>
      <c r="P228" s="95">
        <f t="shared" ca="1" si="26"/>
        <v>1408</v>
      </c>
    </row>
    <row r="229" spans="1:16" s="95" customFormat="1" ht="15.75" customHeight="1" x14ac:dyDescent="0.35">
      <c r="A229" s="132">
        <v>9</v>
      </c>
      <c r="B229" s="133"/>
      <c r="C229" s="94" t="s">
        <v>171</v>
      </c>
      <c r="D229" s="97">
        <f t="shared" si="25"/>
        <v>630.68966999999998</v>
      </c>
      <c r="E229" s="94">
        <v>0</v>
      </c>
      <c r="F229" s="94">
        <f t="shared" si="22"/>
        <v>946.03450499999997</v>
      </c>
      <c r="G229" s="139"/>
      <c r="H229" s="140"/>
      <c r="I229" s="39"/>
      <c r="N229" s="95" t="str">
        <f t="shared" ca="1" si="23"/>
        <v>109,..,1409</v>
      </c>
      <c r="O229" s="95">
        <f t="shared" ref="O229:P229" ca="1" si="27">O228+1</f>
        <v>109</v>
      </c>
      <c r="P229" s="95">
        <f t="shared" ca="1" si="27"/>
        <v>1409</v>
      </c>
    </row>
    <row r="230" spans="1:16" s="95" customFormat="1" ht="15.75" customHeight="1" x14ac:dyDescent="0.35">
      <c r="A230" s="132">
        <v>10</v>
      </c>
      <c r="B230" s="133"/>
      <c r="C230" s="94" t="s">
        <v>172</v>
      </c>
      <c r="D230" s="94">
        <f>(2.9*5.4+2.1*3+2.9*3.35+2*1.2+1.2*2.15+0.9*2.1+0.75*2.1+1.8*2.9)*10.764</f>
        <v>488.03976</v>
      </c>
      <c r="E230" s="94">
        <v>0</v>
      </c>
      <c r="F230" s="94">
        <f t="shared" si="22"/>
        <v>732.05963999999994</v>
      </c>
      <c r="G230" s="139"/>
      <c r="H230" s="140"/>
      <c r="I230" s="39"/>
      <c r="N230" s="95" t="str">
        <f t="shared" ca="1" si="23"/>
        <v>110,..,1410</v>
      </c>
      <c r="O230" s="95">
        <f t="shared" ref="O230:P230" ca="1" si="28">O229+1</f>
        <v>110</v>
      </c>
      <c r="P230" s="95">
        <f t="shared" ca="1" si="28"/>
        <v>1410</v>
      </c>
    </row>
    <row r="231" spans="1:16" s="95" customFormat="1" ht="15.75" customHeight="1" x14ac:dyDescent="0.35">
      <c r="A231" s="132">
        <v>11</v>
      </c>
      <c r="B231" s="133"/>
      <c r="C231" s="94" t="s">
        <v>172</v>
      </c>
      <c r="D231" s="94">
        <f>(2.9*5.4+2.1*3+2.9*3.35+2*1.2+1.2*2.15+0.9*2.1+0.75*2.1+1.8*2.9)*10.764</f>
        <v>488.03976</v>
      </c>
      <c r="E231" s="94">
        <v>0</v>
      </c>
      <c r="F231" s="94">
        <f t="shared" si="22"/>
        <v>732.05963999999994</v>
      </c>
      <c r="G231" s="139"/>
      <c r="H231" s="140"/>
      <c r="I231" s="39"/>
      <c r="N231" s="95" t="str">
        <f t="shared" ca="1" si="23"/>
        <v>111,..,1411</v>
      </c>
      <c r="O231" s="95">
        <f ca="1">O230+1</f>
        <v>111</v>
      </c>
      <c r="P231" s="95">
        <f ca="1">P230+1</f>
        <v>1411</v>
      </c>
    </row>
    <row r="232" spans="1:16" s="95" customFormat="1" ht="15.75" customHeight="1" x14ac:dyDescent="0.35">
      <c r="A232" s="132">
        <v>12</v>
      </c>
      <c r="B232" s="133"/>
      <c r="C232" s="94" t="s">
        <v>171</v>
      </c>
      <c r="D232" s="97">
        <f>(4.1*4.55+1.3*2.75+2.1*3.1+2.75*3.45+3.1*3+1*3.1+3.1*1.2+1.2*3.2+1.8*2.75+1.35*2.75)*10.764</f>
        <v>719.57339999999999</v>
      </c>
      <c r="E232" s="94">
        <v>0</v>
      </c>
      <c r="F232" s="94">
        <f t="shared" ref="F232" si="29">D232*(($F$169)+1)+(IF(E232&lt;101,E232,IF(E232&lt;201,E232/2,IF(E232&lt;=301,E232/3,E232/4))))</f>
        <v>1079.3600999999999</v>
      </c>
      <c r="G232" s="141"/>
      <c r="H232" s="142"/>
      <c r="I232" s="39"/>
      <c r="N232" s="95" t="str">
        <f t="shared" ref="N232" ca="1" si="30">O232&amp;""&amp;",..,"&amp;""&amp;P232</f>
        <v>112,..,1412</v>
      </c>
      <c r="O232" s="95">
        <f ca="1">O231+1</f>
        <v>112</v>
      </c>
      <c r="P232" s="95">
        <f ca="1">P231+1</f>
        <v>1412</v>
      </c>
    </row>
    <row r="233" spans="1:16" s="95" customFormat="1" ht="15.75" customHeight="1" x14ac:dyDescent="0.35">
      <c r="A233" s="134" t="s">
        <v>181</v>
      </c>
      <c r="B233" s="135"/>
      <c r="C233" s="135"/>
      <c r="D233" s="135"/>
      <c r="E233" s="135"/>
      <c r="F233" s="135"/>
      <c r="G233" s="135"/>
      <c r="H233" s="136"/>
      <c r="I233" s="39"/>
      <c r="P233" s="40"/>
    </row>
    <row r="234" spans="1:16" s="95" customFormat="1" ht="15.75" customHeight="1" x14ac:dyDescent="0.35">
      <c r="A234" s="132">
        <v>1</v>
      </c>
      <c r="B234" s="133"/>
      <c r="C234" s="94" t="s">
        <v>171</v>
      </c>
      <c r="D234" s="97">
        <f>(4.1*4.55+1.3*2.75+2.1*3.1+2.75*3.45+3.1*3+1*3.1+3.1*1.2+1.2*3.2+1.8*2.75+1.35*2.75)*10.764</f>
        <v>719.57339999999999</v>
      </c>
      <c r="E234" s="94">
        <v>0</v>
      </c>
      <c r="F234" s="94">
        <f t="shared" ref="F234:F242" si="31">D234*(($F$169)+1)+(IF(E234&lt;101,E234,IF(E234&lt;201,E234/2,IF(E234&lt;=301,E234/3,E234/4))))</f>
        <v>1079.3600999999999</v>
      </c>
      <c r="G234" s="137" t="str">
        <f>A233</f>
        <v>8th &amp; 13th Floor (Part Refuge Area)</v>
      </c>
      <c r="H234" s="138"/>
      <c r="I234" s="39"/>
      <c r="N234" s="95" t="str">
        <f t="shared" ref="N234:N245" ca="1" si="32">O234&amp;""&amp;",..,"&amp;""&amp;P234</f>
        <v>801,..,1301</v>
      </c>
      <c r="O234" s="95">
        <f ca="1">(SUMPRODUCT(MID(0&amp;(LEFT(A233,SUM(LEN(A233)-LEN(SUBSTITUTE(A233,{0,1,2},""))))), LARGE(INDEX(ISNUMBER(--MID((LEFT(A233,SUM(LEN(A233)-LEN(SUBSTITUTE(A233,{0,1,2},""))))), ROW(INDIRECT("1:"&amp;LEN((LEFT(A233,SUM(LEN(A233)-LEN(SUBSTITUTE(A233,{0,1,2},"")))))))), 1)) * ROW(INDIRECT("1:"&amp;LEN((LEFT(A233,SUM(LEN(A233)-LEN(SUBSTITUTE(A233,{0,1,2},"")))))))), 0), ROW(INDIRECT("1:"&amp;LEN((LEFT(A233,SUM(LEN(A233)-LEN(SUBSTITUTE(A233,{0,1,2},"")))))))))+1, 1) * 10^ROW(INDIRECT("1:"&amp;LEN((LEFT(A233,SUM(LEN(A233)-LEN(SUBSTITUTE(A233,{0,1,2},""))))))))/10))*100+1</f>
        <v>801</v>
      </c>
      <c r="P234" s="95">
        <f ca="1">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1301</v>
      </c>
    </row>
    <row r="235" spans="1:16" s="95" customFormat="1" ht="15.75" customHeight="1" x14ac:dyDescent="0.35">
      <c r="A235" s="132">
        <v>2</v>
      </c>
      <c r="B235" s="133"/>
      <c r="C235" s="94" t="s">
        <v>172</v>
      </c>
      <c r="D235" s="97">
        <f>(2.9*5.4+2.1*3+2.9*3.35+2*1.2+1.2*2.15+0.9*2.1+0.75*2.1+1.8*2.9)*10.764</f>
        <v>488.03976</v>
      </c>
      <c r="E235" s="94">
        <v>0</v>
      </c>
      <c r="F235" s="94">
        <f t="shared" si="31"/>
        <v>732.05963999999994</v>
      </c>
      <c r="G235" s="139"/>
      <c r="H235" s="140"/>
      <c r="I235" s="39"/>
      <c r="N235" s="95" t="str">
        <f t="shared" ca="1" si="32"/>
        <v>802,..,1302</v>
      </c>
      <c r="O235" s="95">
        <f t="shared" ref="O235:P235" ca="1" si="33">O234+1</f>
        <v>802</v>
      </c>
      <c r="P235" s="95">
        <f t="shared" ca="1" si="33"/>
        <v>1302</v>
      </c>
    </row>
    <row r="236" spans="1:16" s="95" customFormat="1" ht="15.75" customHeight="1" x14ac:dyDescent="0.35">
      <c r="A236" s="132">
        <v>3</v>
      </c>
      <c r="B236" s="133"/>
      <c r="C236" s="94" t="s">
        <v>172</v>
      </c>
      <c r="D236" s="97">
        <f>(2.9*5.4+2.1*3+2.9*3.35+2*1.2+1.2*2.15+0.9*2.1+0.75*2.1+1.8*2.9)*10.764</f>
        <v>488.03976</v>
      </c>
      <c r="E236" s="94">
        <v>0</v>
      </c>
      <c r="F236" s="94">
        <f t="shared" si="31"/>
        <v>732.05963999999994</v>
      </c>
      <c r="G236" s="139"/>
      <c r="H236" s="140"/>
      <c r="I236" s="39"/>
      <c r="N236" s="95" t="str">
        <f t="shared" ca="1" si="32"/>
        <v>803,..,1303</v>
      </c>
      <c r="O236" s="95">
        <f t="shared" ref="O236:P236" ca="1" si="34">O235+1</f>
        <v>803</v>
      </c>
      <c r="P236" s="95">
        <f t="shared" ca="1" si="34"/>
        <v>1303</v>
      </c>
    </row>
    <row r="237" spans="1:16" s="95" customFormat="1" ht="15.75" customHeight="1" x14ac:dyDescent="0.35">
      <c r="A237" s="132">
        <v>4</v>
      </c>
      <c r="B237" s="133"/>
      <c r="C237" s="94" t="s">
        <v>171</v>
      </c>
      <c r="D237" s="97">
        <f>(2.9*5.4+2.1*3+2.75*3.35+3.65*2.9+1.2*2.15+1.2*2.3+0.75*2.1+1.8*2.9+0.9*2.5+3.7*0.5+1.2*0.5)*10.764</f>
        <v>630.68966999999998</v>
      </c>
      <c r="E237" s="94">
        <v>0</v>
      </c>
      <c r="F237" s="94">
        <f t="shared" si="31"/>
        <v>946.03450499999997</v>
      </c>
      <c r="G237" s="139"/>
      <c r="H237" s="140"/>
      <c r="I237" s="39"/>
      <c r="N237" s="95" t="str">
        <f t="shared" ca="1" si="32"/>
        <v>804,..,1304</v>
      </c>
      <c r="O237" s="95">
        <f t="shared" ref="O237:P237" ca="1" si="35">O236+1</f>
        <v>804</v>
      </c>
      <c r="P237" s="95">
        <f t="shared" ca="1" si="35"/>
        <v>1304</v>
      </c>
    </row>
    <row r="238" spans="1:16" s="95" customFormat="1" ht="15.75" customHeight="1" x14ac:dyDescent="0.35">
      <c r="A238" s="132">
        <v>5</v>
      </c>
      <c r="B238" s="133"/>
      <c r="C238" s="94" t="s">
        <v>171</v>
      </c>
      <c r="D238" s="97">
        <f>(2.9*5.4+2.1*3+2.75*3.35+3.65*2.9+1.2*2.15+1.2*2.3+0.75*2.1+1.8*2.9+0.9*2.5+3.7*0.5+1.2*0.5)*10.764</f>
        <v>630.68966999999998</v>
      </c>
      <c r="E238" s="94">
        <v>0</v>
      </c>
      <c r="F238" s="94">
        <f t="shared" si="31"/>
        <v>946.03450499999997</v>
      </c>
      <c r="G238" s="139"/>
      <c r="H238" s="140"/>
      <c r="I238" s="39"/>
      <c r="N238" s="95" t="str">
        <f t="shared" ca="1" si="32"/>
        <v>805,..,1305</v>
      </c>
      <c r="O238" s="95">
        <f t="shared" ref="O238:P238" ca="1" si="36">O237+1</f>
        <v>805</v>
      </c>
      <c r="P238" s="95">
        <f t="shared" ca="1" si="36"/>
        <v>1305</v>
      </c>
    </row>
    <row r="239" spans="1:16" s="95" customFormat="1" ht="15.75" customHeight="1" x14ac:dyDescent="0.35">
      <c r="A239" s="132">
        <v>6</v>
      </c>
      <c r="B239" s="133"/>
      <c r="C239" s="94" t="s">
        <v>172</v>
      </c>
      <c r="D239" s="97">
        <f>(2.9*5.4+2.1*3+2.9*3.35+2*1.2+1.2*2.15+0.9*2.1+0.75*2.1+1.8*2.9)*10.764</f>
        <v>488.03976</v>
      </c>
      <c r="E239" s="94">
        <v>0</v>
      </c>
      <c r="F239" s="94">
        <f t="shared" si="31"/>
        <v>732.05963999999994</v>
      </c>
      <c r="G239" s="139"/>
      <c r="H239" s="140"/>
      <c r="I239" s="39"/>
      <c r="N239" s="95" t="str">
        <f t="shared" ca="1" si="32"/>
        <v>806,..,1306</v>
      </c>
      <c r="O239" s="95">
        <f ca="1">O238+1</f>
        <v>806</v>
      </c>
      <c r="P239" s="95">
        <f ca="1">P238+1</f>
        <v>1306</v>
      </c>
    </row>
    <row r="240" spans="1:16" s="95" customFormat="1" ht="15.75" customHeight="1" x14ac:dyDescent="0.35">
      <c r="A240" s="132">
        <v>7</v>
      </c>
      <c r="B240" s="133"/>
      <c r="C240" s="94" t="s">
        <v>172</v>
      </c>
      <c r="D240" s="97">
        <f>(2.9*5.4+2.1*3+2.9*3.35+2*1.2+1.2*2.15+0.9*2.1+0.75*2.1+1.8*2.9)*10.764</f>
        <v>488.03976</v>
      </c>
      <c r="E240" s="94">
        <v>0</v>
      </c>
      <c r="F240" s="94">
        <f t="shared" si="31"/>
        <v>732.05963999999994</v>
      </c>
      <c r="G240" s="139"/>
      <c r="H240" s="140"/>
      <c r="I240" s="39"/>
      <c r="N240" s="95" t="str">
        <f t="shared" ca="1" si="32"/>
        <v>807,..,1307</v>
      </c>
      <c r="O240" s="95">
        <f t="shared" ref="O240:P240" ca="1" si="37">O239+1</f>
        <v>807</v>
      </c>
      <c r="P240" s="95">
        <f t="shared" ca="1" si="37"/>
        <v>1307</v>
      </c>
    </row>
    <row r="241" spans="1:16" s="95" customFormat="1" ht="15.75" customHeight="1" x14ac:dyDescent="0.35">
      <c r="A241" s="132">
        <v>8</v>
      </c>
      <c r="B241" s="133"/>
      <c r="C241" s="94" t="s">
        <v>171</v>
      </c>
      <c r="D241" s="97">
        <f t="shared" ref="D241:D242" si="38">(2.9*5.4+2.1*3+2.75*3.35+3.65*2.9+1.2*2.15+1.2*2.3+0.75*2.1+1.8*2.9+0.9*2.5+3.7*0.5+1.2*0.5)*10.764</f>
        <v>630.68966999999998</v>
      </c>
      <c r="E241" s="94">
        <v>0</v>
      </c>
      <c r="F241" s="94">
        <f t="shared" si="31"/>
        <v>946.03450499999997</v>
      </c>
      <c r="G241" s="139"/>
      <c r="H241" s="140"/>
      <c r="I241" s="39"/>
      <c r="N241" s="95" t="str">
        <f t="shared" ca="1" si="32"/>
        <v>808,..,1308</v>
      </c>
      <c r="O241" s="95">
        <f t="shared" ref="O241:P241" ca="1" si="39">O240+1</f>
        <v>808</v>
      </c>
      <c r="P241" s="95">
        <f t="shared" ca="1" si="39"/>
        <v>1308</v>
      </c>
    </row>
    <row r="242" spans="1:16" s="95" customFormat="1" ht="15.75" customHeight="1" x14ac:dyDescent="0.35">
      <c r="A242" s="132">
        <v>9</v>
      </c>
      <c r="B242" s="133"/>
      <c r="C242" s="94" t="s">
        <v>171</v>
      </c>
      <c r="D242" s="97">
        <f t="shared" si="38"/>
        <v>630.68966999999998</v>
      </c>
      <c r="E242" s="94">
        <v>0</v>
      </c>
      <c r="F242" s="94">
        <f t="shared" si="31"/>
        <v>946.03450499999997</v>
      </c>
      <c r="G242" s="139"/>
      <c r="H242" s="140"/>
      <c r="I242" s="39"/>
      <c r="N242" s="95" t="str">
        <f t="shared" ca="1" si="32"/>
        <v>809,..,1309</v>
      </c>
      <c r="O242" s="95">
        <f t="shared" ref="O242:P242" ca="1" si="40">O241+1</f>
        <v>809</v>
      </c>
      <c r="P242" s="95">
        <f t="shared" ca="1" si="40"/>
        <v>1309</v>
      </c>
    </row>
    <row r="243" spans="1:16" s="95" customFormat="1" ht="15.75" customHeight="1" x14ac:dyDescent="0.35">
      <c r="A243" s="132">
        <v>10</v>
      </c>
      <c r="B243" s="133"/>
      <c r="C243" s="132" t="s">
        <v>174</v>
      </c>
      <c r="D243" s="152"/>
      <c r="E243" s="152"/>
      <c r="F243" s="133"/>
      <c r="G243" s="139"/>
      <c r="H243" s="140"/>
      <c r="I243" s="39"/>
      <c r="N243" s="95" t="str">
        <f t="shared" ca="1" si="32"/>
        <v>810,..,1310</v>
      </c>
      <c r="O243" s="95">
        <f t="shared" ref="O243:P243" ca="1" si="41">O242+1</f>
        <v>810</v>
      </c>
      <c r="P243" s="95">
        <f t="shared" ca="1" si="41"/>
        <v>1310</v>
      </c>
    </row>
    <row r="244" spans="1:16" s="95" customFormat="1" ht="15.75" customHeight="1" x14ac:dyDescent="0.35">
      <c r="A244" s="132">
        <v>11</v>
      </c>
      <c r="B244" s="133"/>
      <c r="C244" s="94" t="s">
        <v>172</v>
      </c>
      <c r="D244" s="97">
        <f>(2.9*5.4+2.1*3+2.9*3.35+2*1.2+1.2*2.15+0.9*2.1+0.75*2.1+1.8*2.9)*10.764</f>
        <v>488.03976</v>
      </c>
      <c r="E244" s="94">
        <v>0</v>
      </c>
      <c r="F244" s="94">
        <f>D244*(($F$169)+1)+(IF(E244&lt;101,E244,IF(E244&lt;201,E244/2,IF(E244&lt;=301,E244/3,E244/4))))</f>
        <v>732.05963999999994</v>
      </c>
      <c r="G244" s="139"/>
      <c r="H244" s="140"/>
      <c r="I244" s="39"/>
      <c r="N244" s="95" t="str">
        <f t="shared" ca="1" si="32"/>
        <v>811,..,1311</v>
      </c>
      <c r="O244" s="95">
        <f ca="1">O243+1</f>
        <v>811</v>
      </c>
      <c r="P244" s="95">
        <f ca="1">P243+1</f>
        <v>1311</v>
      </c>
    </row>
    <row r="245" spans="1:16" s="95" customFormat="1" ht="15.75" customHeight="1" x14ac:dyDescent="0.35">
      <c r="A245" s="132">
        <v>12</v>
      </c>
      <c r="B245" s="133"/>
      <c r="C245" s="94" t="s">
        <v>171</v>
      </c>
      <c r="D245" s="97">
        <f>(4.1*4.55+1.3*2.75+2.1*3.1+2.75*3.45+3.1*3+1*3.1+3.1*1.2+1.2*3.2+1.8*2.75+1.35*2.75)*10.764</f>
        <v>719.57339999999999</v>
      </c>
      <c r="E245" s="94">
        <v>0</v>
      </c>
      <c r="F245" s="94">
        <f>D245*(($F$169)+1)+(IF(E245&lt;101,E245,IF(E245&lt;201,E245/2,IF(E245&lt;=301,E245/3,E245/4))))</f>
        <v>1079.3600999999999</v>
      </c>
      <c r="G245" s="141"/>
      <c r="H245" s="142"/>
      <c r="I245" s="39"/>
      <c r="N245" s="95" t="str">
        <f t="shared" ca="1" si="32"/>
        <v>812,..,1312</v>
      </c>
      <c r="O245" s="95">
        <f ca="1">O244+1</f>
        <v>812</v>
      </c>
      <c r="P245" s="95">
        <f ca="1">P244+1</f>
        <v>1312</v>
      </c>
    </row>
    <row r="246" spans="1:16" x14ac:dyDescent="0.35">
      <c r="A246" s="131" t="s">
        <v>182</v>
      </c>
      <c r="B246" s="131"/>
      <c r="C246" s="131"/>
      <c r="D246" s="131"/>
      <c r="E246" s="131"/>
      <c r="F246" s="131"/>
      <c r="G246" s="131"/>
      <c r="H246" s="131"/>
    </row>
    <row r="247" spans="1:16" x14ac:dyDescent="0.35">
      <c r="A247" s="131" t="s">
        <v>223</v>
      </c>
      <c r="B247" s="131"/>
      <c r="C247" s="131"/>
      <c r="D247" s="131"/>
      <c r="E247" s="131"/>
      <c r="F247" s="131"/>
      <c r="G247" s="131"/>
      <c r="H247" s="131"/>
    </row>
    <row r="248" spans="1:16" x14ac:dyDescent="0.35">
      <c r="A248" s="131" t="s">
        <v>236</v>
      </c>
      <c r="B248" s="131"/>
      <c r="C248" s="131"/>
      <c r="D248" s="131"/>
      <c r="E248" s="131"/>
      <c r="F248" s="131"/>
      <c r="G248" s="131"/>
      <c r="H248" s="131"/>
    </row>
    <row r="249" spans="1:16" s="2" customFormat="1" x14ac:dyDescent="0.35">
      <c r="A249" s="134" t="s">
        <v>180</v>
      </c>
      <c r="B249" s="135"/>
      <c r="C249" s="135"/>
      <c r="D249" s="135"/>
      <c r="E249" s="135"/>
      <c r="F249" s="135"/>
      <c r="G249" s="135"/>
      <c r="H249" s="136"/>
      <c r="I249" s="39"/>
      <c r="M249" s="53"/>
      <c r="N249" s="53"/>
      <c r="P249" s="40"/>
    </row>
    <row r="250" spans="1:16" s="2" customFormat="1" ht="15.75" customHeight="1" x14ac:dyDescent="0.35">
      <c r="A250" s="132">
        <v>1</v>
      </c>
      <c r="B250" s="133"/>
      <c r="C250" s="38" t="s">
        <v>171</v>
      </c>
      <c r="D250" s="38">
        <f>(4.2*4.15+3*2.1+3*3.5+2.75*3.5+1.2*2.1+2*1.2+1.2*1.25+1*1.85)*10.764</f>
        <v>561.07350000000008</v>
      </c>
      <c r="E250" s="54">
        <v>0</v>
      </c>
      <c r="F250" s="92">
        <f t="shared" ref="F250:F255" si="42">D250*(($F$169)+1)+(IF(E250&lt;101,E250,IF(E250&lt;201,E250/2,IF(E250&lt;=301,E250/3,E250/4))))</f>
        <v>841.61025000000018</v>
      </c>
      <c r="G250" s="137" t="str">
        <f>A249</f>
        <v>1st to 7th, 9th to 12th &amp; 14th Floor for Residential</v>
      </c>
      <c r="H250" s="138"/>
      <c r="I250" s="39"/>
      <c r="M250" s="53"/>
      <c r="N250" s="53" t="str">
        <f t="shared" ref="N250:N255" ca="1" si="43">O250&amp;""&amp;" to "&amp;""&amp;P250</f>
        <v>101 to 1401</v>
      </c>
      <c r="O250" s="70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</f>
        <v>101</v>
      </c>
      <c r="P250" s="70">
        <f ca="1">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1401</v>
      </c>
    </row>
    <row r="251" spans="1:16" s="2" customFormat="1" ht="15.75" customHeight="1" x14ac:dyDescent="0.35">
      <c r="A251" s="132">
        <v>2</v>
      </c>
      <c r="B251" s="133"/>
      <c r="C251" s="38" t="s">
        <v>171</v>
      </c>
      <c r="D251" s="38">
        <f>(4.5*3.05+2.1*2.75+2.75*3.65+3.5*3.05+1.2*2+1.2*2.1+2.15*0.6+1.3*0.9+1.25*(2.25+2)+0.75*2.1)*10.764</f>
        <v>586.42272000000003</v>
      </c>
      <c r="E251" s="54">
        <v>0</v>
      </c>
      <c r="F251" s="92">
        <f t="shared" si="42"/>
        <v>879.63408000000004</v>
      </c>
      <c r="G251" s="139"/>
      <c r="H251" s="140"/>
      <c r="I251" s="39"/>
      <c r="M251" s="53"/>
      <c r="N251" s="70" t="str">
        <f t="shared" ca="1" si="43"/>
        <v>102 to 1402</v>
      </c>
      <c r="O251" s="2">
        <f t="shared" ref="O251:P254" ca="1" si="44">O250+1</f>
        <v>102</v>
      </c>
      <c r="P251" s="2">
        <f t="shared" ca="1" si="44"/>
        <v>1402</v>
      </c>
    </row>
    <row r="252" spans="1:16" s="2" customFormat="1" ht="15.75" customHeight="1" x14ac:dyDescent="0.35">
      <c r="A252" s="132">
        <v>3</v>
      </c>
      <c r="B252" s="133"/>
      <c r="C252" s="116" t="s">
        <v>171</v>
      </c>
      <c r="D252" s="116">
        <f>(1.25*1.55+4.5*3.05+2.1*2.75+2.75*3.65+3.5*3.05+1.2*2+1.2*2.1+2.15*0.6+1.3*0.9+1.25*(2.25+2)+0.75*2.1)*10.764</f>
        <v>607.27796999999998</v>
      </c>
      <c r="E252" s="54">
        <v>0</v>
      </c>
      <c r="F252" s="92">
        <f t="shared" si="42"/>
        <v>910.91695499999992</v>
      </c>
      <c r="G252" s="139"/>
      <c r="H252" s="140"/>
      <c r="I252" s="39"/>
      <c r="M252" s="53"/>
      <c r="N252" s="70" t="str">
        <f t="shared" ca="1" si="43"/>
        <v>103 to 1403</v>
      </c>
      <c r="O252" s="2">
        <f t="shared" ca="1" si="44"/>
        <v>103</v>
      </c>
      <c r="P252" s="2">
        <f t="shared" ca="1" si="44"/>
        <v>1403</v>
      </c>
    </row>
    <row r="253" spans="1:16" s="2" customFormat="1" ht="15.75" customHeight="1" x14ac:dyDescent="0.35">
      <c r="A253" s="132">
        <v>4</v>
      </c>
      <c r="B253" s="133"/>
      <c r="C253" s="116" t="s">
        <v>171</v>
      </c>
      <c r="D253" s="116">
        <f>(1.25*1.55+4.5*3.05+2.1*2.75+2.75*3.65+3.5*3.05+1.2*2+1.2*2.1+2.15*0.6+1.3*0.9+1.25*(2.25+2)+0.75*2.1)*10.764</f>
        <v>607.27796999999998</v>
      </c>
      <c r="E253" s="54">
        <v>0</v>
      </c>
      <c r="F253" s="92">
        <f t="shared" si="42"/>
        <v>910.91695499999992</v>
      </c>
      <c r="G253" s="139"/>
      <c r="H253" s="140"/>
      <c r="I253" s="39"/>
      <c r="M253" s="53"/>
      <c r="N253" s="70" t="str">
        <f t="shared" ca="1" si="43"/>
        <v>104 to 1404</v>
      </c>
      <c r="O253" s="2">
        <f t="shared" ca="1" si="44"/>
        <v>104</v>
      </c>
      <c r="P253" s="2">
        <f t="shared" ca="1" si="44"/>
        <v>1404</v>
      </c>
    </row>
    <row r="254" spans="1:16" s="2" customFormat="1" ht="15.75" customHeight="1" x14ac:dyDescent="0.35">
      <c r="A254" s="132">
        <v>5</v>
      </c>
      <c r="B254" s="133"/>
      <c r="C254" s="116" t="s">
        <v>171</v>
      </c>
      <c r="D254" s="116">
        <f>(4.5*3.05+2.1*2.75+2.75*3.65+3.5*3.05+1.2*2+1.2*2.1+2.15*0.6+1.3*0.9+1.25*(2.25+2)+0.75*2.1)*10.764</f>
        <v>586.42272000000003</v>
      </c>
      <c r="E254" s="54">
        <v>0</v>
      </c>
      <c r="F254" s="92">
        <f t="shared" si="42"/>
        <v>879.63408000000004</v>
      </c>
      <c r="G254" s="139"/>
      <c r="H254" s="140"/>
      <c r="I254" s="39"/>
      <c r="M254" s="53"/>
      <c r="N254" s="70" t="str">
        <f t="shared" ca="1" si="43"/>
        <v>105 to 1405</v>
      </c>
      <c r="O254" s="2">
        <f t="shared" ca="1" si="44"/>
        <v>105</v>
      </c>
      <c r="P254" s="2">
        <f t="shared" ca="1" si="44"/>
        <v>1405</v>
      </c>
    </row>
    <row r="255" spans="1:16" s="43" customFormat="1" ht="15.75" customHeight="1" x14ac:dyDescent="0.35">
      <c r="A255" s="132">
        <v>6</v>
      </c>
      <c r="B255" s="133"/>
      <c r="C255" s="44" t="s">
        <v>171</v>
      </c>
      <c r="D255" s="94">
        <f>(3.65*4.475+3.05*2.025+2.75*2.75+2.9*3.35+1.85*1.2+2*1.2+1.2*2.15+0.9*0.3+1.25*2.05+0.75*2.025)*10.764</f>
        <v>552.61030499999981</v>
      </c>
      <c r="E255" s="54">
        <v>0</v>
      </c>
      <c r="F255" s="92">
        <f t="shared" si="42"/>
        <v>828.91545749999977</v>
      </c>
      <c r="G255" s="139"/>
      <c r="H255" s="140"/>
      <c r="I255" s="39"/>
      <c r="M255" s="53"/>
      <c r="N255" s="70" t="str">
        <f t="shared" ca="1" si="43"/>
        <v>106 to 1406</v>
      </c>
      <c r="O255" s="43">
        <f ca="1">O254+1</f>
        <v>106</v>
      </c>
      <c r="P255" s="43">
        <f ca="1">P254+1</f>
        <v>1406</v>
      </c>
    </row>
    <row r="256" spans="1:16" s="95" customFormat="1" ht="15.75" customHeight="1" x14ac:dyDescent="0.35">
      <c r="A256" s="132">
        <v>7</v>
      </c>
      <c r="B256" s="133"/>
      <c r="C256" s="116" t="s">
        <v>171</v>
      </c>
      <c r="D256" s="116">
        <f>(3.65*4.475+3.05*2.025+2.75*2.75+2.9*3.35+1.85*1.2+2*1.2+1.2*2.15+0.9*0.3+1.25*2.05+0.75*2.025)*10.764</f>
        <v>552.61030499999981</v>
      </c>
      <c r="E256" s="94">
        <v>0</v>
      </c>
      <c r="F256" s="94">
        <f t="shared" ref="F256:F260" si="45">D256*(($F$169)+1)+(IF(E256&lt;101,E256,IF(E256&lt;201,E256/2,IF(E256&lt;=301,E256/3,E256/4))))</f>
        <v>828.91545749999977</v>
      </c>
      <c r="G256" s="139"/>
      <c r="H256" s="140"/>
      <c r="I256" s="39"/>
      <c r="N256" s="95" t="str">
        <f t="shared" ref="N256:N260" ca="1" si="46">O256&amp;""&amp;" to "&amp;""&amp;P256</f>
        <v>107 to 1407</v>
      </c>
      <c r="O256" s="95">
        <f t="shared" ref="O256:P256" ca="1" si="47">O255+1</f>
        <v>107</v>
      </c>
      <c r="P256" s="95">
        <f t="shared" ca="1" si="47"/>
        <v>1407</v>
      </c>
    </row>
    <row r="257" spans="1:16" s="95" customFormat="1" ht="15.75" customHeight="1" x14ac:dyDescent="0.35">
      <c r="A257" s="132">
        <v>8</v>
      </c>
      <c r="B257" s="133"/>
      <c r="C257" s="116" t="s">
        <v>171</v>
      </c>
      <c r="D257" s="116">
        <f>(4.5*3.05+2.1*2.75+2.75*3.65+3.5*3.05+1.2*2+1.2*2.1+2.15*0.6+1.3*0.9+1.25*(2.25+2)+0.75*2.1)*10.764</f>
        <v>586.42272000000003</v>
      </c>
      <c r="E257" s="94">
        <v>0</v>
      </c>
      <c r="F257" s="94">
        <f t="shared" si="45"/>
        <v>879.63408000000004</v>
      </c>
      <c r="G257" s="139"/>
      <c r="H257" s="140"/>
      <c r="I257" s="39"/>
      <c r="N257" s="95" t="str">
        <f t="shared" ca="1" si="46"/>
        <v>108 to 1408</v>
      </c>
      <c r="O257" s="95">
        <f t="shared" ref="O257:P257" ca="1" si="48">O256+1</f>
        <v>108</v>
      </c>
      <c r="P257" s="95">
        <f t="shared" ca="1" si="48"/>
        <v>1408</v>
      </c>
    </row>
    <row r="258" spans="1:16" s="95" customFormat="1" ht="15.75" customHeight="1" x14ac:dyDescent="0.35">
      <c r="A258" s="132">
        <v>9</v>
      </c>
      <c r="B258" s="133"/>
      <c r="C258" s="116" t="s">
        <v>171</v>
      </c>
      <c r="D258" s="116">
        <f t="shared" ref="D258:D259" si="49">(1.25*1.55+4.5*3.05+2.1*2.75+2.75*3.65+3.5*3.05+1.2*2+1.2*2.1+2.15*0.6+1.3*0.9+1.25*(2.25+2)+0.75*2.1)*10.764</f>
        <v>607.27796999999998</v>
      </c>
      <c r="E258" s="94">
        <v>0</v>
      </c>
      <c r="F258" s="94">
        <f t="shared" si="45"/>
        <v>910.91695499999992</v>
      </c>
      <c r="G258" s="139"/>
      <c r="H258" s="140"/>
      <c r="I258" s="39"/>
      <c r="N258" s="95" t="str">
        <f t="shared" ca="1" si="46"/>
        <v>109 to 1409</v>
      </c>
      <c r="O258" s="95">
        <f t="shared" ref="O258:P258" ca="1" si="50">O257+1</f>
        <v>109</v>
      </c>
      <c r="P258" s="95">
        <f t="shared" ca="1" si="50"/>
        <v>1409</v>
      </c>
    </row>
    <row r="259" spans="1:16" s="95" customFormat="1" ht="15.75" customHeight="1" x14ac:dyDescent="0.35">
      <c r="A259" s="132">
        <v>10</v>
      </c>
      <c r="B259" s="133"/>
      <c r="C259" s="116" t="s">
        <v>171</v>
      </c>
      <c r="D259" s="116">
        <f t="shared" si="49"/>
        <v>607.27796999999998</v>
      </c>
      <c r="E259" s="94">
        <v>0</v>
      </c>
      <c r="F259" s="94">
        <f t="shared" si="45"/>
        <v>910.91695499999992</v>
      </c>
      <c r="G259" s="139"/>
      <c r="H259" s="140"/>
      <c r="I259" s="39"/>
      <c r="N259" s="95" t="str">
        <f t="shared" ca="1" si="46"/>
        <v>110 to 1410</v>
      </c>
      <c r="O259" s="95">
        <f t="shared" ref="O259:P259" ca="1" si="51">O258+1</f>
        <v>110</v>
      </c>
      <c r="P259" s="95">
        <f t="shared" ca="1" si="51"/>
        <v>1410</v>
      </c>
    </row>
    <row r="260" spans="1:16" s="95" customFormat="1" ht="15.75" customHeight="1" x14ac:dyDescent="0.35">
      <c r="A260" s="132">
        <v>11</v>
      </c>
      <c r="B260" s="133"/>
      <c r="C260" s="116" t="s">
        <v>171</v>
      </c>
      <c r="D260" s="116">
        <f t="shared" ref="D260" si="52">(4.5*3.05+2.1*2.75+2.75*3.65+3.5*3.05+1.2*2+1.2*2.1+2.15*0.6+1.3*0.9+1.25*(2.25+2)+0.75*2.1)*10.764</f>
        <v>586.42272000000003</v>
      </c>
      <c r="E260" s="94">
        <v>0</v>
      </c>
      <c r="F260" s="94">
        <f t="shared" si="45"/>
        <v>879.63408000000004</v>
      </c>
      <c r="G260" s="139"/>
      <c r="H260" s="140"/>
      <c r="I260" s="39"/>
      <c r="N260" s="95" t="str">
        <f t="shared" ca="1" si="46"/>
        <v>111 to 1411</v>
      </c>
      <c r="O260" s="95">
        <f ca="1">O259+1</f>
        <v>111</v>
      </c>
      <c r="P260" s="95">
        <f ca="1">P259+1</f>
        <v>1411</v>
      </c>
    </row>
    <row r="261" spans="1:16" s="95" customFormat="1" ht="15.75" customHeight="1" x14ac:dyDescent="0.35">
      <c r="A261" s="132">
        <v>12</v>
      </c>
      <c r="B261" s="133"/>
      <c r="C261" s="116" t="s">
        <v>171</v>
      </c>
      <c r="D261" s="116">
        <f>(4.2*4.15+3*2.1+3*3.5+2.75*3.5+1.2*2.1+2*1.2+1.2*1.25+1*1.85)*10.764</f>
        <v>561.07350000000008</v>
      </c>
      <c r="E261" s="94">
        <v>0</v>
      </c>
      <c r="F261" s="94">
        <f t="shared" ref="F261" si="53">D261*(($F$169)+1)+(IF(E261&lt;101,E261,IF(E261&lt;201,E261/2,IF(E261&lt;=301,E261/3,E261/4))))</f>
        <v>841.61025000000018</v>
      </c>
      <c r="G261" s="141"/>
      <c r="H261" s="142"/>
      <c r="I261" s="39"/>
      <c r="N261" s="95" t="str">
        <f t="shared" ref="N261" ca="1" si="54">O261&amp;""&amp;" to "&amp;""&amp;P261</f>
        <v>112 to 1412</v>
      </c>
      <c r="O261" s="95">
        <f ca="1">O260+1</f>
        <v>112</v>
      </c>
      <c r="P261" s="95">
        <f ca="1">P260+1</f>
        <v>1412</v>
      </c>
    </row>
    <row r="262" spans="1:16" s="117" customFormat="1" x14ac:dyDescent="0.35">
      <c r="A262" s="134" t="s">
        <v>181</v>
      </c>
      <c r="B262" s="135"/>
      <c r="C262" s="135"/>
      <c r="D262" s="135"/>
      <c r="E262" s="135"/>
      <c r="F262" s="135"/>
      <c r="G262" s="135"/>
      <c r="H262" s="136"/>
      <c r="I262" s="39"/>
      <c r="P262" s="40"/>
    </row>
    <row r="263" spans="1:16" s="117" customFormat="1" ht="15.75" customHeight="1" x14ac:dyDescent="0.35">
      <c r="A263" s="132">
        <v>1</v>
      </c>
      <c r="B263" s="133"/>
      <c r="C263" s="116" t="s">
        <v>171</v>
      </c>
      <c r="D263" s="116">
        <f>(4.2*4.15+3*2.1+3*3.5+2.75*3.5+1.2*2.1+2*1.2+1.2*1.25+1*1.85)*10.764</f>
        <v>561.07350000000008</v>
      </c>
      <c r="E263" s="116">
        <v>0</v>
      </c>
      <c r="F263" s="116">
        <f>D263*(($F$169)+1)+(IF(E263&lt;101,E263,IF(E263&lt;201,E263/2,IF(E263&lt;=301,E263/3,E263/4))))</f>
        <v>841.61025000000018</v>
      </c>
      <c r="G263" s="137" t="str">
        <f>A262</f>
        <v>8th &amp; 13th Floor (Part Refuge Area)</v>
      </c>
      <c r="H263" s="138"/>
      <c r="I263" s="39"/>
      <c r="N263" s="117" t="str">
        <f t="shared" ref="N263:N274" ca="1" si="55">O263&amp;""&amp;" to "&amp;""&amp;P263</f>
        <v>801 to 1301</v>
      </c>
      <c r="O263" s="117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10^ROW(INDIRECT("1:"&amp;LEN((LEFT(A262,SUM(LEN(A262)-LEN(SUBSTITUTE(A262,{"0","1","2"},""))))))))/10))*100+1</f>
        <v>801</v>
      </c>
      <c r="P263" s="117">
        <f ca="1">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",LEN(A262))),LEN(A262)))))))/10))*100+1</f>
        <v>1301</v>
      </c>
    </row>
    <row r="264" spans="1:16" s="117" customFormat="1" ht="15.75" customHeight="1" x14ac:dyDescent="0.35">
      <c r="A264" s="132">
        <v>2</v>
      </c>
      <c r="B264" s="133"/>
      <c r="C264" s="116" t="s">
        <v>171</v>
      </c>
      <c r="D264" s="116">
        <f>(4.5*3.05+2.1*2.75+2.75*3.65+3.5*3.05+1.2*2+1.2*2.1+2.15*0.6+1.3*0.9+1.25*(2.25+2)+0.75*2.1)*10.764</f>
        <v>586.42272000000003</v>
      </c>
      <c r="E264" s="116">
        <v>0</v>
      </c>
      <c r="F264" s="116">
        <f>D264*(($F$169)+1)+(IF(E264&lt;101,E264,IF(E264&lt;201,E264/2,IF(E264&lt;=301,E264/3,E264/4))))</f>
        <v>879.63408000000004</v>
      </c>
      <c r="G264" s="139"/>
      <c r="H264" s="140"/>
      <c r="I264" s="39"/>
      <c r="N264" s="117" t="str">
        <f t="shared" ca="1" si="55"/>
        <v>802 to 1302</v>
      </c>
      <c r="O264" s="117">
        <f t="shared" ref="O264:P264" ca="1" si="56">O263+1</f>
        <v>802</v>
      </c>
      <c r="P264" s="117">
        <f t="shared" ca="1" si="56"/>
        <v>1302</v>
      </c>
    </row>
    <row r="265" spans="1:16" s="117" customFormat="1" ht="15.75" customHeight="1" x14ac:dyDescent="0.35">
      <c r="A265" s="132">
        <v>3</v>
      </c>
      <c r="B265" s="133"/>
      <c r="C265" s="132" t="s">
        <v>174</v>
      </c>
      <c r="D265" s="152"/>
      <c r="E265" s="152"/>
      <c r="F265" s="133"/>
      <c r="G265" s="139"/>
      <c r="H265" s="140"/>
      <c r="I265" s="39"/>
      <c r="N265" s="117" t="str">
        <f t="shared" ca="1" si="55"/>
        <v>803 to 1303</v>
      </c>
      <c r="O265" s="117">
        <f t="shared" ref="O265:P265" ca="1" si="57">O264+1</f>
        <v>803</v>
      </c>
      <c r="P265" s="117">
        <f t="shared" ca="1" si="57"/>
        <v>1303</v>
      </c>
    </row>
    <row r="266" spans="1:16" s="117" customFormat="1" ht="15.75" customHeight="1" x14ac:dyDescent="0.35">
      <c r="A266" s="132">
        <v>4</v>
      </c>
      <c r="B266" s="133"/>
      <c r="C266" s="116" t="s">
        <v>171</v>
      </c>
      <c r="D266" s="116">
        <f>(1.25*1.55+4.5*3.05+2.1*2.75+2.75*3.65+3.5*3.05+1.2*2+1.2*2.1+2.15*0.6+1.3*0.9+1.25*(2.25+2)+0.75*2.1)*10.764</f>
        <v>607.27796999999998</v>
      </c>
      <c r="E266" s="116">
        <v>0</v>
      </c>
      <c r="F266" s="116">
        <f t="shared" ref="F266:F274" si="58">D266*(($F$169)+1)+(IF(E266&lt;101,E266,IF(E266&lt;201,E266/2,IF(E266&lt;=301,E266/3,E266/4))))</f>
        <v>910.91695499999992</v>
      </c>
      <c r="G266" s="139"/>
      <c r="H266" s="140"/>
      <c r="I266" s="39"/>
      <c r="N266" s="117" t="str">
        <f t="shared" ca="1" si="55"/>
        <v>804 to 1304</v>
      </c>
      <c r="O266" s="117">
        <f t="shared" ref="O266:P266" ca="1" si="59">O265+1</f>
        <v>804</v>
      </c>
      <c r="P266" s="117">
        <f t="shared" ca="1" si="59"/>
        <v>1304</v>
      </c>
    </row>
    <row r="267" spans="1:16" s="117" customFormat="1" ht="15.75" customHeight="1" x14ac:dyDescent="0.35">
      <c r="A267" s="132">
        <v>5</v>
      </c>
      <c r="B267" s="133"/>
      <c r="C267" s="116" t="s">
        <v>171</v>
      </c>
      <c r="D267" s="116">
        <f>(4.5*3.05+2.1*2.75+2.75*3.65+3.5*3.05+1.2*2+1.2*2.1+2.15*0.6+1.3*0.9+1.25*(2.25+2)+0.75*2.1)*10.764</f>
        <v>586.42272000000003</v>
      </c>
      <c r="E267" s="116">
        <v>0</v>
      </c>
      <c r="F267" s="116">
        <f t="shared" si="58"/>
        <v>879.63408000000004</v>
      </c>
      <c r="G267" s="139"/>
      <c r="H267" s="140"/>
      <c r="I267" s="39"/>
      <c r="N267" s="117" t="str">
        <f t="shared" ca="1" si="55"/>
        <v>805 to 1305</v>
      </c>
      <c r="O267" s="117">
        <f t="shared" ref="O267:P267" ca="1" si="60">O266+1</f>
        <v>805</v>
      </c>
      <c r="P267" s="117">
        <f t="shared" ca="1" si="60"/>
        <v>1305</v>
      </c>
    </row>
    <row r="268" spans="1:16" s="117" customFormat="1" ht="15.75" customHeight="1" x14ac:dyDescent="0.35">
      <c r="A268" s="132">
        <v>6</v>
      </c>
      <c r="B268" s="133"/>
      <c r="C268" s="116" t="s">
        <v>171</v>
      </c>
      <c r="D268" s="116">
        <f>(3.65*4.475+3.05*2.025+2.75*2.75+2.9*3.35+1.85*1.2+2*1.2+1.2*2.15+0.9*0.3+1.25*2.05+0.75*2.025)*10.764</f>
        <v>552.61030499999981</v>
      </c>
      <c r="E268" s="116">
        <v>0</v>
      </c>
      <c r="F268" s="116">
        <f t="shared" si="58"/>
        <v>828.91545749999977</v>
      </c>
      <c r="G268" s="139"/>
      <c r="H268" s="140"/>
      <c r="I268" s="39"/>
      <c r="N268" s="117" t="str">
        <f t="shared" ca="1" si="55"/>
        <v>806 to 1306</v>
      </c>
      <c r="O268" s="117">
        <f ca="1">O267+1</f>
        <v>806</v>
      </c>
      <c r="P268" s="117">
        <f ca="1">P267+1</f>
        <v>1306</v>
      </c>
    </row>
    <row r="269" spans="1:16" s="117" customFormat="1" ht="15.75" customHeight="1" x14ac:dyDescent="0.35">
      <c r="A269" s="132">
        <v>7</v>
      </c>
      <c r="B269" s="133"/>
      <c r="C269" s="116" t="s">
        <v>171</v>
      </c>
      <c r="D269" s="116">
        <f>(3.65*4.475+3.05*2.025+2.75*2.75+2.9*3.35+1.85*1.2+2*1.2+1.2*2.15+0.9*0.3+1.25*2.05+0.75*2.025)*10.764</f>
        <v>552.61030499999981</v>
      </c>
      <c r="E269" s="116">
        <v>0</v>
      </c>
      <c r="F269" s="116">
        <f t="shared" si="58"/>
        <v>828.91545749999977</v>
      </c>
      <c r="G269" s="139"/>
      <c r="H269" s="140"/>
      <c r="I269" s="39"/>
      <c r="N269" s="117" t="str">
        <f t="shared" ca="1" si="55"/>
        <v>807 to 1307</v>
      </c>
      <c r="O269" s="117">
        <f t="shared" ref="O269:P269" ca="1" si="61">O268+1</f>
        <v>807</v>
      </c>
      <c r="P269" s="117">
        <f t="shared" ca="1" si="61"/>
        <v>1307</v>
      </c>
    </row>
    <row r="270" spans="1:16" s="117" customFormat="1" ht="15.75" customHeight="1" x14ac:dyDescent="0.35">
      <c r="A270" s="132">
        <v>8</v>
      </c>
      <c r="B270" s="133"/>
      <c r="C270" s="116" t="s">
        <v>171</v>
      </c>
      <c r="D270" s="116">
        <f>(4.5*3.05+2.1*2.75+2.75*3.65+3.5*3.05+1.2*2+1.2*2.1+2.15*0.6+1.3*0.9+1.25*(2.25+2)+0.75*2.1)*10.764</f>
        <v>586.42272000000003</v>
      </c>
      <c r="E270" s="116">
        <v>0</v>
      </c>
      <c r="F270" s="116">
        <f t="shared" si="58"/>
        <v>879.63408000000004</v>
      </c>
      <c r="G270" s="139"/>
      <c r="H270" s="140"/>
      <c r="I270" s="39"/>
      <c r="N270" s="117" t="str">
        <f t="shared" ca="1" si="55"/>
        <v>808 to 1308</v>
      </c>
      <c r="O270" s="117">
        <f t="shared" ref="O270:P270" ca="1" si="62">O269+1</f>
        <v>808</v>
      </c>
      <c r="P270" s="117">
        <f t="shared" ca="1" si="62"/>
        <v>1308</v>
      </c>
    </row>
    <row r="271" spans="1:16" s="117" customFormat="1" ht="15.75" customHeight="1" x14ac:dyDescent="0.35">
      <c r="A271" s="132">
        <v>9</v>
      </c>
      <c r="B271" s="133"/>
      <c r="C271" s="116" t="s">
        <v>171</v>
      </c>
      <c r="D271" s="116">
        <f t="shared" ref="D271:D272" si="63">(1.25*1.55+4.5*3.05+2.1*2.75+2.75*3.65+3.5*3.05+1.2*2+1.2*2.1+2.15*0.6+1.3*0.9+1.25*(2.25+2)+0.75*2.1)*10.764</f>
        <v>607.27796999999998</v>
      </c>
      <c r="E271" s="116">
        <v>0</v>
      </c>
      <c r="F271" s="116">
        <f t="shared" si="58"/>
        <v>910.91695499999992</v>
      </c>
      <c r="G271" s="139"/>
      <c r="H271" s="140"/>
      <c r="I271" s="39"/>
      <c r="N271" s="117" t="str">
        <f t="shared" ca="1" si="55"/>
        <v>809 to 1309</v>
      </c>
      <c r="O271" s="117">
        <f t="shared" ref="O271:P271" ca="1" si="64">O270+1</f>
        <v>809</v>
      </c>
      <c r="P271" s="117">
        <f t="shared" ca="1" si="64"/>
        <v>1309</v>
      </c>
    </row>
    <row r="272" spans="1:16" s="117" customFormat="1" ht="15.75" customHeight="1" x14ac:dyDescent="0.35">
      <c r="A272" s="132">
        <v>10</v>
      </c>
      <c r="B272" s="133"/>
      <c r="C272" s="116" t="s">
        <v>171</v>
      </c>
      <c r="D272" s="116">
        <f t="shared" si="63"/>
        <v>607.27796999999998</v>
      </c>
      <c r="E272" s="116">
        <v>0</v>
      </c>
      <c r="F272" s="116">
        <f t="shared" si="58"/>
        <v>910.91695499999992</v>
      </c>
      <c r="G272" s="139"/>
      <c r="H272" s="140"/>
      <c r="I272" s="39"/>
      <c r="N272" s="117" t="str">
        <f t="shared" ca="1" si="55"/>
        <v>810 to 1310</v>
      </c>
      <c r="O272" s="117">
        <f t="shared" ref="O272:P272" ca="1" si="65">O271+1</f>
        <v>810</v>
      </c>
      <c r="P272" s="117">
        <f t="shared" ca="1" si="65"/>
        <v>1310</v>
      </c>
    </row>
    <row r="273" spans="1:16" s="117" customFormat="1" ht="15.75" customHeight="1" x14ac:dyDescent="0.35">
      <c r="A273" s="132">
        <v>11</v>
      </c>
      <c r="B273" s="133"/>
      <c r="C273" s="116" t="s">
        <v>171</v>
      </c>
      <c r="D273" s="116">
        <f t="shared" ref="D273" si="66">(4.5*3.05+2.1*2.75+2.75*3.65+3.5*3.05+1.2*2+1.2*2.1+2.15*0.6+1.3*0.9+1.25*(2.25+2)+0.75*2.1)*10.764</f>
        <v>586.42272000000003</v>
      </c>
      <c r="E273" s="116">
        <v>0</v>
      </c>
      <c r="F273" s="116">
        <f t="shared" si="58"/>
        <v>879.63408000000004</v>
      </c>
      <c r="G273" s="139"/>
      <c r="H273" s="140"/>
      <c r="I273" s="39"/>
      <c r="N273" s="117" t="str">
        <f t="shared" ca="1" si="55"/>
        <v>811 to 1311</v>
      </c>
      <c r="O273" s="117">
        <f ca="1">O272+1</f>
        <v>811</v>
      </c>
      <c r="P273" s="117">
        <f ca="1">P272+1</f>
        <v>1311</v>
      </c>
    </row>
    <row r="274" spans="1:16" s="117" customFormat="1" ht="15.75" customHeight="1" x14ac:dyDescent="0.35">
      <c r="A274" s="132">
        <v>12</v>
      </c>
      <c r="B274" s="133"/>
      <c r="C274" s="116" t="s">
        <v>171</v>
      </c>
      <c r="D274" s="116">
        <f>(4.2*4.15+3*2.1+3*3.5+2.75*3.5+1.2*2.1+2*1.2+1.2*1.25+1*1.85)*10.764</f>
        <v>561.07350000000008</v>
      </c>
      <c r="E274" s="116">
        <v>0</v>
      </c>
      <c r="F274" s="116">
        <f t="shared" si="58"/>
        <v>841.61025000000018</v>
      </c>
      <c r="G274" s="141"/>
      <c r="H274" s="142"/>
      <c r="I274" s="39"/>
      <c r="N274" s="117" t="str">
        <f t="shared" ca="1" si="55"/>
        <v>812 to 1312</v>
      </c>
      <c r="O274" s="117">
        <f ca="1">O273+1</f>
        <v>812</v>
      </c>
      <c r="P274" s="117">
        <f ca="1">P273+1</f>
        <v>1312</v>
      </c>
    </row>
    <row r="275" spans="1:16" s="1" customFormat="1" x14ac:dyDescent="0.35">
      <c r="A275" s="250" t="s">
        <v>71</v>
      </c>
      <c r="B275" s="250"/>
      <c r="C275" s="250"/>
      <c r="D275" s="250"/>
      <c r="E275" s="250"/>
      <c r="F275" s="250"/>
      <c r="G275" s="250"/>
      <c r="H275" s="250"/>
    </row>
    <row r="276" spans="1:16" s="1" customFormat="1" ht="46.5" customHeight="1" x14ac:dyDescent="0.35">
      <c r="A276" s="120">
        <v>1</v>
      </c>
      <c r="B276" s="311" t="s">
        <v>256</v>
      </c>
      <c r="C276" s="311"/>
      <c r="D276" s="311"/>
      <c r="E276" s="311"/>
      <c r="F276" s="311"/>
      <c r="G276" s="311"/>
      <c r="H276" s="311"/>
    </row>
    <row r="277" spans="1:16" s="1" customFormat="1" x14ac:dyDescent="0.35">
      <c r="A277" s="120">
        <f t="shared" ref="A277:A289" si="67">A276+1</f>
        <v>2</v>
      </c>
      <c r="B277" s="311" t="str">
        <f>(IF(F168="Saleable area Loading :","We have considered Saleable area of Flats as per our Calculation.","We considered Saleable area of Flat as per Builder area Sheet."))</f>
        <v>We have considered Saleable area of Flats as per our Calculation.</v>
      </c>
      <c r="C277" s="311"/>
      <c r="D277" s="311"/>
      <c r="E277" s="311"/>
      <c r="F277" s="311"/>
      <c r="G277" s="311"/>
      <c r="H277" s="311"/>
    </row>
    <row r="278" spans="1:16" s="1" customFormat="1" x14ac:dyDescent="0.35">
      <c r="A278" s="120">
        <f t="shared" si="67"/>
        <v>3</v>
      </c>
      <c r="B278" s="311" t="str">
        <f>(IF(F145="Saleable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8" s="311"/>
      <c r="D278" s="311"/>
      <c r="E278" s="311"/>
      <c r="F278" s="311"/>
      <c r="G278" s="311"/>
      <c r="H278" s="311"/>
    </row>
    <row r="279" spans="1:16" s="1" customFormat="1" x14ac:dyDescent="0.35">
      <c r="A279" s="120">
        <f>A278+1</f>
        <v>4</v>
      </c>
      <c r="B279" s="312" t="s">
        <v>134</v>
      </c>
      <c r="C279" s="312"/>
      <c r="D279" s="312"/>
      <c r="E279" s="312"/>
      <c r="F279" s="312"/>
      <c r="G279" s="312"/>
      <c r="H279" s="312"/>
    </row>
    <row r="280" spans="1:16" s="1" customFormat="1" x14ac:dyDescent="0.35">
      <c r="A280" s="120">
        <f t="shared" si="67"/>
        <v>5</v>
      </c>
      <c r="B280" s="312" t="s">
        <v>166</v>
      </c>
      <c r="C280" s="312"/>
      <c r="D280" s="312"/>
      <c r="E280" s="312"/>
      <c r="F280" s="312"/>
      <c r="G280" s="312"/>
      <c r="H280" s="312"/>
    </row>
    <row r="281" spans="1:16" s="1" customFormat="1" x14ac:dyDescent="0.35">
      <c r="A281" s="120">
        <f t="shared" si="67"/>
        <v>6</v>
      </c>
      <c r="B281" s="312" t="s">
        <v>196</v>
      </c>
      <c r="C281" s="312"/>
      <c r="D281" s="312"/>
      <c r="E281" s="312"/>
      <c r="F281" s="312"/>
      <c r="G281" s="312"/>
      <c r="H281" s="312"/>
    </row>
    <row r="282" spans="1:16" s="1" customFormat="1" x14ac:dyDescent="0.35">
      <c r="A282" s="120">
        <f t="shared" si="67"/>
        <v>7</v>
      </c>
      <c r="B282" s="312" t="s">
        <v>135</v>
      </c>
      <c r="C282" s="312"/>
      <c r="D282" s="312"/>
      <c r="E282" s="312"/>
      <c r="F282" s="312"/>
      <c r="G282" s="312"/>
      <c r="H282" s="312"/>
    </row>
    <row r="283" spans="1:16" s="1" customFormat="1" x14ac:dyDescent="0.35">
      <c r="A283" s="120">
        <f t="shared" si="67"/>
        <v>8</v>
      </c>
      <c r="B283" s="311" t="s">
        <v>136</v>
      </c>
      <c r="C283" s="311"/>
      <c r="D283" s="311"/>
      <c r="E283" s="311"/>
      <c r="F283" s="311"/>
      <c r="G283" s="311"/>
      <c r="H283" s="311"/>
    </row>
    <row r="284" spans="1:16" s="1" customFormat="1" x14ac:dyDescent="0.35">
      <c r="A284" s="108">
        <f t="shared" si="67"/>
        <v>9</v>
      </c>
      <c r="B284" s="121" t="s">
        <v>199</v>
      </c>
      <c r="C284" s="122"/>
      <c r="D284" s="122"/>
      <c r="E284" s="122"/>
      <c r="F284" s="122"/>
      <c r="G284" s="122"/>
      <c r="H284" s="123"/>
    </row>
    <row r="285" spans="1:16" s="1" customFormat="1" x14ac:dyDescent="0.35">
      <c r="A285" s="109">
        <f t="shared" si="67"/>
        <v>10</v>
      </c>
      <c r="B285" s="121" t="s">
        <v>229</v>
      </c>
      <c r="C285" s="122"/>
      <c r="D285" s="122"/>
      <c r="E285" s="122"/>
      <c r="F285" s="122"/>
      <c r="G285" s="122"/>
      <c r="H285" s="123"/>
    </row>
    <row r="286" spans="1:16" s="1" customFormat="1" x14ac:dyDescent="0.35">
      <c r="A286" s="112">
        <f t="shared" si="67"/>
        <v>11</v>
      </c>
      <c r="B286" s="121" t="s">
        <v>253</v>
      </c>
      <c r="C286" s="122"/>
      <c r="D286" s="122"/>
      <c r="E286" s="122"/>
      <c r="F286" s="122"/>
      <c r="G286" s="122"/>
      <c r="H286" s="123"/>
    </row>
    <row r="287" spans="1:16" s="1" customFormat="1" x14ac:dyDescent="0.35">
      <c r="A287" s="118">
        <f t="shared" si="67"/>
        <v>12</v>
      </c>
      <c r="B287" s="121" t="s">
        <v>237</v>
      </c>
      <c r="C287" s="122"/>
      <c r="D287" s="122"/>
      <c r="E287" s="122"/>
      <c r="F287" s="122"/>
      <c r="G287" s="122"/>
      <c r="H287" s="123"/>
    </row>
    <row r="288" spans="1:16" s="1" customFormat="1" ht="30.65" hidden="1" customHeight="1" x14ac:dyDescent="0.35">
      <c r="A288" s="119">
        <f t="shared" si="67"/>
        <v>13</v>
      </c>
      <c r="B288" s="270" t="s">
        <v>254</v>
      </c>
      <c r="C288" s="271"/>
      <c r="D288" s="271"/>
      <c r="E288" s="271"/>
      <c r="F288" s="271"/>
      <c r="G288" s="271"/>
      <c r="H288" s="272"/>
    </row>
    <row r="289" spans="1:8" s="1" customFormat="1" ht="32" customHeight="1" x14ac:dyDescent="0.35">
      <c r="A289" s="120">
        <v>13</v>
      </c>
      <c r="B289" s="270" t="s">
        <v>258</v>
      </c>
      <c r="C289" s="271"/>
      <c r="D289" s="271"/>
      <c r="E289" s="271"/>
      <c r="F289" s="271"/>
      <c r="G289" s="271"/>
      <c r="H289" s="272"/>
    </row>
    <row r="290" spans="1:8" x14ac:dyDescent="0.35">
      <c r="A290" s="251" t="s">
        <v>64</v>
      </c>
      <c r="B290" s="251"/>
      <c r="C290" s="251"/>
      <c r="D290" s="251"/>
      <c r="E290" s="251"/>
      <c r="F290" s="251"/>
      <c r="G290" s="251"/>
      <c r="H290" s="251"/>
    </row>
    <row r="291" spans="1:8" x14ac:dyDescent="0.35">
      <c r="A291" s="226" t="s">
        <v>65</v>
      </c>
      <c r="B291" s="226"/>
      <c r="C291" s="226"/>
      <c r="D291" s="226"/>
      <c r="E291" s="226"/>
      <c r="F291" s="226"/>
      <c r="G291" s="226"/>
      <c r="H291" s="226"/>
    </row>
    <row r="292" spans="1:8" ht="15.75" customHeight="1" x14ac:dyDescent="0.35">
      <c r="A292" s="261" t="s">
        <v>66</v>
      </c>
      <c r="B292" s="261"/>
      <c r="C292" s="261"/>
      <c r="D292" s="261"/>
      <c r="E292" s="261"/>
      <c r="F292" s="261"/>
      <c r="G292" s="261"/>
      <c r="H292" s="261"/>
    </row>
    <row r="293" spans="1:8" x14ac:dyDescent="0.35">
      <c r="A293" s="226" t="s">
        <v>67</v>
      </c>
      <c r="B293" s="226"/>
      <c r="C293" s="226"/>
      <c r="D293" s="226"/>
      <c r="E293" s="226"/>
      <c r="F293" s="226"/>
      <c r="G293" s="226"/>
      <c r="H293" s="226"/>
    </row>
    <row r="294" spans="1:8" x14ac:dyDescent="0.35">
      <c r="A294" s="226" t="s">
        <v>68</v>
      </c>
      <c r="B294" s="226"/>
      <c r="C294" s="226"/>
      <c r="D294" s="226"/>
      <c r="E294" s="226"/>
      <c r="F294" s="226"/>
      <c r="G294" s="226"/>
      <c r="H294" s="226"/>
    </row>
    <row r="295" spans="1:8" x14ac:dyDescent="0.35">
      <c r="A295" s="226" t="s">
        <v>137</v>
      </c>
      <c r="B295" s="226"/>
      <c r="C295" s="226"/>
      <c r="D295" s="226"/>
      <c r="E295" s="226"/>
      <c r="F295" s="226"/>
      <c r="G295" s="226"/>
      <c r="H295" s="226"/>
    </row>
    <row r="296" spans="1:8" ht="37.5" customHeight="1" x14ac:dyDescent="0.35">
      <c r="A296" s="229" t="s">
        <v>138</v>
      </c>
      <c r="B296" s="229"/>
      <c r="C296" s="229"/>
      <c r="D296" s="229"/>
      <c r="E296" s="229"/>
      <c r="F296" s="229"/>
      <c r="G296" s="229"/>
      <c r="H296" s="229"/>
    </row>
    <row r="297" spans="1:8" x14ac:dyDescent="0.35">
      <c r="A297" s="249" t="s">
        <v>82</v>
      </c>
      <c r="B297" s="249"/>
      <c r="C297" s="249" t="s">
        <v>231</v>
      </c>
      <c r="D297" s="249"/>
      <c r="E297" s="249" t="s">
        <v>116</v>
      </c>
      <c r="F297" s="249"/>
      <c r="G297" s="249" t="s">
        <v>257</v>
      </c>
      <c r="H297" s="249"/>
    </row>
    <row r="298" spans="1:8" x14ac:dyDescent="0.35">
      <c r="A298" s="248" t="s">
        <v>84</v>
      </c>
      <c r="B298" s="248"/>
      <c r="C298" s="248"/>
      <c r="D298" s="248"/>
      <c r="E298" s="248"/>
      <c r="F298" s="248"/>
      <c r="G298" s="248"/>
      <c r="H298" s="248"/>
    </row>
    <row r="299" spans="1:8" x14ac:dyDescent="0.35">
      <c r="A299" s="248"/>
      <c r="B299" s="248"/>
      <c r="C299" s="248"/>
      <c r="D299" s="248"/>
      <c r="E299" s="248"/>
      <c r="F299" s="248"/>
      <c r="G299" s="248"/>
      <c r="H299" s="248"/>
    </row>
    <row r="300" spans="1:8" x14ac:dyDescent="0.35">
      <c r="A300" s="248"/>
      <c r="B300" s="248"/>
      <c r="C300" s="248"/>
      <c r="D300" s="248"/>
      <c r="E300" s="248"/>
      <c r="F300" s="248"/>
      <c r="G300" s="248"/>
      <c r="H300" s="248"/>
    </row>
    <row r="301" spans="1:8" x14ac:dyDescent="0.35">
      <c r="A301" s="248"/>
      <c r="B301" s="248"/>
      <c r="C301" s="248"/>
      <c r="D301" s="248"/>
      <c r="E301" s="248"/>
      <c r="F301" s="248"/>
      <c r="G301" s="248"/>
      <c r="H301" s="248"/>
    </row>
    <row r="302" spans="1:8" x14ac:dyDescent="0.35">
      <c r="A302" s="11" t="s">
        <v>69</v>
      </c>
      <c r="B302" s="12"/>
      <c r="C302" s="12"/>
      <c r="D302" s="11" t="str">
        <f>E8</f>
        <v>Tharwani Millennium City Phase I, II &amp; III</v>
      </c>
      <c r="F302" s="12"/>
      <c r="G302" s="12"/>
      <c r="H302" s="12"/>
    </row>
    <row r="303" spans="1:8" x14ac:dyDescent="0.35">
      <c r="A303" s="12"/>
      <c r="B303" s="12"/>
      <c r="C303" s="12"/>
      <c r="D303" s="12"/>
      <c r="E303" s="12"/>
      <c r="F303" s="12"/>
      <c r="G303" s="12"/>
      <c r="H303" s="12"/>
    </row>
    <row r="304" spans="1:8" x14ac:dyDescent="0.35">
      <c r="A304" s="12"/>
      <c r="B304" s="12"/>
      <c r="C304" s="12"/>
      <c r="D304" s="12"/>
      <c r="E304" s="12"/>
      <c r="F304" s="12"/>
      <c r="G304" s="12"/>
      <c r="H304" s="12"/>
    </row>
    <row r="305" ht="15" customHeight="1" x14ac:dyDescent="0.35"/>
    <row r="346" spans="1:8" x14ac:dyDescent="0.35">
      <c r="A346" s="11" t="s">
        <v>217</v>
      </c>
      <c r="B346" s="12"/>
      <c r="C346" s="12"/>
      <c r="D346" s="11"/>
      <c r="F346" s="12"/>
      <c r="G346" s="12"/>
      <c r="H346" s="12"/>
    </row>
    <row r="347" spans="1:8" x14ac:dyDescent="0.35">
      <c r="A347" s="12"/>
      <c r="B347" s="12"/>
      <c r="C347" s="12"/>
      <c r="D347" s="12"/>
      <c r="E347" s="12"/>
      <c r="F347" s="12"/>
      <c r="G347" s="12"/>
      <c r="H347" s="12"/>
    </row>
    <row r="348" spans="1:8" x14ac:dyDescent="0.35">
      <c r="A348" s="12"/>
      <c r="B348" s="12"/>
      <c r="C348" s="12"/>
      <c r="D348" s="12"/>
      <c r="E348" s="12"/>
      <c r="F348" s="12"/>
      <c r="G348" s="12"/>
      <c r="H348" s="12"/>
    </row>
    <row r="349" spans="1:8" ht="15" customHeight="1" x14ac:dyDescent="0.35"/>
    <row r="388" spans="1:1" x14ac:dyDescent="0.35">
      <c r="A388" s="14" t="s">
        <v>70</v>
      </c>
    </row>
  </sheetData>
  <mergeCells count="478">
    <mergeCell ref="B289:H289"/>
    <mergeCell ref="B288:H288"/>
    <mergeCell ref="I71:M71"/>
    <mergeCell ref="A92:B92"/>
    <mergeCell ref="C92:H92"/>
    <mergeCell ref="A116:B116"/>
    <mergeCell ref="A87:B87"/>
    <mergeCell ref="F121:H121"/>
    <mergeCell ref="A120:H120"/>
    <mergeCell ref="G136:H136"/>
    <mergeCell ref="A119:B119"/>
    <mergeCell ref="D75:H75"/>
    <mergeCell ref="A82:B82"/>
    <mergeCell ref="G81:H81"/>
    <mergeCell ref="A79:B79"/>
    <mergeCell ref="A77:B77"/>
    <mergeCell ref="C77:H77"/>
    <mergeCell ref="A110:B110"/>
    <mergeCell ref="E110:F119"/>
    <mergeCell ref="G110:H119"/>
    <mergeCell ref="A109:B109"/>
    <mergeCell ref="E109:F109"/>
    <mergeCell ref="G109:H109"/>
    <mergeCell ref="A94:B94"/>
    <mergeCell ref="C94:H94"/>
    <mergeCell ref="C106:H106"/>
    <mergeCell ref="A73:C73"/>
    <mergeCell ref="D73:H73"/>
    <mergeCell ref="A76:C76"/>
    <mergeCell ref="D76:H76"/>
    <mergeCell ref="A74:C74"/>
    <mergeCell ref="D74:H74"/>
    <mergeCell ref="D69:H69"/>
    <mergeCell ref="A54:B54"/>
    <mergeCell ref="C54:E54"/>
    <mergeCell ref="G54:H54"/>
    <mergeCell ref="A55:B55"/>
    <mergeCell ref="C55:E55"/>
    <mergeCell ref="G55:H55"/>
    <mergeCell ref="A56:B57"/>
    <mergeCell ref="D67:H67"/>
    <mergeCell ref="D68:H68"/>
    <mergeCell ref="A67:C69"/>
    <mergeCell ref="A70:C70"/>
    <mergeCell ref="A71:C71"/>
    <mergeCell ref="D70:H70"/>
    <mergeCell ref="E82:F91"/>
    <mergeCell ref="G82:H91"/>
    <mergeCell ref="A90:B90"/>
    <mergeCell ref="A295:H295"/>
    <mergeCell ref="A179:B179"/>
    <mergeCell ref="A292:H292"/>
    <mergeCell ref="A174:B174"/>
    <mergeCell ref="A138:B138"/>
    <mergeCell ref="D168:D169"/>
    <mergeCell ref="E168:E169"/>
    <mergeCell ref="G168:H169"/>
    <mergeCell ref="A100:B100"/>
    <mergeCell ref="A101:B101"/>
    <mergeCell ref="A102:B102"/>
    <mergeCell ref="B285:H285"/>
    <mergeCell ref="G140:H140"/>
    <mergeCell ref="C138:D138"/>
    <mergeCell ref="G138:H138"/>
    <mergeCell ref="A142:B142"/>
    <mergeCell ref="C142:D142"/>
    <mergeCell ref="A141:B141"/>
    <mergeCell ref="C141:D141"/>
    <mergeCell ref="E141:F141"/>
    <mergeCell ref="G141:H141"/>
    <mergeCell ref="A291:H291"/>
    <mergeCell ref="E138:F138"/>
    <mergeCell ref="E135:F135"/>
    <mergeCell ref="C49:E49"/>
    <mergeCell ref="A52:B52"/>
    <mergeCell ref="C52:E52"/>
    <mergeCell ref="A49:B49"/>
    <mergeCell ref="A63:H63"/>
    <mergeCell ref="A64:C64"/>
    <mergeCell ref="A65:C65"/>
    <mergeCell ref="D65:H65"/>
    <mergeCell ref="G52:H52"/>
    <mergeCell ref="G50:H50"/>
    <mergeCell ref="D64:H64"/>
    <mergeCell ref="C50:E50"/>
    <mergeCell ref="A60:B60"/>
    <mergeCell ref="C60:E60"/>
    <mergeCell ref="C51:H51"/>
    <mergeCell ref="C59:E59"/>
    <mergeCell ref="G59:H59"/>
    <mergeCell ref="B283:H283"/>
    <mergeCell ref="E142:F142"/>
    <mergeCell ref="G142:H142"/>
    <mergeCell ref="A140:B140"/>
    <mergeCell ref="C140:D140"/>
    <mergeCell ref="E140:F140"/>
    <mergeCell ref="A298:H301"/>
    <mergeCell ref="A297:B297"/>
    <mergeCell ref="E297:F297"/>
    <mergeCell ref="C297:D297"/>
    <mergeCell ref="G297:H297"/>
    <mergeCell ref="A173:H173"/>
    <mergeCell ref="A223:B223"/>
    <mergeCell ref="A293:H293"/>
    <mergeCell ref="A296:H296"/>
    <mergeCell ref="A294:H294"/>
    <mergeCell ref="A275:H275"/>
    <mergeCell ref="C145:C146"/>
    <mergeCell ref="B168:B169"/>
    <mergeCell ref="A249:H249"/>
    <mergeCell ref="A220:H220"/>
    <mergeCell ref="A290:H290"/>
    <mergeCell ref="E145:E146"/>
    <mergeCell ref="G145:H146"/>
    <mergeCell ref="A91:B91"/>
    <mergeCell ref="D71:H71"/>
    <mergeCell ref="A89:B89"/>
    <mergeCell ref="A88:B88"/>
    <mergeCell ref="A81:B81"/>
    <mergeCell ref="A84:B84"/>
    <mergeCell ref="A80:B80"/>
    <mergeCell ref="C80:D80"/>
    <mergeCell ref="E80:F80"/>
    <mergeCell ref="G80:H80"/>
    <mergeCell ref="A75:C75"/>
    <mergeCell ref="A86:B86"/>
    <mergeCell ref="A72:C72"/>
    <mergeCell ref="D72:H72"/>
    <mergeCell ref="C79:H79"/>
    <mergeCell ref="A83:B83"/>
    <mergeCell ref="A85:B85"/>
    <mergeCell ref="E81:F8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11:D11"/>
    <mergeCell ref="E11:H1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C36:H36"/>
    <mergeCell ref="E40:H40"/>
    <mergeCell ref="A40:D40"/>
    <mergeCell ref="A42:D42"/>
    <mergeCell ref="A43:D43"/>
    <mergeCell ref="A44:D44"/>
    <mergeCell ref="A45:H45"/>
    <mergeCell ref="G48:H48"/>
    <mergeCell ref="A48:B48"/>
    <mergeCell ref="C48:E48"/>
    <mergeCell ref="A238:B238"/>
    <mergeCell ref="A239:B239"/>
    <mergeCell ref="A39:D39"/>
    <mergeCell ref="E39:H39"/>
    <mergeCell ref="F31:H31"/>
    <mergeCell ref="F32:H32"/>
    <mergeCell ref="A38:H38"/>
    <mergeCell ref="A37:B37"/>
    <mergeCell ref="C37:H37"/>
    <mergeCell ref="D66:H66"/>
    <mergeCell ref="A66:C66"/>
    <mergeCell ref="G49:H49"/>
    <mergeCell ref="A50:B51"/>
    <mergeCell ref="A41:D41"/>
    <mergeCell ref="E41:H41"/>
    <mergeCell ref="E42:H42"/>
    <mergeCell ref="E43:H43"/>
    <mergeCell ref="E44:H44"/>
    <mergeCell ref="A46:B46"/>
    <mergeCell ref="C46:H46"/>
    <mergeCell ref="C56:E56"/>
    <mergeCell ref="G56:H56"/>
    <mergeCell ref="C57:H57"/>
    <mergeCell ref="A59:B59"/>
    <mergeCell ref="G221:H232"/>
    <mergeCell ref="A170:H170"/>
    <mergeCell ref="A171:H171"/>
    <mergeCell ref="A172:H172"/>
    <mergeCell ref="A230:B230"/>
    <mergeCell ref="A226:B226"/>
    <mergeCell ref="A178:B178"/>
    <mergeCell ref="A185:B185"/>
    <mergeCell ref="A186:B186"/>
    <mergeCell ref="A187:B187"/>
    <mergeCell ref="A190:B190"/>
    <mergeCell ref="A191:B191"/>
    <mergeCell ref="A192:B192"/>
    <mergeCell ref="A193:B193"/>
    <mergeCell ref="A222:B222"/>
    <mergeCell ref="A213:B213"/>
    <mergeCell ref="A214:B214"/>
    <mergeCell ref="A215:B215"/>
    <mergeCell ref="A216:B216"/>
    <mergeCell ref="A208:B208"/>
    <mergeCell ref="E139:F139"/>
    <mergeCell ref="G139:H139"/>
    <mergeCell ref="A177:B177"/>
    <mergeCell ref="A188:B188"/>
    <mergeCell ref="A189:B189"/>
    <mergeCell ref="A181:B181"/>
    <mergeCell ref="A182:B182"/>
    <mergeCell ref="A183:B183"/>
    <mergeCell ref="A175:B175"/>
    <mergeCell ref="A176:B176"/>
    <mergeCell ref="A149:H149"/>
    <mergeCell ref="A158:B158"/>
    <mergeCell ref="A167:H167"/>
    <mergeCell ref="A168:A169"/>
    <mergeCell ref="F127:H127"/>
    <mergeCell ref="E136:F136"/>
    <mergeCell ref="B145:B146"/>
    <mergeCell ref="A145:A146"/>
    <mergeCell ref="C168:C169"/>
    <mergeCell ref="A134:H134"/>
    <mergeCell ref="A132:E132"/>
    <mergeCell ref="F132:H132"/>
    <mergeCell ref="A133:E133"/>
    <mergeCell ref="F133:H133"/>
    <mergeCell ref="A139:B139"/>
    <mergeCell ref="A136:B136"/>
    <mergeCell ref="A137:H137"/>
    <mergeCell ref="C139:D139"/>
    <mergeCell ref="A143:H143"/>
    <mergeCell ref="A135:B135"/>
    <mergeCell ref="F128:H128"/>
    <mergeCell ref="C135:D135"/>
    <mergeCell ref="F131:H131"/>
    <mergeCell ref="F129:H129"/>
    <mergeCell ref="A144:H144"/>
    <mergeCell ref="G135:H135"/>
    <mergeCell ref="A130:E130"/>
    <mergeCell ref="C136:D136"/>
    <mergeCell ref="A95:B95"/>
    <mergeCell ref="E95:F95"/>
    <mergeCell ref="G95:H95"/>
    <mergeCell ref="A126:E126"/>
    <mergeCell ref="F126:H126"/>
    <mergeCell ref="A127:E127"/>
    <mergeCell ref="A129:E129"/>
    <mergeCell ref="F123:H123"/>
    <mergeCell ref="A128:E128"/>
    <mergeCell ref="A113:B113"/>
    <mergeCell ref="A114:B114"/>
    <mergeCell ref="A115:B115"/>
    <mergeCell ref="A117:B117"/>
    <mergeCell ref="A118:B118"/>
    <mergeCell ref="A123:E123"/>
    <mergeCell ref="A96:B96"/>
    <mergeCell ref="E96:F105"/>
    <mergeCell ref="A103:B103"/>
    <mergeCell ref="A104:B104"/>
    <mergeCell ref="A105:B105"/>
    <mergeCell ref="A108:B108"/>
    <mergeCell ref="C108:H108"/>
    <mergeCell ref="A121:E121"/>
    <mergeCell ref="A106:B106"/>
    <mergeCell ref="B280:H280"/>
    <mergeCell ref="A111:B111"/>
    <mergeCell ref="A112:B112"/>
    <mergeCell ref="G96:H105"/>
    <mergeCell ref="A97:B97"/>
    <mergeCell ref="A98:B98"/>
    <mergeCell ref="A99:B99"/>
    <mergeCell ref="F122:H122"/>
    <mergeCell ref="A122:E122"/>
    <mergeCell ref="D145:D146"/>
    <mergeCell ref="A124:E124"/>
    <mergeCell ref="A157:B157"/>
    <mergeCell ref="A151:B151"/>
    <mergeCell ref="A152:B152"/>
    <mergeCell ref="A153:B153"/>
    <mergeCell ref="A154:B154"/>
    <mergeCell ref="A155:B155"/>
    <mergeCell ref="A125:E125"/>
    <mergeCell ref="F125:H125"/>
    <mergeCell ref="F124:H124"/>
    <mergeCell ref="F130:H130"/>
    <mergeCell ref="A131:E131"/>
    <mergeCell ref="A147:H147"/>
    <mergeCell ref="A148:H148"/>
    <mergeCell ref="L158:M158"/>
    <mergeCell ref="A159:B159"/>
    <mergeCell ref="L159:M159"/>
    <mergeCell ref="L157:M157"/>
    <mergeCell ref="L156:M156"/>
    <mergeCell ref="L155:M155"/>
    <mergeCell ref="L154:M154"/>
    <mergeCell ref="L153:M153"/>
    <mergeCell ref="L152:M152"/>
    <mergeCell ref="L151:M151"/>
    <mergeCell ref="A156:B156"/>
    <mergeCell ref="A150:H150"/>
    <mergeCell ref="C180:F181"/>
    <mergeCell ref="A184:H184"/>
    <mergeCell ref="L184:M184"/>
    <mergeCell ref="L164:M164"/>
    <mergeCell ref="A165:B165"/>
    <mergeCell ref="L165:M165"/>
    <mergeCell ref="A166:B166"/>
    <mergeCell ref="L166:M166"/>
    <mergeCell ref="A180:B180"/>
    <mergeCell ref="L173:M173"/>
    <mergeCell ref="G151:H166"/>
    <mergeCell ref="G174:H183"/>
    <mergeCell ref="L160:M160"/>
    <mergeCell ref="A161:B161"/>
    <mergeCell ref="L161:M161"/>
    <mergeCell ref="A162:B162"/>
    <mergeCell ref="L162:M162"/>
    <mergeCell ref="A163:B163"/>
    <mergeCell ref="L163:M163"/>
    <mergeCell ref="A160:B160"/>
    <mergeCell ref="A164:B164"/>
    <mergeCell ref="L206:M206"/>
    <mergeCell ref="A207:B207"/>
    <mergeCell ref="A199:B199"/>
    <mergeCell ref="A200:B200"/>
    <mergeCell ref="A201:B201"/>
    <mergeCell ref="A202:B202"/>
    <mergeCell ref="A203:B203"/>
    <mergeCell ref="A194:B194"/>
    <mergeCell ref="A195:H195"/>
    <mergeCell ref="L195:M195"/>
    <mergeCell ref="A196:B196"/>
    <mergeCell ref="A197:B197"/>
    <mergeCell ref="A198:B198"/>
    <mergeCell ref="G185:H194"/>
    <mergeCell ref="G196:H205"/>
    <mergeCell ref="G207:H216"/>
    <mergeCell ref="A209:B209"/>
    <mergeCell ref="A210:B210"/>
    <mergeCell ref="A211:B211"/>
    <mergeCell ref="A212:B212"/>
    <mergeCell ref="A204:B204"/>
    <mergeCell ref="A205:B205"/>
    <mergeCell ref="C205:F205"/>
    <mergeCell ref="A206:H206"/>
    <mergeCell ref="A257:B257"/>
    <mergeCell ref="A258:B258"/>
    <mergeCell ref="A240:B240"/>
    <mergeCell ref="A241:B241"/>
    <mergeCell ref="A242:B242"/>
    <mergeCell ref="A235:B235"/>
    <mergeCell ref="A236:B236"/>
    <mergeCell ref="A237:B237"/>
    <mergeCell ref="A245:B245"/>
    <mergeCell ref="A246:H246"/>
    <mergeCell ref="A247:H247"/>
    <mergeCell ref="A248:H248"/>
    <mergeCell ref="A256:B256"/>
    <mergeCell ref="A243:B243"/>
    <mergeCell ref="A244:B244"/>
    <mergeCell ref="A253:B253"/>
    <mergeCell ref="A254:B254"/>
    <mergeCell ref="G234:H245"/>
    <mergeCell ref="G250:H261"/>
    <mergeCell ref="A251:B251"/>
    <mergeCell ref="A252:B252"/>
    <mergeCell ref="A255:B255"/>
    <mergeCell ref="A250:B250"/>
    <mergeCell ref="C243:F243"/>
    <mergeCell ref="A264:B264"/>
    <mergeCell ref="A265:B265"/>
    <mergeCell ref="A266:B266"/>
    <mergeCell ref="A267:B267"/>
    <mergeCell ref="A268:B268"/>
    <mergeCell ref="A47:H47"/>
    <mergeCell ref="A53:H53"/>
    <mergeCell ref="A58:H58"/>
    <mergeCell ref="B284:H284"/>
    <mergeCell ref="A259:B259"/>
    <mergeCell ref="A260:B260"/>
    <mergeCell ref="A261:B261"/>
    <mergeCell ref="A231:B231"/>
    <mergeCell ref="A232:B232"/>
    <mergeCell ref="A233:H233"/>
    <mergeCell ref="A234:B234"/>
    <mergeCell ref="A221:B221"/>
    <mergeCell ref="A269:B269"/>
    <mergeCell ref="A270:B270"/>
    <mergeCell ref="A271:B271"/>
    <mergeCell ref="A272:B272"/>
    <mergeCell ref="A273:B273"/>
    <mergeCell ref="A274:B274"/>
    <mergeCell ref="C265:F265"/>
    <mergeCell ref="B287:H287"/>
    <mergeCell ref="G60:H60"/>
    <mergeCell ref="A61:B62"/>
    <mergeCell ref="C61:E61"/>
    <mergeCell ref="G61:H61"/>
    <mergeCell ref="C62:H62"/>
    <mergeCell ref="B286:H286"/>
    <mergeCell ref="A217:H217"/>
    <mergeCell ref="A218:H218"/>
    <mergeCell ref="A219:H219"/>
    <mergeCell ref="A227:B227"/>
    <mergeCell ref="A228:B228"/>
    <mergeCell ref="A229:B229"/>
    <mergeCell ref="A225:B225"/>
    <mergeCell ref="A224:B224"/>
    <mergeCell ref="B282:H282"/>
    <mergeCell ref="B278:H278"/>
    <mergeCell ref="B276:H276"/>
    <mergeCell ref="B277:H277"/>
    <mergeCell ref="B279:H279"/>
    <mergeCell ref="B281:H281"/>
    <mergeCell ref="A262:H262"/>
    <mergeCell ref="A263:B263"/>
    <mergeCell ref="G263:H274"/>
  </mergeCells>
  <hyperlinks>
    <hyperlink ref="C37" r:id="rId1"/>
    <hyperlink ref="I73" r:id="rId2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105" max="16383" man="1"/>
    <brk id="301" max="16383" man="1"/>
    <brk id="344" max="16383" man="1"/>
    <brk id="387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A3" sqref="A3:L16"/>
    </sheetView>
  </sheetViews>
  <sheetFormatPr defaultRowHeight="14.5" x14ac:dyDescent="0.35"/>
  <cols>
    <col min="2" max="2" width="14.1796875" customWidth="1"/>
    <col min="3" max="3" width="14.81640625" customWidth="1"/>
    <col min="9" max="9" width="7" style="60" customWidth="1"/>
    <col min="10" max="10" width="8.1796875" customWidth="1"/>
    <col min="11" max="11" width="23.1796875" customWidth="1"/>
    <col min="12" max="12" width="10.54296875" customWidth="1"/>
  </cols>
  <sheetData>
    <row r="1" spans="1:12" x14ac:dyDescent="0.35">
      <c r="A1" s="284" t="s">
        <v>152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thickBot="1" x14ac:dyDescent="0.4"/>
    <row r="3" spans="1:12" ht="15.75" customHeight="1" x14ac:dyDescent="0.35">
      <c r="A3" s="278" t="s">
        <v>151</v>
      </c>
      <c r="B3" s="279"/>
      <c r="C3" s="289" t="s">
        <v>164</v>
      </c>
      <c r="D3" s="289"/>
      <c r="E3" s="289"/>
      <c r="F3" s="289"/>
      <c r="G3" s="289"/>
      <c r="H3" s="289"/>
      <c r="I3" s="289"/>
      <c r="J3" s="289"/>
      <c r="K3" s="58" t="str">
        <f ca="1">(IF(F7&gt;99%,"All work completed. Please provide OC.",IF(F7&gt;89.8%,"Plinth, RCC, Brick, Plaster, Flooring, Painting work Completed. Finishing work is in process.",IF(F7&lt;94%,(IF(C7=0,"Work not yet Started.",IF(D7=25%,"Piling work in process",IF(D7=50%,"Excavation work in process",IF(D7=100%,"Excavation work Completed. ","0")))&amp;(IF(C8=0%,"",IF(C8=L9,"Footing work is process",IF(C8=L10,"Footing work Completed",IF(C8=L11,"1st Basement Completed",IF(C8=L12,"1st &amp; 2nd Basement Completed",IF(C8=L13,"1st to 3rd Basement Completed",IF(C8=L14,"1st to 4th Basement Completed",IF(C8=L15,"Plinth work is process",IF(C8=L16,"Plinth work completed","0")))))))))))&amp;(IF(C9=(D4+G4+I4),", RCC Slab",IF(C9&gt;0,", RCC upto "&amp;C9&amp;" Slab",""))&amp;(IF(C10=I4,", Brickwork",IF(C10&gt;0,", Brickwork upto "&amp;C10&amp;" Floor",""))&amp;(IF(C11=I4,", Internal Plaster",IF(C11&gt;0,", Internal Plaster upto "&amp;C11&amp;" Floor",""))&amp;(IF(C12=I4,", External Plaster",IF(C12&gt;0,", External Plaster upto "&amp;C12&amp;" Floor",""))&amp;(IF(C13=I4,", Flooring",IF(C13&gt;0,", Flooring upto "&amp;C13&amp;" Floor",""))&amp;(IF(C14=I4,", Painting",IF(C14&gt;0,", Painting upto "&amp;C14&amp;" Floor",""))&amp;(IF(C15&gt;0,", Finishing upto "&amp;C15&amp;" Floor","")&amp;(IF(C9&gt;0.5," Completed",""))))))))))))))</f>
        <v>Excavation work Completed. Plinth work completed, RCC Slab Completed</v>
      </c>
      <c r="L3" s="82"/>
    </row>
    <row r="4" spans="1:12" ht="15.5" x14ac:dyDescent="0.35">
      <c r="A4" s="69" t="s">
        <v>154</v>
      </c>
      <c r="B4" s="87">
        <v>0</v>
      </c>
      <c r="C4" s="80" t="s">
        <v>75</v>
      </c>
      <c r="D4" s="80">
        <v>1</v>
      </c>
      <c r="E4" s="197" t="s">
        <v>74</v>
      </c>
      <c r="F4" s="197"/>
      <c r="G4" s="59">
        <v>0</v>
      </c>
      <c r="H4" s="90" t="s">
        <v>87</v>
      </c>
      <c r="I4" s="197">
        <f ca="1">--TRIM(RIGHT(SUBSTITUTE(LEFT(C3,_xlfn.AGGREGATE(16,6,FIND({0,1,2,3,4,5,6,7,8,9},C3,ROW(INDIRECT("1:"&amp;LEN(C3)))),1))," ",REPT(" ",LEN(C3))),LEN(C3)))</f>
        <v>20</v>
      </c>
      <c r="J4" s="197"/>
      <c r="K4" s="58"/>
      <c r="L4" s="82"/>
    </row>
    <row r="5" spans="1:12" ht="15.75" customHeight="1" x14ac:dyDescent="0.35">
      <c r="A5" s="285" t="s">
        <v>97</v>
      </c>
      <c r="B5" s="286"/>
      <c r="C5" s="176" t="str">
        <f ca="1">K3</f>
        <v>Excavation work Completed. Plinth work completed, RCC Slab Completed</v>
      </c>
      <c r="D5" s="176"/>
      <c r="E5" s="176"/>
      <c r="F5" s="176"/>
      <c r="G5" s="176"/>
      <c r="H5" s="176"/>
      <c r="I5" s="176"/>
      <c r="J5" s="176"/>
      <c r="K5" s="58" t="s">
        <v>115</v>
      </c>
      <c r="L5" s="82"/>
    </row>
    <row r="6" spans="1:12" ht="15.75" customHeight="1" x14ac:dyDescent="0.35">
      <c r="A6" s="287" t="s">
        <v>50</v>
      </c>
      <c r="B6" s="288"/>
      <c r="C6" s="81" t="s">
        <v>150</v>
      </c>
      <c r="D6" s="281" t="s">
        <v>90</v>
      </c>
      <c r="E6" s="281"/>
      <c r="F6" s="281" t="s">
        <v>92</v>
      </c>
      <c r="G6" s="281"/>
      <c r="H6" s="281" t="s">
        <v>91</v>
      </c>
      <c r="I6" s="281"/>
      <c r="J6" s="281"/>
      <c r="K6" s="49" t="s">
        <v>153</v>
      </c>
      <c r="L6" s="83">
        <f ca="1">I4*25%</f>
        <v>5</v>
      </c>
    </row>
    <row r="7" spans="1:12" ht="15.75" customHeight="1" x14ac:dyDescent="0.35">
      <c r="A7" s="276" t="s">
        <v>139</v>
      </c>
      <c r="B7" s="277"/>
      <c r="C7" s="9">
        <f ca="1">L8</f>
        <v>20</v>
      </c>
      <c r="D7" s="280">
        <f ca="1">((100/I4)*C7)/100</f>
        <v>1</v>
      </c>
      <c r="E7" s="280"/>
      <c r="F7" s="280">
        <f ca="1">(((C8/I4*10)+(40/(D4+G4+I4)*C9)+(7.5/(I4)*C10)+(7.5/(I4)*C11)+(10/I4*C12)+(10/I4*C13)+(5/I4*C14)+(5/I4*C15)+(5/I4*C16))/100)</f>
        <v>0.5</v>
      </c>
      <c r="G7" s="280"/>
      <c r="H7" s="280">
        <f ca="1">((((C7/I4)*20)+((C8/I4)*25)+(30/(I4+G4+D4)*C9)+(5/I4*C10)+(5/I4*C11)+(5/I4*C12)+(5/I4*C13)+(0/I4*C14)+(0/I4*C15)+(5/I4*C16))/100)</f>
        <v>0.75</v>
      </c>
      <c r="I7" s="280"/>
      <c r="J7" s="280"/>
      <c r="K7" s="49" t="s">
        <v>110</v>
      </c>
      <c r="L7" s="84">
        <f ca="1">I4*50%</f>
        <v>10</v>
      </c>
    </row>
    <row r="8" spans="1:12" ht="15.5" x14ac:dyDescent="0.35">
      <c r="A8" s="276" t="s">
        <v>51</v>
      </c>
      <c r="B8" s="277"/>
      <c r="C8" s="10">
        <f ca="1">L16</f>
        <v>20</v>
      </c>
      <c r="D8" s="280">
        <f ca="1">((100/I4)*C8)/100</f>
        <v>1</v>
      </c>
      <c r="E8" s="280"/>
      <c r="F8" s="280"/>
      <c r="G8" s="280"/>
      <c r="H8" s="280"/>
      <c r="I8" s="280"/>
      <c r="J8" s="280"/>
      <c r="K8" s="49" t="s">
        <v>111</v>
      </c>
      <c r="L8" s="84">
        <f ca="1">I4</f>
        <v>20</v>
      </c>
    </row>
    <row r="9" spans="1:12" ht="15.75" customHeight="1" x14ac:dyDescent="0.35">
      <c r="A9" s="276" t="s">
        <v>140</v>
      </c>
      <c r="B9" s="277"/>
      <c r="C9" s="10">
        <f ca="1">D4+I4</f>
        <v>21</v>
      </c>
      <c r="D9" s="280">
        <f ca="1">((100/(D4+G4+I4))*C9)/100</f>
        <v>1</v>
      </c>
      <c r="E9" s="280"/>
      <c r="F9" s="280"/>
      <c r="G9" s="280"/>
      <c r="H9" s="280"/>
      <c r="I9" s="280"/>
      <c r="J9" s="280"/>
      <c r="K9" s="49" t="s">
        <v>112</v>
      </c>
      <c r="L9" s="85">
        <f ca="1">(IF(B4&gt;1,(I4/(B4+2)),I4/4))</f>
        <v>5</v>
      </c>
    </row>
    <row r="10" spans="1:12" ht="15.75" customHeight="1" x14ac:dyDescent="0.35">
      <c r="A10" s="276" t="s">
        <v>147</v>
      </c>
      <c r="B10" s="277" t="s">
        <v>141</v>
      </c>
      <c r="C10" s="9">
        <v>0</v>
      </c>
      <c r="D10" s="280">
        <f ca="1">((100/I4)*C10)/100</f>
        <v>0</v>
      </c>
      <c r="E10" s="280"/>
      <c r="F10" s="280"/>
      <c r="G10" s="280"/>
      <c r="H10" s="280"/>
      <c r="I10" s="280"/>
      <c r="J10" s="280"/>
      <c r="K10" s="49" t="s">
        <v>113</v>
      </c>
      <c r="L10" s="85">
        <f ca="1">(IF(B4&gt;1,(I4/(B4+2)+L9),I4/4+L9))</f>
        <v>10</v>
      </c>
    </row>
    <row r="11" spans="1:12" ht="15.75" customHeight="1" x14ac:dyDescent="0.35">
      <c r="A11" s="276" t="s">
        <v>148</v>
      </c>
      <c r="B11" s="277" t="s">
        <v>141</v>
      </c>
      <c r="C11" s="9">
        <v>0</v>
      </c>
      <c r="D11" s="280">
        <f ca="1">((100/I4)*C11)/100</f>
        <v>0</v>
      </c>
      <c r="E11" s="280"/>
      <c r="F11" s="280"/>
      <c r="G11" s="280"/>
      <c r="H11" s="280"/>
      <c r="I11" s="280"/>
      <c r="J11" s="280"/>
      <c r="K11" s="49" t="s">
        <v>159</v>
      </c>
      <c r="L11" s="85">
        <f>(IF(B4&gt;1,(I4/(B4+2)+L10),0))</f>
        <v>0</v>
      </c>
    </row>
    <row r="12" spans="1:12" ht="15.75" customHeight="1" x14ac:dyDescent="0.35">
      <c r="A12" s="276" t="s">
        <v>146</v>
      </c>
      <c r="B12" s="277" t="s">
        <v>143</v>
      </c>
      <c r="C12" s="9">
        <v>0</v>
      </c>
      <c r="D12" s="280">
        <f ca="1">((100/(I4))*C12)/100</f>
        <v>0</v>
      </c>
      <c r="E12" s="280"/>
      <c r="F12" s="280"/>
      <c r="G12" s="280"/>
      <c r="H12" s="280"/>
      <c r="I12" s="280"/>
      <c r="J12" s="280"/>
      <c r="K12" s="49" t="s">
        <v>155</v>
      </c>
      <c r="L12" s="85">
        <f>(IF(B4&gt;2,(I4/(B4+2)+L11),0))</f>
        <v>0</v>
      </c>
    </row>
    <row r="13" spans="1:12" ht="15.75" customHeight="1" x14ac:dyDescent="0.35">
      <c r="A13" s="276" t="s">
        <v>142</v>
      </c>
      <c r="B13" s="277" t="s">
        <v>142</v>
      </c>
      <c r="C13" s="9">
        <v>0</v>
      </c>
      <c r="D13" s="280">
        <f ca="1">((100/I4)*C13)/100</f>
        <v>0</v>
      </c>
      <c r="E13" s="280"/>
      <c r="F13" s="280"/>
      <c r="G13" s="280"/>
      <c r="H13" s="280"/>
      <c r="I13" s="280"/>
      <c r="J13" s="280"/>
      <c r="K13" s="49" t="s">
        <v>156</v>
      </c>
      <c r="L13" s="86">
        <f>(IF(B4&gt;3,(I4/(B4+2)+L12),0))</f>
        <v>0</v>
      </c>
    </row>
    <row r="14" spans="1:12" ht="15.75" customHeight="1" x14ac:dyDescent="0.35">
      <c r="A14" s="276" t="s">
        <v>149</v>
      </c>
      <c r="B14" s="277"/>
      <c r="C14" s="9">
        <v>0</v>
      </c>
      <c r="D14" s="280">
        <f ca="1">((100/I4)*C14)/100</f>
        <v>0</v>
      </c>
      <c r="E14" s="280"/>
      <c r="F14" s="280"/>
      <c r="G14" s="280"/>
      <c r="H14" s="280"/>
      <c r="I14" s="280"/>
      <c r="J14" s="280"/>
      <c r="K14" s="49" t="s">
        <v>157</v>
      </c>
      <c r="L14" s="85">
        <f>(IF(B4&gt;4,(I4/(B4+2)+L13),0))</f>
        <v>0</v>
      </c>
    </row>
    <row r="15" spans="1:12" ht="15.75" customHeight="1" x14ac:dyDescent="0.35">
      <c r="A15" s="276" t="s">
        <v>144</v>
      </c>
      <c r="B15" s="277" t="s">
        <v>144</v>
      </c>
      <c r="C15" s="9">
        <v>0</v>
      </c>
      <c r="D15" s="280">
        <f ca="1">((100/(I4))*C15)/100</f>
        <v>0</v>
      </c>
      <c r="E15" s="280"/>
      <c r="F15" s="280"/>
      <c r="G15" s="280"/>
      <c r="H15" s="280"/>
      <c r="I15" s="280"/>
      <c r="J15" s="280"/>
      <c r="K15" s="49" t="s">
        <v>160</v>
      </c>
      <c r="L15" s="85">
        <f ca="1">(IF(B4=1,(I4/(B4+3)+L10),IF(B4=0,(I4/4+L10),IF(B4&gt;1,0))))</f>
        <v>15</v>
      </c>
    </row>
    <row r="16" spans="1:12" ht="16.5" customHeight="1" thickBot="1" x14ac:dyDescent="0.4">
      <c r="A16" s="282" t="s">
        <v>145</v>
      </c>
      <c r="B16" s="283"/>
      <c r="C16" s="9">
        <v>0</v>
      </c>
      <c r="D16" s="280">
        <f ca="1">((100/(I4))*C16)/100</f>
        <v>0</v>
      </c>
      <c r="E16" s="280"/>
      <c r="F16" s="280"/>
      <c r="G16" s="280"/>
      <c r="H16" s="280"/>
      <c r="I16" s="280"/>
      <c r="J16" s="280"/>
      <c r="K16" s="49" t="s">
        <v>114</v>
      </c>
      <c r="L16" s="85">
        <f ca="1">(IF(B4&gt;1.5,(I4/(B4+2)+L10+MAX(0,L11-L10)+MAX(0,L12-L11)+MAX(0,L13-L12)+MAX(0,L14-L13)+MAX(0,L15-L14)),IF(B4=1,(I4/(B4+3)+L15),IF(B4=0,I4/4+L15))))</f>
        <v>20</v>
      </c>
    </row>
    <row r="18" spans="1:10" x14ac:dyDescent="0.35">
      <c r="F18" s="45">
        <f ca="1">F7</f>
        <v>0.5</v>
      </c>
      <c r="H18" s="45">
        <f ca="1">H7</f>
        <v>0.75</v>
      </c>
    </row>
    <row r="19" spans="1:10" ht="15.5" x14ac:dyDescent="0.35">
      <c r="A19" s="47"/>
      <c r="B19" s="47"/>
      <c r="C19" s="48"/>
      <c r="D19" s="71"/>
      <c r="E19" s="71"/>
      <c r="F19" s="71"/>
      <c r="G19" s="71"/>
      <c r="H19" s="71"/>
      <c r="I19" s="49"/>
      <c r="J19" s="21"/>
    </row>
  </sheetData>
  <mergeCells count="33">
    <mergeCell ref="D9:E9"/>
    <mergeCell ref="D10:E10"/>
    <mergeCell ref="D11:E11"/>
    <mergeCell ref="D12:E12"/>
    <mergeCell ref="A10:B10"/>
    <mergeCell ref="A11:B11"/>
    <mergeCell ref="A12:B12"/>
    <mergeCell ref="A9:B9"/>
    <mergeCell ref="A1:J1"/>
    <mergeCell ref="A5:B5"/>
    <mergeCell ref="A6:B6"/>
    <mergeCell ref="C3:J3"/>
    <mergeCell ref="I4:J4"/>
    <mergeCell ref="H6:J6"/>
    <mergeCell ref="F6:G6"/>
    <mergeCell ref="C5:J5"/>
    <mergeCell ref="E4:F4"/>
    <mergeCell ref="A14:B14"/>
    <mergeCell ref="A3:B3"/>
    <mergeCell ref="H7:J16"/>
    <mergeCell ref="D6:E6"/>
    <mergeCell ref="A7:B7"/>
    <mergeCell ref="F7:G16"/>
    <mergeCell ref="A8:B8"/>
    <mergeCell ref="A15:B15"/>
    <mergeCell ref="A16:B16"/>
    <mergeCell ref="D7:E7"/>
    <mergeCell ref="D13:E13"/>
    <mergeCell ref="D14:E14"/>
    <mergeCell ref="D15:E15"/>
    <mergeCell ref="D16:E16"/>
    <mergeCell ref="D8:E8"/>
    <mergeCell ref="A13:B13"/>
  </mergeCells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5" zoomScaleNormal="85" workbookViewId="0">
      <selection activeCell="A2" sqref="A2:XFD15"/>
    </sheetView>
  </sheetViews>
  <sheetFormatPr defaultRowHeight="14.5" x14ac:dyDescent="0.35"/>
  <cols>
    <col min="1" max="1" width="12.26953125" customWidth="1"/>
    <col min="2" max="2" width="12" customWidth="1"/>
    <col min="3" max="4" width="14.1796875" customWidth="1"/>
    <col min="5" max="5" width="12.453125" customWidth="1"/>
    <col min="6" max="6" width="12.54296875" customWidth="1"/>
    <col min="7" max="7" width="24.26953125" customWidth="1"/>
    <col min="8" max="8" width="12.1796875" customWidth="1"/>
    <col min="9" max="9" width="24.81640625" customWidth="1"/>
    <col min="10" max="10" width="18.453125" customWidth="1"/>
  </cols>
  <sheetData>
    <row r="1" spans="1:14" ht="15" thickBot="1" x14ac:dyDescent="0.4"/>
    <row r="2" spans="1:14" ht="15.75" customHeight="1" x14ac:dyDescent="0.35">
      <c r="A2" s="290" t="s">
        <v>151</v>
      </c>
      <c r="B2" s="291"/>
      <c r="C2" s="292" t="s">
        <v>158</v>
      </c>
      <c r="D2" s="293"/>
      <c r="E2" s="293"/>
      <c r="F2" s="293"/>
      <c r="G2" s="293"/>
      <c r="H2" s="294"/>
      <c r="I2" s="57" t="str">
        <f ca="1">(IF(E6&gt;99%,"All work completed. Please provide OC.",IF(E6&gt;89.8%,"Plinth, RCC, Brick, Plaster, Flooring, Painting work Completed. Finishing work is in process.",IF(E6&lt;94%,(IF(C6=0,"Work not yet Started.",IF(D6=25%,"Piling work in process",IF(D6=50%,"Excavation work in process",IF(D6=100%,"Excavation work Completed. ","0")))&amp;(IF(C7=0%,"",IF(C7=J8,"Footing work is process",IF(C7=J9,"Footing work Completed",IF(C7=J10,"1st Basement Completed",IF(C7=J11,"1st &amp; 2nd Basement Completed",IF(C7=J12,"1st to 3rd Basement Completed",IF(C7=J13,"1st to 4th Basement Completed",IF(C7=J14,"Plinth work is process",IF(C7=J15,"Plinth work completed","0")))))))))))&amp;(IF(C8=(D3+F3+H3),", RCC Slab",IF(C8&gt;0,", RCC upto "&amp;C8&amp;" Slab",""))&amp;(IF(C9=H3,", Brickwork",IF(C9&gt;0,", Brickwork upto "&amp;C9&amp;" Floor",""))&amp;(IF(C10=H3,", Internal Plaster",IF(C10&gt;0,", Internal Plaster upto "&amp;C10&amp;" Floor",""))&amp;(IF(C11=H3,", External Plaster",IF(C11&gt;0,", External Plaster upto "&amp;C11&amp;" Floor",""))&amp;(IF(C12=H3,", Flooring",IF(C12&gt;0,", Flooring upto "&amp;C12&amp;" Floor",""))&amp;(IF(C13=H3,", Painting",IF(C13&gt;0,", Painting upto "&amp;C13&amp;" Floor",""))&amp;(IF(C14&gt;0,", Finishing upto "&amp;C14&amp;" Floor","")&amp;(IF(C8&gt;0.5," Completed",""))))))))))))))</f>
        <v>Excavation work Completed. Plinth work completed, RCC Slab Completed</v>
      </c>
      <c r="J2" s="18"/>
    </row>
    <row r="3" spans="1:14" ht="15.5" x14ac:dyDescent="0.35">
      <c r="A3" s="69" t="s">
        <v>154</v>
      </c>
      <c r="B3" s="59">
        <v>0</v>
      </c>
      <c r="C3" s="76" t="s">
        <v>75</v>
      </c>
      <c r="D3" s="76">
        <v>1</v>
      </c>
      <c r="E3" s="76" t="s">
        <v>74</v>
      </c>
      <c r="F3" s="59">
        <v>0</v>
      </c>
      <c r="G3" s="77" t="s">
        <v>87</v>
      </c>
      <c r="H3" s="72">
        <f ca="1">--TRIM(RIGHT(SUBSTITUTE(LEFT(C2,_xlfn.AGGREGATE(16,6,FIND({0,1,2,3,4,5,6,7,8,9},C2,ROW(INDIRECT("1:"&amp;LEN(C2)))),1))," ",REPT(" ",LEN(C2))),LEN(C2)))</f>
        <v>20</v>
      </c>
      <c r="I3" s="58"/>
      <c r="J3" s="19"/>
    </row>
    <row r="4" spans="1:14" ht="36" customHeight="1" x14ac:dyDescent="0.35">
      <c r="A4" s="174" t="s">
        <v>97</v>
      </c>
      <c r="B4" s="175"/>
      <c r="C4" s="211" t="str">
        <f ca="1">I2</f>
        <v>Excavation work Completed. Plinth work completed, RCC Slab Completed</v>
      </c>
      <c r="D4" s="308"/>
      <c r="E4" s="308"/>
      <c r="F4" s="308"/>
      <c r="G4" s="308"/>
      <c r="H4" s="309"/>
      <c r="I4" s="58" t="s">
        <v>115</v>
      </c>
      <c r="J4" s="19"/>
    </row>
    <row r="5" spans="1:14" ht="15.5" x14ac:dyDescent="0.35">
      <c r="A5" s="276" t="s">
        <v>50</v>
      </c>
      <c r="B5" s="301"/>
      <c r="C5" s="79" t="s">
        <v>150</v>
      </c>
      <c r="D5" s="73" t="s">
        <v>90</v>
      </c>
      <c r="E5" s="277" t="s">
        <v>92</v>
      </c>
      <c r="F5" s="302"/>
      <c r="G5" s="277" t="s">
        <v>91</v>
      </c>
      <c r="H5" s="303"/>
      <c r="I5" s="49" t="s">
        <v>153</v>
      </c>
      <c r="J5" s="20">
        <f ca="1">H3*25%</f>
        <v>5</v>
      </c>
    </row>
    <row r="6" spans="1:14" ht="15.5" x14ac:dyDescent="0.35">
      <c r="A6" s="276" t="s">
        <v>139</v>
      </c>
      <c r="B6" s="301"/>
      <c r="C6" s="9">
        <f ca="1">J7</f>
        <v>20</v>
      </c>
      <c r="D6" s="74">
        <f ca="1">((100/H3)*C6)/100</f>
        <v>1</v>
      </c>
      <c r="E6" s="295">
        <f ca="1">(((C7/H3*10)+(40/(D3+F3+H3)*C8)+(7.5/(H3)*C9)+(7.5/(H3)*C10)+(10/H3*C11)+(10/H3*C12)+(5/H3*C13)+(5/H3*C14)+(5/H3*C15))/100)</f>
        <v>0.5</v>
      </c>
      <c r="F6" s="305"/>
      <c r="G6" s="295">
        <f ca="1">((((C6/H3)*20)+((C7/H3)*25)+(30/(H3+F3+D3)*C8)+(5/H3*C9)+(5/H3*C10)+(5/H3*C11)+(5/H3*C12)+(0/H3*C13)+(0/H3*C14)+(5/H3*C15))/100)</f>
        <v>0.75</v>
      </c>
      <c r="H6" s="296"/>
      <c r="I6" s="49" t="s">
        <v>110</v>
      </c>
      <c r="J6" s="56">
        <f ca="1">H3*50%</f>
        <v>10</v>
      </c>
    </row>
    <row r="7" spans="1:14" ht="15.5" x14ac:dyDescent="0.35">
      <c r="A7" s="276" t="s">
        <v>51</v>
      </c>
      <c r="B7" s="301"/>
      <c r="C7" s="10">
        <f ca="1">J15</f>
        <v>20</v>
      </c>
      <c r="D7" s="74">
        <f ca="1">((100/H3)*C7)/100</f>
        <v>1</v>
      </c>
      <c r="E7" s="297"/>
      <c r="F7" s="306"/>
      <c r="G7" s="297"/>
      <c r="H7" s="298"/>
      <c r="I7" s="49" t="s">
        <v>111</v>
      </c>
      <c r="J7" s="56">
        <f ca="1">H3</f>
        <v>20</v>
      </c>
    </row>
    <row r="8" spans="1:14" ht="15.5" x14ac:dyDescent="0.35">
      <c r="A8" s="276" t="s">
        <v>140</v>
      </c>
      <c r="B8" s="301"/>
      <c r="C8" s="10">
        <f ca="1">D3+H3</f>
        <v>21</v>
      </c>
      <c r="D8" s="74">
        <f ca="1">((100/(D3+F3+H3))*C8)/100</f>
        <v>1</v>
      </c>
      <c r="E8" s="297"/>
      <c r="F8" s="306"/>
      <c r="G8" s="297"/>
      <c r="H8" s="298"/>
      <c r="I8" s="49" t="s">
        <v>112</v>
      </c>
      <c r="J8" s="65">
        <f ca="1">(IF(B3&gt;1,(H3/(B3+2)),H3/4))</f>
        <v>5</v>
      </c>
      <c r="L8" s="62"/>
    </row>
    <row r="9" spans="1:14" ht="15.75" customHeight="1" x14ac:dyDescent="0.35">
      <c r="A9" s="276" t="s">
        <v>147</v>
      </c>
      <c r="B9" s="301" t="s">
        <v>141</v>
      </c>
      <c r="C9" s="9">
        <v>0</v>
      </c>
      <c r="D9" s="74">
        <f ca="1">((100/H3)*C9)/100</f>
        <v>0</v>
      </c>
      <c r="E9" s="297"/>
      <c r="F9" s="306"/>
      <c r="G9" s="297"/>
      <c r="H9" s="298"/>
      <c r="I9" s="49" t="s">
        <v>113</v>
      </c>
      <c r="J9" s="65">
        <f ca="1">(IF(B3&gt;1,(H3/(B3+2)+J8),H3/4+J8))</f>
        <v>10</v>
      </c>
      <c r="L9" s="62"/>
    </row>
    <row r="10" spans="1:14" ht="15.75" customHeight="1" x14ac:dyDescent="0.35">
      <c r="A10" s="276" t="s">
        <v>148</v>
      </c>
      <c r="B10" s="301" t="s">
        <v>141</v>
      </c>
      <c r="C10" s="9">
        <v>0</v>
      </c>
      <c r="D10" s="74">
        <f ca="1">((100/H3)*C10)/100</f>
        <v>0</v>
      </c>
      <c r="E10" s="297"/>
      <c r="F10" s="306"/>
      <c r="G10" s="297"/>
      <c r="H10" s="298"/>
      <c r="I10" s="49" t="s">
        <v>159</v>
      </c>
      <c r="J10" s="65">
        <f>(IF(B3&gt;1,(H3/(B3+2)+J9),0))</f>
        <v>0</v>
      </c>
      <c r="K10" s="60"/>
      <c r="L10" s="68"/>
      <c r="N10" s="62"/>
    </row>
    <row r="11" spans="1:14" ht="15.75" customHeight="1" x14ac:dyDescent="0.35">
      <c r="A11" s="276" t="s">
        <v>146</v>
      </c>
      <c r="B11" s="301" t="s">
        <v>143</v>
      </c>
      <c r="C11" s="9">
        <v>0</v>
      </c>
      <c r="D11" s="74">
        <f ca="1">((100/(H3))*C11)/100</f>
        <v>0</v>
      </c>
      <c r="E11" s="297"/>
      <c r="F11" s="306"/>
      <c r="G11" s="297"/>
      <c r="H11" s="298"/>
      <c r="I11" s="49" t="s">
        <v>155</v>
      </c>
      <c r="J11" s="65">
        <f>(IF(B3&gt;2,(H3/(B3+2)+J10),0))</f>
        <v>0</v>
      </c>
      <c r="K11" s="64"/>
      <c r="L11" s="68"/>
    </row>
    <row r="12" spans="1:14" ht="15.75" customHeight="1" x14ac:dyDescent="0.35">
      <c r="A12" s="276" t="s">
        <v>142</v>
      </c>
      <c r="B12" s="301" t="s">
        <v>142</v>
      </c>
      <c r="C12" s="9">
        <v>0</v>
      </c>
      <c r="D12" s="74">
        <f ca="1">((100/H3)*C12)/100</f>
        <v>0</v>
      </c>
      <c r="E12" s="297"/>
      <c r="F12" s="306"/>
      <c r="G12" s="297"/>
      <c r="H12" s="298"/>
      <c r="I12" s="49" t="s">
        <v>156</v>
      </c>
      <c r="J12" s="66">
        <f>(IF(B3&gt;3,(H3/(B3+2)+J11),0))</f>
        <v>0</v>
      </c>
      <c r="K12" s="64"/>
      <c r="L12" s="68"/>
    </row>
    <row r="13" spans="1:14" ht="15.75" customHeight="1" x14ac:dyDescent="0.35">
      <c r="A13" s="276" t="s">
        <v>149</v>
      </c>
      <c r="B13" s="301"/>
      <c r="C13" s="9">
        <v>0</v>
      </c>
      <c r="D13" s="74">
        <f ca="1">((100/H3)*C13)/100</f>
        <v>0</v>
      </c>
      <c r="E13" s="297"/>
      <c r="F13" s="306"/>
      <c r="G13" s="297"/>
      <c r="H13" s="298"/>
      <c r="I13" s="49" t="s">
        <v>157</v>
      </c>
      <c r="J13" s="65">
        <f>(IF(B3&gt;4,(H3/(B3+2)+J12),0))</f>
        <v>0</v>
      </c>
      <c r="K13" s="63"/>
      <c r="L13" s="68"/>
    </row>
    <row r="14" spans="1:14" ht="15.75" customHeight="1" x14ac:dyDescent="0.35">
      <c r="A14" s="276" t="s">
        <v>144</v>
      </c>
      <c r="B14" s="301" t="s">
        <v>144</v>
      </c>
      <c r="C14" s="9">
        <v>0</v>
      </c>
      <c r="D14" s="74">
        <f ca="1">((100/(H3))*C14)/100</f>
        <v>0</v>
      </c>
      <c r="E14" s="297"/>
      <c r="F14" s="306"/>
      <c r="G14" s="297"/>
      <c r="H14" s="298"/>
      <c r="I14" s="49" t="s">
        <v>160</v>
      </c>
      <c r="J14" s="65">
        <f ca="1">(IF(B3=1,(H3/(B3+3)+J9),IF(B3=0,(H3/4+J9),IF(B3&gt;1,0))))</f>
        <v>15</v>
      </c>
      <c r="K14" s="64"/>
      <c r="L14" s="68"/>
    </row>
    <row r="15" spans="1:14" ht="16" thickBot="1" x14ac:dyDescent="0.4">
      <c r="A15" s="282" t="s">
        <v>145</v>
      </c>
      <c r="B15" s="304"/>
      <c r="C15" s="17">
        <v>0</v>
      </c>
      <c r="D15" s="75">
        <f ca="1">((100/(H3))*C15)/100</f>
        <v>0</v>
      </c>
      <c r="E15" s="299"/>
      <c r="F15" s="307"/>
      <c r="G15" s="299"/>
      <c r="H15" s="300"/>
      <c r="I15" s="61" t="s">
        <v>114</v>
      </c>
      <c r="J15" s="67">
        <f ca="1">(IF(B3&gt;1.5,(H3/(B3+2)+J9+MAX(0,J10-J9)+MAX(0,J11-J10)+MAX(0,J12-J11)+MAX(0,J13-J12)+MAX(0,J14-J13)),IF(B3=1,(H3/(B3+3)+J14),IF(B3=0,H3/4+J14))))</f>
        <v>20</v>
      </c>
      <c r="K15" s="64"/>
      <c r="L15" s="68"/>
    </row>
    <row r="16" spans="1:14" ht="15.5" x14ac:dyDescent="0.35">
      <c r="A16" s="47"/>
      <c r="B16" s="47"/>
      <c r="C16" s="48"/>
      <c r="D16" s="78"/>
      <c r="E16" s="78"/>
      <c r="F16" s="78"/>
      <c r="G16" s="78"/>
      <c r="H16" s="78"/>
      <c r="I16" s="49"/>
      <c r="J16" s="21"/>
      <c r="L16" s="68"/>
    </row>
    <row r="17" spans="5:7" x14ac:dyDescent="0.35">
      <c r="E17" s="45">
        <f ca="1">E6</f>
        <v>0.5</v>
      </c>
      <c r="G17" s="45">
        <f ca="1">G6</f>
        <v>0.75</v>
      </c>
    </row>
    <row r="18" spans="5:7" x14ac:dyDescent="0.35">
      <c r="E18" s="46"/>
      <c r="G18" s="46"/>
    </row>
  </sheetData>
  <mergeCells count="19">
    <mergeCell ref="E6:F15"/>
    <mergeCell ref="A4:B4"/>
    <mergeCell ref="C4:H4"/>
    <mergeCell ref="A2:B2"/>
    <mergeCell ref="C2:H2"/>
    <mergeCell ref="G6:H15"/>
    <mergeCell ref="A6:B6"/>
    <mergeCell ref="A5:B5"/>
    <mergeCell ref="E5:F5"/>
    <mergeCell ref="G5:H5"/>
    <mergeCell ref="A7:B7"/>
    <mergeCell ref="A8:B8"/>
    <mergeCell ref="A9:B9"/>
    <mergeCell ref="A12:B12"/>
    <mergeCell ref="A11:B11"/>
    <mergeCell ref="A14:B14"/>
    <mergeCell ref="A15:B15"/>
    <mergeCell ref="A10:B10"/>
    <mergeCell ref="A13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310" t="s">
        <v>117</v>
      </c>
      <c r="C3" s="310"/>
      <c r="D3" s="310"/>
      <c r="E3" s="310"/>
      <c r="F3" s="310"/>
      <c r="G3" s="310"/>
      <c r="H3" s="310"/>
    </row>
    <row r="4" spans="1:9" x14ac:dyDescent="0.35">
      <c r="A4" s="24"/>
      <c r="B4" s="25" t="s">
        <v>118</v>
      </c>
      <c r="C4" s="25" t="s">
        <v>119</v>
      </c>
      <c r="D4" s="25" t="s">
        <v>72</v>
      </c>
      <c r="E4" s="25" t="s">
        <v>120</v>
      </c>
      <c r="F4" s="25" t="s">
        <v>126</v>
      </c>
      <c r="G4" s="25" t="s">
        <v>127</v>
      </c>
      <c r="H4" s="25" t="s">
        <v>121</v>
      </c>
    </row>
    <row r="5" spans="1:9" ht="15" customHeight="1" x14ac:dyDescent="0.35">
      <c r="A5" s="24"/>
      <c r="B5" s="27" t="s">
        <v>122</v>
      </c>
      <c r="C5" s="28"/>
      <c r="D5" s="27"/>
      <c r="E5" s="27"/>
      <c r="F5" s="29">
        <f>E5*1.6</f>
        <v>0</v>
      </c>
      <c r="G5" s="29" t="e">
        <f>H5/F5</f>
        <v>#DIV/0!</v>
      </c>
      <c r="H5" s="30"/>
    </row>
    <row r="6" spans="1:9" x14ac:dyDescent="0.35">
      <c r="A6" s="24"/>
      <c r="B6" s="27" t="s">
        <v>122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122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122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122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123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123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124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125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 for old Flormat</vt:lpstr>
      <vt:lpstr>C% for new format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2025-07-12T13:17:37Z</cp:lastPrinted>
  <dcterms:created xsi:type="dcterms:W3CDTF">2019-07-16T09:29:46Z</dcterms:created>
  <dcterms:modified xsi:type="dcterms:W3CDTF">2025-07-12T13:18:21Z</dcterms:modified>
</cp:coreProperties>
</file>