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12-07-2025\"/>
    </mc:Choice>
  </mc:AlternateContent>
  <bookViews>
    <workbookView xWindow="0" yWindow="0" windowWidth="19200" windowHeight="6640" tabRatio="463"/>
  </bookViews>
  <sheets>
    <sheet name="Report" sheetId="1" r:id="rId1"/>
    <sheet name="valuation" sheetId="5" r:id="rId2"/>
    <sheet name="Research" sheetId="4" r:id="rId3"/>
    <sheet name="Remarks" sheetId="6" r:id="rId4"/>
  </sheets>
  <definedNames>
    <definedName name="_xlnm.Print_Area" localSheetId="0">Report!$A$1:$H$446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4" i="1" l="1"/>
  <c r="C92" i="1" l="1"/>
  <c r="G291" i="1" l="1"/>
  <c r="E257" i="1"/>
  <c r="I195" i="1"/>
  <c r="E244" i="1"/>
  <c r="E243" i="1"/>
  <c r="D171" i="1" l="1"/>
  <c r="J166" i="1"/>
  <c r="G296" i="1" l="1"/>
  <c r="G295" i="1"/>
  <c r="G294" i="1"/>
  <c r="G293" i="1"/>
  <c r="G292" i="1"/>
  <c r="E296" i="1"/>
  <c r="E295" i="1"/>
  <c r="E294" i="1"/>
  <c r="I291" i="1"/>
  <c r="E289" i="1"/>
  <c r="E288" i="1"/>
  <c r="E287" i="1"/>
  <c r="E286" i="1"/>
  <c r="E285" i="1"/>
  <c r="E284" i="1"/>
  <c r="E283" i="1"/>
  <c r="E281" i="1"/>
  <c r="E280" i="1"/>
  <c r="E279" i="1"/>
  <c r="E278" i="1"/>
  <c r="E277" i="1"/>
  <c r="E276" i="1"/>
  <c r="E275" i="1"/>
  <c r="E273" i="1"/>
  <c r="E272" i="1"/>
  <c r="E271" i="1"/>
  <c r="E270" i="1"/>
  <c r="E269" i="1"/>
  <c r="E268" i="1"/>
  <c r="E267" i="1"/>
  <c r="E265" i="1"/>
  <c r="E264" i="1"/>
  <c r="E263" i="1"/>
  <c r="E262" i="1"/>
  <c r="E261" i="1"/>
  <c r="E260" i="1"/>
  <c r="E259" i="1"/>
  <c r="E256" i="1"/>
  <c r="E255" i="1"/>
  <c r="E254" i="1"/>
  <c r="E253" i="1"/>
  <c r="E252" i="1"/>
  <c r="E251" i="1"/>
  <c r="G249" i="1"/>
  <c r="G248" i="1"/>
  <c r="G247" i="1"/>
  <c r="G246" i="1"/>
  <c r="G245" i="1"/>
  <c r="E249" i="1"/>
  <c r="E248" i="1"/>
  <c r="E247" i="1"/>
  <c r="E246" i="1"/>
  <c r="E245" i="1"/>
  <c r="E240" i="1"/>
  <c r="E239" i="1"/>
  <c r="F239" i="1" s="1"/>
  <c r="H239" i="1" s="1"/>
  <c r="E238" i="1"/>
  <c r="E237" i="1"/>
  <c r="E236" i="1"/>
  <c r="E235" i="1"/>
  <c r="E233" i="1"/>
  <c r="E231" i="1"/>
  <c r="E230" i="1"/>
  <c r="E229" i="1"/>
  <c r="E228" i="1"/>
  <c r="E227" i="1"/>
  <c r="E226" i="1"/>
  <c r="E225" i="1"/>
  <c r="E224" i="1"/>
  <c r="E222" i="1"/>
  <c r="E221" i="1"/>
  <c r="E220" i="1"/>
  <c r="E219" i="1"/>
  <c r="E218" i="1"/>
  <c r="E217" i="1"/>
  <c r="E215" i="1"/>
  <c r="E213" i="1"/>
  <c r="E212" i="1"/>
  <c r="E211" i="1"/>
  <c r="E210" i="1"/>
  <c r="E209" i="1"/>
  <c r="E208" i="1"/>
  <c r="E207" i="1"/>
  <c r="E206" i="1"/>
  <c r="E204" i="1"/>
  <c r="E203" i="1"/>
  <c r="E202" i="1"/>
  <c r="E201" i="1"/>
  <c r="E200" i="1"/>
  <c r="E199" i="1"/>
  <c r="E198" i="1"/>
  <c r="E197" i="1"/>
  <c r="G195" i="1"/>
  <c r="G194" i="1"/>
  <c r="G193" i="1"/>
  <c r="G192" i="1"/>
  <c r="G191" i="1"/>
  <c r="G190" i="1"/>
  <c r="G189" i="1"/>
  <c r="G188" i="1"/>
  <c r="E195" i="1"/>
  <c r="E194" i="1"/>
  <c r="E193" i="1"/>
  <c r="E192" i="1"/>
  <c r="E191" i="1"/>
  <c r="E190" i="1"/>
  <c r="E189" i="1"/>
  <c r="E188" i="1"/>
  <c r="D230" i="1"/>
  <c r="F230" i="1" s="1"/>
  <c r="H230" i="1" s="1"/>
  <c r="I254" i="1"/>
  <c r="I244" i="1"/>
  <c r="I243" i="1"/>
  <c r="I189" i="1"/>
  <c r="I188" i="1"/>
  <c r="E165" i="1"/>
  <c r="E178" i="1"/>
  <c r="E177" i="1"/>
  <c r="E176" i="1"/>
  <c r="E175" i="1"/>
  <c r="E174" i="1"/>
  <c r="E173" i="1"/>
  <c r="E172" i="1"/>
  <c r="E171" i="1"/>
  <c r="E170" i="1"/>
  <c r="E169" i="1"/>
  <c r="E168" i="1"/>
  <c r="E167" i="1"/>
  <c r="E166" i="1"/>
  <c r="I165" i="1"/>
  <c r="I168" i="1"/>
  <c r="I178" i="1"/>
  <c r="D296" i="1"/>
  <c r="F296" i="1" s="1"/>
  <c r="H296" i="1" s="1"/>
  <c r="D295" i="1"/>
  <c r="D294" i="1"/>
  <c r="D293" i="1"/>
  <c r="D292" i="1"/>
  <c r="D291" i="1"/>
  <c r="D289" i="1"/>
  <c r="D288" i="1"/>
  <c r="D287" i="1"/>
  <c r="D286" i="1"/>
  <c r="D285" i="1"/>
  <c r="D284" i="1"/>
  <c r="D283" i="1"/>
  <c r="D281" i="1"/>
  <c r="F281" i="1" s="1"/>
  <c r="H281" i="1" s="1"/>
  <c r="D280" i="1"/>
  <c r="D279" i="1"/>
  <c r="D278" i="1"/>
  <c r="D277" i="1"/>
  <c r="D276" i="1"/>
  <c r="D275" i="1"/>
  <c r="D273" i="1"/>
  <c r="D272" i="1"/>
  <c r="F272" i="1" s="1"/>
  <c r="H272" i="1" s="1"/>
  <c r="D271" i="1"/>
  <c r="F271" i="1" s="1"/>
  <c r="H271" i="1" s="1"/>
  <c r="D270" i="1"/>
  <c r="D269" i="1"/>
  <c r="F269" i="1" s="1"/>
  <c r="H269" i="1" s="1"/>
  <c r="D268" i="1"/>
  <c r="D267" i="1"/>
  <c r="D265" i="1"/>
  <c r="D264" i="1"/>
  <c r="D263" i="1"/>
  <c r="D262" i="1"/>
  <c r="D261" i="1"/>
  <c r="D260" i="1"/>
  <c r="D259" i="1"/>
  <c r="D257" i="1"/>
  <c r="F257" i="1" s="1"/>
  <c r="H257" i="1" s="1"/>
  <c r="D256" i="1"/>
  <c r="F256" i="1" s="1"/>
  <c r="H256" i="1" s="1"/>
  <c r="D255" i="1"/>
  <c r="D254" i="1"/>
  <c r="D253" i="1"/>
  <c r="D252" i="1"/>
  <c r="D251" i="1"/>
  <c r="D249" i="1"/>
  <c r="D248" i="1"/>
  <c r="F248" i="1" s="1"/>
  <c r="D247" i="1"/>
  <c r="D246" i="1"/>
  <c r="D245" i="1"/>
  <c r="D244" i="1"/>
  <c r="F244" i="1" s="1"/>
  <c r="H244" i="1" s="1"/>
  <c r="D243" i="1"/>
  <c r="D240" i="1"/>
  <c r="D238" i="1"/>
  <c r="D237" i="1"/>
  <c r="D236" i="1"/>
  <c r="D235" i="1"/>
  <c r="D233" i="1"/>
  <c r="D231" i="1"/>
  <c r="D229" i="1"/>
  <c r="D228" i="1"/>
  <c r="D227" i="1"/>
  <c r="F227" i="1" s="1"/>
  <c r="H227" i="1" s="1"/>
  <c r="D226" i="1"/>
  <c r="F226" i="1" s="1"/>
  <c r="H226" i="1" s="1"/>
  <c r="D225" i="1"/>
  <c r="D224" i="1"/>
  <c r="D222" i="1"/>
  <c r="D221" i="1"/>
  <c r="D220" i="1"/>
  <c r="D219" i="1"/>
  <c r="D218" i="1"/>
  <c r="F218" i="1" s="1"/>
  <c r="H218" i="1" s="1"/>
  <c r="D217" i="1"/>
  <c r="F217" i="1" s="1"/>
  <c r="H217" i="1" s="1"/>
  <c r="D215" i="1"/>
  <c r="D213" i="1"/>
  <c r="D212" i="1"/>
  <c r="D211" i="1"/>
  <c r="D210" i="1"/>
  <c r="D209" i="1"/>
  <c r="D208" i="1"/>
  <c r="F208" i="1" s="1"/>
  <c r="H208" i="1" s="1"/>
  <c r="D207" i="1"/>
  <c r="D206" i="1"/>
  <c r="D204" i="1"/>
  <c r="D203" i="1"/>
  <c r="D202" i="1"/>
  <c r="F202" i="1" s="1"/>
  <c r="H202" i="1" s="1"/>
  <c r="K202" i="1" s="1"/>
  <c r="D201" i="1"/>
  <c r="D200" i="1"/>
  <c r="D199" i="1"/>
  <c r="F199" i="1" s="1"/>
  <c r="H199" i="1" s="1"/>
  <c r="D198" i="1"/>
  <c r="D197" i="1"/>
  <c r="D195" i="1"/>
  <c r="D194" i="1"/>
  <c r="D193" i="1"/>
  <c r="D192" i="1"/>
  <c r="D191" i="1"/>
  <c r="D190" i="1"/>
  <c r="D189" i="1"/>
  <c r="D188" i="1"/>
  <c r="D178" i="1"/>
  <c r="D177" i="1"/>
  <c r="H177" i="1" s="1"/>
  <c r="D176" i="1"/>
  <c r="D175" i="1"/>
  <c r="H175" i="1" s="1"/>
  <c r="D174" i="1"/>
  <c r="D173" i="1"/>
  <c r="D172" i="1"/>
  <c r="H171" i="1"/>
  <c r="D170" i="1"/>
  <c r="D169" i="1"/>
  <c r="D168" i="1"/>
  <c r="D167" i="1"/>
  <c r="D166" i="1"/>
  <c r="D165" i="1"/>
  <c r="F289" i="1"/>
  <c r="H289" i="1" s="1"/>
  <c r="A284" i="1"/>
  <c r="A285" i="1" s="1"/>
  <c r="A286" i="1" s="1"/>
  <c r="A287" i="1" s="1"/>
  <c r="A288" i="1" s="1"/>
  <c r="A289" i="1" s="1"/>
  <c r="A234" i="1"/>
  <c r="A235" i="1" s="1"/>
  <c r="A236" i="1" s="1"/>
  <c r="A237" i="1" s="1"/>
  <c r="A238" i="1" s="1"/>
  <c r="A239" i="1" s="1"/>
  <c r="A240" i="1" s="1"/>
  <c r="F279" i="1"/>
  <c r="H279" i="1" s="1"/>
  <c r="A276" i="1"/>
  <c r="A277" i="1" s="1"/>
  <c r="A278" i="1" s="1"/>
  <c r="A279" i="1" s="1"/>
  <c r="A280" i="1" s="1"/>
  <c r="A281" i="1" s="1"/>
  <c r="A225" i="1"/>
  <c r="A226" i="1" s="1"/>
  <c r="A227" i="1" s="1"/>
  <c r="A228" i="1" s="1"/>
  <c r="A229" i="1" s="1"/>
  <c r="A230" i="1" s="1"/>
  <c r="A231" i="1" s="1"/>
  <c r="A268" i="1"/>
  <c r="A269" i="1" s="1"/>
  <c r="A270" i="1" s="1"/>
  <c r="A271" i="1" s="1"/>
  <c r="A272" i="1" s="1"/>
  <c r="A273" i="1" s="1"/>
  <c r="A216" i="1"/>
  <c r="A217" i="1" s="1"/>
  <c r="A218" i="1" s="1"/>
  <c r="A219" i="1" s="1"/>
  <c r="A220" i="1" s="1"/>
  <c r="A221" i="1" s="1"/>
  <c r="A222" i="1" s="1"/>
  <c r="A260" i="1"/>
  <c r="A261" i="1" s="1"/>
  <c r="A262" i="1" s="1"/>
  <c r="A263" i="1" s="1"/>
  <c r="A264" i="1" s="1"/>
  <c r="A265" i="1" s="1"/>
  <c r="A207" i="1"/>
  <c r="A208" i="1" s="1"/>
  <c r="A209" i="1" s="1"/>
  <c r="A210" i="1" s="1"/>
  <c r="A211" i="1" s="1"/>
  <c r="A212" i="1" s="1"/>
  <c r="A213" i="1" s="1"/>
  <c r="A252" i="1"/>
  <c r="A253" i="1" s="1"/>
  <c r="A254" i="1" s="1"/>
  <c r="A255" i="1" s="1"/>
  <c r="A256" i="1" s="1"/>
  <c r="A257" i="1" s="1"/>
  <c r="F251" i="1"/>
  <c r="H251" i="1" s="1"/>
  <c r="A198" i="1"/>
  <c r="A199" i="1" s="1"/>
  <c r="A200" i="1" s="1"/>
  <c r="A201" i="1" s="1"/>
  <c r="A202" i="1" s="1"/>
  <c r="A203" i="1" s="1"/>
  <c r="A204" i="1" s="1"/>
  <c r="F249" i="1"/>
  <c r="A244" i="1"/>
  <c r="A245" i="1" s="1"/>
  <c r="A246" i="1" s="1"/>
  <c r="A247" i="1" s="1"/>
  <c r="A248" i="1" s="1"/>
  <c r="A249" i="1" s="1"/>
  <c r="E43" i="1"/>
  <c r="F197" i="1" l="1"/>
  <c r="H197" i="1" s="1"/>
  <c r="F215" i="1"/>
  <c r="H215" i="1" s="1"/>
  <c r="F225" i="1"/>
  <c r="H225" i="1" s="1"/>
  <c r="F247" i="1"/>
  <c r="F259" i="1"/>
  <c r="H259" i="1" s="1"/>
  <c r="F268" i="1"/>
  <c r="H268" i="1" s="1"/>
  <c r="F278" i="1"/>
  <c r="H278" i="1" s="1"/>
  <c r="F270" i="1"/>
  <c r="H270" i="1" s="1"/>
  <c r="F252" i="1"/>
  <c r="H252" i="1" s="1"/>
  <c r="F176" i="1"/>
  <c r="F287" i="1"/>
  <c r="H287" i="1" s="1"/>
  <c r="F261" i="1"/>
  <c r="H261" i="1" s="1"/>
  <c r="F288" i="1"/>
  <c r="H288" i="1" s="1"/>
  <c r="F204" i="1"/>
  <c r="H204" i="1" s="1"/>
  <c r="H247" i="1"/>
  <c r="H248" i="1"/>
  <c r="F206" i="1"/>
  <c r="H206" i="1" s="1"/>
  <c r="F262" i="1"/>
  <c r="H262" i="1" s="1"/>
  <c r="F207" i="1"/>
  <c r="H207" i="1" s="1"/>
  <c r="F237" i="1"/>
  <c r="H237" i="1" s="1"/>
  <c r="F253" i="1"/>
  <c r="H253" i="1" s="1"/>
  <c r="F280" i="1"/>
  <c r="H280" i="1" s="1"/>
  <c r="F265" i="1"/>
  <c r="H265" i="1" s="1"/>
  <c r="F275" i="1"/>
  <c r="H275" i="1" s="1"/>
  <c r="F284" i="1"/>
  <c r="H284" i="1" s="1"/>
  <c r="H173" i="1"/>
  <c r="F200" i="1"/>
  <c r="H200" i="1" s="1"/>
  <c r="F219" i="1"/>
  <c r="H219" i="1" s="1"/>
  <c r="F228" i="1"/>
  <c r="H228" i="1" s="1"/>
  <c r="F201" i="1"/>
  <c r="H201" i="1" s="1"/>
  <c r="F283" i="1"/>
  <c r="H283" i="1" s="1"/>
  <c r="F193" i="1"/>
  <c r="H193" i="1" s="1"/>
  <c r="F221" i="1"/>
  <c r="H221" i="1" s="1"/>
  <c r="F212" i="1"/>
  <c r="H212" i="1" s="1"/>
  <c r="F233" i="1"/>
  <c r="H233" i="1" s="1"/>
  <c r="F263" i="1"/>
  <c r="H263" i="1" s="1"/>
  <c r="F211" i="1"/>
  <c r="H211" i="1" s="1"/>
  <c r="H170" i="1"/>
  <c r="F178" i="1"/>
  <c r="F195" i="1"/>
  <c r="H195" i="1" s="1"/>
  <c r="F213" i="1"/>
  <c r="H213" i="1" s="1"/>
  <c r="F224" i="1"/>
  <c r="H224" i="1" s="1"/>
  <c r="F235" i="1"/>
  <c r="H235" i="1" s="1"/>
  <c r="H174" i="1"/>
  <c r="F192" i="1"/>
  <c r="H192" i="1" s="1"/>
  <c r="F210" i="1"/>
  <c r="H210" i="1" s="1"/>
  <c r="F220" i="1"/>
  <c r="H220" i="1" s="1"/>
  <c r="F229" i="1"/>
  <c r="H229" i="1" s="1"/>
  <c r="F267" i="1"/>
  <c r="H267" i="1" s="1"/>
  <c r="F276" i="1"/>
  <c r="H276" i="1" s="1"/>
  <c r="F285" i="1"/>
  <c r="H285" i="1" s="1"/>
  <c r="F173" i="1"/>
  <c r="F209" i="1"/>
  <c r="H209" i="1" s="1"/>
  <c r="F238" i="1"/>
  <c r="H238" i="1" s="1"/>
  <c r="F254" i="1"/>
  <c r="H254" i="1" s="1"/>
  <c r="F240" i="1"/>
  <c r="H240" i="1" s="1"/>
  <c r="F277" i="1"/>
  <c r="H277" i="1" s="1"/>
  <c r="F286" i="1"/>
  <c r="H286" i="1" s="1"/>
  <c r="F246" i="1"/>
  <c r="H246" i="1" s="1"/>
  <c r="F236" i="1"/>
  <c r="H236" i="1" s="1"/>
  <c r="H169" i="1"/>
  <c r="F245" i="1"/>
  <c r="H245" i="1" s="1"/>
  <c r="F172" i="1"/>
  <c r="F194" i="1"/>
  <c r="H194" i="1" s="1"/>
  <c r="F203" i="1"/>
  <c r="H203" i="1" s="1"/>
  <c r="K203" i="1" s="1"/>
  <c r="F222" i="1"/>
  <c r="H222" i="1" s="1"/>
  <c r="F231" i="1"/>
  <c r="H231" i="1" s="1"/>
  <c r="F243" i="1"/>
  <c r="H243" i="1" s="1"/>
  <c r="K243" i="1" s="1"/>
  <c r="F255" i="1"/>
  <c r="H255" i="1" s="1"/>
  <c r="F264" i="1"/>
  <c r="H264" i="1" s="1"/>
  <c r="F273" i="1"/>
  <c r="H273" i="1" s="1"/>
  <c r="F260" i="1"/>
  <c r="H260" i="1" s="1"/>
  <c r="F198" i="1"/>
  <c r="H198" i="1" s="1"/>
  <c r="H249" i="1"/>
  <c r="H172" i="1"/>
  <c r="F169" i="1"/>
  <c r="F171" i="1"/>
  <c r="H178" i="1"/>
  <c r="F177" i="1"/>
  <c r="H176" i="1"/>
  <c r="F175" i="1"/>
  <c r="F174" i="1"/>
  <c r="F170" i="1"/>
  <c r="B299" i="1"/>
  <c r="C154" i="1" l="1"/>
  <c r="G154" i="1"/>
  <c r="E154" i="1"/>
  <c r="G60" i="1"/>
  <c r="C60" i="1"/>
  <c r="G58" i="1"/>
  <c r="C58" i="1"/>
  <c r="C56" i="1"/>
  <c r="S33" i="1" l="1"/>
  <c r="F11" i="5" l="1"/>
  <c r="G11" i="5" s="1"/>
  <c r="F10" i="5"/>
  <c r="G10" i="5" s="1"/>
  <c r="F9" i="5"/>
  <c r="G9" i="5" s="1"/>
  <c r="F8" i="5"/>
  <c r="G8" i="5" s="1"/>
  <c r="F7" i="5"/>
  <c r="G7" i="5" s="1"/>
  <c r="F6" i="5"/>
  <c r="G6" i="5" s="1"/>
  <c r="F5" i="5"/>
  <c r="G5" i="5" s="1"/>
  <c r="G12" i="5" s="1"/>
  <c r="D321" i="1"/>
  <c r="B300" i="1"/>
  <c r="F295" i="1"/>
  <c r="H295" i="1" s="1"/>
  <c r="F294" i="1"/>
  <c r="H294" i="1" s="1"/>
  <c r="F293" i="1"/>
  <c r="H293" i="1" s="1"/>
  <c r="F292" i="1"/>
  <c r="H292" i="1" s="1"/>
  <c r="F291" i="1"/>
  <c r="F191" i="1"/>
  <c r="H191" i="1" s="1"/>
  <c r="F190" i="1"/>
  <c r="H190" i="1" s="1"/>
  <c r="F189" i="1"/>
  <c r="H189" i="1" s="1"/>
  <c r="A189" i="1"/>
  <c r="A190" i="1" s="1"/>
  <c r="A191" i="1" s="1"/>
  <c r="A192" i="1" s="1"/>
  <c r="A193" i="1" s="1"/>
  <c r="A194" i="1" s="1"/>
  <c r="A195" i="1" s="1"/>
  <c r="F188" i="1"/>
  <c r="H168" i="1"/>
  <c r="F168" i="1"/>
  <c r="H167" i="1"/>
  <c r="F167" i="1"/>
  <c r="H166" i="1"/>
  <c r="F166" i="1"/>
  <c r="A166" i="1"/>
  <c r="A167" i="1" s="1"/>
  <c r="A168" i="1" s="1"/>
  <c r="A169" i="1" s="1"/>
  <c r="A170" i="1" s="1"/>
  <c r="A171" i="1" s="1"/>
  <c r="A172" i="1" s="1"/>
  <c r="A173" i="1" s="1"/>
  <c r="A174" i="1" s="1"/>
  <c r="A175" i="1" s="1"/>
  <c r="A176" i="1" s="1"/>
  <c r="A177" i="1" s="1"/>
  <c r="A178" i="1" s="1"/>
  <c r="H165" i="1"/>
  <c r="F165" i="1"/>
  <c r="F147" i="1"/>
  <c r="D72" i="1"/>
  <c r="D64" i="1"/>
  <c r="G51" i="1"/>
  <c r="G54" i="1" s="1"/>
  <c r="C51" i="1"/>
  <c r="E44" i="1"/>
  <c r="E45" i="1" s="1"/>
  <c r="E31" i="1"/>
  <c r="E28" i="1"/>
  <c r="E26" i="1"/>
  <c r="C16" i="1"/>
  <c r="I15" i="1"/>
  <c r="Z13" i="1"/>
  <c r="E8" i="1"/>
  <c r="E3" i="1"/>
  <c r="H107" i="1"/>
  <c r="H121" i="1"/>
  <c r="H79" i="1"/>
  <c r="J83" i="1" l="1"/>
  <c r="C82" i="1" s="1"/>
  <c r="D82" i="1" s="1"/>
  <c r="C150" i="1"/>
  <c r="E150" i="1"/>
  <c r="G150" i="1"/>
  <c r="H188" i="1"/>
  <c r="G153" i="1" s="1"/>
  <c r="E153" i="1"/>
  <c r="C153" i="1"/>
  <c r="H291" i="1"/>
  <c r="G155" i="1" s="1"/>
  <c r="C155" i="1"/>
  <c r="E155" i="1"/>
  <c r="J78" i="1"/>
  <c r="J80" i="1" s="1"/>
  <c r="J81" i="1"/>
  <c r="J82" i="1"/>
  <c r="J111" i="1"/>
  <c r="D115" i="1"/>
  <c r="D117" i="1"/>
  <c r="J110" i="1"/>
  <c r="D116" i="1"/>
  <c r="J106" i="1"/>
  <c r="J108" i="1" s="1"/>
  <c r="D114" i="1"/>
  <c r="J109" i="1"/>
  <c r="D113" i="1"/>
  <c r="D119" i="1"/>
  <c r="D118" i="1"/>
  <c r="D112" i="1"/>
  <c r="D86" i="1"/>
  <c r="D88" i="1"/>
  <c r="D87" i="1"/>
  <c r="D91" i="1"/>
  <c r="D85" i="1"/>
  <c r="D90" i="1"/>
  <c r="D84" i="1"/>
  <c r="D89" i="1"/>
  <c r="J120" i="1"/>
  <c r="J122" i="1" s="1"/>
  <c r="D129" i="1"/>
  <c r="D131" i="1"/>
  <c r="J125" i="1"/>
  <c r="D124" i="1" s="1"/>
  <c r="D130" i="1"/>
  <c r="J124" i="1"/>
  <c r="D128" i="1"/>
  <c r="J123" i="1"/>
  <c r="D127" i="1"/>
  <c r="D133" i="1"/>
  <c r="D132" i="1"/>
  <c r="B121" i="1"/>
  <c r="B107" i="1"/>
  <c r="B79" i="1"/>
  <c r="J84" i="1" s="1"/>
  <c r="C110" i="1" l="1"/>
  <c r="D110" i="1" s="1"/>
  <c r="B93" i="1"/>
  <c r="C156" i="1"/>
  <c r="C157" i="1" s="1"/>
  <c r="E156" i="1"/>
  <c r="E157" i="1" s="1"/>
  <c r="G156" i="1"/>
  <c r="G157" i="1" s="1"/>
  <c r="D126" i="1"/>
  <c r="J131" i="1"/>
  <c r="J128" i="1"/>
  <c r="J130" i="1"/>
  <c r="J129" i="1"/>
  <c r="J126" i="1"/>
  <c r="J127" i="1" s="1"/>
  <c r="J132" i="1" s="1"/>
  <c r="J133" i="1" s="1"/>
  <c r="J117" i="1"/>
  <c r="J114" i="1"/>
  <c r="J116" i="1"/>
  <c r="J115" i="1"/>
  <c r="J112" i="1"/>
  <c r="J113" i="1" s="1"/>
  <c r="J88" i="1"/>
  <c r="J86" i="1"/>
  <c r="J87" i="1"/>
  <c r="J85" i="1"/>
  <c r="J90" i="1" s="1"/>
  <c r="J91" i="1" s="1"/>
  <c r="C83" i="1" s="1"/>
  <c r="J89" i="1"/>
  <c r="H93" i="1"/>
  <c r="J95" i="1" l="1"/>
  <c r="D105" i="1"/>
  <c r="D101" i="1"/>
  <c r="D98" i="1"/>
  <c r="J97" i="1"/>
  <c r="C96" i="1" s="1"/>
  <c r="D99" i="1"/>
  <c r="J92" i="1"/>
  <c r="J94" i="1" s="1"/>
  <c r="D104" i="1"/>
  <c r="D100" i="1"/>
  <c r="J96" i="1"/>
  <c r="D103" i="1"/>
  <c r="D102" i="1"/>
  <c r="J98" i="1"/>
  <c r="J99" i="1" s="1"/>
  <c r="J104" i="1" s="1"/>
  <c r="J105" i="1" s="1"/>
  <c r="C97" i="1" s="1"/>
  <c r="J100" i="1"/>
  <c r="J102" i="1"/>
  <c r="J101" i="1"/>
  <c r="J103" i="1"/>
  <c r="J79" i="1"/>
  <c r="J118" i="1"/>
  <c r="E124" i="1"/>
  <c r="D125" i="1"/>
  <c r="I121" i="1" s="1"/>
  <c r="J121" i="1"/>
  <c r="G124" i="1"/>
  <c r="E82" i="1"/>
  <c r="D83" i="1"/>
  <c r="I79" i="1" s="1"/>
  <c r="G82" i="1"/>
  <c r="D76" i="1" s="1"/>
  <c r="J119" i="1" l="1"/>
  <c r="C111" i="1" s="1"/>
  <c r="E96" i="1"/>
  <c r="D97" i="1"/>
  <c r="G96" i="1"/>
  <c r="D96" i="1"/>
  <c r="F77" i="1"/>
  <c r="D77" i="1"/>
  <c r="I122" i="1"/>
  <c r="I120" i="1" s="1"/>
  <c r="C122" i="1" s="1"/>
  <c r="I80" i="1"/>
  <c r="I78" i="1" s="1"/>
  <c r="C80" i="1" s="1"/>
  <c r="D111" i="1" l="1"/>
  <c r="I107" i="1" s="1"/>
  <c r="I108" i="1" s="1"/>
  <c r="E110" i="1"/>
  <c r="G110" i="1"/>
  <c r="J107" i="1"/>
  <c r="I93" i="1"/>
  <c r="I94" i="1" s="1"/>
  <c r="J93" i="1"/>
  <c r="I106" i="1" l="1"/>
  <c r="C108" i="1" s="1"/>
  <c r="I92" i="1"/>
  <c r="C94"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7" authorId="1" shapeId="0">
      <text>
        <r>
          <rPr>
            <b/>
            <sz val="9"/>
            <color indexed="81"/>
            <rFont val="Tahoma"/>
            <family val="2"/>
          </rPr>
          <t>SACHIN:</t>
        </r>
        <r>
          <rPr>
            <sz val="9"/>
            <color indexed="81"/>
            <rFont val="Tahoma"/>
            <family val="2"/>
          </rPr>
          <t xml:space="preserve">
Floor with height</t>
        </r>
      </text>
    </comment>
    <comment ref="C59" authorId="1" shapeId="0">
      <text>
        <r>
          <rPr>
            <b/>
            <sz val="9"/>
            <color indexed="81"/>
            <rFont val="Tahoma"/>
            <family val="2"/>
          </rPr>
          <t>SACHIN:</t>
        </r>
        <r>
          <rPr>
            <sz val="9"/>
            <color indexed="81"/>
            <rFont val="Tahoma"/>
            <family val="2"/>
          </rPr>
          <t xml:space="preserve">
Survey Nos.</t>
        </r>
      </text>
    </comment>
    <comment ref="C61" authorId="1" shapeId="0">
      <text>
        <r>
          <rPr>
            <b/>
            <sz val="9"/>
            <color indexed="81"/>
            <rFont val="Tahoma"/>
            <family val="2"/>
          </rPr>
          <t>SACHIN:</t>
        </r>
        <r>
          <rPr>
            <sz val="9"/>
            <color indexed="81"/>
            <rFont val="Tahoma"/>
            <family val="2"/>
          </rPr>
          <t xml:space="preserve">
Height from AMSL</t>
        </r>
      </text>
    </comment>
    <comment ref="D64"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40"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8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<sst xmlns="http://schemas.openxmlformats.org/spreadsheetml/2006/main" count="787" uniqueCount="380">
  <si>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</si>
  <si>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</si>
  <si>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</si>
  <si>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</si>
  <si>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</si>
  <si>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</si>
  <si>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</si>
  <si>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</si>
  <si>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</si>
  <si>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</si>
  <si>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</si>
  <si>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</si>
  <si>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</si>
  <si>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</si>
  <si>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</si>
  <si>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</si>
  <si>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</si>
  <si>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</si>
  <si>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</si>
  <si>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</si>
  <si>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</si>
  <si>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</si>
  <si>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</si>
  <si>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</si>
  <si>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</si>
  <si>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</si>
  <si>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</si>
  <si>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</si>
  <si>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</si>
  <si>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</si>
  <si>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</si>
  <si>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</si>
  <si>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</si>
  <si>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</si>
  <si>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</si>
  <si>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</si>
  <si>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</si>
  <si>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</si>
  <si>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</si>
  <si>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</si>
  <si>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</si>
  <si>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</si>
  <si>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</si>
  <si>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</si>
  <si>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</si>
  <si>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</si>
  <si>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</si>
  <si>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</si>
  <si>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</si>
  <si>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</si>
  <si>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</si>
  <si>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</si>
  <si>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</si>
  <si>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</si>
  <si>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</si>
  <si>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</si>
  <si>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</si>
  <si>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</si>
  <si>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</si>
  <si>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</si>
  <si>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</si>
  <si>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</si>
  <si>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</si>
  <si>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</si>
  <si>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</si>
  <si>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</si>
  <si>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</si>
  <si>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</si>
  <si>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</si>
  <si>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</si>
  <si>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</si>
  <si>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</si>
  <si>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</si>
  <si>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</si>
  <si>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</si>
  <si>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</si>
  <si>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</si>
  <si>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</si>
  <si>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</si>
  <si>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</si>
  <si>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</si>
  <si>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</si>
  <si>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</si>
  <si>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</si>
  <si>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</si>
  <si>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</si>
  <si>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</si>
  <si>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</si>
  <si>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</si>
  <si>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</si>
  <si>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</si>
  <si>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</si>
  <si>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</si>
  <si>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</si>
  <si>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</si>
  <si>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</si>
  <si>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</si>
  <si>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</si>
  <si>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</si>
  <si>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</si>
  <si>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</si>
  <si>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</si>
  <si>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</si>
  <si>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</si>
  <si>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</si>
  <si>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</si>
  <si>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</si>
  <si>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</si>
  <si>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</si>
  <si>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</si>
  <si>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</si>
  <si>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</si>
  <si>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</si>
  <si>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</si>
  <si>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</si>
  <si>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</si>
  <si>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</si>
  <si>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</si>
  <si>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</si>
  <si>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</si>
  <si>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</si>
  <si>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</si>
  <si>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</si>
  <si>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</si>
  <si>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</si>
  <si>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</si>
  <si>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</si>
  <si>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</si>
  <si>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</si>
  <si>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</si>
  <si>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</si>
  <si>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</si>
  <si>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</si>
  <si>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</si>
  <si>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</si>
  <si>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</si>
  <si>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</si>
  <si>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</si>
  <si>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</si>
  <si>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</si>
  <si>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</si>
  <si>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</si>
  <si>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</si>
  <si>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</si>
  <si>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</si>
  <si>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</si>
  <si>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</si>
  <si>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</si>
  <si>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</si>
  <si>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</si>
  <si>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</si>
  <si>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</si>
  <si>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</si>
  <si>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</si>
  <si>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</si>
  <si>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</si>
  <si>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</si>
  <si>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</si>
  <si>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</si>
  <si>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</si>
  <si>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</si>
  <si>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</si>
  <si>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</si>
  <si>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</si>
  <si>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</si>
  <si>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</si>
  <si>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</si>
  <si>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</si>
  <si>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</si>
  <si>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</si>
  <si>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</si>
  <si>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</si>
  <si>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</si>
  <si>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</si>
  <si>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</si>
  <si>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</si>
  <si>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</si>
  <si>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</si>
  <si>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</si>
  <si>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</si>
  <si>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</si>
  <si>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</si>
  <si>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</si>
  <si>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</si>
  <si>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</si>
  <si>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</si>
  <si>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</si>
  <si>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</si>
  <si>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</si>
  <si>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</si>
  <si>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</si>
  <si>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</si>
  <si>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</si>
  <si>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</si>
  <si>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</si>
  <si>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</si>
  <si>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</si>
  <si>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</si>
  <si>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</si>
  <si>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</si>
  <si>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</si>
  <si>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</si>
  <si>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</si>
  <si>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</si>
  <si>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</si>
  <si>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</si>
  <si>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</si>
  <si>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</si>
  <si>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</si>
  <si>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</si>
  <si>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</si>
  <si>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</si>
  <si>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</si>
  <si>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</si>
  <si>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</si>
  <si>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</si>
  <si>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</si>
  <si>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</si>
  <si>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</si>
  <si>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</si>
  <si>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</si>
  <si>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</si>
  <si>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</si>
  <si>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</si>
  <si>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</si>
  <si>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</si>
  <si>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</si>
  <si>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</si>
  <si>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</si>
  <si>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</si>
  <si>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</si>
  <si>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</si>
  <si>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</si>
  <si>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</si>
  <si>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</si>
  <si>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</si>
  <si>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</si>
  <si>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</si>
  <si>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</si>
  <si>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</si>
  <si>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</si>
  <si>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</si>
  <si>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</si>
  <si>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</si>
  <si>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</si>
  <si>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</si>
  <si>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</si>
  <si>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</si>
  <si>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</si>
  <si>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</si>
  <si>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</si>
  <si>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</si>
  <si>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</si>
  <si>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</si>
  <si>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</si>
  <si>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</si>
  <si>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</si>
  <si>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</si>
  <si>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</si>
  <si>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</si>
  <si>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</si>
  <si>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</si>
  <si>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</si>
  <si>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</si>
  <si>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</si>
  <si>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</si>
  <si>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</si>
  <si>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</si>
  <si>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</si>
  <si>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</si>
  <si>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</si>
  <si>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</si>
  <si>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</si>
  <si>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</si>
  <si>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</si>
  <si>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</si>
  <si>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</si>
  <si>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</si>
  <si>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</si>
  <si>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</si>
  <si>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</si>
  <si>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</si>
  <si>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</si>
  <si>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</si>
  <si>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</si>
  <si>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</si>
  <si>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</si>
  <si>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</si>
  <si>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</si>
  <si>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</si>
  <si>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</si>
  <si>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</si>
  <si>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</si>
  <si>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</si>
  <si>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</si>
  <si>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There are inadequate transportation options to get to the project and the area is not 
developed.</t>
  </si>
  <si>
    <t>We did not consider the terrace area attached to the 1st floor flats because it was not shown in the approved plans. However, it was shown in the sales plan.</t>
  </si>
  <si>
    <t>River located on west side of the project.</t>
  </si>
  <si>
    <t>Thanekar Construction LLP</t>
  </si>
  <si>
    <t>Thanekar Palacio Phase II</t>
  </si>
  <si>
    <t>Ms. Nivedita Jagtap 9320259555</t>
  </si>
  <si>
    <t>01 Building &amp; 06 Bunglows</t>
  </si>
  <si>
    <t>P51700051381</t>
  </si>
  <si>
    <t>Survey No</t>
  </si>
  <si>
    <t>Sky Hill Road</t>
  </si>
  <si>
    <t>Badlapur East</t>
  </si>
  <si>
    <t>Shirgaon</t>
  </si>
  <si>
    <t>Mayapuri Apartment</t>
  </si>
  <si>
    <t>19.152981,73.232238</t>
  </si>
  <si>
    <t>https://maps.app.goo.gl/mh696uD7bZJB5e7dA</t>
  </si>
  <si>
    <t>Thanekar Paradise</t>
  </si>
  <si>
    <t>Mauli Chowk</t>
  </si>
  <si>
    <t>2.10KM from Badlapur Railway Station</t>
  </si>
  <si>
    <t>Under Construction Building</t>
  </si>
  <si>
    <t>Pathak Residency</t>
  </si>
  <si>
    <t>15.00 M. Wide Road</t>
  </si>
  <si>
    <t>Other Plot</t>
  </si>
  <si>
    <t>KBNP/NRV/BD/2523-71/23-24</t>
  </si>
  <si>
    <t>Building = Gr + 2 Podium + 16th Floor
Bunglow No. A, B, C, D, E &amp; F = Stilt/Ground + 1st Floor</t>
  </si>
  <si>
    <t>Bunglow No. A, B, C, D, E &amp; F = Stilt/Ground + 1st Floor</t>
  </si>
  <si>
    <r>
      <t xml:space="preserve">Proposed Amenities :                                                                                                                                                                                                                         </t>
    </r>
    <r>
      <rPr>
        <b/>
        <sz val="12"/>
        <rFont val="Times New Roman"/>
        <family val="1"/>
      </rPr>
      <t xml:space="preserve">                                               </t>
    </r>
  </si>
  <si>
    <t>Vitrified tiles flooring, Granite Kitchen Platform, Decorative Entrance &amp; Landscape Garden, etc.</t>
  </si>
  <si>
    <t>K.B.N.P./NRV/B.P./901/2022-23 
Unique No. 203</t>
  </si>
  <si>
    <t>K.B.N.P./B.P./2523/2023-2024 
Unique No. 71</t>
  </si>
  <si>
    <t>Building</t>
  </si>
  <si>
    <t>Wing A + B</t>
  </si>
  <si>
    <t>Shop</t>
  </si>
  <si>
    <t>Wing A</t>
  </si>
  <si>
    <t>1st Floor For Residential</t>
  </si>
  <si>
    <t>3BHK</t>
  </si>
  <si>
    <t>2BHK</t>
  </si>
  <si>
    <t>Wing B</t>
  </si>
  <si>
    <t>1BHK</t>
  </si>
  <si>
    <t>2nd to 4th Floor</t>
  </si>
  <si>
    <t>5th Floor</t>
  </si>
  <si>
    <t>Refuge Area</t>
  </si>
  <si>
    <t>6th Floor (Part Refuge Area)</t>
  </si>
  <si>
    <t>7th to 11th &amp; 13th to 15th Floor</t>
  </si>
  <si>
    <t>12th &amp; 16th Floor (Part Refuge Area)</t>
  </si>
  <si>
    <t>12th &amp; 16th Floor (Refuge Area at Wing A)</t>
  </si>
  <si>
    <t>Type A</t>
  </si>
  <si>
    <t>Type B</t>
  </si>
  <si>
    <t>Type C</t>
  </si>
  <si>
    <t>Type D</t>
  </si>
  <si>
    <t>Type E</t>
  </si>
  <si>
    <t>Type F</t>
  </si>
  <si>
    <t>3.5BHK</t>
  </si>
  <si>
    <t>4BHK</t>
  </si>
  <si>
    <t>Bunglow (G + 1st Floor)</t>
  </si>
  <si>
    <t>Shops</t>
  </si>
  <si>
    <t>Bunglows</t>
  </si>
  <si>
    <t xml:space="preserve">Flats </t>
  </si>
  <si>
    <t>Attached Otla area</t>
  </si>
  <si>
    <t>Ground Floor For Commercial, Entrance Lobby &amp; Parking</t>
  </si>
  <si>
    <t>Arch Proj. + Service Area</t>
  </si>
  <si>
    <t>We considered Gross carpet area = Net carpet + Arch Proj + Service Area.</t>
  </si>
  <si>
    <t>Flats - 237, Bunglow - 06, Shops - 14</t>
  </si>
  <si>
    <t>Approved Plans, CC &amp; Sale Plans.</t>
  </si>
  <si>
    <t>As per RERA - 31/12/2026</t>
  </si>
  <si>
    <t>1st Podium Floor For Parking</t>
  </si>
  <si>
    <t>2nd Podium Floor For Fitness Centre, Creche, Loungh, Garden &amp; Parking</t>
  </si>
  <si>
    <t>Sudhir Bhosale</t>
  </si>
  <si>
    <t>Wing A &amp; B = Gound Floor (Commercial area changes).</t>
  </si>
  <si>
    <t>82/2/1(Pt), 83/3/6, 83/3/7, 83/4A, Part No. 3+5+6+7</t>
  </si>
  <si>
    <t>Building Wing A = Gr + 2 Podium + 1st to 16th Floor</t>
  </si>
  <si>
    <t>Building Wing B = Gr + 2 Podium + 1st to 16th Floor</t>
  </si>
  <si>
    <t>Building Wing A &amp; B = Gr + 2 Podium + 1st to 16th Floor
Bunglow No. A, B, C, D, E &amp; F = Stilt/Ground + 1st Floor</t>
  </si>
  <si>
    <t xml:space="preserve">6th Floor </t>
  </si>
  <si>
    <t>As per previous C.C dated 28/03/2023 only Building is mentioned. But in revised latest C.C dated 03/11/2023 the building is divided into Wing A &amp; B.</t>
  </si>
  <si>
    <t>Recommended rate of the Bunglows Per Sq. Ft.</t>
  </si>
  <si>
    <t>Bunglow No.C = Stilt/Ground + 1st Floor</t>
  </si>
  <si>
    <t>Bunglow No. A, B, D, E &amp; F = Stilt/Ground + 1st Floor</t>
  </si>
  <si>
    <t>4500 TO 4700</t>
  </si>
  <si>
    <t xml:space="preserve">Sanjay </t>
  </si>
  <si>
    <t>wp</t>
  </si>
  <si>
    <t>Recommended Rates / Other charges of the Property have been revised on 28/08/2024.</t>
  </si>
  <si>
    <t>Wing A &amp; B
Bunglow A to F</t>
  </si>
  <si>
    <t>Building Wing A &amp; B = Gr + 2 Podium + 1st to 16th Floor</t>
  </si>
  <si>
    <t>Building Wing A &amp; B = Construction work is in process at the time of Visit.
Bunglow (Type C) = All work Completed. Please provide OC.
Bunglow (Type A, B, D, E &amp; F) = Work not yet started.</t>
  </si>
  <si>
    <t>Pooja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</si>
</sst>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49">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2"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0" fillId="0" borderId="1" xfId="0" applyFill="1" applyBorder="1" applyAlignment="1"/>
    <xf numFmtId="9" fontId="13" fillId="0" borderId="16" xfId="8" applyFont="1" applyFill="1" applyBorder="1" applyAlignment="1" applyProtection="1">
      <alignment horizontal="center" vertical="top" wrapText="1"/>
      <protection locked="0"/>
    </xf>
    <xf numFmtId="2" fontId="7" fillId="0" borderId="0" xfId="1" applyNumberFormat="1" applyFont="1" applyAlignment="1">
      <alignment horizontal="center" vertical="center"/>
    </xf>
    <xf numFmtId="1" fontId="12" fillId="0" borderId="1" xfId="1" applyNumberFormat="1" applyFont="1" applyBorder="1" applyAlignment="1" applyProtection="1">
      <alignment horizontal="center" vertical="center" wrapText="1"/>
      <protection locked="0"/>
    </xf>
    <xf numFmtId="0" fontId="12" fillId="0" borderId="1" xfId="1" applyFont="1" applyFill="1" applyBorder="1" applyAlignment="1" applyProtection="1">
      <alignment horizontal="center" vertical="top"/>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1" xfId="1" applyNumberFormat="1" applyFont="1" applyBorder="1" applyAlignment="1" applyProtection="1">
      <alignment horizontal="center" vertical="center"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12" fillId="0" borderId="5"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1" fontId="10" fillId="0" borderId="3" xfId="0" applyNumberFormat="1" applyFont="1" applyBorder="1" applyAlignment="1" applyProtection="1">
      <alignment horizontal="center" vertical="center"/>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7" fillId="0" borderId="0" xfId="1" applyFont="1" applyAlignment="1">
      <alignment horizontal="center" vertical="center"/>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6" fillId="0" borderId="3"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8" fillId="3" borderId="1" xfId="1" applyNumberFormat="1" applyFont="1" applyFill="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3" borderId="8" xfId="1" applyNumberFormat="1" applyFont="1" applyFill="1" applyBorder="1" applyAlignment="1" applyProtection="1">
      <alignment horizontal="center" vertical="center" wrapText="1"/>
      <protection locked="0"/>
    </xf>
    <xf numFmtId="1" fontId="8" fillId="3" borderId="21" xfId="1" applyNumberFormat="1" applyFont="1" applyFill="1" applyBorder="1" applyAlignment="1" applyProtection="1">
      <alignment horizontal="center" vertical="center" wrapText="1"/>
      <protection locked="0"/>
    </xf>
    <xf numFmtId="1" fontId="8" fillId="3" borderId="9" xfId="1" applyNumberFormat="1" applyFont="1" applyFill="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0" fontId="6" fillId="0" borderId="3" xfId="1" applyFont="1" applyBorder="1" applyAlignment="1" applyProtection="1">
      <alignment horizontal="left" vertical="top"/>
      <protection locked="0"/>
    </xf>
    <xf numFmtId="14" fontId="12" fillId="0" borderId="8" xfId="1" applyNumberFormat="1" applyFont="1" applyBorder="1" applyAlignment="1" applyProtection="1">
      <alignment horizontal="left" vertical="top" wrapText="1"/>
      <protection locked="0"/>
    </xf>
    <xf numFmtId="1" fontId="6" fillId="0" borderId="3" xfId="0" applyNumberFormat="1" applyFont="1" applyBorder="1" applyAlignment="1" applyProtection="1">
      <alignment horizontal="center" vertical="center" wrapText="1"/>
      <protection locked="0"/>
    </xf>
    <xf numFmtId="1" fontId="6" fillId="0" borderId="16" xfId="0" applyNumberFormat="1" applyFont="1" applyBorder="1" applyAlignment="1" applyProtection="1">
      <alignment horizontal="center" vertical="center"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0" xfId="1" applyFont="1" applyBorder="1" applyAlignment="1" applyProtection="1">
      <alignment horizontal="left" vertical="top"/>
      <protection locked="0"/>
    </xf>
    <xf numFmtId="0" fontId="12" fillId="0" borderId="26" xfId="1" applyFont="1" applyBorder="1" applyAlignment="1" applyProtection="1">
      <alignment horizontal="left" vertical="top"/>
      <protection locked="0"/>
    </xf>
    <xf numFmtId="1" fontId="13" fillId="0" borderId="8" xfId="1" applyNumberFormat="1" applyFont="1" applyBorder="1" applyAlignment="1" applyProtection="1">
      <alignment horizontal="center" vertical="center" wrapText="1"/>
      <protection locked="0"/>
    </xf>
    <xf numFmtId="1" fontId="13" fillId="0" borderId="21" xfId="1" applyNumberFormat="1" applyFont="1" applyBorder="1" applyAlignment="1" applyProtection="1">
      <alignment horizontal="center" vertical="center" wrapText="1"/>
      <protection locked="0"/>
    </xf>
    <xf numFmtId="1" fontId="13" fillId="0" borderId="9" xfId="1" applyNumberFormat="1" applyFont="1" applyBorder="1" applyAlignment="1" applyProtection="1">
      <alignment horizontal="center" vertical="center" wrapText="1"/>
      <protection locked="0"/>
    </xf>
    <xf numFmtId="0" fontId="9" fillId="0" borderId="1" xfId="5" applyFont="1" applyBorder="1" applyAlignment="1">
      <alignment horizontal="left"/>
    </xf>
    <xf numFmtId="1" fontId="8" fillId="0" borderId="1"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8</xdr:col>
      <xdr:colOff>704850</xdr:colOff>
      <xdr:row>11</xdr:row>
      <xdr:rowOff>179530</xdr:rowOff>
    </xdr:from>
    <xdr:to>
      <xdr:col>14</xdr:col>
      <xdr:colOff>428353</xdr:colOff>
      <xdr:row>21</xdr:row>
      <xdr:rowOff>51580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rot="16200000">
          <a:off x="8236289" y="1544441"/>
          <a:ext cx="2520000" cy="4952728"/>
        </a:xfrm>
        <a:prstGeom prst="rect">
          <a:avLst/>
        </a:prstGeom>
        <a:ln>
          <a:solidFill>
            <a:schemeClr val="tx1"/>
          </a:solidFill>
        </a:ln>
      </xdr:spPr>
    </xdr:pic>
    <xdr:clientData/>
  </xdr:twoCellAnchor>
  <xdr:twoCellAnchor>
    <xdr:from>
      <xdr:col>0</xdr:col>
      <xdr:colOff>95250</xdr:colOff>
      <xdr:row>362</xdr:row>
      <xdr:rowOff>19050</xdr:rowOff>
    </xdr:from>
    <xdr:to>
      <xdr:col>7</xdr:col>
      <xdr:colOff>633600</xdr:colOff>
      <xdr:row>383</xdr:row>
      <xdr:rowOff>118729</xdr:rowOff>
    </xdr:to>
    <xdr:grpSp>
      <xdr:nvGrpSpPr>
        <xdr:cNvPr id="19" name="Group 18">
          <a:extLst>
            <a:ext uri="{FF2B5EF4-FFF2-40B4-BE49-F238E27FC236}">
              <a16:creationId xmlns:a16="http://schemas.microsoft.com/office/drawing/2014/main" id="{00000000-0008-0000-0000-000013000000}"/>
            </a:ext>
          </a:extLst>
        </xdr:cNvPr>
        <xdr:cNvGrpSpPr/>
      </xdr:nvGrpSpPr>
      <xdr:grpSpPr>
        <a:xfrm>
          <a:off x="95250" y="70573900"/>
          <a:ext cx="6393050" cy="4233529"/>
          <a:chOff x="369000" y="133949"/>
          <a:chExt cx="6120000" cy="4300204"/>
        </a:xfrm>
      </xdr:grpSpPr>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369000" y="133949"/>
            <a:ext cx="6120000" cy="4300204"/>
          </a:xfrm>
          <a:prstGeom prst="rect">
            <a:avLst/>
          </a:prstGeom>
          <a:ln>
            <a:solidFill>
              <a:schemeClr val="tx1"/>
            </a:solidFill>
          </a:ln>
        </xdr:spPr>
      </xdr:pic>
      <xdr:sp macro="" textlink="">
        <xdr:nvSpPr>
          <xdr:cNvPr id="22" name="Rectangle 21">
            <a:extLst>
              <a:ext uri="{FF2B5EF4-FFF2-40B4-BE49-F238E27FC236}">
                <a16:creationId xmlns:a16="http://schemas.microsoft.com/office/drawing/2014/main" id="{00000000-0008-0000-0000-000016000000}"/>
              </a:ext>
            </a:extLst>
          </xdr:cNvPr>
          <xdr:cNvSpPr/>
        </xdr:nvSpPr>
        <xdr:spPr>
          <a:xfrm>
            <a:off x="1331756" y="2537460"/>
            <a:ext cx="3185160" cy="11734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3" name="Rectangle 22">
            <a:extLst>
              <a:ext uri="{FF2B5EF4-FFF2-40B4-BE49-F238E27FC236}">
                <a16:creationId xmlns:a16="http://schemas.microsoft.com/office/drawing/2014/main" id="{00000000-0008-0000-0000-000017000000}"/>
              </a:ext>
            </a:extLst>
          </xdr:cNvPr>
          <xdr:cNvSpPr/>
        </xdr:nvSpPr>
        <xdr:spPr>
          <a:xfrm>
            <a:off x="3366296" y="533400"/>
            <a:ext cx="1150620" cy="195072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4" name="TextBox 4">
            <a:extLst>
              <a:ext uri="{FF2B5EF4-FFF2-40B4-BE49-F238E27FC236}">
                <a16:creationId xmlns:a16="http://schemas.microsoft.com/office/drawing/2014/main" id="{00000000-0008-0000-0000-000018000000}"/>
              </a:ext>
            </a:extLst>
          </xdr:cNvPr>
          <xdr:cNvSpPr txBox="1"/>
        </xdr:nvSpPr>
        <xdr:spPr>
          <a:xfrm>
            <a:off x="2151430" y="1812860"/>
            <a:ext cx="96212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a:t>
            </a:r>
            <a:endParaRPr lang="en-IN" b="1">
              <a:solidFill>
                <a:srgbClr val="FF0000"/>
              </a:solidFill>
            </a:endParaRPr>
          </a:p>
        </xdr:txBody>
      </xdr:sp>
      <xdr:sp macro="" textlink="">
        <xdr:nvSpPr>
          <xdr:cNvPr id="25" name="TextBox 5">
            <a:extLst>
              <a:ext uri="{FF2B5EF4-FFF2-40B4-BE49-F238E27FC236}">
                <a16:creationId xmlns:a16="http://schemas.microsoft.com/office/drawing/2014/main" id="{00000000-0008-0000-0000-000019000000}"/>
              </a:ext>
            </a:extLst>
          </xdr:cNvPr>
          <xdr:cNvSpPr txBox="1"/>
        </xdr:nvSpPr>
        <xdr:spPr>
          <a:xfrm>
            <a:off x="456195" y="3177540"/>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26" name="TextBox 8">
            <a:extLst>
              <a:ext uri="{FF2B5EF4-FFF2-40B4-BE49-F238E27FC236}">
                <a16:creationId xmlns:a16="http://schemas.microsoft.com/office/drawing/2014/main" id="{00000000-0008-0000-0000-00001A000000}"/>
              </a:ext>
            </a:extLst>
          </xdr:cNvPr>
          <xdr:cNvSpPr txBox="1"/>
        </xdr:nvSpPr>
        <xdr:spPr>
          <a:xfrm>
            <a:off x="3503825" y="164068"/>
            <a:ext cx="86594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27" name="Rectangle 26">
            <a:extLst>
              <a:ext uri="{FF2B5EF4-FFF2-40B4-BE49-F238E27FC236}">
                <a16:creationId xmlns:a16="http://schemas.microsoft.com/office/drawing/2014/main" id="{00000000-0008-0000-0000-00001B000000}"/>
              </a:ext>
            </a:extLst>
          </xdr:cNvPr>
          <xdr:cNvSpPr/>
        </xdr:nvSpPr>
        <xdr:spPr>
          <a:xfrm rot="20357152">
            <a:off x="923766" y="962447"/>
            <a:ext cx="541020" cy="518160"/>
          </a:xfrm>
          <a:prstGeom prst="rect">
            <a:avLst/>
          </a:prstGeom>
          <a:noFill/>
          <a:ln w="190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002060"/>
              </a:solidFill>
            </a:endParaRPr>
          </a:p>
        </xdr:txBody>
      </xdr:sp>
      <xdr:sp macro="" textlink="">
        <xdr:nvSpPr>
          <xdr:cNvPr id="28" name="Rectangle 27">
            <a:extLst>
              <a:ext uri="{FF2B5EF4-FFF2-40B4-BE49-F238E27FC236}">
                <a16:creationId xmlns:a16="http://schemas.microsoft.com/office/drawing/2014/main" id="{00000000-0008-0000-0000-00001C000000}"/>
              </a:ext>
            </a:extLst>
          </xdr:cNvPr>
          <xdr:cNvSpPr/>
        </xdr:nvSpPr>
        <xdr:spPr>
          <a:xfrm rot="20357152">
            <a:off x="2036365" y="552654"/>
            <a:ext cx="541020" cy="518160"/>
          </a:xfrm>
          <a:prstGeom prst="rect">
            <a:avLst/>
          </a:prstGeom>
          <a:noFill/>
          <a:ln w="190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002060"/>
              </a:solidFill>
            </a:endParaRPr>
          </a:p>
        </xdr:txBody>
      </xdr:sp>
      <xdr:sp macro="" textlink="">
        <xdr:nvSpPr>
          <xdr:cNvPr id="29" name="Rectangle 28">
            <a:extLst>
              <a:ext uri="{FF2B5EF4-FFF2-40B4-BE49-F238E27FC236}">
                <a16:creationId xmlns:a16="http://schemas.microsoft.com/office/drawing/2014/main" id="{00000000-0008-0000-0000-00001D000000}"/>
              </a:ext>
            </a:extLst>
          </xdr:cNvPr>
          <xdr:cNvSpPr/>
        </xdr:nvSpPr>
        <xdr:spPr>
          <a:xfrm rot="20357152">
            <a:off x="1480065" y="766393"/>
            <a:ext cx="541020" cy="518160"/>
          </a:xfrm>
          <a:prstGeom prst="rect">
            <a:avLst/>
          </a:prstGeom>
          <a:noFill/>
          <a:ln w="190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002060"/>
              </a:solidFill>
            </a:endParaRPr>
          </a:p>
        </xdr:txBody>
      </xdr:sp>
      <xdr:sp macro="" textlink="">
        <xdr:nvSpPr>
          <xdr:cNvPr id="30" name="Rectangle 29">
            <a:extLst>
              <a:ext uri="{FF2B5EF4-FFF2-40B4-BE49-F238E27FC236}">
                <a16:creationId xmlns:a16="http://schemas.microsoft.com/office/drawing/2014/main" id="{00000000-0008-0000-0000-00001E000000}"/>
              </a:ext>
            </a:extLst>
          </xdr:cNvPr>
          <xdr:cNvSpPr/>
        </xdr:nvSpPr>
        <xdr:spPr>
          <a:xfrm rot="19844266">
            <a:off x="4650299" y="313088"/>
            <a:ext cx="624487" cy="467988"/>
          </a:xfrm>
          <a:prstGeom prst="rect">
            <a:avLst/>
          </a:prstGeom>
          <a:noFill/>
          <a:ln w="190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002060"/>
              </a:solidFill>
            </a:endParaRPr>
          </a:p>
        </xdr:txBody>
      </xdr:sp>
      <xdr:sp macro="" textlink="">
        <xdr:nvSpPr>
          <xdr:cNvPr id="31" name="Rectangle 30">
            <a:extLst>
              <a:ext uri="{FF2B5EF4-FFF2-40B4-BE49-F238E27FC236}">
                <a16:creationId xmlns:a16="http://schemas.microsoft.com/office/drawing/2014/main" id="{00000000-0008-0000-0000-00001F000000}"/>
              </a:ext>
            </a:extLst>
          </xdr:cNvPr>
          <xdr:cNvSpPr/>
        </xdr:nvSpPr>
        <xdr:spPr>
          <a:xfrm rot="19578551">
            <a:off x="5472561" y="769280"/>
            <a:ext cx="624487" cy="642980"/>
          </a:xfrm>
          <a:prstGeom prst="rect">
            <a:avLst/>
          </a:prstGeom>
          <a:noFill/>
          <a:ln w="190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002060"/>
              </a:solidFill>
            </a:endParaRPr>
          </a:p>
        </xdr:txBody>
      </xdr:sp>
      <xdr:sp macro="" textlink="">
        <xdr:nvSpPr>
          <xdr:cNvPr id="32" name="Rectangle 31">
            <a:extLst>
              <a:ext uri="{FF2B5EF4-FFF2-40B4-BE49-F238E27FC236}">
                <a16:creationId xmlns:a16="http://schemas.microsoft.com/office/drawing/2014/main" id="{00000000-0008-0000-0000-000020000000}"/>
              </a:ext>
            </a:extLst>
          </xdr:cNvPr>
          <xdr:cNvSpPr/>
        </xdr:nvSpPr>
        <xdr:spPr>
          <a:xfrm rot="19729115">
            <a:off x="4873036" y="1098476"/>
            <a:ext cx="624487" cy="642980"/>
          </a:xfrm>
          <a:prstGeom prst="rect">
            <a:avLst/>
          </a:prstGeom>
          <a:noFill/>
          <a:ln w="190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002060"/>
              </a:solidFill>
            </a:endParaRPr>
          </a:p>
        </xdr:txBody>
      </xdr:sp>
      <xdr:sp macro="" textlink="">
        <xdr:nvSpPr>
          <xdr:cNvPr id="33" name="TextBox 15">
            <a:extLst>
              <a:ext uri="{FF2B5EF4-FFF2-40B4-BE49-F238E27FC236}">
                <a16:creationId xmlns:a16="http://schemas.microsoft.com/office/drawing/2014/main" id="{00000000-0008-0000-0000-000021000000}"/>
              </a:ext>
            </a:extLst>
          </xdr:cNvPr>
          <xdr:cNvSpPr txBox="1"/>
        </xdr:nvSpPr>
        <xdr:spPr>
          <a:xfrm rot="20525826">
            <a:off x="696103" y="745013"/>
            <a:ext cx="617477"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002060"/>
                </a:solidFill>
              </a:rPr>
              <a:t>Type A</a:t>
            </a:r>
            <a:endParaRPr lang="en-IN" sz="1200" b="1">
              <a:solidFill>
                <a:srgbClr val="002060"/>
              </a:solidFill>
            </a:endParaRPr>
          </a:p>
        </xdr:txBody>
      </xdr:sp>
      <xdr:sp macro="" textlink="">
        <xdr:nvSpPr>
          <xdr:cNvPr id="34" name="TextBox 17">
            <a:extLst>
              <a:ext uri="{FF2B5EF4-FFF2-40B4-BE49-F238E27FC236}">
                <a16:creationId xmlns:a16="http://schemas.microsoft.com/office/drawing/2014/main" id="{00000000-0008-0000-0000-000022000000}"/>
              </a:ext>
            </a:extLst>
          </xdr:cNvPr>
          <xdr:cNvSpPr txBox="1"/>
        </xdr:nvSpPr>
        <xdr:spPr>
          <a:xfrm rot="19559667">
            <a:off x="5762949" y="1366234"/>
            <a:ext cx="599844"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002060"/>
                </a:solidFill>
              </a:rPr>
              <a:t>Type E</a:t>
            </a:r>
            <a:endParaRPr lang="en-IN" sz="1200" b="1">
              <a:solidFill>
                <a:srgbClr val="002060"/>
              </a:solidFill>
            </a:endParaRPr>
          </a:p>
        </xdr:txBody>
      </xdr:sp>
      <xdr:sp macro="" textlink="">
        <xdr:nvSpPr>
          <xdr:cNvPr id="35" name="TextBox 18">
            <a:extLst>
              <a:ext uri="{FF2B5EF4-FFF2-40B4-BE49-F238E27FC236}">
                <a16:creationId xmlns:a16="http://schemas.microsoft.com/office/drawing/2014/main" id="{00000000-0008-0000-0000-000023000000}"/>
              </a:ext>
            </a:extLst>
          </xdr:cNvPr>
          <xdr:cNvSpPr txBox="1"/>
        </xdr:nvSpPr>
        <xdr:spPr>
          <a:xfrm rot="19627881">
            <a:off x="5150713" y="1674361"/>
            <a:ext cx="595035"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002060"/>
                </a:solidFill>
              </a:rPr>
              <a:t>Type F</a:t>
            </a:r>
            <a:endParaRPr lang="en-IN" sz="1200" b="1">
              <a:solidFill>
                <a:srgbClr val="002060"/>
              </a:solidFill>
            </a:endParaRPr>
          </a:p>
        </xdr:txBody>
      </xdr:sp>
      <xdr:sp macro="" textlink="">
        <xdr:nvSpPr>
          <xdr:cNvPr id="36" name="TextBox 19">
            <a:extLst>
              <a:ext uri="{FF2B5EF4-FFF2-40B4-BE49-F238E27FC236}">
                <a16:creationId xmlns:a16="http://schemas.microsoft.com/office/drawing/2014/main" id="{00000000-0008-0000-0000-000024000000}"/>
              </a:ext>
            </a:extLst>
          </xdr:cNvPr>
          <xdr:cNvSpPr txBox="1"/>
        </xdr:nvSpPr>
        <xdr:spPr>
          <a:xfrm rot="20525826">
            <a:off x="5184798" y="168199"/>
            <a:ext cx="622286"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002060"/>
                </a:solidFill>
              </a:rPr>
              <a:t>Type D</a:t>
            </a:r>
            <a:endParaRPr lang="en-IN" sz="1200" b="1">
              <a:solidFill>
                <a:srgbClr val="002060"/>
              </a:solidFill>
            </a:endParaRPr>
          </a:p>
        </xdr:txBody>
      </xdr:sp>
      <xdr:sp macro="" textlink="">
        <xdr:nvSpPr>
          <xdr:cNvPr id="37" name="TextBox 20">
            <a:extLst>
              <a:ext uri="{FF2B5EF4-FFF2-40B4-BE49-F238E27FC236}">
                <a16:creationId xmlns:a16="http://schemas.microsoft.com/office/drawing/2014/main" id="{00000000-0008-0000-0000-000025000000}"/>
              </a:ext>
            </a:extLst>
          </xdr:cNvPr>
          <xdr:cNvSpPr txBox="1"/>
        </xdr:nvSpPr>
        <xdr:spPr>
          <a:xfrm rot="20525826">
            <a:off x="1848302" y="313957"/>
            <a:ext cx="606256"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002060"/>
                </a:solidFill>
              </a:rPr>
              <a:t>Type C</a:t>
            </a:r>
            <a:endParaRPr lang="en-IN" sz="1200" b="1">
              <a:solidFill>
                <a:srgbClr val="002060"/>
              </a:solidFill>
            </a:endParaRPr>
          </a:p>
        </xdr:txBody>
      </xdr:sp>
      <xdr:sp macro="" textlink="">
        <xdr:nvSpPr>
          <xdr:cNvPr id="38" name="TextBox 21">
            <a:extLst>
              <a:ext uri="{FF2B5EF4-FFF2-40B4-BE49-F238E27FC236}">
                <a16:creationId xmlns:a16="http://schemas.microsoft.com/office/drawing/2014/main" id="{00000000-0008-0000-0000-000026000000}"/>
              </a:ext>
            </a:extLst>
          </xdr:cNvPr>
          <xdr:cNvSpPr txBox="1"/>
        </xdr:nvSpPr>
        <xdr:spPr>
          <a:xfrm rot="20525826">
            <a:off x="1284346" y="540659"/>
            <a:ext cx="611065"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002060"/>
                </a:solidFill>
              </a:rPr>
              <a:t>Type B</a:t>
            </a:r>
            <a:endParaRPr lang="en-IN" sz="1200" b="1">
              <a:solidFill>
                <a:srgbClr val="002060"/>
              </a:solidFill>
            </a:endParaRPr>
          </a:p>
        </xdr:txBody>
      </xdr:sp>
      <xdr:sp macro="" textlink="">
        <xdr:nvSpPr>
          <xdr:cNvPr id="39" name="TextBox 22">
            <a:extLst>
              <a:ext uri="{FF2B5EF4-FFF2-40B4-BE49-F238E27FC236}">
                <a16:creationId xmlns:a16="http://schemas.microsoft.com/office/drawing/2014/main" id="{00000000-0008-0000-0000-000027000000}"/>
              </a:ext>
            </a:extLst>
          </xdr:cNvPr>
          <xdr:cNvSpPr txBox="1"/>
        </xdr:nvSpPr>
        <xdr:spPr>
          <a:xfrm rot="20280539">
            <a:off x="771290" y="318257"/>
            <a:ext cx="931281" cy="33855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002060"/>
                </a:solidFill>
              </a:rPr>
              <a:t>Bunglow</a:t>
            </a:r>
            <a:endParaRPr lang="en-IN" sz="1600" b="1">
              <a:solidFill>
                <a:srgbClr val="002060"/>
              </a:solidFill>
            </a:endParaRPr>
          </a:p>
        </xdr:txBody>
      </xdr:sp>
      <xdr:sp macro="" textlink="">
        <xdr:nvSpPr>
          <xdr:cNvPr id="40" name="TextBox 23">
            <a:extLst>
              <a:ext uri="{FF2B5EF4-FFF2-40B4-BE49-F238E27FC236}">
                <a16:creationId xmlns:a16="http://schemas.microsoft.com/office/drawing/2014/main" id="{00000000-0008-0000-0000-000028000000}"/>
              </a:ext>
            </a:extLst>
          </xdr:cNvPr>
          <xdr:cNvSpPr txBox="1"/>
        </xdr:nvSpPr>
        <xdr:spPr>
          <a:xfrm rot="19716250">
            <a:off x="4992051" y="556302"/>
            <a:ext cx="931281" cy="33855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002060"/>
                </a:solidFill>
              </a:rPr>
              <a:t>Bunglow</a:t>
            </a:r>
            <a:endParaRPr lang="en-IN" sz="1600" b="1">
              <a:solidFill>
                <a:srgbClr val="002060"/>
              </a:solidFill>
            </a:endParaRPr>
          </a:p>
        </xdr:txBody>
      </xdr:sp>
    </xdr:grpSp>
    <xdr:clientData/>
  </xdr:twoCellAnchor>
  <xdr:twoCellAnchor editAs="oneCell">
    <xdr:from>
      <xdr:col>1</xdr:col>
      <xdr:colOff>233250</xdr:colOff>
      <xdr:row>384</xdr:row>
      <xdr:rowOff>87683</xdr:rowOff>
    </xdr:from>
    <xdr:to>
      <xdr:col>6</xdr:col>
      <xdr:colOff>467025</xdr:colOff>
      <xdr:row>398</xdr:row>
      <xdr:rowOff>75772</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995250" y="77306858"/>
          <a:ext cx="4320000" cy="2788439"/>
        </a:xfrm>
        <a:prstGeom prst="rect">
          <a:avLst/>
        </a:prstGeom>
        <a:ln>
          <a:solidFill>
            <a:schemeClr val="tx1"/>
          </a:solidFill>
        </a:ln>
      </xdr:spPr>
    </xdr:pic>
    <xdr:clientData/>
  </xdr:twoCellAnchor>
  <xdr:twoCellAnchor editAs="oneCell">
    <xdr:from>
      <xdr:col>0</xdr:col>
      <xdr:colOff>276225</xdr:colOff>
      <xdr:row>405</xdr:row>
      <xdr:rowOff>19050</xdr:rowOff>
    </xdr:from>
    <xdr:to>
      <xdr:col>7</xdr:col>
      <xdr:colOff>454575</xdr:colOff>
      <xdr:row>423</xdr:row>
      <xdr:rowOff>78087</xdr:rowOff>
    </xdr:to>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276225" y="81638775"/>
          <a:ext cx="5760000" cy="3659487"/>
        </a:xfrm>
        <a:prstGeom prst="rect">
          <a:avLst/>
        </a:prstGeom>
        <a:ln>
          <a:solidFill>
            <a:schemeClr val="tx1"/>
          </a:solidFill>
        </a:ln>
      </xdr:spPr>
    </xdr:pic>
    <xdr:clientData/>
  </xdr:twoCellAnchor>
  <xdr:twoCellAnchor>
    <xdr:from>
      <xdr:col>0</xdr:col>
      <xdr:colOff>276225</xdr:colOff>
      <xdr:row>424</xdr:row>
      <xdr:rowOff>65955</xdr:rowOff>
    </xdr:from>
    <xdr:to>
      <xdr:col>7</xdr:col>
      <xdr:colOff>454575</xdr:colOff>
      <xdr:row>444</xdr:row>
      <xdr:rowOff>86287</xdr:rowOff>
    </xdr:to>
    <xdr:grpSp>
      <xdr:nvGrpSpPr>
        <xdr:cNvPr id="42" name="Group 41">
          <a:extLst>
            <a:ext uri="{FF2B5EF4-FFF2-40B4-BE49-F238E27FC236}">
              <a16:creationId xmlns:a16="http://schemas.microsoft.com/office/drawing/2014/main" id="{00000000-0008-0000-0000-00002A000000}"/>
            </a:ext>
          </a:extLst>
        </xdr:cNvPr>
        <xdr:cNvGrpSpPr/>
      </xdr:nvGrpSpPr>
      <xdr:grpSpPr>
        <a:xfrm>
          <a:off x="276225" y="82825505"/>
          <a:ext cx="6033050" cy="3957332"/>
          <a:chOff x="396815" y="4140679"/>
          <a:chExt cx="5760000" cy="4020832"/>
        </a:xfrm>
      </xdr:grpSpPr>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396815" y="4140679"/>
            <a:ext cx="5760000" cy="4020832"/>
          </a:xfrm>
          <a:prstGeom prst="rect">
            <a:avLst/>
          </a:prstGeom>
          <a:noFill/>
          <a:ln>
            <a:solidFill>
              <a:schemeClr val="tx1"/>
            </a:solidFill>
          </a:ln>
        </xdr:spPr>
      </xdr:pic>
      <xdr:sp macro="" textlink="">
        <xdr:nvSpPr>
          <xdr:cNvPr id="44" name="Rectangle 43">
            <a:extLst>
              <a:ext uri="{FF2B5EF4-FFF2-40B4-BE49-F238E27FC236}">
                <a16:creationId xmlns:a16="http://schemas.microsoft.com/office/drawing/2014/main" id="{00000000-0008-0000-0000-00002C000000}"/>
              </a:ext>
            </a:extLst>
          </xdr:cNvPr>
          <xdr:cNvSpPr/>
        </xdr:nvSpPr>
        <xdr:spPr>
          <a:xfrm rot="1219091">
            <a:off x="2127436" y="5650548"/>
            <a:ext cx="1759789" cy="1565697"/>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8</xdr:col>
      <xdr:colOff>1076325</xdr:colOff>
      <xdr:row>321</xdr:row>
      <xdr:rowOff>60325</xdr:rowOff>
    </xdr:from>
    <xdr:to>
      <xdr:col>16</xdr:col>
      <xdr:colOff>373823</xdr:colOff>
      <xdr:row>359</xdr:row>
      <xdr:rowOff>41275</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7699375" y="62550675"/>
          <a:ext cx="6441248" cy="7454900"/>
          <a:chOff x="114300" y="65728850"/>
          <a:chExt cx="6390448" cy="7454900"/>
        </a:xfrm>
      </xdr:grpSpPr>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422835" y="71523630"/>
            <a:ext cx="2396667" cy="1660120"/>
          </a:xfrm>
          <a:prstGeom prst="rect">
            <a:avLst/>
          </a:prstGeom>
          <a:ln>
            <a:solidFill>
              <a:schemeClr val="tx1"/>
            </a:solidFill>
          </a:ln>
        </xdr:spPr>
      </xdr:pic>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4255431" y="65728850"/>
            <a:ext cx="2157000" cy="2880000"/>
          </a:xfrm>
          <a:prstGeom prst="rect">
            <a:avLst/>
          </a:prstGeom>
          <a:ln>
            <a:solidFill>
              <a:schemeClr val="tx1"/>
            </a:solidFill>
          </a:ln>
        </xdr:spPr>
      </xdr:pic>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55837" y="65728850"/>
            <a:ext cx="3834667" cy="2880000"/>
          </a:xfrm>
          <a:prstGeom prst="rect">
            <a:avLst/>
          </a:prstGeom>
          <a:ln>
            <a:solidFill>
              <a:schemeClr val="tx1"/>
            </a:solidFill>
          </a:ln>
        </xdr:spPr>
      </xdr:pic>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298430" y="68716240"/>
            <a:ext cx="2022188" cy="2700000"/>
          </a:xfrm>
          <a:prstGeom prst="rect">
            <a:avLst/>
          </a:prstGeom>
          <a:ln>
            <a:solidFill>
              <a:schemeClr val="tx1"/>
            </a:solidFill>
          </a:ln>
        </xdr:spPr>
      </xdr:pic>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4482560" y="68716240"/>
            <a:ext cx="2022188" cy="2700000"/>
          </a:xfrm>
          <a:prstGeom prst="rect">
            <a:avLst/>
          </a:prstGeom>
          <a:ln>
            <a:solidFill>
              <a:schemeClr val="tx1"/>
            </a:solidFill>
          </a:ln>
        </xdr:spPr>
      </xdr:pic>
      <xdr:pic>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853336" y="71523630"/>
            <a:ext cx="2396667" cy="1660120"/>
          </a:xfrm>
          <a:prstGeom prst="rect">
            <a:avLst/>
          </a:prstGeom>
          <a:ln>
            <a:solidFill>
              <a:schemeClr val="tx1"/>
            </a:solidFill>
          </a:ln>
        </xdr:spPr>
      </xdr:pic>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14300" y="68716240"/>
            <a:ext cx="2022188" cy="2700000"/>
          </a:xfrm>
          <a:prstGeom prst="rect">
            <a:avLst/>
          </a:prstGeom>
          <a:ln>
            <a:solidFill>
              <a:schemeClr val="tx1"/>
            </a:solidFill>
          </a:ln>
        </xdr:spPr>
      </xdr:pic>
      <xdr:pic>
        <xdr:nvPicPr>
          <xdr:cNvPr id="55" name="Pictur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13"/>
          <a:stretch>
            <a:fillRect/>
          </a:stretch>
        </xdr:blipFill>
        <xdr:spPr>
          <a:xfrm>
            <a:off x="2298430" y="68716240"/>
            <a:ext cx="1396105" cy="286537"/>
          </a:xfrm>
          <a:prstGeom prst="rect">
            <a:avLst/>
          </a:prstGeom>
        </xdr:spPr>
      </xdr:pic>
      <xdr:sp macro="" textlink="">
        <xdr:nvSpPr>
          <xdr:cNvPr id="59" name="TextBox 58">
            <a:extLst>
              <a:ext uri="{FF2B5EF4-FFF2-40B4-BE49-F238E27FC236}">
                <a16:creationId xmlns:a16="http://schemas.microsoft.com/office/drawing/2014/main" id="{00000000-0008-0000-0000-00003B000000}"/>
              </a:ext>
            </a:extLst>
          </xdr:cNvPr>
          <xdr:cNvSpPr txBox="1"/>
        </xdr:nvSpPr>
        <xdr:spPr>
          <a:xfrm>
            <a:off x="1379787" y="6597015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a:t>Wing B</a:t>
            </a:r>
          </a:p>
        </xdr:txBody>
      </xdr:sp>
      <xdr:sp macro="" textlink="">
        <xdr:nvSpPr>
          <xdr:cNvPr id="60" name="TextBox 59">
            <a:extLst>
              <a:ext uri="{FF2B5EF4-FFF2-40B4-BE49-F238E27FC236}">
                <a16:creationId xmlns:a16="http://schemas.microsoft.com/office/drawing/2014/main" id="{00000000-0008-0000-0000-00003C000000}"/>
              </a:ext>
            </a:extLst>
          </xdr:cNvPr>
          <xdr:cNvSpPr txBox="1"/>
        </xdr:nvSpPr>
        <xdr:spPr>
          <a:xfrm>
            <a:off x="4865031" y="6602095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a:t>Wing A</a:t>
            </a:r>
          </a:p>
        </xdr:txBody>
      </xdr:sp>
    </xdr:grpSp>
    <xdr:clientData/>
  </xdr:twoCellAnchor>
  <xdr:twoCellAnchor>
    <xdr:from>
      <xdr:col>0</xdr:col>
      <xdr:colOff>101600</xdr:colOff>
      <xdr:row>321</xdr:row>
      <xdr:rowOff>95250</xdr:rowOff>
    </xdr:from>
    <xdr:to>
      <xdr:col>7</xdr:col>
      <xdr:colOff>645962</xdr:colOff>
      <xdr:row>353</xdr:row>
      <xdr:rowOff>35427</xdr:rowOff>
    </xdr:to>
    <xdr:grpSp>
      <xdr:nvGrpSpPr>
        <xdr:cNvPr id="3" name="Group 2"/>
        <xdr:cNvGrpSpPr/>
      </xdr:nvGrpSpPr>
      <xdr:grpSpPr>
        <a:xfrm>
          <a:off x="101600" y="62585600"/>
          <a:ext cx="6399062" cy="6233027"/>
          <a:chOff x="101600" y="62585600"/>
          <a:chExt cx="6399062" cy="6233027"/>
        </a:xfrm>
      </xdr:grpSpPr>
      <xdr:pic>
        <xdr:nvPicPr>
          <xdr:cNvPr id="66" name="Picture 65"/>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01600" y="66658627"/>
            <a:ext cx="1624519" cy="2160000"/>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404724" y="62585600"/>
            <a:ext cx="2978285" cy="3960000"/>
          </a:xfrm>
          <a:prstGeom prst="rect">
            <a:avLst/>
          </a:prstGeom>
          <a:ln>
            <a:solidFill>
              <a:schemeClr val="tx1"/>
            </a:solidFill>
          </a:ln>
        </xdr:spPr>
      </xdr:pic>
      <xdr:pic>
        <xdr:nvPicPr>
          <xdr:cNvPr id="68" name="Picture 67"/>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74555" y="62585600"/>
            <a:ext cx="2978285" cy="3960000"/>
          </a:xfrm>
          <a:prstGeom prst="rect">
            <a:avLst/>
          </a:prstGeom>
          <a:ln>
            <a:solidFill>
              <a:schemeClr val="tx1"/>
            </a:solidFill>
          </a:ln>
        </xdr:spPr>
      </xdr:pic>
      <xdr:pic>
        <xdr:nvPicPr>
          <xdr:cNvPr id="69" name="Picture 68"/>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882912" y="66658627"/>
            <a:ext cx="1617750" cy="2160000"/>
          </a:xfrm>
          <a:prstGeom prst="rect">
            <a:avLst/>
          </a:prstGeom>
          <a:ln>
            <a:solidFill>
              <a:schemeClr val="tx1"/>
            </a:solidFill>
          </a:ln>
        </xdr:spPr>
      </xdr:pic>
      <xdr:pic>
        <xdr:nvPicPr>
          <xdr:cNvPr id="70" name="Picture 69"/>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1871822" y="66658627"/>
            <a:ext cx="2865387" cy="2160000"/>
          </a:xfrm>
          <a:prstGeom prst="rect">
            <a:avLst/>
          </a:prstGeom>
          <a:ln>
            <a:solidFill>
              <a:schemeClr val="tx1"/>
            </a:solidFill>
          </a:ln>
        </xdr:spPr>
      </xdr:pic>
    </xdr:grpSp>
    <xdr:clientData/>
  </xdr:twoCellAnchor>
  <xdr:twoCellAnchor>
    <xdr:from>
      <xdr:col>5</xdr:col>
      <xdr:colOff>114300</xdr:colOff>
      <xdr:row>324</xdr:row>
      <xdr:rowOff>177800</xdr:rowOff>
    </xdr:from>
    <xdr:to>
      <xdr:col>5</xdr:col>
      <xdr:colOff>715616</xdr:colOff>
      <xdr:row>326</xdr:row>
      <xdr:rowOff>48660</xdr:rowOff>
    </xdr:to>
    <xdr:sp macro="" textlink="">
      <xdr:nvSpPr>
        <xdr:cNvPr id="71" name="TextBox 70">
          <a:extLst>
            <a:ext uri="{FF2B5EF4-FFF2-40B4-BE49-F238E27FC236}">
              <a16:creationId xmlns:a16="http://schemas.microsoft.com/office/drawing/2014/main" id="{00000000-0008-0000-0000-00003B000000}"/>
            </a:ext>
          </a:extLst>
        </xdr:cNvPr>
        <xdr:cNvSpPr txBox="1"/>
      </xdr:nvSpPr>
      <xdr:spPr>
        <a:xfrm>
          <a:off x="4419600" y="63252350"/>
          <a:ext cx="60131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a:t>Wing B</a:t>
          </a:r>
        </a:p>
      </xdr:txBody>
    </xdr:sp>
    <xdr:clientData/>
  </xdr:twoCellAnchor>
  <xdr:twoCellAnchor>
    <xdr:from>
      <xdr:col>1</xdr:col>
      <xdr:colOff>425450</xdr:colOff>
      <xdr:row>323</xdr:row>
      <xdr:rowOff>63500</xdr:rowOff>
    </xdr:from>
    <xdr:to>
      <xdr:col>2</xdr:col>
      <xdr:colOff>188566</xdr:colOff>
      <xdr:row>324</xdr:row>
      <xdr:rowOff>137560</xdr:rowOff>
    </xdr:to>
    <xdr:sp macro="" textlink="">
      <xdr:nvSpPr>
        <xdr:cNvPr id="72" name="TextBox 71">
          <a:extLst>
            <a:ext uri="{FF2B5EF4-FFF2-40B4-BE49-F238E27FC236}">
              <a16:creationId xmlns:a16="http://schemas.microsoft.com/office/drawing/2014/main" id="{00000000-0008-0000-0000-00003B000000}"/>
            </a:ext>
          </a:extLst>
        </xdr:cNvPr>
        <xdr:cNvSpPr txBox="1"/>
      </xdr:nvSpPr>
      <xdr:spPr>
        <a:xfrm>
          <a:off x="1225550" y="62947550"/>
          <a:ext cx="60131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a:t>Wing A</a:t>
          </a:r>
        </a:p>
      </xdr:txBody>
    </xdr:sp>
    <xdr:clientData/>
  </xdr:twoCellAnchor>
  <xdr:twoCellAnchor>
    <xdr:from>
      <xdr:col>2</xdr:col>
      <xdr:colOff>850900</xdr:colOff>
      <xdr:row>342</xdr:row>
      <xdr:rowOff>127000</xdr:rowOff>
    </xdr:from>
    <xdr:to>
      <xdr:col>4</xdr:col>
      <xdr:colOff>209550</xdr:colOff>
      <xdr:row>343</xdr:row>
      <xdr:rowOff>194710</xdr:rowOff>
    </xdr:to>
    <xdr:sp macro="" textlink="">
      <xdr:nvSpPr>
        <xdr:cNvPr id="73" name="TextBox 72">
          <a:extLst>
            <a:ext uri="{FF2B5EF4-FFF2-40B4-BE49-F238E27FC236}">
              <a16:creationId xmlns:a16="http://schemas.microsoft.com/office/drawing/2014/main" id="{00000000-0008-0000-0000-00003B000000}"/>
            </a:ext>
          </a:extLst>
        </xdr:cNvPr>
        <xdr:cNvSpPr txBox="1"/>
      </xdr:nvSpPr>
      <xdr:spPr>
        <a:xfrm>
          <a:off x="2489200" y="66744850"/>
          <a:ext cx="1206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a:t>Row House Type C</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15</xdr:col>
      <xdr:colOff>101974</xdr:colOff>
      <xdr:row>52</xdr:row>
      <xdr:rowOff>76200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2706" y="2678206"/>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mh696uD7bZJB5e7d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404"/>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9" customWidth="1"/>
    <col min="2" max="2" width="12" style="39" customWidth="1"/>
    <col min="3" max="3" width="12.7265625" style="39" customWidth="1"/>
    <col min="4" max="4" width="13.7265625" style="39" customWidth="1"/>
    <col min="5" max="5" width="11.7265625" style="39" customWidth="1"/>
    <col min="6" max="6" width="11.1796875" style="39" customWidth="1"/>
    <col min="7" max="8" width="11" style="39" customWidth="1"/>
    <col min="9" max="9" width="17.453125" style="20" customWidth="1"/>
    <col min="10" max="10" width="11.453125" style="20" customWidth="1"/>
    <col min="11" max="11" width="11.26953125" style="20" bestFit="1" customWidth="1"/>
    <col min="12" max="12" width="13.81640625" style="20" bestFit="1" customWidth="1"/>
    <col min="13" max="13" width="11.81640625" style="20" customWidth="1"/>
    <col min="14" max="14" width="12.54296875" style="20" customWidth="1"/>
    <col min="15" max="15" width="12.1796875" style="20" customWidth="1"/>
    <col min="16" max="16" width="11.7265625" style="20" customWidth="1"/>
    <col min="17" max="18" width="9.1796875" style="20"/>
    <col min="19" max="19" width="10.81640625" style="20" bestFit="1" customWidth="1"/>
    <col min="20" max="20" width="10.7265625" style="20" customWidth="1"/>
    <col min="21" max="247" width="9.1796875" style="20"/>
    <col min="248" max="248" width="8.7265625" style="20" customWidth="1"/>
    <col min="249" max="249" width="9.81640625" style="20" customWidth="1"/>
    <col min="250" max="250" width="14.453125" style="20" customWidth="1"/>
    <col min="251" max="251" width="7.26953125" style="20" customWidth="1"/>
    <col min="252" max="252" width="5.54296875" style="20" customWidth="1"/>
    <col min="253" max="253" width="9" style="20" customWidth="1"/>
    <col min="254" max="255" width="9.81640625" style="20" customWidth="1"/>
    <col min="256" max="256" width="11.1796875" style="20" customWidth="1"/>
    <col min="257" max="257" width="2.81640625" style="20" customWidth="1"/>
    <col min="258" max="258" width="3.54296875" style="20" customWidth="1"/>
    <col min="259" max="503" width="9.1796875" style="20"/>
    <col min="504" max="504" width="8.7265625" style="20" customWidth="1"/>
    <col min="505" max="505" width="9.81640625" style="20" customWidth="1"/>
    <col min="506" max="506" width="14.453125" style="20" customWidth="1"/>
    <col min="507" max="507" width="7.26953125" style="20" customWidth="1"/>
    <col min="508" max="508" width="5.54296875" style="20" customWidth="1"/>
    <col min="509" max="509" width="9" style="20" customWidth="1"/>
    <col min="510" max="511" width="9.81640625" style="20" customWidth="1"/>
    <col min="512" max="512" width="11.1796875" style="20" customWidth="1"/>
    <col min="513" max="513" width="2.81640625" style="20" customWidth="1"/>
    <col min="514" max="514" width="3.54296875" style="20" customWidth="1"/>
    <col min="515" max="759" width="9.1796875" style="20"/>
    <col min="760" max="760" width="8.7265625" style="20" customWidth="1"/>
    <col min="761" max="761" width="9.81640625" style="20" customWidth="1"/>
    <col min="762" max="762" width="14.453125" style="20" customWidth="1"/>
    <col min="763" max="763" width="7.26953125" style="20" customWidth="1"/>
    <col min="764" max="764" width="5.54296875" style="20" customWidth="1"/>
    <col min="765" max="765" width="9" style="20" customWidth="1"/>
    <col min="766" max="767" width="9.81640625" style="20" customWidth="1"/>
    <col min="768" max="768" width="11.1796875" style="20" customWidth="1"/>
    <col min="769" max="769" width="2.81640625" style="20" customWidth="1"/>
    <col min="770" max="770" width="3.54296875" style="20" customWidth="1"/>
    <col min="771" max="1015" width="9.1796875" style="20"/>
    <col min="1016" max="1016" width="8.7265625" style="20" customWidth="1"/>
    <col min="1017" max="1017" width="9.81640625" style="20" customWidth="1"/>
    <col min="1018" max="1018" width="14.453125" style="20" customWidth="1"/>
    <col min="1019" max="1019" width="7.26953125" style="20" customWidth="1"/>
    <col min="1020" max="1020" width="5.54296875" style="20" customWidth="1"/>
    <col min="1021" max="1021" width="9" style="20" customWidth="1"/>
    <col min="1022" max="1023" width="9.81640625" style="20" customWidth="1"/>
    <col min="1024" max="1024" width="11.1796875" style="20" customWidth="1"/>
    <col min="1025" max="1025" width="2.81640625" style="20" customWidth="1"/>
    <col min="1026" max="1026" width="3.54296875" style="20" customWidth="1"/>
    <col min="1027" max="1271" width="9.1796875" style="20"/>
    <col min="1272" max="1272" width="8.7265625" style="20" customWidth="1"/>
    <col min="1273" max="1273" width="9.81640625" style="20" customWidth="1"/>
    <col min="1274" max="1274" width="14.453125" style="20" customWidth="1"/>
    <col min="1275" max="1275" width="7.26953125" style="20" customWidth="1"/>
    <col min="1276" max="1276" width="5.54296875" style="20" customWidth="1"/>
    <col min="1277" max="1277" width="9" style="20" customWidth="1"/>
    <col min="1278" max="1279" width="9.81640625" style="20" customWidth="1"/>
    <col min="1280" max="1280" width="11.1796875" style="20" customWidth="1"/>
    <col min="1281" max="1281" width="2.81640625" style="20" customWidth="1"/>
    <col min="1282" max="1282" width="3.54296875" style="20" customWidth="1"/>
    <col min="1283" max="1527" width="9.1796875" style="20"/>
    <col min="1528" max="1528" width="8.7265625" style="20" customWidth="1"/>
    <col min="1529" max="1529" width="9.81640625" style="20" customWidth="1"/>
    <col min="1530" max="1530" width="14.453125" style="20" customWidth="1"/>
    <col min="1531" max="1531" width="7.26953125" style="20" customWidth="1"/>
    <col min="1532" max="1532" width="5.54296875" style="20" customWidth="1"/>
    <col min="1533" max="1533" width="9" style="20" customWidth="1"/>
    <col min="1534" max="1535" width="9.81640625" style="20" customWidth="1"/>
    <col min="1536" max="1536" width="11.1796875" style="20" customWidth="1"/>
    <col min="1537" max="1537" width="2.81640625" style="20" customWidth="1"/>
    <col min="1538" max="1538" width="3.54296875" style="20" customWidth="1"/>
    <col min="1539" max="1783" width="9.1796875" style="20"/>
    <col min="1784" max="1784" width="8.7265625" style="20" customWidth="1"/>
    <col min="1785" max="1785" width="9.81640625" style="20" customWidth="1"/>
    <col min="1786" max="1786" width="14.453125" style="20" customWidth="1"/>
    <col min="1787" max="1787" width="7.26953125" style="20" customWidth="1"/>
    <col min="1788" max="1788" width="5.54296875" style="20" customWidth="1"/>
    <col min="1789" max="1789" width="9" style="20" customWidth="1"/>
    <col min="1790" max="1791" width="9.81640625" style="20" customWidth="1"/>
    <col min="1792" max="1792" width="11.1796875" style="20" customWidth="1"/>
    <col min="1793" max="1793" width="2.81640625" style="20" customWidth="1"/>
    <col min="1794" max="1794" width="3.54296875" style="20" customWidth="1"/>
    <col min="1795" max="2039" width="9.1796875" style="20"/>
    <col min="2040" max="2040" width="8.7265625" style="20" customWidth="1"/>
    <col min="2041" max="2041" width="9.81640625" style="20" customWidth="1"/>
    <col min="2042" max="2042" width="14.453125" style="20" customWidth="1"/>
    <col min="2043" max="2043" width="7.26953125" style="20" customWidth="1"/>
    <col min="2044" max="2044" width="5.54296875" style="20" customWidth="1"/>
    <col min="2045" max="2045" width="9" style="20" customWidth="1"/>
    <col min="2046" max="2047" width="9.81640625" style="20" customWidth="1"/>
    <col min="2048" max="2048" width="11.1796875" style="20" customWidth="1"/>
    <col min="2049" max="2049" width="2.81640625" style="20" customWidth="1"/>
    <col min="2050" max="2050" width="3.54296875" style="20" customWidth="1"/>
    <col min="2051" max="2295" width="9.1796875" style="20"/>
    <col min="2296" max="2296" width="8.7265625" style="20" customWidth="1"/>
    <col min="2297" max="2297" width="9.81640625" style="20" customWidth="1"/>
    <col min="2298" max="2298" width="14.453125" style="20" customWidth="1"/>
    <col min="2299" max="2299" width="7.26953125" style="20" customWidth="1"/>
    <col min="2300" max="2300" width="5.54296875" style="20" customWidth="1"/>
    <col min="2301" max="2301" width="9" style="20" customWidth="1"/>
    <col min="2302" max="2303" width="9.81640625" style="20" customWidth="1"/>
    <col min="2304" max="2304" width="11.1796875" style="20" customWidth="1"/>
    <col min="2305" max="2305" width="2.81640625" style="20" customWidth="1"/>
    <col min="2306" max="2306" width="3.54296875" style="20" customWidth="1"/>
    <col min="2307" max="2551" width="9.1796875" style="20"/>
    <col min="2552" max="2552" width="8.7265625" style="20" customWidth="1"/>
    <col min="2553" max="2553" width="9.81640625" style="20" customWidth="1"/>
    <col min="2554" max="2554" width="14.453125" style="20" customWidth="1"/>
    <col min="2555" max="2555" width="7.26953125" style="20" customWidth="1"/>
    <col min="2556" max="2556" width="5.54296875" style="20" customWidth="1"/>
    <col min="2557" max="2557" width="9" style="20" customWidth="1"/>
    <col min="2558" max="2559" width="9.81640625" style="20" customWidth="1"/>
    <col min="2560" max="2560" width="11.1796875" style="20" customWidth="1"/>
    <col min="2561" max="2561" width="2.81640625" style="20" customWidth="1"/>
    <col min="2562" max="2562" width="3.54296875" style="20" customWidth="1"/>
    <col min="2563" max="2807" width="9.1796875" style="20"/>
    <col min="2808" max="2808" width="8.7265625" style="20" customWidth="1"/>
    <col min="2809" max="2809" width="9.81640625" style="20" customWidth="1"/>
    <col min="2810" max="2810" width="14.453125" style="20" customWidth="1"/>
    <col min="2811" max="2811" width="7.26953125" style="20" customWidth="1"/>
    <col min="2812" max="2812" width="5.54296875" style="20" customWidth="1"/>
    <col min="2813" max="2813" width="9" style="20" customWidth="1"/>
    <col min="2814" max="2815" width="9.81640625" style="20" customWidth="1"/>
    <col min="2816" max="2816" width="11.1796875" style="20" customWidth="1"/>
    <col min="2817" max="2817" width="2.81640625" style="20" customWidth="1"/>
    <col min="2818" max="2818" width="3.54296875" style="20" customWidth="1"/>
    <col min="2819" max="3063" width="9.1796875" style="20"/>
    <col min="3064" max="3064" width="8.7265625" style="20" customWidth="1"/>
    <col min="3065" max="3065" width="9.81640625" style="20" customWidth="1"/>
    <col min="3066" max="3066" width="14.453125" style="20" customWidth="1"/>
    <col min="3067" max="3067" width="7.26953125" style="20" customWidth="1"/>
    <col min="3068" max="3068" width="5.54296875" style="20" customWidth="1"/>
    <col min="3069" max="3069" width="9" style="20" customWidth="1"/>
    <col min="3070" max="3071" width="9.81640625" style="20" customWidth="1"/>
    <col min="3072" max="3072" width="11.1796875" style="20" customWidth="1"/>
    <col min="3073" max="3073" width="2.81640625" style="20" customWidth="1"/>
    <col min="3074" max="3074" width="3.54296875" style="20" customWidth="1"/>
    <col min="3075" max="3319" width="9.1796875" style="20"/>
    <col min="3320" max="3320" width="8.7265625" style="20" customWidth="1"/>
    <col min="3321" max="3321" width="9.81640625" style="20" customWidth="1"/>
    <col min="3322" max="3322" width="14.453125" style="20" customWidth="1"/>
    <col min="3323" max="3323" width="7.26953125" style="20" customWidth="1"/>
    <col min="3324" max="3324" width="5.54296875" style="20" customWidth="1"/>
    <col min="3325" max="3325" width="9" style="20" customWidth="1"/>
    <col min="3326" max="3327" width="9.81640625" style="20" customWidth="1"/>
    <col min="3328" max="3328" width="11.1796875" style="20" customWidth="1"/>
    <col min="3329" max="3329" width="2.81640625" style="20" customWidth="1"/>
    <col min="3330" max="3330" width="3.54296875" style="20" customWidth="1"/>
    <col min="3331" max="3575" width="9.1796875" style="20"/>
    <col min="3576" max="3576" width="8.7265625" style="20" customWidth="1"/>
    <col min="3577" max="3577" width="9.81640625" style="20" customWidth="1"/>
    <col min="3578" max="3578" width="14.453125" style="20" customWidth="1"/>
    <col min="3579" max="3579" width="7.26953125" style="20" customWidth="1"/>
    <col min="3580" max="3580" width="5.54296875" style="20" customWidth="1"/>
    <col min="3581" max="3581" width="9" style="20" customWidth="1"/>
    <col min="3582" max="3583" width="9.81640625" style="20" customWidth="1"/>
    <col min="3584" max="3584" width="11.1796875" style="20" customWidth="1"/>
    <col min="3585" max="3585" width="2.81640625" style="20" customWidth="1"/>
    <col min="3586" max="3586" width="3.54296875" style="20" customWidth="1"/>
    <col min="3587" max="3831" width="9.1796875" style="20"/>
    <col min="3832" max="3832" width="8.7265625" style="20" customWidth="1"/>
    <col min="3833" max="3833" width="9.81640625" style="20" customWidth="1"/>
    <col min="3834" max="3834" width="14.453125" style="20" customWidth="1"/>
    <col min="3835" max="3835" width="7.26953125" style="20" customWidth="1"/>
    <col min="3836" max="3836" width="5.54296875" style="20" customWidth="1"/>
    <col min="3837" max="3837" width="9" style="20" customWidth="1"/>
    <col min="3838" max="3839" width="9.81640625" style="20" customWidth="1"/>
    <col min="3840" max="3840" width="11.1796875" style="20" customWidth="1"/>
    <col min="3841" max="3841" width="2.81640625" style="20" customWidth="1"/>
    <col min="3842" max="3842" width="3.54296875" style="20" customWidth="1"/>
    <col min="3843" max="4087" width="9.1796875" style="20"/>
    <col min="4088" max="4088" width="8.7265625" style="20" customWidth="1"/>
    <col min="4089" max="4089" width="9.81640625" style="20" customWidth="1"/>
    <col min="4090" max="4090" width="14.453125" style="20" customWidth="1"/>
    <col min="4091" max="4091" width="7.26953125" style="20" customWidth="1"/>
    <col min="4092" max="4092" width="5.54296875" style="20" customWidth="1"/>
    <col min="4093" max="4093" width="9" style="20" customWidth="1"/>
    <col min="4094" max="4095" width="9.81640625" style="20" customWidth="1"/>
    <col min="4096" max="4096" width="11.1796875" style="20" customWidth="1"/>
    <col min="4097" max="4097" width="2.81640625" style="20" customWidth="1"/>
    <col min="4098" max="4098" width="3.54296875" style="20" customWidth="1"/>
    <col min="4099" max="4343" width="9.1796875" style="20"/>
    <col min="4344" max="4344" width="8.7265625" style="20" customWidth="1"/>
    <col min="4345" max="4345" width="9.81640625" style="20" customWidth="1"/>
    <col min="4346" max="4346" width="14.453125" style="20" customWidth="1"/>
    <col min="4347" max="4347" width="7.26953125" style="20" customWidth="1"/>
    <col min="4348" max="4348" width="5.54296875" style="20" customWidth="1"/>
    <col min="4349" max="4349" width="9" style="20" customWidth="1"/>
    <col min="4350" max="4351" width="9.81640625" style="20" customWidth="1"/>
    <col min="4352" max="4352" width="11.1796875" style="20" customWidth="1"/>
    <col min="4353" max="4353" width="2.81640625" style="20" customWidth="1"/>
    <col min="4354" max="4354" width="3.54296875" style="20" customWidth="1"/>
    <col min="4355" max="4599" width="9.1796875" style="20"/>
    <col min="4600" max="4600" width="8.7265625" style="20" customWidth="1"/>
    <col min="4601" max="4601" width="9.81640625" style="20" customWidth="1"/>
    <col min="4602" max="4602" width="14.453125" style="20" customWidth="1"/>
    <col min="4603" max="4603" width="7.26953125" style="20" customWidth="1"/>
    <col min="4604" max="4604" width="5.54296875" style="20" customWidth="1"/>
    <col min="4605" max="4605" width="9" style="20" customWidth="1"/>
    <col min="4606" max="4607" width="9.81640625" style="20" customWidth="1"/>
    <col min="4608" max="4608" width="11.1796875" style="20" customWidth="1"/>
    <col min="4609" max="4609" width="2.81640625" style="20" customWidth="1"/>
    <col min="4610" max="4610" width="3.54296875" style="20" customWidth="1"/>
    <col min="4611" max="4855" width="9.1796875" style="20"/>
    <col min="4856" max="4856" width="8.7265625" style="20" customWidth="1"/>
    <col min="4857" max="4857" width="9.81640625" style="20" customWidth="1"/>
    <col min="4858" max="4858" width="14.453125" style="20" customWidth="1"/>
    <col min="4859" max="4859" width="7.26953125" style="20" customWidth="1"/>
    <col min="4860" max="4860" width="5.54296875" style="20" customWidth="1"/>
    <col min="4861" max="4861" width="9" style="20" customWidth="1"/>
    <col min="4862" max="4863" width="9.81640625" style="20" customWidth="1"/>
    <col min="4864" max="4864" width="11.1796875" style="20" customWidth="1"/>
    <col min="4865" max="4865" width="2.81640625" style="20" customWidth="1"/>
    <col min="4866" max="4866" width="3.54296875" style="20" customWidth="1"/>
    <col min="4867" max="5111" width="9.1796875" style="20"/>
    <col min="5112" max="5112" width="8.7265625" style="20" customWidth="1"/>
    <col min="5113" max="5113" width="9.81640625" style="20" customWidth="1"/>
    <col min="5114" max="5114" width="14.453125" style="20" customWidth="1"/>
    <col min="5115" max="5115" width="7.26953125" style="20" customWidth="1"/>
    <col min="5116" max="5116" width="5.54296875" style="20" customWidth="1"/>
    <col min="5117" max="5117" width="9" style="20" customWidth="1"/>
    <col min="5118" max="5119" width="9.81640625" style="20" customWidth="1"/>
    <col min="5120" max="5120" width="11.1796875" style="20" customWidth="1"/>
    <col min="5121" max="5121" width="2.81640625" style="20" customWidth="1"/>
    <col min="5122" max="5122" width="3.54296875" style="20" customWidth="1"/>
    <col min="5123" max="5367" width="9.1796875" style="20"/>
    <col min="5368" max="5368" width="8.7265625" style="20" customWidth="1"/>
    <col min="5369" max="5369" width="9.81640625" style="20" customWidth="1"/>
    <col min="5370" max="5370" width="14.453125" style="20" customWidth="1"/>
    <col min="5371" max="5371" width="7.26953125" style="20" customWidth="1"/>
    <col min="5372" max="5372" width="5.54296875" style="20" customWidth="1"/>
    <col min="5373" max="5373" width="9" style="20" customWidth="1"/>
    <col min="5374" max="5375" width="9.81640625" style="20" customWidth="1"/>
    <col min="5376" max="5376" width="11.1796875" style="20" customWidth="1"/>
    <col min="5377" max="5377" width="2.81640625" style="20" customWidth="1"/>
    <col min="5378" max="5378" width="3.54296875" style="20" customWidth="1"/>
    <col min="5379" max="5623" width="9.1796875" style="20"/>
    <col min="5624" max="5624" width="8.7265625" style="20" customWidth="1"/>
    <col min="5625" max="5625" width="9.81640625" style="20" customWidth="1"/>
    <col min="5626" max="5626" width="14.453125" style="20" customWidth="1"/>
    <col min="5627" max="5627" width="7.26953125" style="20" customWidth="1"/>
    <col min="5628" max="5628" width="5.54296875" style="20" customWidth="1"/>
    <col min="5629" max="5629" width="9" style="20" customWidth="1"/>
    <col min="5630" max="5631" width="9.81640625" style="20" customWidth="1"/>
    <col min="5632" max="5632" width="11.1796875" style="20" customWidth="1"/>
    <col min="5633" max="5633" width="2.81640625" style="20" customWidth="1"/>
    <col min="5634" max="5634" width="3.54296875" style="20" customWidth="1"/>
    <col min="5635" max="5879" width="9.1796875" style="20"/>
    <col min="5880" max="5880" width="8.7265625" style="20" customWidth="1"/>
    <col min="5881" max="5881" width="9.81640625" style="20" customWidth="1"/>
    <col min="5882" max="5882" width="14.453125" style="20" customWidth="1"/>
    <col min="5883" max="5883" width="7.26953125" style="20" customWidth="1"/>
    <col min="5884" max="5884" width="5.54296875" style="20" customWidth="1"/>
    <col min="5885" max="5885" width="9" style="20" customWidth="1"/>
    <col min="5886" max="5887" width="9.81640625" style="20" customWidth="1"/>
    <col min="5888" max="5888" width="11.1796875" style="20" customWidth="1"/>
    <col min="5889" max="5889" width="2.81640625" style="20" customWidth="1"/>
    <col min="5890" max="5890" width="3.54296875" style="20" customWidth="1"/>
    <col min="5891" max="6135" width="9.1796875" style="20"/>
    <col min="6136" max="6136" width="8.7265625" style="20" customWidth="1"/>
    <col min="6137" max="6137" width="9.81640625" style="20" customWidth="1"/>
    <col min="6138" max="6138" width="14.453125" style="20" customWidth="1"/>
    <col min="6139" max="6139" width="7.26953125" style="20" customWidth="1"/>
    <col min="6140" max="6140" width="5.54296875" style="20" customWidth="1"/>
    <col min="6141" max="6141" width="9" style="20" customWidth="1"/>
    <col min="6142" max="6143" width="9.81640625" style="20" customWidth="1"/>
    <col min="6144" max="6144" width="11.1796875" style="20" customWidth="1"/>
    <col min="6145" max="6145" width="2.81640625" style="20" customWidth="1"/>
    <col min="6146" max="6146" width="3.54296875" style="20" customWidth="1"/>
    <col min="6147" max="6391" width="9.1796875" style="20"/>
    <col min="6392" max="6392" width="8.7265625" style="20" customWidth="1"/>
    <col min="6393" max="6393" width="9.81640625" style="20" customWidth="1"/>
    <col min="6394" max="6394" width="14.453125" style="20" customWidth="1"/>
    <col min="6395" max="6395" width="7.26953125" style="20" customWidth="1"/>
    <col min="6396" max="6396" width="5.54296875" style="20" customWidth="1"/>
    <col min="6397" max="6397" width="9" style="20" customWidth="1"/>
    <col min="6398" max="6399" width="9.81640625" style="20" customWidth="1"/>
    <col min="6400" max="6400" width="11.1796875" style="20" customWidth="1"/>
    <col min="6401" max="6401" width="2.81640625" style="20" customWidth="1"/>
    <col min="6402" max="6402" width="3.54296875" style="20" customWidth="1"/>
    <col min="6403" max="6647" width="9.1796875" style="20"/>
    <col min="6648" max="6648" width="8.7265625" style="20" customWidth="1"/>
    <col min="6649" max="6649" width="9.81640625" style="20" customWidth="1"/>
    <col min="6650" max="6650" width="14.453125" style="20" customWidth="1"/>
    <col min="6651" max="6651" width="7.26953125" style="20" customWidth="1"/>
    <col min="6652" max="6652" width="5.54296875" style="20" customWidth="1"/>
    <col min="6653" max="6653" width="9" style="20" customWidth="1"/>
    <col min="6654" max="6655" width="9.81640625" style="20" customWidth="1"/>
    <col min="6656" max="6656" width="11.1796875" style="20" customWidth="1"/>
    <col min="6657" max="6657" width="2.81640625" style="20" customWidth="1"/>
    <col min="6658" max="6658" width="3.54296875" style="20" customWidth="1"/>
    <col min="6659" max="6903" width="9.1796875" style="20"/>
    <col min="6904" max="6904" width="8.7265625" style="20" customWidth="1"/>
    <col min="6905" max="6905" width="9.81640625" style="20" customWidth="1"/>
    <col min="6906" max="6906" width="14.453125" style="20" customWidth="1"/>
    <col min="6907" max="6907" width="7.26953125" style="20" customWidth="1"/>
    <col min="6908" max="6908" width="5.54296875" style="20" customWidth="1"/>
    <col min="6909" max="6909" width="9" style="20" customWidth="1"/>
    <col min="6910" max="6911" width="9.81640625" style="20" customWidth="1"/>
    <col min="6912" max="6912" width="11.1796875" style="20" customWidth="1"/>
    <col min="6913" max="6913" width="2.81640625" style="20" customWidth="1"/>
    <col min="6914" max="6914" width="3.54296875" style="20" customWidth="1"/>
    <col min="6915" max="7159" width="9.1796875" style="20"/>
    <col min="7160" max="7160" width="8.7265625" style="20" customWidth="1"/>
    <col min="7161" max="7161" width="9.81640625" style="20" customWidth="1"/>
    <col min="7162" max="7162" width="14.453125" style="20" customWidth="1"/>
    <col min="7163" max="7163" width="7.26953125" style="20" customWidth="1"/>
    <col min="7164" max="7164" width="5.54296875" style="20" customWidth="1"/>
    <col min="7165" max="7165" width="9" style="20" customWidth="1"/>
    <col min="7166" max="7167" width="9.81640625" style="20" customWidth="1"/>
    <col min="7168" max="7168" width="11.1796875" style="20" customWidth="1"/>
    <col min="7169" max="7169" width="2.81640625" style="20" customWidth="1"/>
    <col min="7170" max="7170" width="3.54296875" style="20" customWidth="1"/>
    <col min="7171" max="7415" width="9.1796875" style="20"/>
    <col min="7416" max="7416" width="8.7265625" style="20" customWidth="1"/>
    <col min="7417" max="7417" width="9.81640625" style="20" customWidth="1"/>
    <col min="7418" max="7418" width="14.453125" style="20" customWidth="1"/>
    <col min="7419" max="7419" width="7.26953125" style="20" customWidth="1"/>
    <col min="7420" max="7420" width="5.54296875" style="20" customWidth="1"/>
    <col min="7421" max="7421" width="9" style="20" customWidth="1"/>
    <col min="7422" max="7423" width="9.81640625" style="20" customWidth="1"/>
    <col min="7424" max="7424" width="11.1796875" style="20" customWidth="1"/>
    <col min="7425" max="7425" width="2.81640625" style="20" customWidth="1"/>
    <col min="7426" max="7426" width="3.54296875" style="20" customWidth="1"/>
    <col min="7427" max="7671" width="9.1796875" style="20"/>
    <col min="7672" max="7672" width="8.7265625" style="20" customWidth="1"/>
    <col min="7673" max="7673" width="9.81640625" style="20" customWidth="1"/>
    <col min="7674" max="7674" width="14.453125" style="20" customWidth="1"/>
    <col min="7675" max="7675" width="7.26953125" style="20" customWidth="1"/>
    <col min="7676" max="7676" width="5.54296875" style="20" customWidth="1"/>
    <col min="7677" max="7677" width="9" style="20" customWidth="1"/>
    <col min="7678" max="7679" width="9.81640625" style="20" customWidth="1"/>
    <col min="7680" max="7680" width="11.1796875" style="20" customWidth="1"/>
    <col min="7681" max="7681" width="2.81640625" style="20" customWidth="1"/>
    <col min="7682" max="7682" width="3.54296875" style="20" customWidth="1"/>
    <col min="7683" max="7927" width="9.1796875" style="20"/>
    <col min="7928" max="7928" width="8.7265625" style="20" customWidth="1"/>
    <col min="7929" max="7929" width="9.81640625" style="20" customWidth="1"/>
    <col min="7930" max="7930" width="14.453125" style="20" customWidth="1"/>
    <col min="7931" max="7931" width="7.26953125" style="20" customWidth="1"/>
    <col min="7932" max="7932" width="5.54296875" style="20" customWidth="1"/>
    <col min="7933" max="7933" width="9" style="20" customWidth="1"/>
    <col min="7934" max="7935" width="9.81640625" style="20" customWidth="1"/>
    <col min="7936" max="7936" width="11.1796875" style="20" customWidth="1"/>
    <col min="7937" max="7937" width="2.81640625" style="20" customWidth="1"/>
    <col min="7938" max="7938" width="3.54296875" style="20" customWidth="1"/>
    <col min="7939" max="8183" width="9.1796875" style="20"/>
    <col min="8184" max="8184" width="8.7265625" style="20" customWidth="1"/>
    <col min="8185" max="8185" width="9.81640625" style="20" customWidth="1"/>
    <col min="8186" max="8186" width="14.453125" style="20" customWidth="1"/>
    <col min="8187" max="8187" width="7.26953125" style="20" customWidth="1"/>
    <col min="8188" max="8188" width="5.54296875" style="20" customWidth="1"/>
    <col min="8189" max="8189" width="9" style="20" customWidth="1"/>
    <col min="8190" max="8191" width="9.81640625" style="20" customWidth="1"/>
    <col min="8192" max="8192" width="11.1796875" style="20" customWidth="1"/>
    <col min="8193" max="8193" width="2.81640625" style="20" customWidth="1"/>
    <col min="8194" max="8194" width="3.54296875" style="20" customWidth="1"/>
    <col min="8195" max="8439" width="9.1796875" style="20"/>
    <col min="8440" max="8440" width="8.7265625" style="20" customWidth="1"/>
    <col min="8441" max="8441" width="9.81640625" style="20" customWidth="1"/>
    <col min="8442" max="8442" width="14.453125" style="20" customWidth="1"/>
    <col min="8443" max="8443" width="7.26953125" style="20" customWidth="1"/>
    <col min="8444" max="8444" width="5.54296875" style="20" customWidth="1"/>
    <col min="8445" max="8445" width="9" style="20" customWidth="1"/>
    <col min="8446" max="8447" width="9.81640625" style="20" customWidth="1"/>
    <col min="8448" max="8448" width="11.1796875" style="20" customWidth="1"/>
    <col min="8449" max="8449" width="2.81640625" style="20" customWidth="1"/>
    <col min="8450" max="8450" width="3.54296875" style="20" customWidth="1"/>
    <col min="8451" max="8695" width="9.1796875" style="20"/>
    <col min="8696" max="8696" width="8.7265625" style="20" customWidth="1"/>
    <col min="8697" max="8697" width="9.81640625" style="20" customWidth="1"/>
    <col min="8698" max="8698" width="14.453125" style="20" customWidth="1"/>
    <col min="8699" max="8699" width="7.26953125" style="20" customWidth="1"/>
    <col min="8700" max="8700" width="5.54296875" style="20" customWidth="1"/>
    <col min="8701" max="8701" width="9" style="20" customWidth="1"/>
    <col min="8702" max="8703" width="9.81640625" style="20" customWidth="1"/>
    <col min="8704" max="8704" width="11.1796875" style="20" customWidth="1"/>
    <col min="8705" max="8705" width="2.81640625" style="20" customWidth="1"/>
    <col min="8706" max="8706" width="3.54296875" style="20" customWidth="1"/>
    <col min="8707" max="8951" width="9.1796875" style="20"/>
    <col min="8952" max="8952" width="8.7265625" style="20" customWidth="1"/>
    <col min="8953" max="8953" width="9.81640625" style="20" customWidth="1"/>
    <col min="8954" max="8954" width="14.453125" style="20" customWidth="1"/>
    <col min="8955" max="8955" width="7.26953125" style="20" customWidth="1"/>
    <col min="8956" max="8956" width="5.54296875" style="20" customWidth="1"/>
    <col min="8957" max="8957" width="9" style="20" customWidth="1"/>
    <col min="8958" max="8959" width="9.81640625" style="20" customWidth="1"/>
    <col min="8960" max="8960" width="11.1796875" style="20" customWidth="1"/>
    <col min="8961" max="8961" width="2.81640625" style="20" customWidth="1"/>
    <col min="8962" max="8962" width="3.54296875" style="20" customWidth="1"/>
    <col min="8963" max="9207" width="9.1796875" style="20"/>
    <col min="9208" max="9208" width="8.7265625" style="20" customWidth="1"/>
    <col min="9209" max="9209" width="9.81640625" style="20" customWidth="1"/>
    <col min="9210" max="9210" width="14.453125" style="20" customWidth="1"/>
    <col min="9211" max="9211" width="7.26953125" style="20" customWidth="1"/>
    <col min="9212" max="9212" width="5.54296875" style="20" customWidth="1"/>
    <col min="9213" max="9213" width="9" style="20" customWidth="1"/>
    <col min="9214" max="9215" width="9.81640625" style="20" customWidth="1"/>
    <col min="9216" max="9216" width="11.1796875" style="20" customWidth="1"/>
    <col min="9217" max="9217" width="2.81640625" style="20" customWidth="1"/>
    <col min="9218" max="9218" width="3.54296875" style="20" customWidth="1"/>
    <col min="9219" max="9463" width="9.1796875" style="20"/>
    <col min="9464" max="9464" width="8.7265625" style="20" customWidth="1"/>
    <col min="9465" max="9465" width="9.81640625" style="20" customWidth="1"/>
    <col min="9466" max="9466" width="14.453125" style="20" customWidth="1"/>
    <col min="9467" max="9467" width="7.26953125" style="20" customWidth="1"/>
    <col min="9468" max="9468" width="5.54296875" style="20" customWidth="1"/>
    <col min="9469" max="9469" width="9" style="20" customWidth="1"/>
    <col min="9470" max="9471" width="9.81640625" style="20" customWidth="1"/>
    <col min="9472" max="9472" width="11.1796875" style="20" customWidth="1"/>
    <col min="9473" max="9473" width="2.81640625" style="20" customWidth="1"/>
    <col min="9474" max="9474" width="3.54296875" style="20" customWidth="1"/>
    <col min="9475" max="9719" width="9.1796875" style="20"/>
    <col min="9720" max="9720" width="8.7265625" style="20" customWidth="1"/>
    <col min="9721" max="9721" width="9.81640625" style="20" customWidth="1"/>
    <col min="9722" max="9722" width="14.453125" style="20" customWidth="1"/>
    <col min="9723" max="9723" width="7.26953125" style="20" customWidth="1"/>
    <col min="9724" max="9724" width="5.54296875" style="20" customWidth="1"/>
    <col min="9725" max="9725" width="9" style="20" customWidth="1"/>
    <col min="9726" max="9727" width="9.81640625" style="20" customWidth="1"/>
    <col min="9728" max="9728" width="11.1796875" style="20" customWidth="1"/>
    <col min="9729" max="9729" width="2.81640625" style="20" customWidth="1"/>
    <col min="9730" max="9730" width="3.54296875" style="20" customWidth="1"/>
    <col min="9731" max="9975" width="9.1796875" style="20"/>
    <col min="9976" max="9976" width="8.7265625" style="20" customWidth="1"/>
    <col min="9977" max="9977" width="9.81640625" style="20" customWidth="1"/>
    <col min="9978" max="9978" width="14.453125" style="20" customWidth="1"/>
    <col min="9979" max="9979" width="7.26953125" style="20" customWidth="1"/>
    <col min="9980" max="9980" width="5.54296875" style="20" customWidth="1"/>
    <col min="9981" max="9981" width="9" style="20" customWidth="1"/>
    <col min="9982" max="9983" width="9.81640625" style="20" customWidth="1"/>
    <col min="9984" max="9984" width="11.1796875" style="20" customWidth="1"/>
    <col min="9985" max="9985" width="2.81640625" style="20" customWidth="1"/>
    <col min="9986" max="9986" width="3.54296875" style="20" customWidth="1"/>
    <col min="9987" max="10231" width="9.1796875" style="20"/>
    <col min="10232" max="10232" width="8.7265625" style="20" customWidth="1"/>
    <col min="10233" max="10233" width="9.81640625" style="20" customWidth="1"/>
    <col min="10234" max="10234" width="14.453125" style="20" customWidth="1"/>
    <col min="10235" max="10235" width="7.26953125" style="20" customWidth="1"/>
    <col min="10236" max="10236" width="5.54296875" style="20" customWidth="1"/>
    <col min="10237" max="10237" width="9" style="20" customWidth="1"/>
    <col min="10238" max="10239" width="9.81640625" style="20" customWidth="1"/>
    <col min="10240" max="10240" width="11.1796875" style="20" customWidth="1"/>
    <col min="10241" max="10241" width="2.81640625" style="20" customWidth="1"/>
    <col min="10242" max="10242" width="3.54296875" style="20" customWidth="1"/>
    <col min="10243" max="10487" width="9.1796875" style="20"/>
    <col min="10488" max="10488" width="8.7265625" style="20" customWidth="1"/>
    <col min="10489" max="10489" width="9.81640625" style="20" customWidth="1"/>
    <col min="10490" max="10490" width="14.453125" style="20" customWidth="1"/>
    <col min="10491" max="10491" width="7.26953125" style="20" customWidth="1"/>
    <col min="10492" max="10492" width="5.54296875" style="20" customWidth="1"/>
    <col min="10493" max="10493" width="9" style="20" customWidth="1"/>
    <col min="10494" max="10495" width="9.81640625" style="20" customWidth="1"/>
    <col min="10496" max="10496" width="11.1796875" style="20" customWidth="1"/>
    <col min="10497" max="10497" width="2.81640625" style="20" customWidth="1"/>
    <col min="10498" max="10498" width="3.54296875" style="20" customWidth="1"/>
    <col min="10499" max="10743" width="9.1796875" style="20"/>
    <col min="10744" max="10744" width="8.7265625" style="20" customWidth="1"/>
    <col min="10745" max="10745" width="9.81640625" style="20" customWidth="1"/>
    <col min="10746" max="10746" width="14.453125" style="20" customWidth="1"/>
    <col min="10747" max="10747" width="7.26953125" style="20" customWidth="1"/>
    <col min="10748" max="10748" width="5.54296875" style="20" customWidth="1"/>
    <col min="10749" max="10749" width="9" style="20" customWidth="1"/>
    <col min="10750" max="10751" width="9.81640625" style="20" customWidth="1"/>
    <col min="10752" max="10752" width="11.1796875" style="20" customWidth="1"/>
    <col min="10753" max="10753" width="2.81640625" style="20" customWidth="1"/>
    <col min="10754" max="10754" width="3.54296875" style="20" customWidth="1"/>
    <col min="10755" max="10999" width="9.1796875" style="20"/>
    <col min="11000" max="11000" width="8.7265625" style="20" customWidth="1"/>
    <col min="11001" max="11001" width="9.81640625" style="20" customWidth="1"/>
    <col min="11002" max="11002" width="14.453125" style="20" customWidth="1"/>
    <col min="11003" max="11003" width="7.26953125" style="20" customWidth="1"/>
    <col min="11004" max="11004" width="5.54296875" style="20" customWidth="1"/>
    <col min="11005" max="11005" width="9" style="20" customWidth="1"/>
    <col min="11006" max="11007" width="9.81640625" style="20" customWidth="1"/>
    <col min="11008" max="11008" width="11.1796875" style="20" customWidth="1"/>
    <col min="11009" max="11009" width="2.81640625" style="20" customWidth="1"/>
    <col min="11010" max="11010" width="3.54296875" style="20" customWidth="1"/>
    <col min="11011" max="11255" width="9.1796875" style="20"/>
    <col min="11256" max="11256" width="8.7265625" style="20" customWidth="1"/>
    <col min="11257" max="11257" width="9.81640625" style="20" customWidth="1"/>
    <col min="11258" max="11258" width="14.453125" style="20" customWidth="1"/>
    <col min="11259" max="11259" width="7.26953125" style="20" customWidth="1"/>
    <col min="11260" max="11260" width="5.54296875" style="20" customWidth="1"/>
    <col min="11261" max="11261" width="9" style="20" customWidth="1"/>
    <col min="11262" max="11263" width="9.81640625" style="20" customWidth="1"/>
    <col min="11264" max="11264" width="11.1796875" style="20" customWidth="1"/>
    <col min="11265" max="11265" width="2.81640625" style="20" customWidth="1"/>
    <col min="11266" max="11266" width="3.54296875" style="20" customWidth="1"/>
    <col min="11267" max="11511" width="9.1796875" style="20"/>
    <col min="11512" max="11512" width="8.7265625" style="20" customWidth="1"/>
    <col min="11513" max="11513" width="9.81640625" style="20" customWidth="1"/>
    <col min="11514" max="11514" width="14.453125" style="20" customWidth="1"/>
    <col min="11515" max="11515" width="7.26953125" style="20" customWidth="1"/>
    <col min="11516" max="11516" width="5.54296875" style="20" customWidth="1"/>
    <col min="11517" max="11517" width="9" style="20" customWidth="1"/>
    <col min="11518" max="11519" width="9.81640625" style="20" customWidth="1"/>
    <col min="11520" max="11520" width="11.1796875" style="20" customWidth="1"/>
    <col min="11521" max="11521" width="2.81640625" style="20" customWidth="1"/>
    <col min="11522" max="11522" width="3.54296875" style="20" customWidth="1"/>
    <col min="11523" max="11767" width="9.1796875" style="20"/>
    <col min="11768" max="11768" width="8.7265625" style="20" customWidth="1"/>
    <col min="11769" max="11769" width="9.81640625" style="20" customWidth="1"/>
    <col min="11770" max="11770" width="14.453125" style="20" customWidth="1"/>
    <col min="11771" max="11771" width="7.26953125" style="20" customWidth="1"/>
    <col min="11772" max="11772" width="5.54296875" style="20" customWidth="1"/>
    <col min="11773" max="11773" width="9" style="20" customWidth="1"/>
    <col min="11774" max="11775" width="9.81640625" style="20" customWidth="1"/>
    <col min="11776" max="11776" width="11.1796875" style="20" customWidth="1"/>
    <col min="11777" max="11777" width="2.81640625" style="20" customWidth="1"/>
    <col min="11778" max="11778" width="3.54296875" style="20" customWidth="1"/>
    <col min="11779" max="12023" width="9.1796875" style="20"/>
    <col min="12024" max="12024" width="8.7265625" style="20" customWidth="1"/>
    <col min="12025" max="12025" width="9.81640625" style="20" customWidth="1"/>
    <col min="12026" max="12026" width="14.453125" style="20" customWidth="1"/>
    <col min="12027" max="12027" width="7.26953125" style="20" customWidth="1"/>
    <col min="12028" max="12028" width="5.54296875" style="20" customWidth="1"/>
    <col min="12029" max="12029" width="9" style="20" customWidth="1"/>
    <col min="12030" max="12031" width="9.81640625" style="20" customWidth="1"/>
    <col min="12032" max="12032" width="11.1796875" style="20" customWidth="1"/>
    <col min="12033" max="12033" width="2.81640625" style="20" customWidth="1"/>
    <col min="12034" max="12034" width="3.54296875" style="20" customWidth="1"/>
    <col min="12035" max="12279" width="9.1796875" style="20"/>
    <col min="12280" max="12280" width="8.7265625" style="20" customWidth="1"/>
    <col min="12281" max="12281" width="9.81640625" style="20" customWidth="1"/>
    <col min="12282" max="12282" width="14.453125" style="20" customWidth="1"/>
    <col min="12283" max="12283" width="7.26953125" style="20" customWidth="1"/>
    <col min="12284" max="12284" width="5.54296875" style="20" customWidth="1"/>
    <col min="12285" max="12285" width="9" style="20" customWidth="1"/>
    <col min="12286" max="12287" width="9.81640625" style="20" customWidth="1"/>
    <col min="12288" max="12288" width="11.1796875" style="20" customWidth="1"/>
    <col min="12289" max="12289" width="2.81640625" style="20" customWidth="1"/>
    <col min="12290" max="12290" width="3.54296875" style="20" customWidth="1"/>
    <col min="12291" max="12535" width="9.1796875" style="20"/>
    <col min="12536" max="12536" width="8.7265625" style="20" customWidth="1"/>
    <col min="12537" max="12537" width="9.81640625" style="20" customWidth="1"/>
    <col min="12538" max="12538" width="14.453125" style="20" customWidth="1"/>
    <col min="12539" max="12539" width="7.26953125" style="20" customWidth="1"/>
    <col min="12540" max="12540" width="5.54296875" style="20" customWidth="1"/>
    <col min="12541" max="12541" width="9" style="20" customWidth="1"/>
    <col min="12542" max="12543" width="9.81640625" style="20" customWidth="1"/>
    <col min="12544" max="12544" width="11.1796875" style="20" customWidth="1"/>
    <col min="12545" max="12545" width="2.81640625" style="20" customWidth="1"/>
    <col min="12546" max="12546" width="3.54296875" style="20" customWidth="1"/>
    <col min="12547" max="12791" width="9.1796875" style="20"/>
    <col min="12792" max="12792" width="8.7265625" style="20" customWidth="1"/>
    <col min="12793" max="12793" width="9.81640625" style="20" customWidth="1"/>
    <col min="12794" max="12794" width="14.453125" style="20" customWidth="1"/>
    <col min="12795" max="12795" width="7.26953125" style="20" customWidth="1"/>
    <col min="12796" max="12796" width="5.54296875" style="20" customWidth="1"/>
    <col min="12797" max="12797" width="9" style="20" customWidth="1"/>
    <col min="12798" max="12799" width="9.81640625" style="20" customWidth="1"/>
    <col min="12800" max="12800" width="11.1796875" style="20" customWidth="1"/>
    <col min="12801" max="12801" width="2.81640625" style="20" customWidth="1"/>
    <col min="12802" max="12802" width="3.54296875" style="20" customWidth="1"/>
    <col min="12803" max="13047" width="9.1796875" style="20"/>
    <col min="13048" max="13048" width="8.7265625" style="20" customWidth="1"/>
    <col min="13049" max="13049" width="9.81640625" style="20" customWidth="1"/>
    <col min="13050" max="13050" width="14.453125" style="20" customWidth="1"/>
    <col min="13051" max="13051" width="7.26953125" style="20" customWidth="1"/>
    <col min="13052" max="13052" width="5.54296875" style="20" customWidth="1"/>
    <col min="13053" max="13053" width="9" style="20" customWidth="1"/>
    <col min="13054" max="13055" width="9.81640625" style="20" customWidth="1"/>
    <col min="13056" max="13056" width="11.1796875" style="20" customWidth="1"/>
    <col min="13057" max="13057" width="2.81640625" style="20" customWidth="1"/>
    <col min="13058" max="13058" width="3.54296875" style="20" customWidth="1"/>
    <col min="13059" max="13303" width="9.1796875" style="20"/>
    <col min="13304" max="13304" width="8.7265625" style="20" customWidth="1"/>
    <col min="13305" max="13305" width="9.81640625" style="20" customWidth="1"/>
    <col min="13306" max="13306" width="14.453125" style="20" customWidth="1"/>
    <col min="13307" max="13307" width="7.26953125" style="20" customWidth="1"/>
    <col min="13308" max="13308" width="5.54296875" style="20" customWidth="1"/>
    <col min="13309" max="13309" width="9" style="20" customWidth="1"/>
    <col min="13310" max="13311" width="9.81640625" style="20" customWidth="1"/>
    <col min="13312" max="13312" width="11.1796875" style="20" customWidth="1"/>
    <col min="13313" max="13313" width="2.81640625" style="20" customWidth="1"/>
    <col min="13314" max="13314" width="3.54296875" style="20" customWidth="1"/>
    <col min="13315" max="13559" width="9.1796875" style="20"/>
    <col min="13560" max="13560" width="8.7265625" style="20" customWidth="1"/>
    <col min="13561" max="13561" width="9.81640625" style="20" customWidth="1"/>
    <col min="13562" max="13562" width="14.453125" style="20" customWidth="1"/>
    <col min="13563" max="13563" width="7.26953125" style="20" customWidth="1"/>
    <col min="13564" max="13564" width="5.54296875" style="20" customWidth="1"/>
    <col min="13565" max="13565" width="9" style="20" customWidth="1"/>
    <col min="13566" max="13567" width="9.81640625" style="20" customWidth="1"/>
    <col min="13568" max="13568" width="11.1796875" style="20" customWidth="1"/>
    <col min="13569" max="13569" width="2.81640625" style="20" customWidth="1"/>
    <col min="13570" max="13570" width="3.54296875" style="20" customWidth="1"/>
    <col min="13571" max="13815" width="9.1796875" style="20"/>
    <col min="13816" max="13816" width="8.7265625" style="20" customWidth="1"/>
    <col min="13817" max="13817" width="9.81640625" style="20" customWidth="1"/>
    <col min="13818" max="13818" width="14.453125" style="20" customWidth="1"/>
    <col min="13819" max="13819" width="7.26953125" style="20" customWidth="1"/>
    <col min="13820" max="13820" width="5.54296875" style="20" customWidth="1"/>
    <col min="13821" max="13821" width="9" style="20" customWidth="1"/>
    <col min="13822" max="13823" width="9.81640625" style="20" customWidth="1"/>
    <col min="13824" max="13824" width="11.1796875" style="20" customWidth="1"/>
    <col min="13825" max="13825" width="2.81640625" style="20" customWidth="1"/>
    <col min="13826" max="13826" width="3.54296875" style="20" customWidth="1"/>
    <col min="13827" max="14071" width="9.1796875" style="20"/>
    <col min="14072" max="14072" width="8.7265625" style="20" customWidth="1"/>
    <col min="14073" max="14073" width="9.81640625" style="20" customWidth="1"/>
    <col min="14074" max="14074" width="14.453125" style="20" customWidth="1"/>
    <col min="14075" max="14075" width="7.26953125" style="20" customWidth="1"/>
    <col min="14076" max="14076" width="5.54296875" style="20" customWidth="1"/>
    <col min="14077" max="14077" width="9" style="20" customWidth="1"/>
    <col min="14078" max="14079" width="9.81640625" style="20" customWidth="1"/>
    <col min="14080" max="14080" width="11.1796875" style="20" customWidth="1"/>
    <col min="14081" max="14081" width="2.81640625" style="20" customWidth="1"/>
    <col min="14082" max="14082" width="3.54296875" style="20" customWidth="1"/>
    <col min="14083" max="14327" width="9.1796875" style="20"/>
    <col min="14328" max="14328" width="8.7265625" style="20" customWidth="1"/>
    <col min="14329" max="14329" width="9.81640625" style="20" customWidth="1"/>
    <col min="14330" max="14330" width="14.453125" style="20" customWidth="1"/>
    <col min="14331" max="14331" width="7.26953125" style="20" customWidth="1"/>
    <col min="14332" max="14332" width="5.54296875" style="20" customWidth="1"/>
    <col min="14333" max="14333" width="9" style="20" customWidth="1"/>
    <col min="14334" max="14335" width="9.81640625" style="20" customWidth="1"/>
    <col min="14336" max="14336" width="11.1796875" style="20" customWidth="1"/>
    <col min="14337" max="14337" width="2.81640625" style="20" customWidth="1"/>
    <col min="14338" max="14338" width="3.54296875" style="20" customWidth="1"/>
    <col min="14339" max="14583" width="9.1796875" style="20"/>
    <col min="14584" max="14584" width="8.7265625" style="20" customWidth="1"/>
    <col min="14585" max="14585" width="9.81640625" style="20" customWidth="1"/>
    <col min="14586" max="14586" width="14.453125" style="20" customWidth="1"/>
    <col min="14587" max="14587" width="7.26953125" style="20" customWidth="1"/>
    <col min="14588" max="14588" width="5.54296875" style="20" customWidth="1"/>
    <col min="14589" max="14589" width="9" style="20" customWidth="1"/>
    <col min="14590" max="14591" width="9.81640625" style="20" customWidth="1"/>
    <col min="14592" max="14592" width="11.1796875" style="20" customWidth="1"/>
    <col min="14593" max="14593" width="2.81640625" style="20" customWidth="1"/>
    <col min="14594" max="14594" width="3.54296875" style="20" customWidth="1"/>
    <col min="14595" max="14839" width="9.1796875" style="20"/>
    <col min="14840" max="14840" width="8.7265625" style="20" customWidth="1"/>
    <col min="14841" max="14841" width="9.81640625" style="20" customWidth="1"/>
    <col min="14842" max="14842" width="14.453125" style="20" customWidth="1"/>
    <col min="14843" max="14843" width="7.26953125" style="20" customWidth="1"/>
    <col min="14844" max="14844" width="5.54296875" style="20" customWidth="1"/>
    <col min="14845" max="14845" width="9" style="20" customWidth="1"/>
    <col min="14846" max="14847" width="9.81640625" style="20" customWidth="1"/>
    <col min="14848" max="14848" width="11.1796875" style="20" customWidth="1"/>
    <col min="14849" max="14849" width="2.81640625" style="20" customWidth="1"/>
    <col min="14850" max="14850" width="3.54296875" style="20" customWidth="1"/>
    <col min="14851" max="15095" width="9.1796875" style="20"/>
    <col min="15096" max="15096" width="8.7265625" style="20" customWidth="1"/>
    <col min="15097" max="15097" width="9.81640625" style="20" customWidth="1"/>
    <col min="15098" max="15098" width="14.453125" style="20" customWidth="1"/>
    <col min="15099" max="15099" width="7.26953125" style="20" customWidth="1"/>
    <col min="15100" max="15100" width="5.54296875" style="20" customWidth="1"/>
    <col min="15101" max="15101" width="9" style="20" customWidth="1"/>
    <col min="15102" max="15103" width="9.81640625" style="20" customWidth="1"/>
    <col min="15104" max="15104" width="11.1796875" style="20" customWidth="1"/>
    <col min="15105" max="15105" width="2.81640625" style="20" customWidth="1"/>
    <col min="15106" max="15106" width="3.54296875" style="20" customWidth="1"/>
    <col min="15107" max="15351" width="9.1796875" style="20"/>
    <col min="15352" max="15352" width="8.7265625" style="20" customWidth="1"/>
    <col min="15353" max="15353" width="9.81640625" style="20" customWidth="1"/>
    <col min="15354" max="15354" width="14.453125" style="20" customWidth="1"/>
    <col min="15355" max="15355" width="7.26953125" style="20" customWidth="1"/>
    <col min="15356" max="15356" width="5.54296875" style="20" customWidth="1"/>
    <col min="15357" max="15357" width="9" style="20" customWidth="1"/>
    <col min="15358" max="15359" width="9.81640625" style="20" customWidth="1"/>
    <col min="15360" max="15360" width="11.1796875" style="20" customWidth="1"/>
    <col min="15361" max="15361" width="2.81640625" style="20" customWidth="1"/>
    <col min="15362" max="15362" width="3.54296875" style="20" customWidth="1"/>
    <col min="15363" max="15607" width="9.1796875" style="20"/>
    <col min="15608" max="15608" width="8.7265625" style="20" customWidth="1"/>
    <col min="15609" max="15609" width="9.81640625" style="20" customWidth="1"/>
    <col min="15610" max="15610" width="14.453125" style="20" customWidth="1"/>
    <col min="15611" max="15611" width="7.26953125" style="20" customWidth="1"/>
    <col min="15612" max="15612" width="5.54296875" style="20" customWidth="1"/>
    <col min="15613" max="15613" width="9" style="20" customWidth="1"/>
    <col min="15614" max="15615" width="9.81640625" style="20" customWidth="1"/>
    <col min="15616" max="15616" width="11.1796875" style="20" customWidth="1"/>
    <col min="15617" max="15617" width="2.81640625" style="20" customWidth="1"/>
    <col min="15618" max="15618" width="3.54296875" style="20" customWidth="1"/>
    <col min="15619" max="15863" width="9.1796875" style="20"/>
    <col min="15864" max="15864" width="8.7265625" style="20" customWidth="1"/>
    <col min="15865" max="15865" width="9.81640625" style="20" customWidth="1"/>
    <col min="15866" max="15866" width="14.453125" style="20" customWidth="1"/>
    <col min="15867" max="15867" width="7.26953125" style="20" customWidth="1"/>
    <col min="15868" max="15868" width="5.54296875" style="20" customWidth="1"/>
    <col min="15869" max="15869" width="9" style="20" customWidth="1"/>
    <col min="15870" max="15871" width="9.81640625" style="20" customWidth="1"/>
    <col min="15872" max="15872" width="11.1796875" style="20" customWidth="1"/>
    <col min="15873" max="15873" width="2.81640625" style="20" customWidth="1"/>
    <col min="15874" max="15874" width="3.54296875" style="20" customWidth="1"/>
    <col min="15875" max="16119" width="9.1796875" style="20"/>
    <col min="16120" max="16120" width="8.7265625" style="20" customWidth="1"/>
    <col min="16121" max="16121" width="9.81640625" style="20" customWidth="1"/>
    <col min="16122" max="16122" width="14.453125" style="20" customWidth="1"/>
    <col min="16123" max="16123" width="7.26953125" style="20" customWidth="1"/>
    <col min="16124" max="16124" width="5.54296875" style="20" customWidth="1"/>
    <col min="16125" max="16125" width="9" style="20" customWidth="1"/>
    <col min="16126" max="16127" width="9.81640625" style="20" customWidth="1"/>
    <col min="16128" max="16128" width="11.1796875" style="20" customWidth="1"/>
    <col min="16129" max="16129" width="2.81640625" style="20" customWidth="1"/>
    <col min="16130" max="16130" width="3.54296875" style="20" customWidth="1"/>
    <col min="16131" max="16384" width="9.1796875" style="20"/>
  </cols>
  <sheetData>
    <row r="1" spans="1:26" ht="46.5" customHeight="1" x14ac:dyDescent="0.35">
      <c r="A1" s="175" t="s">
        <v>161</v>
      </c>
      <c r="B1" s="175"/>
      <c r="C1" s="175"/>
      <c r="D1" s="175"/>
      <c r="E1" s="175"/>
      <c r="F1" s="175"/>
      <c r="G1" s="175"/>
      <c r="H1" s="175"/>
    </row>
    <row r="2" spans="1:26" ht="16.5" customHeight="1" x14ac:dyDescent="0.35">
      <c r="A2" s="176" t="s">
        <v>0</v>
      </c>
      <c r="B2" s="176"/>
      <c r="C2" s="176"/>
      <c r="D2" s="176"/>
      <c r="E2" s="176"/>
      <c r="F2" s="176"/>
      <c r="G2" s="176"/>
      <c r="H2" s="176"/>
    </row>
    <row r="3" spans="1:26" x14ac:dyDescent="0.35">
      <c r="A3" s="120" t="s">
        <v>1</v>
      </c>
      <c r="B3" s="120"/>
      <c r="C3" s="120"/>
      <c r="D3" s="120"/>
      <c r="E3" s="120" t="str">
        <f ca="1">TEXT(TODAY(),"DD/MM/YYYY")</f>
        <v>12/07/2025</v>
      </c>
      <c r="F3" s="120"/>
      <c r="G3" s="120"/>
      <c r="H3" s="120"/>
      <c r="K3" s="55" t="s">
        <v>233</v>
      </c>
      <c r="L3" s="52" t="s">
        <v>231</v>
      </c>
      <c r="M3" s="52" t="s">
        <v>236</v>
      </c>
      <c r="N3" s="52" t="s">
        <v>234</v>
      </c>
      <c r="O3" s="52" t="s">
        <v>235</v>
      </c>
      <c r="P3" s="52" t="s">
        <v>237</v>
      </c>
    </row>
    <row r="4" spans="1:26" ht="15" customHeight="1" x14ac:dyDescent="0.35">
      <c r="A4" s="120" t="s">
        <v>230</v>
      </c>
      <c r="B4" s="120"/>
      <c r="C4" s="120"/>
      <c r="D4" s="120"/>
      <c r="E4" s="120" t="s">
        <v>231</v>
      </c>
      <c r="F4" s="120"/>
      <c r="G4" s="120"/>
      <c r="H4" s="120"/>
      <c r="K4" s="51" t="s">
        <v>232</v>
      </c>
      <c r="L4" s="52" t="s">
        <v>168</v>
      </c>
      <c r="M4" s="52" t="s">
        <v>241</v>
      </c>
      <c r="N4" s="52" t="s">
        <v>243</v>
      </c>
      <c r="O4" s="52" t="s">
        <v>245</v>
      </c>
      <c r="P4" s="52"/>
    </row>
    <row r="5" spans="1:26" ht="15" customHeight="1" x14ac:dyDescent="0.35">
      <c r="A5" s="120" t="s">
        <v>2</v>
      </c>
      <c r="B5" s="120"/>
      <c r="C5" s="120"/>
      <c r="D5" s="120"/>
      <c r="E5" s="120" t="s">
        <v>240</v>
      </c>
      <c r="F5" s="120"/>
      <c r="G5" s="120"/>
      <c r="H5" s="120"/>
      <c r="K5" s="51"/>
      <c r="L5" s="52" t="s">
        <v>238</v>
      </c>
      <c r="M5" s="52" t="s">
        <v>242</v>
      </c>
      <c r="N5" s="52" t="s">
        <v>244</v>
      </c>
      <c r="O5" s="52" t="s">
        <v>246</v>
      </c>
      <c r="P5" s="52"/>
    </row>
    <row r="6" spans="1:26" x14ac:dyDescent="0.35">
      <c r="A6" s="120" t="s">
        <v>3</v>
      </c>
      <c r="B6" s="120"/>
      <c r="C6" s="120"/>
      <c r="D6" s="120"/>
      <c r="E6" s="177">
        <v>45848</v>
      </c>
      <c r="F6" s="120"/>
      <c r="G6" s="120"/>
      <c r="H6" s="120"/>
      <c r="K6" s="51"/>
      <c r="L6" s="52" t="s">
        <v>239</v>
      </c>
      <c r="M6" s="52"/>
      <c r="N6" s="52"/>
      <c r="O6" s="52" t="s">
        <v>247</v>
      </c>
      <c r="P6" s="52"/>
    </row>
    <row r="7" spans="1:26" ht="16.5" customHeight="1" x14ac:dyDescent="0.35">
      <c r="A7" s="120" t="s">
        <v>4</v>
      </c>
      <c r="B7" s="120"/>
      <c r="C7" s="120"/>
      <c r="D7" s="120"/>
      <c r="E7" s="120" t="s">
        <v>298</v>
      </c>
      <c r="F7" s="120"/>
      <c r="G7" s="120"/>
      <c r="H7" s="120"/>
      <c r="K7" s="51"/>
      <c r="L7" s="52" t="s">
        <v>240</v>
      </c>
      <c r="M7" s="52"/>
      <c r="N7" s="52"/>
      <c r="O7" s="52" t="s">
        <v>247</v>
      </c>
      <c r="P7" s="52"/>
    </row>
    <row r="8" spans="1:26" ht="15" customHeight="1" x14ac:dyDescent="0.35">
      <c r="A8" s="120" t="s">
        <v>5</v>
      </c>
      <c r="B8" s="120"/>
      <c r="C8" s="120"/>
      <c r="D8" s="120"/>
      <c r="E8" s="120" t="str">
        <f>E7</f>
        <v>Thanekar Construction LLP</v>
      </c>
      <c r="F8" s="120"/>
      <c r="G8" s="120"/>
      <c r="H8" s="120"/>
      <c r="K8" s="51"/>
      <c r="L8" s="52"/>
      <c r="M8" s="52"/>
      <c r="N8" s="52"/>
      <c r="O8" s="52" t="s">
        <v>248</v>
      </c>
      <c r="P8" s="52"/>
    </row>
    <row r="9" spans="1:26" x14ac:dyDescent="0.35">
      <c r="A9" s="120" t="s">
        <v>6</v>
      </c>
      <c r="B9" s="120"/>
      <c r="C9" s="120"/>
      <c r="D9" s="120"/>
      <c r="E9" s="97" t="s">
        <v>299</v>
      </c>
      <c r="F9" s="97"/>
      <c r="G9" s="97"/>
      <c r="H9" s="97"/>
      <c r="K9" s="51"/>
      <c r="L9" s="52"/>
      <c r="M9" s="52"/>
      <c r="N9" s="52"/>
      <c r="O9" s="52" t="s">
        <v>249</v>
      </c>
      <c r="P9" s="52"/>
    </row>
    <row r="10" spans="1:26" x14ac:dyDescent="0.35">
      <c r="A10" s="120" t="s">
        <v>164</v>
      </c>
      <c r="B10" s="120"/>
      <c r="C10" s="120"/>
      <c r="D10" s="120"/>
      <c r="E10" s="118" t="s">
        <v>300</v>
      </c>
      <c r="F10" s="120"/>
      <c r="G10" s="120"/>
      <c r="H10" s="120"/>
      <c r="K10" s="51"/>
      <c r="L10" s="52"/>
      <c r="M10" s="52"/>
      <c r="N10" s="52"/>
      <c r="O10" s="52"/>
      <c r="P10" s="52"/>
    </row>
    <row r="11" spans="1:26" x14ac:dyDescent="0.35">
      <c r="A11" s="120" t="s">
        <v>165</v>
      </c>
      <c r="B11" s="120"/>
      <c r="C11" s="120"/>
      <c r="D11" s="120"/>
      <c r="E11" s="120" t="s">
        <v>28</v>
      </c>
      <c r="F11" s="120"/>
      <c r="G11" s="120"/>
      <c r="H11" s="120"/>
    </row>
    <row r="12" spans="1:26" ht="33.75" customHeight="1" x14ac:dyDescent="0.35">
      <c r="A12" s="120" t="s">
        <v>7</v>
      </c>
      <c r="B12" s="120"/>
      <c r="C12" s="120"/>
      <c r="D12" s="120"/>
      <c r="E12" s="118" t="s">
        <v>376</v>
      </c>
      <c r="F12" s="120"/>
      <c r="G12" s="120"/>
      <c r="H12" s="120"/>
    </row>
    <row r="13" spans="1:26" x14ac:dyDescent="0.35">
      <c r="A13" s="120" t="s">
        <v>169</v>
      </c>
      <c r="B13" s="120"/>
      <c r="C13" s="120"/>
      <c r="D13" s="120"/>
      <c r="E13" s="120" t="s">
        <v>28</v>
      </c>
      <c r="F13" s="120"/>
      <c r="G13" s="120"/>
      <c r="H13" s="120"/>
      <c r="S13" s="52" t="s">
        <v>176</v>
      </c>
      <c r="T13" s="52" t="s">
        <v>186</v>
      </c>
      <c r="U13" s="52" t="s">
        <v>170</v>
      </c>
      <c r="V13" s="52" t="s">
        <v>191</v>
      </c>
      <c r="W13" s="52" t="s">
        <v>209</v>
      </c>
      <c r="X13"/>
      <c r="Y13" t="s">
        <v>191</v>
      </c>
      <c r="Z13" t="e">
        <f ca="1">OFFSET($S$13,1,MATCH($G20,$S$13:$W$13,0)-1,15,1)</f>
        <v>#VALUE!</v>
      </c>
    </row>
    <row r="14" spans="1:26" x14ac:dyDescent="0.35">
      <c r="A14" s="91" t="s">
        <v>276</v>
      </c>
      <c r="B14" s="91"/>
      <c r="C14" s="91"/>
      <c r="D14" s="91"/>
      <c r="E14" s="118" t="s">
        <v>357</v>
      </c>
      <c r="F14" s="118"/>
      <c r="G14" s="118"/>
      <c r="H14" s="118"/>
      <c r="S14" s="52" t="s">
        <v>177</v>
      </c>
      <c r="T14" s="52" t="s">
        <v>184</v>
      </c>
      <c r="U14" s="52" t="s">
        <v>206</v>
      </c>
      <c r="V14" s="52" t="s">
        <v>192</v>
      </c>
      <c r="W14" s="52" t="s">
        <v>210</v>
      </c>
      <c r="X14"/>
      <c r="Y14"/>
      <c r="Z14"/>
    </row>
    <row r="15" spans="1:26" x14ac:dyDescent="0.35">
      <c r="A15" s="91" t="s">
        <v>8</v>
      </c>
      <c r="B15" s="91"/>
      <c r="C15" s="91"/>
      <c r="D15" s="91"/>
      <c r="E15" s="118" t="s">
        <v>302</v>
      </c>
      <c r="F15" s="120"/>
      <c r="G15" s="120"/>
      <c r="H15" s="120"/>
      <c r="I15" s="217" t="e">
        <f ca="1">OFFSET($D$5,1,MATCH($J13,$D$5:$H$5,0)-1,15,1)</f>
        <v>#N/A</v>
      </c>
      <c r="J15" s="218"/>
      <c r="K15" s="218"/>
      <c r="L15" s="218"/>
      <c r="M15" s="218"/>
      <c r="N15" s="218"/>
      <c r="O15" s="218"/>
      <c r="P15" s="218"/>
      <c r="S15" s="52" t="s">
        <v>178</v>
      </c>
      <c r="T15" s="52" t="s">
        <v>185</v>
      </c>
      <c r="U15" s="52" t="s">
        <v>207</v>
      </c>
      <c r="V15" s="52" t="s">
        <v>193</v>
      </c>
      <c r="W15" s="52" t="s">
        <v>223</v>
      </c>
      <c r="X15"/>
      <c r="Y15"/>
      <c r="Z15"/>
    </row>
    <row r="16" spans="1:26" ht="48.75" customHeight="1" x14ac:dyDescent="0.35">
      <c r="A16" s="119" t="s">
        <v>9</v>
      </c>
      <c r="B16" s="119"/>
      <c r="C16" s="119" t="str">
        <f>CONCATENATE((IF(OR(E9="",E9="NA"),"",E9)),", ",(IF(OR(A17="",A17="NA"),"",A17)),".",(IF(OR(C17="",C17="NA"),"",C17)),", near ",(IF(OR(C22="",C22="NA"),"",C22)),", ",(IF(OR(C19="",C19="NA"),"",C19)),", ",(IF(OR(C18="",C18="NA"),"",C18)),", ",(IF(OR(G19="",G19="NA"),"",G19)),", ",(IF(OR(C20="",C20="NA"),"",C20)),", ",(IF(OR(C21="",C21="NA"),"",C21)),", ",(IF(OR(G20="",G20="NA"),"",G20))," - ",(IF(OR(G21="",G21="NA"),"",G21)),".")</f>
        <v>Thanekar Palacio Phase II, Survey No.82/2/1(Pt), 83/3/6, 83/3/7, 83/4A, Part No. 3+5+6+7, near Thanekar Paradise, Sky Hill Road, Mauli Chowk, Shirgaon, Badlapur East, Ambernath, Thane  - 421503.</v>
      </c>
      <c r="D16" s="119"/>
      <c r="E16" s="119"/>
      <c r="F16" s="119"/>
      <c r="G16" s="119"/>
      <c r="H16" s="119"/>
      <c r="S16" s="52" t="s">
        <v>179</v>
      </c>
      <c r="T16" s="52" t="s">
        <v>187</v>
      </c>
      <c r="U16" s="52" t="s">
        <v>208</v>
      </c>
      <c r="V16" s="52" t="s">
        <v>194</v>
      </c>
      <c r="W16" s="52" t="s">
        <v>211</v>
      </c>
      <c r="X16"/>
      <c r="Y16"/>
      <c r="Z16"/>
    </row>
    <row r="17" spans="1:26" x14ac:dyDescent="0.35">
      <c r="A17" s="118" t="s">
        <v>303</v>
      </c>
      <c r="B17" s="118"/>
      <c r="C17" s="118" t="s">
        <v>363</v>
      </c>
      <c r="D17" s="118"/>
      <c r="E17" s="118"/>
      <c r="F17" s="118"/>
      <c r="G17" s="118"/>
      <c r="H17" s="118"/>
      <c r="S17" s="52" t="s">
        <v>180</v>
      </c>
      <c r="T17" s="52" t="s">
        <v>188</v>
      </c>
      <c r="U17" s="52" t="s">
        <v>170</v>
      </c>
      <c r="V17" s="52" t="s">
        <v>195</v>
      </c>
      <c r="W17" s="52" t="s">
        <v>212</v>
      </c>
      <c r="X17"/>
      <c r="Y17"/>
      <c r="Z17"/>
    </row>
    <row r="18" spans="1:26" ht="15.75" customHeight="1" x14ac:dyDescent="0.35">
      <c r="A18" s="118" t="s">
        <v>159</v>
      </c>
      <c r="B18" s="118"/>
      <c r="C18" s="118" t="s">
        <v>311</v>
      </c>
      <c r="D18" s="118"/>
      <c r="E18" s="118"/>
      <c r="F18" s="118"/>
      <c r="G18" s="118"/>
      <c r="H18" s="118"/>
      <c r="S18" s="52" t="s">
        <v>181</v>
      </c>
      <c r="T18" s="52" t="s">
        <v>186</v>
      </c>
      <c r="U18" s="52"/>
      <c r="V18" s="52" t="s">
        <v>196</v>
      </c>
      <c r="W18" s="52" t="s">
        <v>213</v>
      </c>
      <c r="X18"/>
      <c r="Y18"/>
      <c r="Z18"/>
    </row>
    <row r="19" spans="1:26" ht="15.75" customHeight="1" x14ac:dyDescent="0.35">
      <c r="A19" s="119" t="s">
        <v>10</v>
      </c>
      <c r="B19" s="119"/>
      <c r="C19" s="120" t="s">
        <v>304</v>
      </c>
      <c r="D19" s="120"/>
      <c r="E19" s="118" t="s">
        <v>70</v>
      </c>
      <c r="F19" s="118"/>
      <c r="G19" s="118" t="s">
        <v>306</v>
      </c>
      <c r="H19" s="118"/>
      <c r="S19" s="52" t="s">
        <v>182</v>
      </c>
      <c r="T19" s="52" t="s">
        <v>189</v>
      </c>
      <c r="U19" s="52"/>
      <c r="V19" s="52" t="s">
        <v>197</v>
      </c>
      <c r="W19" s="52" t="s">
        <v>214</v>
      </c>
      <c r="X19"/>
      <c r="Y19"/>
      <c r="Z19"/>
    </row>
    <row r="20" spans="1:26" x14ac:dyDescent="0.35">
      <c r="A20" s="91" t="s">
        <v>12</v>
      </c>
      <c r="B20" s="91"/>
      <c r="C20" s="118" t="s">
        <v>305</v>
      </c>
      <c r="D20" s="118"/>
      <c r="E20" s="118" t="s">
        <v>11</v>
      </c>
      <c r="F20" s="118"/>
      <c r="G20" s="174" t="s">
        <v>176</v>
      </c>
      <c r="H20" s="174"/>
      <c r="S20" s="52" t="s">
        <v>183</v>
      </c>
      <c r="T20" s="52" t="s">
        <v>190</v>
      </c>
      <c r="U20" s="52"/>
      <c r="V20" s="52" t="s">
        <v>198</v>
      </c>
      <c r="W20" s="52" t="s">
        <v>215</v>
      </c>
      <c r="X20"/>
      <c r="Y20"/>
      <c r="Z20"/>
    </row>
    <row r="21" spans="1:26" x14ac:dyDescent="0.35">
      <c r="A21" s="91" t="s">
        <v>71</v>
      </c>
      <c r="B21" s="91"/>
      <c r="C21" s="118" t="s">
        <v>182</v>
      </c>
      <c r="D21" s="118"/>
      <c r="E21" s="118" t="s">
        <v>13</v>
      </c>
      <c r="F21" s="118"/>
      <c r="G21" s="118">
        <v>421503</v>
      </c>
      <c r="H21" s="118"/>
      <c r="S21" s="52"/>
      <c r="T21" s="52"/>
      <c r="U21" s="52"/>
      <c r="V21" s="52" t="s">
        <v>199</v>
      </c>
      <c r="W21" s="52" t="s">
        <v>216</v>
      </c>
      <c r="X21"/>
      <c r="Y21"/>
      <c r="Z21"/>
    </row>
    <row r="22" spans="1:26" ht="32.25" customHeight="1" x14ac:dyDescent="0.35">
      <c r="A22" s="91" t="s">
        <v>119</v>
      </c>
      <c r="B22" s="91"/>
      <c r="C22" s="118" t="s">
        <v>310</v>
      </c>
      <c r="D22" s="118"/>
      <c r="E22" s="119" t="s">
        <v>14</v>
      </c>
      <c r="F22" s="119"/>
      <c r="G22" s="118" t="s">
        <v>312</v>
      </c>
      <c r="H22" s="118"/>
      <c r="S22" s="52"/>
      <c r="T22" s="52"/>
      <c r="U22" s="52"/>
      <c r="V22" s="52" t="s">
        <v>200</v>
      </c>
      <c r="W22" s="52" t="s">
        <v>217</v>
      </c>
      <c r="X22"/>
      <c r="Y22"/>
      <c r="Z22"/>
    </row>
    <row r="23" spans="1:26" ht="15" customHeight="1" x14ac:dyDescent="0.35">
      <c r="A23" s="119" t="s">
        <v>73</v>
      </c>
      <c r="B23" s="119"/>
      <c r="C23" s="119"/>
      <c r="D23" s="119"/>
      <c r="E23" s="120" t="s">
        <v>15</v>
      </c>
      <c r="F23" s="120"/>
      <c r="G23" s="120"/>
      <c r="H23" s="120"/>
      <c r="S23" s="52"/>
      <c r="T23" s="52"/>
      <c r="U23" s="52"/>
      <c r="V23" s="52" t="s">
        <v>201</v>
      </c>
      <c r="W23" s="52" t="s">
        <v>218</v>
      </c>
      <c r="X23"/>
      <c r="Y23"/>
      <c r="Z23"/>
    </row>
    <row r="24" spans="1:26" ht="18.75" customHeight="1" x14ac:dyDescent="0.35">
      <c r="A24" s="119"/>
      <c r="B24" s="119"/>
      <c r="C24" s="119"/>
      <c r="D24" s="119"/>
      <c r="E24" s="120"/>
      <c r="F24" s="120"/>
      <c r="G24" s="120"/>
      <c r="H24" s="120"/>
      <c r="S24" s="52"/>
      <c r="T24" s="52"/>
      <c r="U24" s="52"/>
      <c r="V24" s="52" t="s">
        <v>202</v>
      </c>
      <c r="W24" s="52" t="s">
        <v>219</v>
      </c>
      <c r="X24"/>
      <c r="Y24"/>
      <c r="Z24"/>
    </row>
    <row r="25" spans="1:26" ht="15" customHeight="1" x14ac:dyDescent="0.35">
      <c r="A25" s="119" t="s">
        <v>16</v>
      </c>
      <c r="B25" s="119"/>
      <c r="C25" s="119"/>
      <c r="D25" s="119"/>
      <c r="E25" s="118" t="s">
        <v>17</v>
      </c>
      <c r="F25" s="118"/>
      <c r="G25" s="118"/>
      <c r="H25" s="118"/>
      <c r="S25" s="52"/>
      <c r="T25" s="52"/>
      <c r="U25" s="52"/>
      <c r="V25" s="52" t="s">
        <v>203</v>
      </c>
      <c r="W25" s="52" t="s">
        <v>220</v>
      </c>
      <c r="X25"/>
      <c r="Y25"/>
      <c r="Z25"/>
    </row>
    <row r="26" spans="1:26" ht="15" customHeight="1" x14ac:dyDescent="0.35">
      <c r="A26" s="91" t="s">
        <v>18</v>
      </c>
      <c r="B26" s="91"/>
      <c r="C26" s="91"/>
      <c r="D26" s="91"/>
      <c r="E26" s="118" t="str">
        <f>IF(AND(G20="Mumbai"),"Upper Class","Middle Class")</f>
        <v>Middle Class</v>
      </c>
      <c r="F26" s="118"/>
      <c r="G26" s="118"/>
      <c r="H26" s="118"/>
      <c r="S26" s="52"/>
      <c r="T26" s="52"/>
      <c r="U26" s="52"/>
      <c r="V26" s="52" t="s">
        <v>204</v>
      </c>
      <c r="W26" s="52" t="s">
        <v>221</v>
      </c>
      <c r="X26"/>
      <c r="Y26"/>
      <c r="Z26"/>
    </row>
    <row r="27" spans="1:26" x14ac:dyDescent="0.35">
      <c r="A27" s="91" t="s">
        <v>19</v>
      </c>
      <c r="B27" s="91"/>
      <c r="C27" s="91"/>
      <c r="D27" s="91"/>
      <c r="E27" s="118" t="s">
        <v>20</v>
      </c>
      <c r="F27" s="118"/>
      <c r="G27" s="118"/>
      <c r="H27" s="118"/>
      <c r="S27" s="52"/>
      <c r="T27" s="52"/>
      <c r="U27" s="52"/>
      <c r="V27" s="52" t="s">
        <v>205</v>
      </c>
      <c r="W27" s="52" t="s">
        <v>222</v>
      </c>
      <c r="X27"/>
      <c r="Y27"/>
      <c r="Z27"/>
    </row>
    <row r="28" spans="1:26" ht="15.75" customHeight="1" x14ac:dyDescent="0.35">
      <c r="A28" s="91" t="s">
        <v>21</v>
      </c>
      <c r="B28" s="91"/>
      <c r="C28" s="91"/>
      <c r="D28" s="91"/>
      <c r="E28" s="118" t="str">
        <f>IF(AND(G20="Mumbai"),"Developed","Developing")</f>
        <v>Developing</v>
      </c>
      <c r="F28" s="118"/>
      <c r="G28" s="118"/>
      <c r="H28" s="118"/>
    </row>
    <row r="29" spans="1:26" x14ac:dyDescent="0.35">
      <c r="A29" s="91" t="s">
        <v>22</v>
      </c>
      <c r="B29" s="91"/>
      <c r="C29" s="91"/>
      <c r="D29" s="91"/>
      <c r="E29" s="118" t="s">
        <v>23</v>
      </c>
      <c r="F29" s="118"/>
      <c r="G29" s="118"/>
      <c r="H29" s="118"/>
    </row>
    <row r="30" spans="1:26" ht="15.75" customHeight="1" x14ac:dyDescent="0.35">
      <c r="A30" s="91" t="s">
        <v>78</v>
      </c>
      <c r="B30" s="91"/>
      <c r="C30" s="91"/>
      <c r="D30" s="91"/>
      <c r="E30" s="118" t="s">
        <v>79</v>
      </c>
      <c r="F30" s="118"/>
      <c r="G30" s="118"/>
      <c r="H30" s="118"/>
    </row>
    <row r="31" spans="1:26" ht="15" customHeight="1" x14ac:dyDescent="0.35">
      <c r="A31" s="91" t="s">
        <v>30</v>
      </c>
      <c r="B31" s="91"/>
      <c r="C31" s="91"/>
      <c r="D31" s="91"/>
      <c r="E31" s="118"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 + Commercial</v>
      </c>
      <c r="F31" s="118"/>
      <c r="G31" s="118"/>
      <c r="H31" s="118"/>
    </row>
    <row r="32" spans="1:26" ht="15.75" customHeight="1" x14ac:dyDescent="0.35">
      <c r="A32" s="91" t="s">
        <v>90</v>
      </c>
      <c r="B32" s="91"/>
      <c r="C32" s="91"/>
      <c r="D32" s="91"/>
      <c r="E32" s="118" t="s">
        <v>31</v>
      </c>
      <c r="F32" s="118"/>
      <c r="G32" s="118"/>
      <c r="H32" s="118"/>
    </row>
    <row r="33" spans="1:19" s="21" customFormat="1" x14ac:dyDescent="0.35">
      <c r="A33" s="173" t="s">
        <v>91</v>
      </c>
      <c r="B33" s="173"/>
      <c r="C33" s="170" t="s">
        <v>171</v>
      </c>
      <c r="D33" s="171"/>
      <c r="E33" s="172"/>
      <c r="F33" s="170" t="s">
        <v>29</v>
      </c>
      <c r="G33" s="171"/>
      <c r="H33" s="172"/>
      <c r="S33" s="21" t="e">
        <f ca="1">OFFSET($S$13,1,MATCH($G20,$S$13:$W$13,0)-1,15,1)</f>
        <v>#VALUE!</v>
      </c>
    </row>
    <row r="34" spans="1:19" s="21" customFormat="1" x14ac:dyDescent="0.35">
      <c r="A34" s="155" t="s">
        <v>24</v>
      </c>
      <c r="B34" s="155" t="s">
        <v>28</v>
      </c>
      <c r="C34" s="156" t="s">
        <v>315</v>
      </c>
      <c r="D34" s="157"/>
      <c r="E34" s="158"/>
      <c r="F34" s="156" t="s">
        <v>304</v>
      </c>
      <c r="G34" s="157"/>
      <c r="H34" s="158"/>
    </row>
    <row r="35" spans="1:19" x14ac:dyDescent="0.35">
      <c r="A35" s="155" t="s">
        <v>25</v>
      </c>
      <c r="B35" s="155" t="s">
        <v>28</v>
      </c>
      <c r="C35" s="156" t="s">
        <v>316</v>
      </c>
      <c r="D35" s="157"/>
      <c r="E35" s="158"/>
      <c r="F35" s="156" t="s">
        <v>314</v>
      </c>
      <c r="G35" s="157"/>
      <c r="H35" s="158"/>
    </row>
    <row r="36" spans="1:19" s="21" customFormat="1" x14ac:dyDescent="0.35">
      <c r="A36" s="155" t="s">
        <v>27</v>
      </c>
      <c r="B36" s="155" t="s">
        <v>28</v>
      </c>
      <c r="C36" s="156" t="s">
        <v>316</v>
      </c>
      <c r="D36" s="157"/>
      <c r="E36" s="158"/>
      <c r="F36" s="156" t="s">
        <v>307</v>
      </c>
      <c r="G36" s="157"/>
      <c r="H36" s="158"/>
    </row>
    <row r="37" spans="1:19" x14ac:dyDescent="0.35">
      <c r="A37" s="155" t="s">
        <v>26</v>
      </c>
      <c r="B37" s="155" t="s">
        <v>28</v>
      </c>
      <c r="C37" s="156" t="s">
        <v>316</v>
      </c>
      <c r="D37" s="157"/>
      <c r="E37" s="158"/>
      <c r="F37" s="156" t="s">
        <v>313</v>
      </c>
      <c r="G37" s="157"/>
      <c r="H37" s="158"/>
    </row>
    <row r="38" spans="1:19" x14ac:dyDescent="0.35">
      <c r="A38" s="91" t="s">
        <v>277</v>
      </c>
      <c r="B38" s="91"/>
      <c r="C38" s="91"/>
      <c r="D38" s="91"/>
      <c r="E38" s="91"/>
      <c r="F38" s="91"/>
      <c r="G38" s="91"/>
      <c r="H38" s="91"/>
    </row>
    <row r="39" spans="1:19" ht="15.75" customHeight="1" x14ac:dyDescent="0.35">
      <c r="A39" s="91" t="s">
        <v>162</v>
      </c>
      <c r="B39" s="91"/>
      <c r="C39" s="91" t="s">
        <v>308</v>
      </c>
      <c r="D39" s="91"/>
      <c r="E39" s="91"/>
      <c r="F39" s="91"/>
      <c r="G39" s="91"/>
      <c r="H39" s="91"/>
    </row>
    <row r="40" spans="1:19" x14ac:dyDescent="0.35">
      <c r="A40" s="91" t="s">
        <v>158</v>
      </c>
      <c r="B40" s="91"/>
      <c r="C40" s="132" t="s">
        <v>309</v>
      </c>
      <c r="D40" s="118"/>
      <c r="E40" s="118"/>
      <c r="F40" s="118"/>
      <c r="G40" s="118"/>
      <c r="H40" s="118"/>
    </row>
    <row r="41" spans="1:19" x14ac:dyDescent="0.35">
      <c r="A41" s="121" t="s">
        <v>32</v>
      </c>
      <c r="B41" s="121"/>
      <c r="C41" s="121"/>
      <c r="D41" s="121"/>
      <c r="E41" s="121"/>
      <c r="F41" s="121"/>
      <c r="G41" s="121"/>
      <c r="H41" s="121"/>
    </row>
    <row r="42" spans="1:19" x14ac:dyDescent="0.35">
      <c r="A42" s="91" t="s">
        <v>33</v>
      </c>
      <c r="B42" s="91"/>
      <c r="C42" s="91"/>
      <c r="D42" s="91"/>
      <c r="E42" s="162">
        <v>5267.7</v>
      </c>
      <c r="F42" s="162"/>
      <c r="G42" s="162"/>
      <c r="H42" s="162"/>
    </row>
    <row r="43" spans="1:19" x14ac:dyDescent="0.35">
      <c r="A43" s="91" t="s">
        <v>34</v>
      </c>
      <c r="B43" s="91"/>
      <c r="C43" s="91"/>
      <c r="D43" s="91"/>
      <c r="E43" s="168">
        <f>5017.76/E42</f>
        <v>0.9525523473242592</v>
      </c>
      <c r="F43" s="168"/>
      <c r="G43" s="168"/>
      <c r="H43" s="168"/>
    </row>
    <row r="44" spans="1:19" x14ac:dyDescent="0.35">
      <c r="A44" s="91" t="s">
        <v>35</v>
      </c>
      <c r="B44" s="91"/>
      <c r="C44" s="91"/>
      <c r="D44" s="91"/>
      <c r="E44" s="168">
        <f>E46/E42-E43</f>
        <v>2.5047743797103097</v>
      </c>
      <c r="F44" s="168"/>
      <c r="G44" s="168"/>
      <c r="H44" s="168"/>
    </row>
    <row r="45" spans="1:19" x14ac:dyDescent="0.35">
      <c r="A45" s="91" t="s">
        <v>36</v>
      </c>
      <c r="B45" s="91"/>
      <c r="C45" s="91"/>
      <c r="D45" s="91"/>
      <c r="E45" s="168">
        <f>E43+E44</f>
        <v>3.4573267270345687</v>
      </c>
      <c r="F45" s="168"/>
      <c r="G45" s="168"/>
      <c r="H45" s="168"/>
    </row>
    <row r="46" spans="1:19" x14ac:dyDescent="0.35">
      <c r="A46" s="91" t="s">
        <v>89</v>
      </c>
      <c r="B46" s="91"/>
      <c r="C46" s="91"/>
      <c r="D46" s="91"/>
      <c r="E46" s="169">
        <v>18212.16</v>
      </c>
      <c r="F46" s="169"/>
      <c r="G46" s="169"/>
      <c r="H46" s="169"/>
    </row>
    <row r="47" spans="1:19" x14ac:dyDescent="0.35">
      <c r="A47" s="120" t="s">
        <v>37</v>
      </c>
      <c r="B47" s="120"/>
      <c r="C47" s="120"/>
      <c r="D47" s="120"/>
      <c r="E47" s="120" t="s">
        <v>301</v>
      </c>
      <c r="F47" s="120"/>
      <c r="G47" s="120"/>
      <c r="H47" s="120"/>
    </row>
    <row r="48" spans="1:19" x14ac:dyDescent="0.35">
      <c r="A48" s="121" t="s">
        <v>38</v>
      </c>
      <c r="B48" s="121"/>
      <c r="C48" s="121"/>
      <c r="D48" s="121"/>
      <c r="E48" s="121"/>
      <c r="F48" s="121"/>
      <c r="G48" s="121"/>
      <c r="H48" s="121"/>
    </row>
    <row r="49" spans="1:24" ht="33.75" customHeight="1" x14ac:dyDescent="0.35">
      <c r="A49" s="107" t="s">
        <v>148</v>
      </c>
      <c r="B49" s="109"/>
      <c r="C49" s="133" t="s">
        <v>259</v>
      </c>
      <c r="D49" s="134"/>
      <c r="E49" s="134"/>
      <c r="F49" s="134"/>
      <c r="G49" s="134"/>
      <c r="H49" s="135"/>
      <c r="R49" t="s">
        <v>250</v>
      </c>
      <c r="S49" t="s">
        <v>170</v>
      </c>
      <c r="T49" t="s">
        <v>176</v>
      </c>
      <c r="U49" t="s">
        <v>191</v>
      </c>
      <c r="V49" t="s">
        <v>186</v>
      </c>
    </row>
    <row r="50" spans="1:24" x14ac:dyDescent="0.35">
      <c r="A50" s="107" t="s">
        <v>39</v>
      </c>
      <c r="B50" s="109"/>
      <c r="C50" s="107" t="s">
        <v>317</v>
      </c>
      <c r="D50" s="108"/>
      <c r="E50" s="109"/>
      <c r="F50" s="17" t="s">
        <v>40</v>
      </c>
      <c r="G50" s="226">
        <v>45233</v>
      </c>
      <c r="H50" s="216"/>
      <c r="R50"/>
      <c r="S50" t="s">
        <v>251</v>
      </c>
      <c r="T50" t="s">
        <v>256</v>
      </c>
      <c r="U50" t="s">
        <v>267</v>
      </c>
      <c r="V50" t="s">
        <v>272</v>
      </c>
    </row>
    <row r="51" spans="1:24" ht="15.75" customHeight="1" x14ac:dyDescent="0.35">
      <c r="A51" s="107" t="s">
        <v>41</v>
      </c>
      <c r="B51" s="109"/>
      <c r="C51" s="107" t="str">
        <f>C50</f>
        <v>KBNP/NRV/BD/2523-71/23-24</v>
      </c>
      <c r="D51" s="108"/>
      <c r="E51" s="109"/>
      <c r="F51" s="17" t="s">
        <v>40</v>
      </c>
      <c r="G51" s="209">
        <f>G50</f>
        <v>45233</v>
      </c>
      <c r="H51" s="109"/>
      <c r="R51"/>
      <c r="S51" t="s">
        <v>252</v>
      </c>
      <c r="T51" t="s">
        <v>257</v>
      </c>
      <c r="U51" t="s">
        <v>265</v>
      </c>
      <c r="V51" t="s">
        <v>273</v>
      </c>
    </row>
    <row r="52" spans="1:24" s="22" customFormat="1" ht="33" customHeight="1" x14ac:dyDescent="0.35">
      <c r="A52" s="210" t="s">
        <v>152</v>
      </c>
      <c r="B52" s="211"/>
      <c r="C52" s="107" t="s">
        <v>322</v>
      </c>
      <c r="D52" s="108"/>
      <c r="E52" s="109"/>
      <c r="F52" s="17" t="s">
        <v>40</v>
      </c>
      <c r="G52" s="209">
        <v>45013</v>
      </c>
      <c r="H52" s="109"/>
      <c r="R52"/>
      <c r="S52" t="s">
        <v>253</v>
      </c>
      <c r="T52" t="s">
        <v>258</v>
      </c>
      <c r="U52" t="s">
        <v>255</v>
      </c>
      <c r="V52" t="s">
        <v>274</v>
      </c>
    </row>
    <row r="53" spans="1:24" s="22" customFormat="1" ht="33.75" customHeight="1" x14ac:dyDescent="0.35">
      <c r="A53" s="212"/>
      <c r="B53" s="213"/>
      <c r="C53" s="107" t="s">
        <v>318</v>
      </c>
      <c r="D53" s="108"/>
      <c r="E53" s="108"/>
      <c r="F53" s="108"/>
      <c r="G53" s="108"/>
      <c r="H53" s="109"/>
      <c r="R53"/>
      <c r="S53" t="s">
        <v>254</v>
      </c>
      <c r="T53" t="s">
        <v>261</v>
      </c>
      <c r="U53" t="s">
        <v>268</v>
      </c>
    </row>
    <row r="54" spans="1:24" s="22" customFormat="1" ht="32.25" customHeight="1" x14ac:dyDescent="0.35">
      <c r="A54" s="210" t="s">
        <v>152</v>
      </c>
      <c r="B54" s="211"/>
      <c r="C54" s="214" t="s">
        <v>323</v>
      </c>
      <c r="D54" s="215"/>
      <c r="E54" s="216"/>
      <c r="F54" s="17" t="s">
        <v>40</v>
      </c>
      <c r="G54" s="209">
        <f>G51</f>
        <v>45233</v>
      </c>
      <c r="H54" s="109"/>
      <c r="R54"/>
      <c r="S54" t="s">
        <v>253</v>
      </c>
      <c r="T54" t="s">
        <v>258</v>
      </c>
      <c r="U54" t="s">
        <v>255</v>
      </c>
      <c r="V54" t="s">
        <v>274</v>
      </c>
    </row>
    <row r="55" spans="1:24" s="22" customFormat="1" x14ac:dyDescent="0.35">
      <c r="A55" s="212"/>
      <c r="B55" s="213"/>
      <c r="C55" s="107" t="s">
        <v>362</v>
      </c>
      <c r="D55" s="108"/>
      <c r="E55" s="108"/>
      <c r="F55" s="108"/>
      <c r="G55" s="108"/>
      <c r="H55" s="109"/>
      <c r="R55"/>
      <c r="S55" t="s">
        <v>254</v>
      </c>
      <c r="T55" t="s">
        <v>261</v>
      </c>
      <c r="U55" t="s">
        <v>268</v>
      </c>
    </row>
    <row r="56" spans="1:24" s="22" customFormat="1" hidden="1" x14ac:dyDescent="0.35">
      <c r="A56" s="205" t="s">
        <v>278</v>
      </c>
      <c r="B56" s="206"/>
      <c r="C56" s="107" t="str">
        <f>C55</f>
        <v>Wing A &amp; B = Gound Floor (Commercial area changes).</v>
      </c>
      <c r="D56" s="108"/>
      <c r="E56" s="109"/>
      <c r="F56" s="17" t="s">
        <v>40</v>
      </c>
      <c r="G56" s="107"/>
      <c r="H56" s="109"/>
      <c r="R56"/>
      <c r="S56" t="s">
        <v>253</v>
      </c>
      <c r="T56" t="s">
        <v>258</v>
      </c>
      <c r="U56" t="s">
        <v>255</v>
      </c>
      <c r="V56" t="s">
        <v>274</v>
      </c>
    </row>
    <row r="57" spans="1:24" s="22" customFormat="1" ht="32.25" hidden="1" customHeight="1" x14ac:dyDescent="0.35">
      <c r="A57" s="207"/>
      <c r="B57" s="208"/>
      <c r="C57" s="110"/>
      <c r="D57" s="111"/>
      <c r="E57" s="111"/>
      <c r="F57" s="111"/>
      <c r="G57" s="111"/>
      <c r="H57" s="112"/>
      <c r="R57"/>
      <c r="S57" t="s">
        <v>255</v>
      </c>
      <c r="T57" t="s">
        <v>259</v>
      </c>
      <c r="U57" t="s">
        <v>269</v>
      </c>
      <c r="V57" s="20"/>
      <c r="W57" s="20"/>
      <c r="X57" s="20"/>
    </row>
    <row r="58" spans="1:24" s="22" customFormat="1" ht="34.5" hidden="1" customHeight="1" x14ac:dyDescent="0.35">
      <c r="A58" s="205" t="s">
        <v>279</v>
      </c>
      <c r="B58" s="206"/>
      <c r="C58" s="107">
        <f>C57</f>
        <v>0</v>
      </c>
      <c r="D58" s="108"/>
      <c r="E58" s="109"/>
      <c r="F58" s="17" t="s">
        <v>40</v>
      </c>
      <c r="G58" s="107">
        <f>G57</f>
        <v>0</v>
      </c>
      <c r="H58" s="109"/>
      <c r="R58"/>
      <c r="S58" s="20"/>
      <c r="T58" t="s">
        <v>260</v>
      </c>
      <c r="U58" t="s">
        <v>270</v>
      </c>
      <c r="V58" s="20"/>
      <c r="W58" s="20"/>
      <c r="X58" s="20"/>
    </row>
    <row r="59" spans="1:24" s="22" customFormat="1" ht="41.25" hidden="1" customHeight="1" x14ac:dyDescent="0.35">
      <c r="A59" s="207"/>
      <c r="B59" s="208"/>
      <c r="C59" s="107"/>
      <c r="D59" s="108"/>
      <c r="E59" s="108"/>
      <c r="F59" s="108"/>
      <c r="G59" s="108"/>
      <c r="H59" s="109"/>
      <c r="R59"/>
      <c r="S59" s="20"/>
      <c r="T59" t="s">
        <v>262</v>
      </c>
      <c r="U59" t="s">
        <v>271</v>
      </c>
      <c r="V59" s="20"/>
      <c r="W59" s="20"/>
      <c r="X59" s="20"/>
    </row>
    <row r="60" spans="1:24" s="22" customFormat="1" ht="15.75" hidden="1" customHeight="1" x14ac:dyDescent="0.35">
      <c r="A60" s="205" t="s">
        <v>280</v>
      </c>
      <c r="B60" s="206"/>
      <c r="C60" s="107">
        <f>C59</f>
        <v>0</v>
      </c>
      <c r="D60" s="108"/>
      <c r="E60" s="109"/>
      <c r="F60" s="17" t="s">
        <v>40</v>
      </c>
      <c r="G60" s="107">
        <f>G59</f>
        <v>0</v>
      </c>
      <c r="H60" s="109"/>
      <c r="R60"/>
      <c r="S60" s="20"/>
      <c r="T60" t="s">
        <v>263</v>
      </c>
      <c r="U60" s="20" t="s">
        <v>294</v>
      </c>
      <c r="V60" s="20"/>
      <c r="W60" s="20"/>
      <c r="X60" s="20"/>
    </row>
    <row r="61" spans="1:24" s="22" customFormat="1" ht="33.75" hidden="1" customHeight="1" x14ac:dyDescent="0.35">
      <c r="A61" s="207"/>
      <c r="B61" s="208"/>
      <c r="C61" s="107"/>
      <c r="D61" s="108"/>
      <c r="E61" s="108"/>
      <c r="F61" s="108"/>
      <c r="G61" s="108"/>
      <c r="H61" s="109"/>
      <c r="R61"/>
      <c r="S61" s="20"/>
      <c r="T61" t="s">
        <v>264</v>
      </c>
      <c r="U61" s="20"/>
      <c r="V61" s="20"/>
      <c r="W61" s="20"/>
      <c r="X61" s="20"/>
    </row>
    <row r="62" spans="1:24" x14ac:dyDescent="0.35">
      <c r="A62" s="220" t="s">
        <v>42</v>
      </c>
      <c r="B62" s="221"/>
      <c r="C62" s="220" t="s">
        <v>103</v>
      </c>
      <c r="D62" s="222"/>
      <c r="E62" s="221"/>
      <c r="F62" s="42" t="s">
        <v>40</v>
      </c>
      <c r="G62" s="203" t="s">
        <v>28</v>
      </c>
      <c r="H62" s="204"/>
      <c r="R62"/>
      <c r="T62" t="s">
        <v>266</v>
      </c>
    </row>
    <row r="63" spans="1:24" x14ac:dyDescent="0.35">
      <c r="A63" s="184" t="s">
        <v>44</v>
      </c>
      <c r="B63" s="184"/>
      <c r="C63" s="184"/>
      <c r="D63" s="184"/>
      <c r="E63" s="184"/>
      <c r="F63" s="184"/>
      <c r="G63" s="184"/>
      <c r="H63" s="184"/>
      <c r="T63" t="s">
        <v>275</v>
      </c>
    </row>
    <row r="64" spans="1:24" x14ac:dyDescent="0.35">
      <c r="A64" s="119" t="s">
        <v>88</v>
      </c>
      <c r="B64" s="119"/>
      <c r="C64" s="119"/>
      <c r="D64" s="91">
        <f>E46</f>
        <v>18212.16</v>
      </c>
      <c r="E64" s="91"/>
      <c r="F64" s="91"/>
      <c r="G64" s="91"/>
      <c r="H64" s="91"/>
      <c r="R64"/>
    </row>
    <row r="65" spans="1:19" x14ac:dyDescent="0.35">
      <c r="A65" s="118" t="s">
        <v>45</v>
      </c>
      <c r="B65" s="120"/>
      <c r="C65" s="120"/>
      <c r="D65" s="120" t="s">
        <v>356</v>
      </c>
      <c r="E65" s="120"/>
      <c r="F65" s="120"/>
      <c r="G65" s="120"/>
      <c r="H65" s="120"/>
      <c r="I65" s="23"/>
      <c r="R65"/>
    </row>
    <row r="66" spans="1:19" ht="33.75" customHeight="1" x14ac:dyDescent="0.35">
      <c r="A66" s="124" t="s">
        <v>46</v>
      </c>
      <c r="B66" s="125"/>
      <c r="C66" s="126"/>
      <c r="D66" s="122" t="s">
        <v>366</v>
      </c>
      <c r="E66" s="123"/>
      <c r="F66" s="123"/>
      <c r="G66" s="123"/>
      <c r="H66" s="123"/>
      <c r="R66"/>
    </row>
    <row r="67" spans="1:19" ht="15.75" customHeight="1" x14ac:dyDescent="0.35">
      <c r="A67" s="124" t="s">
        <v>86</v>
      </c>
      <c r="B67" s="125"/>
      <c r="C67" s="125"/>
      <c r="D67" s="237" t="s">
        <v>364</v>
      </c>
      <c r="E67" s="238"/>
      <c r="F67" s="238"/>
      <c r="G67" s="238"/>
      <c r="H67" s="239"/>
      <c r="R67"/>
    </row>
    <row r="68" spans="1:19" ht="15.75" customHeight="1" x14ac:dyDescent="0.35">
      <c r="A68" s="232"/>
      <c r="B68" s="233"/>
      <c r="C68" s="233"/>
      <c r="D68" s="232" t="s">
        <v>365</v>
      </c>
      <c r="E68" s="242"/>
      <c r="F68" s="242"/>
      <c r="G68" s="242"/>
      <c r="H68" s="243"/>
      <c r="R68"/>
    </row>
    <row r="69" spans="1:19" ht="15.75" customHeight="1" x14ac:dyDescent="0.35">
      <c r="A69" s="232"/>
      <c r="B69" s="234"/>
      <c r="C69" s="234"/>
      <c r="D69" s="235" t="s">
        <v>319</v>
      </c>
      <c r="E69" s="240"/>
      <c r="F69" s="240"/>
      <c r="G69" s="240"/>
      <c r="H69" s="241"/>
      <c r="R69"/>
    </row>
    <row r="70" spans="1:19" ht="15.75" hidden="1" customHeight="1" x14ac:dyDescent="0.35">
      <c r="A70" s="235"/>
      <c r="B70" s="236"/>
      <c r="C70" s="236"/>
      <c r="D70" s="229" t="s">
        <v>166</v>
      </c>
      <c r="E70" s="230"/>
      <c r="F70" s="230"/>
      <c r="G70" s="230"/>
      <c r="H70" s="231"/>
      <c r="S70"/>
    </row>
    <row r="71" spans="1:19" ht="15.75" customHeight="1" x14ac:dyDescent="0.35">
      <c r="A71" s="91" t="s">
        <v>43</v>
      </c>
      <c r="B71" s="91"/>
      <c r="C71" s="91"/>
      <c r="D71" s="163" t="s">
        <v>358</v>
      </c>
      <c r="E71" s="163"/>
      <c r="F71" s="163"/>
      <c r="G71" s="163"/>
      <c r="H71" s="163"/>
      <c r="J71" s="24"/>
      <c r="K71" s="23"/>
      <c r="N71" s="23"/>
      <c r="S71"/>
    </row>
    <row r="72" spans="1:19" ht="15.75" customHeight="1" x14ac:dyDescent="0.35">
      <c r="A72" s="91" t="s">
        <v>84</v>
      </c>
      <c r="B72" s="91"/>
      <c r="C72" s="91"/>
      <c r="D72" s="167" t="str">
        <f>(IF(G62="NA","60 Years After Completion",IF(G62&lt;&gt;"NA",""&amp;60-ROUNDDOWN((E3-G62)/360,0)&amp;" Years"," ")))</f>
        <v>60 Years After Completion</v>
      </c>
      <c r="E72" s="167"/>
      <c r="F72" s="167"/>
      <c r="G72" s="167"/>
      <c r="H72" s="167"/>
      <c r="N72" s="23"/>
      <c r="S72"/>
    </row>
    <row r="73" spans="1:19" ht="15.75" customHeight="1" x14ac:dyDescent="0.35">
      <c r="A73" s="91" t="s">
        <v>85</v>
      </c>
      <c r="B73" s="91"/>
      <c r="C73" s="91"/>
      <c r="D73" s="119" t="s">
        <v>23</v>
      </c>
      <c r="E73" s="119"/>
      <c r="F73" s="119"/>
      <c r="G73" s="119"/>
      <c r="H73" s="119"/>
      <c r="J73" s="25"/>
      <c r="K73" s="25"/>
      <c r="S73"/>
    </row>
    <row r="74" spans="1:19" ht="36" customHeight="1" x14ac:dyDescent="0.35">
      <c r="A74" s="120" t="s">
        <v>320</v>
      </c>
      <c r="B74" s="120"/>
      <c r="C74" s="120"/>
      <c r="D74" s="118" t="s">
        <v>321</v>
      </c>
      <c r="E74" s="119"/>
      <c r="F74" s="119"/>
      <c r="G74" s="119"/>
      <c r="H74" s="119"/>
      <c r="S74"/>
    </row>
    <row r="75" spans="1:19" x14ac:dyDescent="0.35">
      <c r="A75" s="119" t="s">
        <v>145</v>
      </c>
      <c r="B75" s="119"/>
      <c r="C75" s="119"/>
      <c r="D75" s="119" t="s">
        <v>28</v>
      </c>
      <c r="E75" s="119"/>
      <c r="F75" s="119"/>
      <c r="G75" s="119"/>
      <c r="H75" s="119"/>
      <c r="I75" s="26"/>
      <c r="J75" s="26"/>
      <c r="K75" s="26"/>
      <c r="L75" s="26"/>
      <c r="M75" s="26"/>
      <c r="N75" s="26"/>
    </row>
    <row r="76" spans="1:19" ht="15.75" customHeight="1" x14ac:dyDescent="0.35">
      <c r="A76" s="225" t="s">
        <v>83</v>
      </c>
      <c r="B76" s="225"/>
      <c r="C76" s="225"/>
      <c r="D76" s="122" t="str">
        <f ca="1">(IF(G82&gt;95%,"Nothing",IF(G82&gt;0%,"Cement, Aggregate, Steel, etc",IF(G82=0%,"Work not yet Started"))))</f>
        <v>Cement, Aggregate, Steel, etc</v>
      </c>
      <c r="E76" s="122"/>
      <c r="F76" s="122"/>
      <c r="G76" s="122"/>
      <c r="H76" s="122"/>
      <c r="J76" s="25"/>
      <c r="S76"/>
    </row>
    <row r="77" spans="1:19" ht="33.75" customHeight="1" thickBot="1" x14ac:dyDescent="0.4">
      <c r="A77" s="178" t="s">
        <v>116</v>
      </c>
      <c r="B77" s="178"/>
      <c r="C77" s="178"/>
      <c r="D77" s="122" t="str">
        <f ca="1">(IF(D76="Nothing","Yes",IF(D76="Cement, Aggregate, Steel, etc","Under Construction",IF(D76="Work not yet Started","Work not yet Started"))))</f>
        <v>Under Construction</v>
      </c>
      <c r="E77" s="122"/>
      <c r="F77" s="122" t="str">
        <f ca="1">(IF(D76="Nothing","Yes",IF(D76="Cement, Aggregate, Steel, etc","Under Construction",IF(D76="Work not yet Started","Work not yet Started"))))</f>
        <v>Under Construction</v>
      </c>
      <c r="G77" s="122"/>
      <c r="H77" s="122"/>
      <c r="S77"/>
    </row>
    <row r="78" spans="1:19" ht="15.75" customHeight="1" x14ac:dyDescent="0.35">
      <c r="A78" s="127" t="s">
        <v>137</v>
      </c>
      <c r="B78" s="128"/>
      <c r="C78" s="129" t="s">
        <v>377</v>
      </c>
      <c r="D78" s="130"/>
      <c r="E78" s="130"/>
      <c r="F78" s="130"/>
      <c r="G78" s="130"/>
      <c r="H78" s="131"/>
      <c r="I78" s="45" t="str">
        <f ca="1">IF(D91=100%,"All work Completed. Possession granted to the Building.",IF(D90=100%,"All work Completed, Waiting for OC",I79&amp;""&amp;I80&amp;""&amp;J79&amp;""&amp;J78&amp;" "&amp;J80))</f>
        <v>Excavation, Plinth Completed, RCC upto 14 Slab, Brickwork upto 8 Floor, Internal Plaster upto 6 Floor, External Plaster upto 3 Floor Completed</v>
      </c>
      <c r="J78" s="46" t="str">
        <f ca="1">(IF(C84=(D79+F79+H79),"",IF(C84&gt;0,", RCC upto "&amp;C84&amp;" Slab","")))&amp;(IF(C85=H79,"",IF(C85&gt;0,", Brickwork upto "&amp;C85&amp;" Floor","")))&amp;(IF(C86=H79,"",IF(C86&gt;0,", Internal Plaster upto "&amp;C86&amp;" Floor","")))&amp;(IF(C87=H79,"",IF(C87&gt;0,", External Plaster upto "&amp;C87&amp;" Floor","")))&amp;(IF(C88=H79,"",IF(C88&gt;0,", Flooring upto "&amp;C88&amp;" Floor","")))&amp;(IF(C89=H79,"",IF(C89&gt;0,", Painting upto "&amp;C89&amp;" Floor","")))&amp;(IF(C90=H79,"",IF(C90&gt;0,", Finishing upto "&amp;C90&amp;" Floor","")))&amp;(IF(C91=H79,"",IF(C91&gt;0,", Possession upto "&amp;C91&amp;" Floor","")))</f>
        <v>, RCC upto 14 Slab, Brickwork upto 8 Floor, Internal Plaster upto 6 Floor, External Plaster upto 3 Floor</v>
      </c>
      <c r="S78"/>
    </row>
    <row r="79" spans="1:19" x14ac:dyDescent="0.35">
      <c r="A79" s="15" t="s">
        <v>139</v>
      </c>
      <c r="B79" s="49">
        <f>IF(AND(ISNUMBER(SEARCH("1B",C78))),1,IF(AND(ISNUMBER(SEARCH("2B",C78))),2,IF(AND(ISNUMBER(SEARCH("3B",C78))),3,IF(AND(ISNUMBER(SEARCH("4B",C78))),4,IF(ISNUMBER(SEARCH("5B",C78)),5,0)))))</f>
        <v>0</v>
      </c>
      <c r="C79" s="49" t="s">
        <v>69</v>
      </c>
      <c r="D79" s="49">
        <v>1</v>
      </c>
      <c r="E79" s="49" t="s">
        <v>68</v>
      </c>
      <c r="F79" s="67">
        <v>2</v>
      </c>
      <c r="G79" s="44" t="s">
        <v>77</v>
      </c>
      <c r="H79" s="16">
        <f ca="1">--TRIM(RIGHT(SUBSTITUTE(LEFT(C78,_xlfn.AGGREGATE(16,6,FIND({0,1,2,3,4,5,6,7,8,9},C78,ROW(INDIRECT("1:"&amp;LEN(C78)))),1))," ",REPT(" ",LEN(C78))),LEN(C78)))</f>
        <v>16</v>
      </c>
      <c r="I79" s="47" t="str">
        <f ca="1">IF(D82=100%,"Excavation","")&amp;IF(D83=100%,", Plinth","")&amp;IF(D84=100%,", RCC Slab","")&amp;IF(D85=100%,", Brickwork","")&amp;IF(D86=100%,", Internal Plaster","")&amp;IF(D87=100%,", External Plaster","")&amp;IF(D88=100%,", Flooring","")&amp;IF(D89=100%,", Painting","")&amp;IF(D90=100%,", Building common Amenities","")</f>
        <v>Excavation, Plinth</v>
      </c>
      <c r="J79" s="48" t="str">
        <f ca="1">(IF(C82=0,"Work not yet Started.",IF(D82=25%,"Piling work in process",IF(D82=50%,"Excavation work in process",IF(D82=100%,"","0")))))&amp;(IF(C83=0%,"",IF(C83=J84,", Footing work is process",IF(C83=J85,", Footing work Completed",IF(C83=J86,", 1st Basement Completed",IF(C83=J87,", 1st &amp; 2nd Basement Completed",IF(C83=J88,", 1st to 3rd Basement Completed",IF(C83=J89,", 1st to 4th Basement Completed",IF(C83=J90,", Plinth work is process",IF(C83=J91,"","0"))))))))))</f>
        <v/>
      </c>
      <c r="S79"/>
    </row>
    <row r="80" spans="1:19" ht="31.5" customHeight="1" x14ac:dyDescent="0.35">
      <c r="A80" s="96" t="s">
        <v>87</v>
      </c>
      <c r="B80" s="97"/>
      <c r="C80" s="114" t="str">
        <f ca="1">I78</f>
        <v>Excavation, Plinth Completed, RCC upto 14 Slab, Brickwork upto 8 Floor, Internal Plaster upto 6 Floor, External Plaster upto 3 Floor Completed</v>
      </c>
      <c r="D80" s="114"/>
      <c r="E80" s="114"/>
      <c r="F80" s="114"/>
      <c r="G80" s="114"/>
      <c r="H80" s="115"/>
      <c r="I80" s="47" t="str">
        <f ca="1">IF(I79&lt;&gt;""," Completed","")</f>
        <v xml:space="preserve"> Completed</v>
      </c>
      <c r="J80" s="48" t="str">
        <f ca="1">IF(J78&lt;&gt;"","Completed","")</f>
        <v>Completed</v>
      </c>
      <c r="S80"/>
    </row>
    <row r="81" spans="1:19" ht="15.75" customHeight="1" x14ac:dyDescent="0.35">
      <c r="A81" s="88" t="s">
        <v>47</v>
      </c>
      <c r="B81" s="89"/>
      <c r="C81" s="69" t="s">
        <v>136</v>
      </c>
      <c r="D81" s="69" t="s">
        <v>80</v>
      </c>
      <c r="E81" s="89" t="s">
        <v>82</v>
      </c>
      <c r="F81" s="89"/>
      <c r="G81" s="89" t="s">
        <v>81</v>
      </c>
      <c r="H81" s="179"/>
      <c r="I81" s="13" t="s">
        <v>138</v>
      </c>
      <c r="J81" s="27">
        <f ca="1">H79*25%</f>
        <v>4</v>
      </c>
      <c r="S81"/>
    </row>
    <row r="82" spans="1:19" x14ac:dyDescent="0.35">
      <c r="A82" s="88" t="s">
        <v>125</v>
      </c>
      <c r="B82" s="89"/>
      <c r="C82" s="69">
        <f ca="1">J83</f>
        <v>16</v>
      </c>
      <c r="D82" s="18">
        <f ca="1">((100/H79)*C82)/100</f>
        <v>1</v>
      </c>
      <c r="E82" s="82">
        <f ca="1">(((C83/H79*10)+(40/(D79+F79+H79)*C84)+(7.5/(H79)*C85)+(7.5/(H79)*C86)+(10/H79*C87)+(10/H79*C88)+(5/H79*C89)+(5/H79*C90)+(5/H79*C91))/100)</f>
        <v>0.47911184210526314</v>
      </c>
      <c r="F82" s="164"/>
      <c r="G82" s="82">
        <f ca="1">((((C82/H79)*20)+((C83/H79)*25)+(30/(H79+F79+D79)*C84)+(5/H79*C85)+(5/H79*C86)+(5/H79*C87)+(5/H79*C88)+(0/H79*C89)+(0/H79*C90)+(5/H79*C91))/100)</f>
        <v>0.72417763157894743</v>
      </c>
      <c r="H82" s="83"/>
      <c r="I82" s="13" t="s">
        <v>98</v>
      </c>
      <c r="J82" s="28">
        <f ca="1">H79*50%</f>
        <v>8</v>
      </c>
    </row>
    <row r="83" spans="1:19" x14ac:dyDescent="0.35">
      <c r="A83" s="88" t="s">
        <v>48</v>
      </c>
      <c r="B83" s="89"/>
      <c r="C83" s="69">
        <f ca="1">J91</f>
        <v>16</v>
      </c>
      <c r="D83" s="18">
        <f ca="1">((100/H79)*C83)/100</f>
        <v>1</v>
      </c>
      <c r="E83" s="84"/>
      <c r="F83" s="165"/>
      <c r="G83" s="84"/>
      <c r="H83" s="85"/>
      <c r="I83" s="13" t="s">
        <v>99</v>
      </c>
      <c r="J83" s="28">
        <f ca="1">H79</f>
        <v>16</v>
      </c>
      <c r="S83"/>
    </row>
    <row r="84" spans="1:19" ht="15.75" customHeight="1" x14ac:dyDescent="0.35">
      <c r="A84" s="88" t="s">
        <v>126</v>
      </c>
      <c r="B84" s="89"/>
      <c r="C84" s="69">
        <f>F79+12</f>
        <v>14</v>
      </c>
      <c r="D84" s="18">
        <f ca="1">((100/(D79+F79+H79))*C84)/100</f>
        <v>0.73684210526315796</v>
      </c>
      <c r="E84" s="84"/>
      <c r="F84" s="165"/>
      <c r="G84" s="84"/>
      <c r="H84" s="85"/>
      <c r="I84" s="13" t="s">
        <v>100</v>
      </c>
      <c r="J84" s="29">
        <f ca="1">(IF(B79&gt;1,(H79/(B79+2)),H79/4))</f>
        <v>4</v>
      </c>
      <c r="S84"/>
    </row>
    <row r="85" spans="1:19" ht="15.75" customHeight="1" x14ac:dyDescent="0.35">
      <c r="A85" s="88" t="s">
        <v>133</v>
      </c>
      <c r="B85" s="89" t="s">
        <v>127</v>
      </c>
      <c r="C85" s="69">
        <v>8</v>
      </c>
      <c r="D85" s="18">
        <f ca="1">((100/H79)*C85)/100</f>
        <v>0.5</v>
      </c>
      <c r="E85" s="84"/>
      <c r="F85" s="165"/>
      <c r="G85" s="84"/>
      <c r="H85" s="85"/>
      <c r="I85" s="13" t="s">
        <v>101</v>
      </c>
      <c r="J85" s="29">
        <f ca="1">(IF(B79&gt;1,(H79/(B79+2)+J84),H79/4+J84))</f>
        <v>8</v>
      </c>
    </row>
    <row r="86" spans="1:19" ht="15.75" customHeight="1" x14ac:dyDescent="0.35">
      <c r="A86" s="88" t="s">
        <v>134</v>
      </c>
      <c r="B86" s="89" t="s">
        <v>127</v>
      </c>
      <c r="C86" s="69">
        <v>6</v>
      </c>
      <c r="D86" s="18">
        <f ca="1">((100/H79)*C86)/100</f>
        <v>0.375</v>
      </c>
      <c r="E86" s="84"/>
      <c r="F86" s="165"/>
      <c r="G86" s="84"/>
      <c r="H86" s="85"/>
      <c r="I86" s="13" t="s">
        <v>143</v>
      </c>
      <c r="J86" s="29">
        <f>(IF(B79&gt;1,(H79/(B79+2)+J85),0))</f>
        <v>0</v>
      </c>
    </row>
    <row r="87" spans="1:19" ht="15" customHeight="1" x14ac:dyDescent="0.35">
      <c r="A87" s="88" t="s">
        <v>132</v>
      </c>
      <c r="B87" s="89" t="s">
        <v>129</v>
      </c>
      <c r="C87" s="69">
        <v>3</v>
      </c>
      <c r="D87" s="18">
        <f ca="1">((100/(H79))*C87)/100</f>
        <v>0.1875</v>
      </c>
      <c r="E87" s="84"/>
      <c r="F87" s="165"/>
      <c r="G87" s="84"/>
      <c r="H87" s="85"/>
      <c r="I87" s="13" t="s">
        <v>140</v>
      </c>
      <c r="J87" s="29">
        <f>(IF(B79&gt;2,(H79/(B79+2)+J86),0))</f>
        <v>0</v>
      </c>
    </row>
    <row r="88" spans="1:19" ht="15.75" customHeight="1" x14ac:dyDescent="0.35">
      <c r="A88" s="88" t="s">
        <v>128</v>
      </c>
      <c r="B88" s="89" t="s">
        <v>128</v>
      </c>
      <c r="C88" s="69">
        <v>0</v>
      </c>
      <c r="D88" s="18">
        <f ca="1">((100/H79)*C88)/100</f>
        <v>0</v>
      </c>
      <c r="E88" s="84"/>
      <c r="F88" s="165"/>
      <c r="G88" s="84"/>
      <c r="H88" s="85"/>
      <c r="I88" s="13" t="s">
        <v>141</v>
      </c>
      <c r="J88" s="30">
        <f>(IF(B79&gt;3,(H79/(B79+2)+J87),0))</f>
        <v>0</v>
      </c>
    </row>
    <row r="89" spans="1:19" ht="15.75" customHeight="1" x14ac:dyDescent="0.35">
      <c r="A89" s="88" t="s">
        <v>135</v>
      </c>
      <c r="B89" s="89"/>
      <c r="C89" s="69">
        <v>0</v>
      </c>
      <c r="D89" s="18">
        <f ca="1">((100/H79)*C89)/100</f>
        <v>0</v>
      </c>
      <c r="E89" s="84"/>
      <c r="F89" s="165"/>
      <c r="G89" s="84"/>
      <c r="H89" s="85"/>
      <c r="I89" s="13" t="s">
        <v>142</v>
      </c>
      <c r="J89" s="29">
        <f>(IF(B79&gt;4,(H79/(B79+2)+J88),0))</f>
        <v>0</v>
      </c>
    </row>
    <row r="90" spans="1:19" ht="15.75" customHeight="1" x14ac:dyDescent="0.35">
      <c r="A90" s="88" t="s">
        <v>130</v>
      </c>
      <c r="B90" s="89" t="s">
        <v>130</v>
      </c>
      <c r="C90" s="69">
        <v>0</v>
      </c>
      <c r="D90" s="18">
        <f ca="1">((100/(H79))*C90)/100</f>
        <v>0</v>
      </c>
      <c r="E90" s="84"/>
      <c r="F90" s="165"/>
      <c r="G90" s="84"/>
      <c r="H90" s="85"/>
      <c r="I90" s="13" t="s">
        <v>144</v>
      </c>
      <c r="J90" s="29">
        <f ca="1">(IF(B79=1,(H79/(B79+3)+J85),IF(B79=0,(H79/4+J85),IF(B79&gt;1,0))))</f>
        <v>12</v>
      </c>
    </row>
    <row r="91" spans="1:19" ht="16" thickBot="1" x14ac:dyDescent="0.4">
      <c r="A91" s="100" t="s">
        <v>131</v>
      </c>
      <c r="B91" s="101"/>
      <c r="C91" s="70">
        <v>0</v>
      </c>
      <c r="D91" s="19">
        <f ca="1">((100/(H79))*C91)/100</f>
        <v>0</v>
      </c>
      <c r="E91" s="86"/>
      <c r="F91" s="166"/>
      <c r="G91" s="86"/>
      <c r="H91" s="87"/>
      <c r="I91" s="14" t="s">
        <v>102</v>
      </c>
      <c r="J91" s="31">
        <f ca="1">(IF(B79&gt;1.5,(H79/(B79+2)+J85+MAX(0,J86-J85)+MAX(0,J87-J86)+MAX(0,J88-J87)+MAX(0,J89-J88)+MAX(0,J90-J89)),IF(B79=1,(H79/(B79+3)+J90),IF(B79=0,H79/4+J90))))</f>
        <v>16</v>
      </c>
    </row>
    <row r="92" spans="1:19" ht="15.75" hidden="1" customHeight="1" x14ac:dyDescent="0.35">
      <c r="A92" s="127" t="s">
        <v>137</v>
      </c>
      <c r="B92" s="128"/>
      <c r="C92" s="129" t="str">
        <f>D68</f>
        <v>Building Wing B = Gr + 2 Podium + 1st to 16th Floor</v>
      </c>
      <c r="D92" s="130"/>
      <c r="E92" s="130"/>
      <c r="F92" s="130"/>
      <c r="G92" s="130"/>
      <c r="H92" s="131"/>
      <c r="I92" s="45" t="str">
        <f ca="1">IF(D105=100%,"All work Completed. Possession granted to the Building.",IF(D104=100%,"All work Completed, Waiting for OC",I93&amp;""&amp;I94&amp;""&amp;J93&amp;""&amp;J92&amp;" "&amp;J94))</f>
        <v>Excavation, Plinth Completed, RCC upto 12 Slab, Brickwork upto 6 Floor, Internal Plaster upto 2 Floor Completed</v>
      </c>
      <c r="J92" s="46" t="str">
        <f ca="1">(IF(C98=(D93+F93+H93),"",IF(C98&gt;0,", RCC upto "&amp;C98&amp;" Slab","")))&amp;(IF(C99=H93,"",IF(C99&gt;0,", Brickwork upto "&amp;C99&amp;" Floor","")))&amp;(IF(C100=H93,"",IF(C100&gt;0,", Internal Plaster upto "&amp;C100&amp;" Floor","")))&amp;(IF(C101=H93,"",IF(C101&gt;0,", External Plaster upto "&amp;C101&amp;" Floor","")))&amp;(IF(C102=H93,"",IF(C102&gt;0,", Flooring upto "&amp;C102&amp;" Floor","")))&amp;(IF(C103=H93,"",IF(C103&gt;0,", Painting upto "&amp;C103&amp;" Floor","")))&amp;(IF(C104=H93,"",IF(C104&gt;0,", Finishing upto "&amp;C104&amp;" Floor","")))&amp;(IF(C105=H93,"",IF(C105&gt;0,", Possession upto "&amp;C105&amp;" Floor","")))</f>
        <v>, RCC upto 12 Slab, Brickwork upto 6 Floor, Internal Plaster upto 2 Floor</v>
      </c>
      <c r="S92"/>
    </row>
    <row r="93" spans="1:19" hidden="1" x14ac:dyDescent="0.35">
      <c r="A93" s="15" t="s">
        <v>139</v>
      </c>
      <c r="B93" s="49">
        <f>IF(AND(ISNUMBER(SEARCH("1B",C92))),1,IF(AND(ISNUMBER(SEARCH("2B",C92))),2,IF(AND(ISNUMBER(SEARCH("3B",C92))),3,IF(AND(ISNUMBER(SEARCH("4B",C92))),4,IF(ISNUMBER(SEARCH("5B",C92)),5,0)))))</f>
        <v>0</v>
      </c>
      <c r="C93" s="49" t="s">
        <v>69</v>
      </c>
      <c r="D93" s="49">
        <v>1</v>
      </c>
      <c r="E93" s="49" t="s">
        <v>68</v>
      </c>
      <c r="F93" s="67">
        <v>2</v>
      </c>
      <c r="G93" s="44" t="s">
        <v>77</v>
      </c>
      <c r="H93" s="16">
        <f ca="1">--TRIM(RIGHT(SUBSTITUTE(LEFT(C92,_xlfn.AGGREGATE(16,6,FIND({0,1,2,3,4,5,6,7,8,9},C92,ROW(INDIRECT("1:"&amp;LEN(C92)))),1))," ",REPT(" ",LEN(C92))),LEN(C92)))</f>
        <v>16</v>
      </c>
      <c r="I93" s="47" t="str">
        <f ca="1">IF(D96=100%,"Excavation","")&amp;IF(D97=100%,", Plinth","")&amp;IF(D98=100%,", RCC Slab","")&amp;IF(D99=100%,", Brickwork","")&amp;IF(D100=100%,", Internal Plaster","")&amp;IF(D101=100%,", External Plaster","")&amp;IF(D102=100%,", Flooring","")&amp;IF(D103=100%,", Painting","")&amp;IF(D104=100%,", Building common Amenities","")</f>
        <v>Excavation, Plinth</v>
      </c>
      <c r="J93" s="48" t="str">
        <f ca="1">(IF(C96=0,"Work not yet Started.",IF(D96=25%,"Piling work in process",IF(D96=50%,"Excavation work in process",IF(D96=100%,"","0")))))&amp;(IF(C97=0%,"",IF(C97=J98,", Footing work is process",IF(C97=J99,", Footing work Completed",IF(C97=J100,", 1st Basement Completed",IF(C97=J101,", 1st &amp; 2nd Basement Completed",IF(C97=J102,", 1st to 3rd Basement Completed",IF(C97=J103,", 1st to 4th Basement Completed",IF(C97=J104,", Plinth work is process",IF(C97=J105,"","0"))))))))))</f>
        <v/>
      </c>
      <c r="S93"/>
    </row>
    <row r="94" spans="1:19" ht="31" hidden="1" customHeight="1" x14ac:dyDescent="0.35">
      <c r="A94" s="96" t="s">
        <v>87</v>
      </c>
      <c r="B94" s="97"/>
      <c r="C94" s="114" t="str">
        <f ca="1">I92</f>
        <v>Excavation, Plinth Completed, RCC upto 12 Slab, Brickwork upto 6 Floor, Internal Plaster upto 2 Floor Completed</v>
      </c>
      <c r="D94" s="114"/>
      <c r="E94" s="114"/>
      <c r="F94" s="114"/>
      <c r="G94" s="114"/>
      <c r="H94" s="115"/>
      <c r="I94" s="47" t="str">
        <f ca="1">IF(I93&lt;&gt;""," Completed","")</f>
        <v xml:space="preserve"> Completed</v>
      </c>
      <c r="J94" s="48" t="str">
        <f ca="1">IF(J92&lt;&gt;"","Completed","")</f>
        <v>Completed</v>
      </c>
      <c r="S94"/>
    </row>
    <row r="95" spans="1:19" ht="15.75" hidden="1" customHeight="1" x14ac:dyDescent="0.35">
      <c r="A95" s="88" t="s">
        <v>47</v>
      </c>
      <c r="B95" s="89"/>
      <c r="C95" s="69" t="s">
        <v>136</v>
      </c>
      <c r="D95" s="69" t="s">
        <v>80</v>
      </c>
      <c r="E95" s="89" t="s">
        <v>82</v>
      </c>
      <c r="F95" s="89"/>
      <c r="G95" s="89" t="s">
        <v>81</v>
      </c>
      <c r="H95" s="179"/>
      <c r="I95" s="13" t="s">
        <v>138</v>
      </c>
      <c r="J95" s="27">
        <f ca="1">H93*25%</f>
        <v>4</v>
      </c>
      <c r="S95"/>
    </row>
    <row r="96" spans="1:19" hidden="1" x14ac:dyDescent="0.35">
      <c r="A96" s="88" t="s">
        <v>125</v>
      </c>
      <c r="B96" s="89"/>
      <c r="C96" s="69">
        <f ca="1">J97</f>
        <v>16</v>
      </c>
      <c r="D96" s="18">
        <f ca="1">((100/H93)*C96)/100</f>
        <v>1</v>
      </c>
      <c r="E96" s="82">
        <f ca="1">(((C97/H93*10)+(40/(D93+F93+H93)*C98)+(7.5/(H93)*C99)+(7.5/(H93)*C100)+(10/H93*C101)+(10/H93*C102)+(5/H93*C103)+(5/H93*C104)+(5/H93*C105))/100)</f>
        <v>0.39013157894736844</v>
      </c>
      <c r="F96" s="164"/>
      <c r="G96" s="82">
        <f ca="1">((((C96/H93)*20)+((C97/H93)*25)+(30/(H93+F93+D93)*C98)+(5/H93*C99)+(5/H93*C100)+(5/H93*C101)+(5/H93*C102)+(0/H93*C103)+(0/H93*C104)+(5/H93*C105))/100)</f>
        <v>0.66447368421052633</v>
      </c>
      <c r="H96" s="83"/>
      <c r="I96" s="13" t="s">
        <v>98</v>
      </c>
      <c r="J96" s="28">
        <f ca="1">H93*50%</f>
        <v>8</v>
      </c>
    </row>
    <row r="97" spans="1:19" hidden="1" x14ac:dyDescent="0.35">
      <c r="A97" s="88" t="s">
        <v>48</v>
      </c>
      <c r="B97" s="89"/>
      <c r="C97" s="50">
        <f ca="1">J105</f>
        <v>16</v>
      </c>
      <c r="D97" s="18">
        <f ca="1">((100/H93)*C97)/100</f>
        <v>1</v>
      </c>
      <c r="E97" s="84"/>
      <c r="F97" s="165"/>
      <c r="G97" s="84"/>
      <c r="H97" s="85"/>
      <c r="I97" s="13" t="s">
        <v>99</v>
      </c>
      <c r="J97" s="28">
        <f ca="1">H93</f>
        <v>16</v>
      </c>
      <c r="S97"/>
    </row>
    <row r="98" spans="1:19" ht="15.75" hidden="1" customHeight="1" x14ac:dyDescent="0.35">
      <c r="A98" s="88" t="s">
        <v>126</v>
      </c>
      <c r="B98" s="89"/>
      <c r="C98" s="69">
        <v>12</v>
      </c>
      <c r="D98" s="18">
        <f ca="1">((100/(D93+F93+H93))*C98)/100</f>
        <v>0.63157894736842113</v>
      </c>
      <c r="E98" s="84"/>
      <c r="F98" s="165"/>
      <c r="G98" s="84"/>
      <c r="H98" s="85"/>
      <c r="I98" s="13" t="s">
        <v>100</v>
      </c>
      <c r="J98" s="29">
        <f ca="1">(IF(B93&gt;1,(H93/(B93+2)),H93/4))</f>
        <v>4</v>
      </c>
      <c r="S98"/>
    </row>
    <row r="99" spans="1:19" ht="15.75" hidden="1" customHeight="1" x14ac:dyDescent="0.35">
      <c r="A99" s="88" t="s">
        <v>133</v>
      </c>
      <c r="B99" s="89" t="s">
        <v>127</v>
      </c>
      <c r="C99" s="69">
        <v>6</v>
      </c>
      <c r="D99" s="18">
        <f ca="1">((100/H93)*C99)/100</f>
        <v>0.375</v>
      </c>
      <c r="E99" s="84"/>
      <c r="F99" s="165"/>
      <c r="G99" s="84"/>
      <c r="H99" s="85"/>
      <c r="I99" s="13" t="s">
        <v>101</v>
      </c>
      <c r="J99" s="29">
        <f ca="1">(IF(B93&gt;1,(H93/(B93+2)+J98),H93/4+J98))</f>
        <v>8</v>
      </c>
    </row>
    <row r="100" spans="1:19" ht="15.75" hidden="1" customHeight="1" x14ac:dyDescent="0.35">
      <c r="A100" s="88" t="s">
        <v>134</v>
      </c>
      <c r="B100" s="89" t="s">
        <v>127</v>
      </c>
      <c r="C100" s="69">
        <v>2</v>
      </c>
      <c r="D100" s="18">
        <f ca="1">((100/H93)*C100)/100</f>
        <v>0.125</v>
      </c>
      <c r="E100" s="84"/>
      <c r="F100" s="165"/>
      <c r="G100" s="84"/>
      <c r="H100" s="85"/>
      <c r="I100" s="13" t="s">
        <v>143</v>
      </c>
      <c r="J100" s="29">
        <f>(IF(B93&gt;1,(H93/(B93+2)+J99),0))</f>
        <v>0</v>
      </c>
    </row>
    <row r="101" spans="1:19" ht="15" hidden="1" customHeight="1" x14ac:dyDescent="0.35">
      <c r="A101" s="88" t="s">
        <v>132</v>
      </c>
      <c r="B101" s="89" t="s">
        <v>129</v>
      </c>
      <c r="C101" s="69">
        <v>0</v>
      </c>
      <c r="D101" s="18">
        <f ca="1">((100/(H93))*C101)/100</f>
        <v>0</v>
      </c>
      <c r="E101" s="84"/>
      <c r="F101" s="165"/>
      <c r="G101" s="84"/>
      <c r="H101" s="85"/>
      <c r="I101" s="13" t="s">
        <v>140</v>
      </c>
      <c r="J101" s="29">
        <f>(IF(B93&gt;2,(H93/(B93+2)+J100),0))</f>
        <v>0</v>
      </c>
    </row>
    <row r="102" spans="1:19" ht="15.75" hidden="1" customHeight="1" x14ac:dyDescent="0.35">
      <c r="A102" s="88" t="s">
        <v>128</v>
      </c>
      <c r="B102" s="89" t="s">
        <v>128</v>
      </c>
      <c r="C102" s="69">
        <v>0</v>
      </c>
      <c r="D102" s="18">
        <f ca="1">((100/H93)*C102)/100</f>
        <v>0</v>
      </c>
      <c r="E102" s="84"/>
      <c r="F102" s="165"/>
      <c r="G102" s="84"/>
      <c r="H102" s="85"/>
      <c r="I102" s="13" t="s">
        <v>141</v>
      </c>
      <c r="J102" s="30">
        <f>(IF(B93&gt;3,(H93/(B93+2)+J101),0))</f>
        <v>0</v>
      </c>
    </row>
    <row r="103" spans="1:19" ht="15.75" hidden="1" customHeight="1" x14ac:dyDescent="0.35">
      <c r="A103" s="88" t="s">
        <v>135</v>
      </c>
      <c r="B103" s="89"/>
      <c r="C103" s="69">
        <v>0</v>
      </c>
      <c r="D103" s="18">
        <f ca="1">((100/H93)*C103)/100</f>
        <v>0</v>
      </c>
      <c r="E103" s="84"/>
      <c r="F103" s="165"/>
      <c r="G103" s="84"/>
      <c r="H103" s="85"/>
      <c r="I103" s="13" t="s">
        <v>142</v>
      </c>
      <c r="J103" s="29">
        <f>(IF(B93&gt;4,(H93/(B93+2)+J102),0))</f>
        <v>0</v>
      </c>
    </row>
    <row r="104" spans="1:19" ht="15.75" hidden="1" customHeight="1" x14ac:dyDescent="0.35">
      <c r="A104" s="88" t="s">
        <v>130</v>
      </c>
      <c r="B104" s="89" t="s">
        <v>130</v>
      </c>
      <c r="C104" s="69">
        <v>0</v>
      </c>
      <c r="D104" s="18">
        <f ca="1">((100/(H93))*C104)/100</f>
        <v>0</v>
      </c>
      <c r="E104" s="84"/>
      <c r="F104" s="165"/>
      <c r="G104" s="84"/>
      <c r="H104" s="85"/>
      <c r="I104" s="13" t="s">
        <v>144</v>
      </c>
      <c r="J104" s="29">
        <f ca="1">(IF(B93=1,(H93/(B93+3)+J99),IF(B93=0,(H93/4+J99),IF(B93&gt;1,0))))</f>
        <v>12</v>
      </c>
    </row>
    <row r="105" spans="1:19" ht="16" hidden="1" thickBot="1" x14ac:dyDescent="0.4">
      <c r="A105" s="100" t="s">
        <v>131</v>
      </c>
      <c r="B105" s="101"/>
      <c r="C105" s="70">
        <v>0</v>
      </c>
      <c r="D105" s="19">
        <f ca="1">((100/(H93))*C105)/100</f>
        <v>0</v>
      </c>
      <c r="E105" s="86"/>
      <c r="F105" s="166"/>
      <c r="G105" s="86"/>
      <c r="H105" s="87"/>
      <c r="I105" s="14" t="s">
        <v>102</v>
      </c>
      <c r="J105" s="31">
        <f ca="1">(IF(B93&gt;1.5,(H93/(B93+2)+J99+MAX(0,J100-J99)+MAX(0,J101-J100)+MAX(0,J102-J101)+MAX(0,J103-J102)+MAX(0,J104-J103)),IF(B93=1,(H93/(B93+3)+J104),IF(B93=0,H93/4+J104))))</f>
        <v>16</v>
      </c>
    </row>
    <row r="106" spans="1:19" ht="15.75" customHeight="1" x14ac:dyDescent="0.35">
      <c r="A106" s="127" t="s">
        <v>137</v>
      </c>
      <c r="B106" s="128"/>
      <c r="C106" s="129" t="s">
        <v>370</v>
      </c>
      <c r="D106" s="130"/>
      <c r="E106" s="130"/>
      <c r="F106" s="130"/>
      <c r="G106" s="130"/>
      <c r="H106" s="131"/>
      <c r="I106" s="45" t="str">
        <f ca="1">IF(D119=100%,"All work Completed. Possession granted to the Building.",IF(D118=100%,"All work Completed, Waiting for OC",I107&amp;""&amp;I108&amp;""&amp;J107&amp;""&amp;J106&amp;" "&amp;J108))</f>
        <v>All work Completed. Possession granted to the Building.</v>
      </c>
      <c r="J106" s="46" t="str">
        <f ca="1">(IF(C112=(D107+F107+H107),"",IF(C112&gt;0,", RCC upto "&amp;C112&amp;" Slab","")))&amp;(IF(C113=H107,"",IF(C113&gt;0,", Brickwork upto "&amp;C113&amp;" Floor","")))&amp;(IF(C114=H107,"",IF(C114&gt;0,", Internal Plaster upto "&amp;C114&amp;" Floor","")))&amp;(IF(C115=H107,"",IF(C115&gt;0,", External Plaster upto "&amp;C115&amp;" Floor","")))&amp;(IF(C116=H107,"",IF(C116&gt;0,", Flooring upto "&amp;C116&amp;" Floor","")))&amp;(IF(C117=H107,"",IF(C117&gt;0,", Painting upto "&amp;C117&amp;" Floor","")))&amp;(IF(C118=H107,"",IF(C118&gt;0,", Finishing upto "&amp;C118&amp;" Floor","")))&amp;(IF(C119=H107,"",IF(C119&gt;0,", Possession upto "&amp;C119&amp;" Floor","")))</f>
        <v/>
      </c>
    </row>
    <row r="107" spans="1:19" x14ac:dyDescent="0.35">
      <c r="A107" s="15" t="s">
        <v>139</v>
      </c>
      <c r="B107" s="49">
        <f>IF(AND(ISNUMBER(SEARCH("1B",C106))),1,IF(AND(ISNUMBER(SEARCH("2B",C106))),2,IF(AND(ISNUMBER(SEARCH("3B",C106))),3,IF(AND(ISNUMBER(SEARCH("4B",C106))),4,IF(ISNUMBER(SEARCH("5B",C106)),5,0)))))</f>
        <v>0</v>
      </c>
      <c r="C107" s="49" t="s">
        <v>69</v>
      </c>
      <c r="D107" s="49">
        <v>1</v>
      </c>
      <c r="E107" s="49" t="s">
        <v>68</v>
      </c>
      <c r="F107" s="49">
        <v>0</v>
      </c>
      <c r="G107" s="44" t="s">
        <v>77</v>
      </c>
      <c r="H107" s="16">
        <f ca="1">--TRIM(RIGHT(SUBSTITUTE(LEFT(C106,_xlfn.AGGREGATE(16,6,FIND({0,1,2,3,4,5,6,7,8,9},C106,ROW(INDIRECT("1:"&amp;LEN(C106)))),1))," ",REPT(" ",LEN(C106))),LEN(C106)))</f>
        <v>1</v>
      </c>
      <c r="I107" s="47" t="str">
        <f ca="1">IF(D110=100%,"Excavation","")&amp;IF(D111=100%,", Plinth","")&amp;IF(D112=100%,", RCC Slab","")&amp;IF(D113=100%,", Brickwork","")&amp;IF(D114=100%,", Internal Plaster","")&amp;IF(D115=100%,", External Plaster","")&amp;IF(D116=100%,", Flooring","")&amp;IF(D117=100%,", Painting","")&amp;IF(D118=100%,", Building common Amenities","")</f>
        <v>Excavation, Plinth, RCC Slab, Brickwork, Internal Plaster, External Plaster, Flooring, Painting, Building common Amenities</v>
      </c>
      <c r="J107" s="48" t="str">
        <f ca="1">(IF(C110=0,"Work not yet Started.",IF(D110=25%,"Piling work in process",IF(D110=50%,"Excavation work in process",IF(D110=100%,"","0")))))&amp;(IF(C111=0%,"",IF(C111=J112,", Footing work is process",IF(C111=J113,", Footing work Completed",IF(C111=J114,", 1st Basement Completed",IF(C111=J115,", 1st &amp; 2nd Basement Completed",IF(C111=J116,", 1st to 3rd Basement Completed",IF(C111=J117,", 1st to 4th Basement Completed",IF(C111=J118,", Plinth work is process",IF(C111=J119,"","0"))))))))))</f>
        <v/>
      </c>
    </row>
    <row r="108" spans="1:19" x14ac:dyDescent="0.35">
      <c r="A108" s="96" t="s">
        <v>87</v>
      </c>
      <c r="B108" s="97"/>
      <c r="C108" s="114" t="str">
        <f ca="1">(IF($G$62="NA",I106,"All work Completed. OC Received."))</f>
        <v>All work Completed. Possession granted to the Building.</v>
      </c>
      <c r="D108" s="114"/>
      <c r="E108" s="114"/>
      <c r="F108" s="114"/>
      <c r="G108" s="114"/>
      <c r="H108" s="115"/>
      <c r="I108" s="47" t="str">
        <f ca="1">IF(I107&lt;&gt;""," Completed","")</f>
        <v xml:space="preserve"> Completed</v>
      </c>
      <c r="J108" s="48" t="str">
        <f ca="1">IF(J106&lt;&gt;"","Completed","")</f>
        <v/>
      </c>
    </row>
    <row r="109" spans="1:19" ht="15.75" customHeight="1" x14ac:dyDescent="0.35">
      <c r="A109" s="88" t="s">
        <v>47</v>
      </c>
      <c r="B109" s="89"/>
      <c r="C109" s="69" t="s">
        <v>136</v>
      </c>
      <c r="D109" s="69" t="s">
        <v>80</v>
      </c>
      <c r="E109" s="89" t="s">
        <v>82</v>
      </c>
      <c r="F109" s="89"/>
      <c r="G109" s="89" t="s">
        <v>81</v>
      </c>
      <c r="H109" s="179"/>
      <c r="I109" s="13" t="s">
        <v>138</v>
      </c>
      <c r="J109" s="27">
        <f ca="1">H107*25%</f>
        <v>0.25</v>
      </c>
    </row>
    <row r="110" spans="1:19" x14ac:dyDescent="0.35">
      <c r="A110" s="88" t="s">
        <v>125</v>
      </c>
      <c r="B110" s="89"/>
      <c r="C110" s="69">
        <f ca="1">J111</f>
        <v>1</v>
      </c>
      <c r="D110" s="18">
        <f ca="1">((100/H107)*C110)/100</f>
        <v>1</v>
      </c>
      <c r="E110" s="82">
        <f ca="1">(((C111/H107*10)+(40/(D107+F107+H107)*C112)+(7.5/(H107)*C113)+(7.5/(H107)*C114)+(10/H107*C115)+(10/H107*C116)+(5/H107*C117)+(5/H107*C118)+(5/H107*C119))/100)</f>
        <v>1</v>
      </c>
      <c r="F110" s="164"/>
      <c r="G110" s="82">
        <f ca="1">((((C110/H107)*20)+((C111/H107)*25)+(30/(H107+F107+D107)*C112)+(5/H107*C113)+(5/H107*C114)+(5/H107*C115)+(5/H107*C116)+(0/H107*C117)+(0/H107*C118)+(5/H107*C119))/100)</f>
        <v>1</v>
      </c>
      <c r="H110" s="83"/>
      <c r="I110" s="13" t="s">
        <v>98</v>
      </c>
      <c r="J110" s="28">
        <f ca="1">H107*50%</f>
        <v>0.5</v>
      </c>
    </row>
    <row r="111" spans="1:19" x14ac:dyDescent="0.35">
      <c r="A111" s="88" t="s">
        <v>48</v>
      </c>
      <c r="B111" s="89"/>
      <c r="C111" s="50">
        <f ca="1">J119</f>
        <v>1</v>
      </c>
      <c r="D111" s="18">
        <f ca="1">((100/H107)*C111)/100</f>
        <v>1</v>
      </c>
      <c r="E111" s="84"/>
      <c r="F111" s="165"/>
      <c r="G111" s="84"/>
      <c r="H111" s="85"/>
      <c r="I111" s="13" t="s">
        <v>99</v>
      </c>
      <c r="J111" s="28">
        <f ca="1">H107</f>
        <v>1</v>
      </c>
    </row>
    <row r="112" spans="1:19" ht="15.75" customHeight="1" x14ac:dyDescent="0.35">
      <c r="A112" s="88" t="s">
        <v>126</v>
      </c>
      <c r="B112" s="89"/>
      <c r="C112" s="69">
        <v>2</v>
      </c>
      <c r="D112" s="18">
        <f ca="1">((100/(D107+F107+H107))*C112)/100</f>
        <v>1</v>
      </c>
      <c r="E112" s="84"/>
      <c r="F112" s="165"/>
      <c r="G112" s="84"/>
      <c r="H112" s="85"/>
      <c r="I112" s="13" t="s">
        <v>100</v>
      </c>
      <c r="J112" s="29">
        <f ca="1">(IF(B107&gt;1,(H107/(B107+2)),H107/4))</f>
        <v>0.25</v>
      </c>
    </row>
    <row r="113" spans="1:10" ht="15.75" customHeight="1" x14ac:dyDescent="0.35">
      <c r="A113" s="88" t="s">
        <v>133</v>
      </c>
      <c r="B113" s="89" t="s">
        <v>127</v>
      </c>
      <c r="C113" s="69">
        <v>1</v>
      </c>
      <c r="D113" s="18">
        <f ca="1">((100/H107)*C113)/100</f>
        <v>1</v>
      </c>
      <c r="E113" s="84"/>
      <c r="F113" s="165"/>
      <c r="G113" s="84"/>
      <c r="H113" s="85"/>
      <c r="I113" s="13" t="s">
        <v>101</v>
      </c>
      <c r="J113" s="29">
        <f ca="1">(IF(B107&gt;1,(H107/(B107+2)+J112),H107/4+J112))</f>
        <v>0.5</v>
      </c>
    </row>
    <row r="114" spans="1:10" ht="15.75" customHeight="1" x14ac:dyDescent="0.35">
      <c r="A114" s="88" t="s">
        <v>134</v>
      </c>
      <c r="B114" s="89" t="s">
        <v>127</v>
      </c>
      <c r="C114" s="69">
        <v>1</v>
      </c>
      <c r="D114" s="18">
        <f ca="1">((100/H107)*C114)/100</f>
        <v>1</v>
      </c>
      <c r="E114" s="84"/>
      <c r="F114" s="165"/>
      <c r="G114" s="84"/>
      <c r="H114" s="85"/>
      <c r="I114" s="13" t="s">
        <v>143</v>
      </c>
      <c r="J114" s="29">
        <f>(IF(B107&gt;1,(H107/(B107+2)+J113),0))</f>
        <v>0</v>
      </c>
    </row>
    <row r="115" spans="1:10" ht="15" customHeight="1" x14ac:dyDescent="0.35">
      <c r="A115" s="88" t="s">
        <v>132</v>
      </c>
      <c r="B115" s="89" t="s">
        <v>129</v>
      </c>
      <c r="C115" s="69">
        <v>1</v>
      </c>
      <c r="D115" s="18">
        <f ca="1">((100/(H107))*C115)/100</f>
        <v>1</v>
      </c>
      <c r="E115" s="84"/>
      <c r="F115" s="165"/>
      <c r="G115" s="84"/>
      <c r="H115" s="85"/>
      <c r="I115" s="13" t="s">
        <v>140</v>
      </c>
      <c r="J115" s="29">
        <f>(IF(B107&gt;2,(H107/(B107+2)+J114),0))</f>
        <v>0</v>
      </c>
    </row>
    <row r="116" spans="1:10" ht="15.75" customHeight="1" x14ac:dyDescent="0.35">
      <c r="A116" s="88" t="s">
        <v>128</v>
      </c>
      <c r="B116" s="89" t="s">
        <v>128</v>
      </c>
      <c r="C116" s="69">
        <v>1</v>
      </c>
      <c r="D116" s="18">
        <f ca="1">((100/H107)*C116)/100</f>
        <v>1</v>
      </c>
      <c r="E116" s="84"/>
      <c r="F116" s="165"/>
      <c r="G116" s="84"/>
      <c r="H116" s="85"/>
      <c r="I116" s="13" t="s">
        <v>141</v>
      </c>
      <c r="J116" s="30">
        <f>(IF(B107&gt;3,(H107/(B107+2)+J115),0))</f>
        <v>0</v>
      </c>
    </row>
    <row r="117" spans="1:10" ht="15.75" customHeight="1" x14ac:dyDescent="0.35">
      <c r="A117" s="88" t="s">
        <v>135</v>
      </c>
      <c r="B117" s="89"/>
      <c r="C117" s="69">
        <v>1</v>
      </c>
      <c r="D117" s="18">
        <f ca="1">((100/H107)*C117)/100</f>
        <v>1</v>
      </c>
      <c r="E117" s="84"/>
      <c r="F117" s="165"/>
      <c r="G117" s="84"/>
      <c r="H117" s="85"/>
      <c r="I117" s="13" t="s">
        <v>142</v>
      </c>
      <c r="J117" s="29">
        <f>(IF(B107&gt;4,(H107/(B107+2)+J116),0))</f>
        <v>0</v>
      </c>
    </row>
    <row r="118" spans="1:10" ht="15.75" customHeight="1" x14ac:dyDescent="0.35">
      <c r="A118" s="88" t="s">
        <v>130</v>
      </c>
      <c r="B118" s="89" t="s">
        <v>130</v>
      </c>
      <c r="C118" s="69">
        <v>1</v>
      </c>
      <c r="D118" s="18">
        <f ca="1">((100/(H107))*C118)/100</f>
        <v>1</v>
      </c>
      <c r="E118" s="84"/>
      <c r="F118" s="165"/>
      <c r="G118" s="84"/>
      <c r="H118" s="85"/>
      <c r="I118" s="13" t="s">
        <v>144</v>
      </c>
      <c r="J118" s="29">
        <f ca="1">(IF(B107=1,(H107/(B107+3)+J113),IF(B107=0,(H107/4+J113),IF(B107&gt;1,0))))</f>
        <v>0.75</v>
      </c>
    </row>
    <row r="119" spans="1:10" ht="16" thickBot="1" x14ac:dyDescent="0.4">
      <c r="A119" s="100" t="s">
        <v>131</v>
      </c>
      <c r="B119" s="101"/>
      <c r="C119" s="70">
        <v>1</v>
      </c>
      <c r="D119" s="19">
        <f ca="1">((100/(H107))*C119)/100</f>
        <v>1</v>
      </c>
      <c r="E119" s="86"/>
      <c r="F119" s="166"/>
      <c r="G119" s="86"/>
      <c r="H119" s="87"/>
      <c r="I119" s="14" t="s">
        <v>102</v>
      </c>
      <c r="J119" s="31">
        <f ca="1">(IF(B107&gt;1.5,(H107/(B107+2)+J113+MAX(0,J114-J113)+MAX(0,J115-J114)+MAX(0,J116-J115)+MAX(0,J117-J116)+MAX(0,J118-J117)),IF(B107=1,(H107/(B107+3)+J118),IF(B107=0,H107/4+J118))))</f>
        <v>1</v>
      </c>
    </row>
    <row r="120" spans="1:10" ht="15.75" customHeight="1" x14ac:dyDescent="0.35">
      <c r="A120" s="137" t="s">
        <v>137</v>
      </c>
      <c r="B120" s="138"/>
      <c r="C120" s="139" t="s">
        <v>371</v>
      </c>
      <c r="D120" s="140"/>
      <c r="E120" s="140"/>
      <c r="F120" s="140"/>
      <c r="G120" s="140"/>
      <c r="H120" s="141"/>
      <c r="I120" s="45" t="str">
        <f ca="1">IF(D133=100%,"All work Completed. Possession granted to the Building.",IF(D132=100%,"All work Completed, Waiting for OC",I121&amp;""&amp;I122&amp;""&amp;J121&amp;""&amp;J120&amp;" "&amp;J122))</f>
        <v xml:space="preserve">Work not yet Started. </v>
      </c>
      <c r="J120" s="46" t="str">
        <f ca="1">(IF(C126=(D121+F121+H121),"",IF(C126&gt;0,", RCC upto "&amp;C126&amp;" Slab","")))&amp;(IF(C127=H121,"",IF(C127&gt;0,", Brickwork upto "&amp;C127&amp;" Floor","")))&amp;(IF(C128=H121,"",IF(C128&gt;0,", Internal Plaster upto "&amp;C128&amp;" Floor","")))&amp;(IF(C129=H121,"",IF(C129&gt;0,", External Plaster upto "&amp;C129&amp;" Floor","")))&amp;(IF(C130=H121,"",IF(C130&gt;0,", Flooring upto "&amp;C130&amp;" Floor","")))&amp;(IF(C131=H121,"",IF(C131&gt;0,", Painting upto "&amp;C131&amp;" Floor","")))&amp;(IF(C132=H121,"",IF(C132&gt;0,", Finishing upto "&amp;C132&amp;" Floor","")))&amp;(IF(C133=H121,"",IF(C133&gt;0,", Possession upto "&amp;C133&amp;" Floor","")))</f>
        <v/>
      </c>
    </row>
    <row r="121" spans="1:10" x14ac:dyDescent="0.35">
      <c r="A121" s="15" t="s">
        <v>139</v>
      </c>
      <c r="B121" s="49">
        <f>IF(AND(ISNUMBER(SEARCH("1B",C120))),1,IF(AND(ISNUMBER(SEARCH("2B",C120))),2,IF(AND(ISNUMBER(SEARCH("3B",C120))),3,IF(AND(ISNUMBER(SEARCH("4B",C120))),4,IF(ISNUMBER(SEARCH("5B",C120)),5,0)))))</f>
        <v>0</v>
      </c>
      <c r="C121" s="49" t="s">
        <v>69</v>
      </c>
      <c r="D121" s="49">
        <v>1</v>
      </c>
      <c r="E121" s="49" t="s">
        <v>68</v>
      </c>
      <c r="F121" s="49">
        <v>0</v>
      </c>
      <c r="G121" s="49" t="s">
        <v>77</v>
      </c>
      <c r="H121" s="16">
        <f ca="1">--TRIM(RIGHT(SUBSTITUTE(LEFT(C120,_xlfn.AGGREGATE(16,6,FIND({0,1,2,3,4,5,6,7,8,9},C120,ROW(INDIRECT("1:"&amp;LEN(C120)))),1))," ",REPT(" ",LEN(C120))),LEN(C120)))</f>
        <v>1</v>
      </c>
      <c r="I121" s="47" t="str">
        <f ca="1">IF(D124=100%,"Excavation","")&amp;IF(D125=100%,", Plinth","")&amp;IF(D126=100%,", RCC Slab","")&amp;IF(D127=100%,", Brickwork","")&amp;IF(D128=100%,", Internal Plaster","")&amp;IF(D129=100%,", External Plaster","")&amp;IF(D130=100%,", Flooring","")&amp;IF(D131=100%,", Painting","")&amp;IF(D132=100%,", Building common Amenities","")</f>
        <v/>
      </c>
      <c r="J121" s="48" t="str">
        <f>(IF(C124=0,"Work not yet Started.",IF(D124=25%,"Piling work in process",IF(D124=50%,"Excavation work in process",IF(D124=100%,"","0")))))&amp;(IF(C125=0%,"",IF(C125=J126,", Footing work is process",IF(C125=J127,", Footing work Completed",IF(C125=J128,", 1st Basement Completed",IF(C125=J129,", 1st &amp; 2nd Basement Completed",IF(C125=J130,", 1st to 3rd Basement Completed",IF(C125=J131,", 1st to 4th Basement Completed",IF(C125=J132,", Plinth work is process",IF(C125=J133,"","0"))))))))))</f>
        <v>Work not yet Started.</v>
      </c>
    </row>
    <row r="122" spans="1:10" x14ac:dyDescent="0.35">
      <c r="A122" s="96" t="s">
        <v>87</v>
      </c>
      <c r="B122" s="97"/>
      <c r="C122" s="114" t="str">
        <f ca="1">(IF($G$62="NA",I120,"All work Completed. OC Received."))</f>
        <v xml:space="preserve">Work not yet Started. </v>
      </c>
      <c r="D122" s="114"/>
      <c r="E122" s="114"/>
      <c r="F122" s="114"/>
      <c r="G122" s="114"/>
      <c r="H122" s="115"/>
      <c r="I122" s="47" t="str">
        <f ca="1">IF(I121&lt;&gt;""," Completed","")</f>
        <v/>
      </c>
      <c r="J122" s="48" t="str">
        <f ca="1">IF(J120&lt;&gt;"","Completed","")</f>
        <v/>
      </c>
    </row>
    <row r="123" spans="1:10" ht="15.75" customHeight="1" x14ac:dyDescent="0.35">
      <c r="A123" s="80" t="s">
        <v>47</v>
      </c>
      <c r="B123" s="81"/>
      <c r="C123" s="71" t="s">
        <v>136</v>
      </c>
      <c r="D123" s="71" t="s">
        <v>80</v>
      </c>
      <c r="E123" s="81" t="s">
        <v>82</v>
      </c>
      <c r="F123" s="81"/>
      <c r="G123" s="81" t="s">
        <v>81</v>
      </c>
      <c r="H123" s="95"/>
      <c r="I123" s="13" t="s">
        <v>138</v>
      </c>
      <c r="J123" s="27">
        <f ca="1">H121*25%</f>
        <v>0.25</v>
      </c>
    </row>
    <row r="124" spans="1:10" x14ac:dyDescent="0.35">
      <c r="A124" s="80" t="s">
        <v>125</v>
      </c>
      <c r="B124" s="81"/>
      <c r="C124" s="71">
        <v>0</v>
      </c>
      <c r="D124" s="72">
        <f ca="1">((100/H121)*C124)/100</f>
        <v>0</v>
      </c>
      <c r="E124" s="148">
        <f ca="1">(((C125/H121*10)+(40/(D121+F121+H121)*C126)+(7.5/(H121)*C127)+(7.5/(H121)*C128)+(10/H121*C129)+(10/H121*C130)+(5/H121*C131)+(5/H121*C132)+(5/H121*C133))/100)</f>
        <v>0</v>
      </c>
      <c r="F124" s="149"/>
      <c r="G124" s="148">
        <f ca="1">((((C124/H121)*20)+((C125/H121)*25)+(30/(H121+F121+D121)*C126)+(5/H121*C127)+(5/H121*C128)+(5/H121*C129)+(5/H121*C130)+(0/H121*C131)+(0/H121*C132)+(5/H121*C133))/100)</f>
        <v>0</v>
      </c>
      <c r="H124" s="159"/>
      <c r="I124" s="13" t="s">
        <v>98</v>
      </c>
      <c r="J124" s="28">
        <f ca="1">H121*50%</f>
        <v>0.5</v>
      </c>
    </row>
    <row r="125" spans="1:10" x14ac:dyDescent="0.35">
      <c r="A125" s="80" t="s">
        <v>48</v>
      </c>
      <c r="B125" s="81"/>
      <c r="C125" s="71">
        <v>0</v>
      </c>
      <c r="D125" s="72">
        <f ca="1">((100/H121)*C125)/100</f>
        <v>0</v>
      </c>
      <c r="E125" s="150"/>
      <c r="F125" s="151"/>
      <c r="G125" s="150"/>
      <c r="H125" s="160"/>
      <c r="I125" s="13" t="s">
        <v>99</v>
      </c>
      <c r="J125" s="28">
        <f ca="1">H121</f>
        <v>1</v>
      </c>
    </row>
    <row r="126" spans="1:10" ht="15.75" customHeight="1" x14ac:dyDescent="0.35">
      <c r="A126" s="80" t="s">
        <v>126</v>
      </c>
      <c r="B126" s="81"/>
      <c r="C126" s="71">
        <v>0</v>
      </c>
      <c r="D126" s="72">
        <f ca="1">((100/(D121+F121+H121))*C126)/100</f>
        <v>0</v>
      </c>
      <c r="E126" s="150"/>
      <c r="F126" s="151"/>
      <c r="G126" s="150"/>
      <c r="H126" s="160"/>
      <c r="I126" s="13" t="s">
        <v>100</v>
      </c>
      <c r="J126" s="29">
        <f ca="1">(IF(B121&gt;1,(H121/(B121+2)),H121/4))</f>
        <v>0.25</v>
      </c>
    </row>
    <row r="127" spans="1:10" ht="15.75" customHeight="1" x14ac:dyDescent="0.35">
      <c r="A127" s="80" t="s">
        <v>133</v>
      </c>
      <c r="B127" s="81" t="s">
        <v>127</v>
      </c>
      <c r="C127" s="71">
        <v>0</v>
      </c>
      <c r="D127" s="72">
        <f ca="1">((100/H121)*C127)/100</f>
        <v>0</v>
      </c>
      <c r="E127" s="150"/>
      <c r="F127" s="151"/>
      <c r="G127" s="150"/>
      <c r="H127" s="160"/>
      <c r="I127" s="13" t="s">
        <v>101</v>
      </c>
      <c r="J127" s="29">
        <f ca="1">(IF(B121&gt;1,(H121/(B121+2)+J126),H121/4+J126))</f>
        <v>0.5</v>
      </c>
    </row>
    <row r="128" spans="1:10" ht="15.75" customHeight="1" x14ac:dyDescent="0.35">
      <c r="A128" s="80" t="s">
        <v>134</v>
      </c>
      <c r="B128" s="81" t="s">
        <v>127</v>
      </c>
      <c r="C128" s="71">
        <v>0</v>
      </c>
      <c r="D128" s="72">
        <f ca="1">((100/H121)*C128)/100</f>
        <v>0</v>
      </c>
      <c r="E128" s="150"/>
      <c r="F128" s="151"/>
      <c r="G128" s="150"/>
      <c r="H128" s="160"/>
      <c r="I128" s="13" t="s">
        <v>143</v>
      </c>
      <c r="J128" s="29">
        <f>(IF(B121&gt;1,(H121/(B121+2)+J127),0))</f>
        <v>0</v>
      </c>
    </row>
    <row r="129" spans="1:22" ht="15" customHeight="1" x14ac:dyDescent="0.35">
      <c r="A129" s="80" t="s">
        <v>132</v>
      </c>
      <c r="B129" s="81" t="s">
        <v>129</v>
      </c>
      <c r="C129" s="71">
        <v>0</v>
      </c>
      <c r="D129" s="72">
        <f ca="1">((100/(H121))*C129)/100</f>
        <v>0</v>
      </c>
      <c r="E129" s="150"/>
      <c r="F129" s="151"/>
      <c r="G129" s="150"/>
      <c r="H129" s="160"/>
      <c r="I129" s="13" t="s">
        <v>140</v>
      </c>
      <c r="J129" s="29">
        <f>(IF(B121&gt;2,(H121/(B121+2)+J128),0))</f>
        <v>0</v>
      </c>
    </row>
    <row r="130" spans="1:22" ht="15.75" customHeight="1" x14ac:dyDescent="0.35">
      <c r="A130" s="80" t="s">
        <v>128</v>
      </c>
      <c r="B130" s="81" t="s">
        <v>128</v>
      </c>
      <c r="C130" s="71">
        <v>0</v>
      </c>
      <c r="D130" s="72">
        <f ca="1">((100/H121)*C130)/100</f>
        <v>0</v>
      </c>
      <c r="E130" s="150"/>
      <c r="F130" s="151"/>
      <c r="G130" s="150"/>
      <c r="H130" s="160"/>
      <c r="I130" s="13" t="s">
        <v>141</v>
      </c>
      <c r="J130" s="30">
        <f>(IF(B121&gt;3,(H121/(B121+2)+J129),0))</f>
        <v>0</v>
      </c>
    </row>
    <row r="131" spans="1:22" ht="15.75" customHeight="1" x14ac:dyDescent="0.35">
      <c r="A131" s="80" t="s">
        <v>135</v>
      </c>
      <c r="B131" s="81"/>
      <c r="C131" s="71">
        <v>0</v>
      </c>
      <c r="D131" s="72">
        <f ca="1">((100/H121)*C131)/100</f>
        <v>0</v>
      </c>
      <c r="E131" s="150"/>
      <c r="F131" s="151"/>
      <c r="G131" s="150"/>
      <c r="H131" s="160"/>
      <c r="I131" s="13" t="s">
        <v>142</v>
      </c>
      <c r="J131" s="29">
        <f>(IF(B121&gt;4,(H121/(B121+2)+J130),0))</f>
        <v>0</v>
      </c>
    </row>
    <row r="132" spans="1:22" ht="15.75" customHeight="1" x14ac:dyDescent="0.35">
      <c r="A132" s="80" t="s">
        <v>130</v>
      </c>
      <c r="B132" s="81" t="s">
        <v>130</v>
      </c>
      <c r="C132" s="71">
        <v>0</v>
      </c>
      <c r="D132" s="72">
        <f ca="1">((100/(H121))*C132)/100</f>
        <v>0</v>
      </c>
      <c r="E132" s="150"/>
      <c r="F132" s="151"/>
      <c r="G132" s="150"/>
      <c r="H132" s="160"/>
      <c r="I132" s="13" t="s">
        <v>144</v>
      </c>
      <c r="J132" s="29">
        <f ca="1">(IF(B121=1,(H121/(B121+3)+J127),IF(B121=0,(H121/4+J127),IF(B121&gt;1,0))))</f>
        <v>0.75</v>
      </c>
    </row>
    <row r="133" spans="1:22" ht="16" thickBot="1" x14ac:dyDescent="0.4">
      <c r="A133" s="198" t="s">
        <v>131</v>
      </c>
      <c r="B133" s="199"/>
      <c r="C133" s="73">
        <v>0</v>
      </c>
      <c r="D133" s="74">
        <f ca="1">((100/(H121))*C133)/100</f>
        <v>0</v>
      </c>
      <c r="E133" s="152"/>
      <c r="F133" s="153"/>
      <c r="G133" s="152"/>
      <c r="H133" s="161"/>
      <c r="I133" s="14" t="s">
        <v>102</v>
      </c>
      <c r="J133" s="31">
        <f ca="1">(IF(B121&gt;1.5,(H121/(B121+2)+J127+MAX(0,J128-J127)+MAX(0,J129-J128)+MAX(0,J130-J129)+MAX(0,J131-J130)+MAX(0,J132-J131)),IF(B121=1,(H121/(B121+3)+J132),IF(B121=0,H121/4+J132))))</f>
        <v>1</v>
      </c>
    </row>
    <row r="134" spans="1:22" x14ac:dyDescent="0.35">
      <c r="A134" s="94" t="s">
        <v>153</v>
      </c>
      <c r="B134" s="94"/>
      <c r="C134" s="94"/>
      <c r="D134" s="94"/>
      <c r="E134" s="94"/>
      <c r="F134" s="106" t="s">
        <v>157</v>
      </c>
      <c r="G134" s="106"/>
      <c r="H134" s="106"/>
      <c r="R134" t="s">
        <v>250</v>
      </c>
      <c r="S134" t="s">
        <v>170</v>
      </c>
      <c r="T134" t="s">
        <v>176</v>
      </c>
      <c r="U134" t="s">
        <v>191</v>
      </c>
      <c r="V134" t="s">
        <v>186</v>
      </c>
    </row>
    <row r="135" spans="1:22" x14ac:dyDescent="0.35">
      <c r="A135" s="91" t="s">
        <v>155</v>
      </c>
      <c r="B135" s="91"/>
      <c r="C135" s="91"/>
      <c r="D135" s="91"/>
      <c r="E135" s="91"/>
      <c r="F135" s="90">
        <v>4700</v>
      </c>
      <c r="G135" s="90"/>
      <c r="H135" s="90"/>
      <c r="I135" s="20" t="s">
        <v>372</v>
      </c>
      <c r="J135" s="20" t="s">
        <v>373</v>
      </c>
      <c r="K135" s="24">
        <v>45532</v>
      </c>
      <c r="L135" s="20" t="s">
        <v>374</v>
      </c>
      <c r="R135"/>
      <c r="S135">
        <v>800000</v>
      </c>
      <c r="T135">
        <v>200000</v>
      </c>
      <c r="U135">
        <v>100000</v>
      </c>
      <c r="V135">
        <v>100000</v>
      </c>
    </row>
    <row r="136" spans="1:22" x14ac:dyDescent="0.35">
      <c r="A136" s="91" t="s">
        <v>369</v>
      </c>
      <c r="B136" s="91"/>
      <c r="C136" s="91"/>
      <c r="D136" s="91"/>
      <c r="E136" s="91"/>
      <c r="F136" s="90">
        <v>4900</v>
      </c>
      <c r="G136" s="90"/>
      <c r="H136" s="90"/>
      <c r="R136"/>
      <c r="S136">
        <v>800000</v>
      </c>
      <c r="T136">
        <v>300000</v>
      </c>
      <c r="U136">
        <v>100000</v>
      </c>
      <c r="V136">
        <v>100000</v>
      </c>
    </row>
    <row r="137" spans="1:22" x14ac:dyDescent="0.35">
      <c r="A137" s="91" t="s">
        <v>154</v>
      </c>
      <c r="B137" s="91"/>
      <c r="C137" s="91"/>
      <c r="D137" s="91"/>
      <c r="E137" s="91"/>
      <c r="F137" s="90">
        <v>10000</v>
      </c>
      <c r="G137" s="90"/>
      <c r="H137" s="90"/>
      <c r="R137"/>
      <c r="S137">
        <v>900000</v>
      </c>
      <c r="T137">
        <v>350000</v>
      </c>
      <c r="U137">
        <v>150000</v>
      </c>
      <c r="V137">
        <v>150000</v>
      </c>
    </row>
    <row r="138" spans="1:22" hidden="1" x14ac:dyDescent="0.35">
      <c r="A138" s="91" t="s">
        <v>156</v>
      </c>
      <c r="B138" s="91"/>
      <c r="C138" s="91"/>
      <c r="D138" s="91"/>
      <c r="E138" s="91"/>
      <c r="F138" s="90"/>
      <c r="G138" s="90"/>
      <c r="H138" s="90"/>
      <c r="R138"/>
      <c r="S138">
        <v>1000000</v>
      </c>
      <c r="T138">
        <v>400000</v>
      </c>
      <c r="U138">
        <v>200000</v>
      </c>
      <c r="V138">
        <v>200000</v>
      </c>
    </row>
    <row r="139" spans="1:22" s="32" customFormat="1" hidden="1" x14ac:dyDescent="0.35">
      <c r="A139" s="91" t="s">
        <v>173</v>
      </c>
      <c r="B139" s="91"/>
      <c r="C139" s="91"/>
      <c r="D139" s="91"/>
      <c r="E139" s="91"/>
      <c r="F139" s="90"/>
      <c r="G139" s="90"/>
      <c r="H139" s="90"/>
      <c r="R139"/>
      <c r="S139">
        <v>1100000</v>
      </c>
      <c r="T139">
        <v>500000</v>
      </c>
      <c r="U139">
        <v>250000</v>
      </c>
      <c r="V139" s="22">
        <v>250000</v>
      </c>
    </row>
    <row r="140" spans="1:22" s="32" customFormat="1" hidden="1" x14ac:dyDescent="0.35">
      <c r="A140" s="91" t="s">
        <v>92</v>
      </c>
      <c r="B140" s="91"/>
      <c r="C140" s="91"/>
      <c r="D140" s="91"/>
      <c r="E140" s="91"/>
      <c r="F140" s="90"/>
      <c r="G140" s="90"/>
      <c r="H140" s="90"/>
      <c r="R140"/>
      <c r="S140">
        <v>1200000</v>
      </c>
      <c r="T140">
        <v>600000</v>
      </c>
      <c r="U140">
        <v>300000</v>
      </c>
      <c r="V140">
        <v>300000</v>
      </c>
    </row>
    <row r="141" spans="1:22" s="32" customFormat="1" hidden="1" x14ac:dyDescent="0.35">
      <c r="A141" s="91" t="s">
        <v>93</v>
      </c>
      <c r="B141" s="91"/>
      <c r="C141" s="91"/>
      <c r="D141" s="91"/>
      <c r="E141" s="91"/>
      <c r="F141" s="90"/>
      <c r="G141" s="90"/>
      <c r="H141" s="90"/>
      <c r="R141"/>
      <c r="S141">
        <v>1300000</v>
      </c>
      <c r="T141">
        <v>700000</v>
      </c>
      <c r="U141">
        <v>350000</v>
      </c>
      <c r="V141" s="22">
        <v>400000</v>
      </c>
    </row>
    <row r="142" spans="1:22" s="32" customFormat="1" hidden="1" x14ac:dyDescent="0.35">
      <c r="A142" s="91" t="s">
        <v>94</v>
      </c>
      <c r="B142" s="91"/>
      <c r="C142" s="91"/>
      <c r="D142" s="91"/>
      <c r="E142" s="91"/>
      <c r="F142" s="90"/>
      <c r="G142" s="90"/>
      <c r="H142" s="90"/>
      <c r="R142"/>
      <c r="S142">
        <v>1400000</v>
      </c>
      <c r="T142">
        <v>800000</v>
      </c>
      <c r="U142">
        <v>400000</v>
      </c>
      <c r="V142"/>
    </row>
    <row r="143" spans="1:22" s="32" customFormat="1" hidden="1" x14ac:dyDescent="0.35">
      <c r="A143" s="91" t="s">
        <v>95</v>
      </c>
      <c r="B143" s="91"/>
      <c r="C143" s="91"/>
      <c r="D143" s="91"/>
      <c r="E143" s="91"/>
      <c r="F143" s="90"/>
      <c r="G143" s="90"/>
      <c r="H143" s="90"/>
      <c r="R143"/>
      <c r="S143">
        <v>1500000</v>
      </c>
      <c r="T143">
        <v>900000</v>
      </c>
      <c r="U143">
        <v>500000</v>
      </c>
      <c r="V143" s="22"/>
    </row>
    <row r="144" spans="1:22" s="32" customFormat="1" hidden="1" x14ac:dyDescent="0.35">
      <c r="A144" s="91" t="s">
        <v>96</v>
      </c>
      <c r="B144" s="91"/>
      <c r="C144" s="91"/>
      <c r="D144" s="91"/>
      <c r="E144" s="91"/>
      <c r="F144" s="90"/>
      <c r="G144" s="90"/>
      <c r="H144" s="90"/>
      <c r="R144"/>
      <c r="S144">
        <v>1600000</v>
      </c>
      <c r="T144">
        <v>1000000</v>
      </c>
      <c r="U144">
        <v>600000</v>
      </c>
      <c r="V144"/>
    </row>
    <row r="145" spans="1:22" s="32" customFormat="1" hidden="1" x14ac:dyDescent="0.35">
      <c r="A145" s="91" t="s">
        <v>97</v>
      </c>
      <c r="B145" s="91"/>
      <c r="C145" s="91"/>
      <c r="D145" s="91"/>
      <c r="E145" s="91"/>
      <c r="F145" s="90"/>
      <c r="G145" s="90"/>
      <c r="H145" s="90"/>
      <c r="R145"/>
      <c r="S145">
        <v>1700000</v>
      </c>
      <c r="T145"/>
      <c r="U145"/>
      <c r="V145" s="22"/>
    </row>
    <row r="146" spans="1:22" x14ac:dyDescent="0.35">
      <c r="A146" s="91" t="s">
        <v>49</v>
      </c>
      <c r="B146" s="91"/>
      <c r="C146" s="91"/>
      <c r="D146" s="91"/>
      <c r="E146" s="91"/>
      <c r="F146" s="90">
        <v>200000</v>
      </c>
      <c r="G146" s="90"/>
      <c r="H146" s="90"/>
      <c r="R146"/>
      <c r="S146">
        <v>1800000</v>
      </c>
      <c r="T146"/>
      <c r="U146"/>
    </row>
    <row r="147" spans="1:22" s="33" customFormat="1" x14ac:dyDescent="0.35">
      <c r="A147" s="121" t="s">
        <v>50</v>
      </c>
      <c r="B147" s="121"/>
      <c r="C147" s="121"/>
      <c r="D147" s="121"/>
      <c r="E147" s="121"/>
      <c r="F147" s="90">
        <f>F135*0.8</f>
        <v>3760</v>
      </c>
      <c r="G147" s="90"/>
      <c r="H147" s="90"/>
      <c r="R147" s="20"/>
      <c r="S147" s="20"/>
      <c r="T147"/>
      <c r="U147"/>
      <c r="V147" s="20"/>
    </row>
    <row r="148" spans="1:22" s="34" customFormat="1" ht="15.75" customHeight="1" x14ac:dyDescent="0.35">
      <c r="A148" s="182" t="s">
        <v>72</v>
      </c>
      <c r="B148" s="182"/>
      <c r="C148" s="182"/>
      <c r="D148" s="182"/>
      <c r="E148" s="182"/>
      <c r="F148" s="182"/>
      <c r="G148" s="182"/>
      <c r="H148" s="182"/>
      <c r="R148"/>
      <c r="S148" s="20"/>
      <c r="T148"/>
      <c r="U148"/>
      <c r="V148" s="20"/>
    </row>
    <row r="149" spans="1:22" s="34" customFormat="1" ht="15.75" customHeight="1" x14ac:dyDescent="0.35">
      <c r="A149" s="145" t="s">
        <v>51</v>
      </c>
      <c r="B149" s="145"/>
      <c r="C149" s="200" t="s">
        <v>75</v>
      </c>
      <c r="D149" s="200"/>
      <c r="E149" s="223" t="s">
        <v>52</v>
      </c>
      <c r="F149" s="223"/>
      <c r="G149" s="145" t="s">
        <v>53</v>
      </c>
      <c r="H149" s="145"/>
      <c r="R149"/>
      <c r="S149" s="20"/>
      <c r="T149"/>
      <c r="U149" s="20"/>
      <c r="V149" s="20"/>
    </row>
    <row r="150" spans="1:22" s="34" customFormat="1" x14ac:dyDescent="0.35">
      <c r="A150" s="60" t="s">
        <v>349</v>
      </c>
      <c r="B150" s="60" t="s">
        <v>325</v>
      </c>
      <c r="C150" s="102">
        <f>COUNT(F165:F178)</f>
        <v>14</v>
      </c>
      <c r="D150" s="103"/>
      <c r="E150" s="104">
        <f>SUM(F165:F178)</f>
        <v>5736.889079999999</v>
      </c>
      <c r="F150" s="105"/>
      <c r="G150" s="104">
        <f>SUM(H165:H178)</f>
        <v>8892.1780739999995</v>
      </c>
      <c r="H150" s="105"/>
      <c r="R150"/>
      <c r="S150" s="20"/>
      <c r="T150"/>
      <c r="U150" s="20"/>
      <c r="V150" s="20"/>
    </row>
    <row r="151" spans="1:22" s="34" customFormat="1" x14ac:dyDescent="0.35">
      <c r="A151" s="182" t="s">
        <v>67</v>
      </c>
      <c r="B151" s="182"/>
      <c r="C151" s="182"/>
      <c r="D151" s="182"/>
      <c r="E151" s="182"/>
      <c r="F151" s="182"/>
      <c r="G151" s="182"/>
      <c r="H151" s="182"/>
      <c r="T151"/>
    </row>
    <row r="152" spans="1:22" s="34" customFormat="1" ht="15.75" customHeight="1" x14ac:dyDescent="0.35">
      <c r="A152" s="145" t="s">
        <v>51</v>
      </c>
      <c r="B152" s="145"/>
      <c r="C152" s="224" t="s">
        <v>75</v>
      </c>
      <c r="D152" s="224"/>
      <c r="E152" s="154" t="s">
        <v>52</v>
      </c>
      <c r="F152" s="154"/>
      <c r="G152" s="145" t="s">
        <v>53</v>
      </c>
      <c r="H152" s="145"/>
      <c r="T152"/>
    </row>
    <row r="153" spans="1:22" s="34" customFormat="1" x14ac:dyDescent="0.35">
      <c r="A153" s="227" t="s">
        <v>351</v>
      </c>
      <c r="B153" s="60" t="s">
        <v>327</v>
      </c>
      <c r="C153" s="102">
        <f>COUNT(F188:F195)+COUNT(F197:F204)*3+COUNT(F206:F213)+COUNT(F215,F217:F222)+COUNT(F224:F231)*8+COUNT(F233,F235:F240)*2</f>
        <v>125</v>
      </c>
      <c r="D153" s="102"/>
      <c r="E153" s="104">
        <f>SUM(F188:F195)+SUM(F197:F204)*3+SUM(F206:F213)+SUM(F215,F217:F222)+SUM(F224:F231)*8+SUM(F233,F235:F240)*2</f>
        <v>93161.74725</v>
      </c>
      <c r="F153" s="104"/>
      <c r="G153" s="104">
        <f>SUM(H188:H195)+SUM(H197:H204)*3+SUM(H206:H213)+SUM(H215,H217:H222)+SUM(H224:H231)*8+SUM(H233,H235:H240)*2</f>
        <v>140402.82632999998</v>
      </c>
      <c r="H153" s="104"/>
      <c r="T153"/>
    </row>
    <row r="154" spans="1:22" s="34" customFormat="1" x14ac:dyDescent="0.35">
      <c r="A154" s="228"/>
      <c r="B154" s="60" t="s">
        <v>331</v>
      </c>
      <c r="C154" s="102">
        <f>COUNT(F243:F249)+COUNT(F251:F257)*3+COUNT(F259:F265)+COUNT(F267:F273)+COUNT(F275:F281)*8+COUNT(F283:F289)*2</f>
        <v>112</v>
      </c>
      <c r="D154" s="102"/>
      <c r="E154" s="104">
        <f>SUM(F243:F249)+SUM(F251:F257)*3+SUM(F259:F265)+SUM(F267:F273)+SUM(F275:F281)*8+SUM(F283:F289)*2</f>
        <v>79937.069939999987</v>
      </c>
      <c r="F154" s="104"/>
      <c r="G154" s="104">
        <f>SUM(H243:H249)+SUM(H251:H257)*3+SUM(H259:H265)+SUM(H267:H273)+SUM(H275:H281)*8+SUM(H283:H289)*2</f>
        <v>120353.72368499999</v>
      </c>
      <c r="H154" s="104"/>
      <c r="T154"/>
    </row>
    <row r="155" spans="1:22" s="34" customFormat="1" x14ac:dyDescent="0.35">
      <c r="A155" s="116" t="s">
        <v>350</v>
      </c>
      <c r="B155" s="116"/>
      <c r="C155" s="102">
        <f>COUNT(F291:F296)</f>
        <v>6</v>
      </c>
      <c r="D155" s="102"/>
      <c r="E155" s="104">
        <f>SUM(F291:F296)</f>
        <v>7233.8385600000001</v>
      </c>
      <c r="F155" s="104"/>
      <c r="G155" s="104">
        <f>SUM(H291:H296)</f>
        <v>12015.893564999998</v>
      </c>
      <c r="H155" s="104"/>
    </row>
    <row r="156" spans="1:22" s="34" customFormat="1" ht="16" thickBot="1" x14ac:dyDescent="0.4">
      <c r="A156" s="117" t="s">
        <v>147</v>
      </c>
      <c r="B156" s="117"/>
      <c r="C156" s="113">
        <f>SUM(C153:D155)</f>
        <v>243</v>
      </c>
      <c r="D156" s="113"/>
      <c r="E156" s="113">
        <f t="shared" ref="E156" si="0">SUM(E153:F155)</f>
        <v>180332.65574999998</v>
      </c>
      <c r="F156" s="113"/>
      <c r="G156" s="113">
        <f t="shared" ref="G156" si="1">SUM(G153:H155)</f>
        <v>272772.44357999996</v>
      </c>
      <c r="H156" s="113"/>
    </row>
    <row r="157" spans="1:22" s="34" customFormat="1" ht="16" thickBot="1" x14ac:dyDescent="0.4">
      <c r="A157" s="201" t="s">
        <v>163</v>
      </c>
      <c r="B157" s="202"/>
      <c r="C157" s="146">
        <f>C150+C156</f>
        <v>257</v>
      </c>
      <c r="D157" s="147"/>
      <c r="E157" s="146">
        <f t="shared" ref="E157" si="2">E150+E156</f>
        <v>186069.54482999997</v>
      </c>
      <c r="F157" s="147"/>
      <c r="G157" s="146">
        <f t="shared" ref="G157" si="3">G150+G156</f>
        <v>281664.62165399996</v>
      </c>
      <c r="H157" s="147"/>
    </row>
    <row r="158" spans="1:22" s="33" customFormat="1" x14ac:dyDescent="0.35">
      <c r="A158" s="106" t="s">
        <v>54</v>
      </c>
      <c r="B158" s="106"/>
      <c r="C158" s="106"/>
      <c r="D158" s="106"/>
      <c r="E158" s="106"/>
      <c r="F158" s="106"/>
      <c r="G158" s="106"/>
      <c r="H158" s="106"/>
      <c r="T158" s="34"/>
    </row>
    <row r="159" spans="1:22" x14ac:dyDescent="0.35">
      <c r="A159" s="219" t="s">
        <v>172</v>
      </c>
      <c r="B159" s="219"/>
      <c r="C159" s="219"/>
      <c r="D159" s="219"/>
      <c r="E159" s="219"/>
      <c r="F159" s="219"/>
      <c r="G159" s="219"/>
      <c r="H159" s="219"/>
      <c r="T159" s="34"/>
    </row>
    <row r="160" spans="1:22" ht="47.25" customHeight="1" x14ac:dyDescent="0.35">
      <c r="A160" s="92" t="s">
        <v>117</v>
      </c>
      <c r="B160" s="92" t="s">
        <v>174</v>
      </c>
      <c r="C160" s="92" t="s">
        <v>55</v>
      </c>
      <c r="D160" s="92" t="s">
        <v>229</v>
      </c>
      <c r="E160" s="98" t="s">
        <v>352</v>
      </c>
      <c r="F160" s="92" t="s">
        <v>56</v>
      </c>
      <c r="G160" s="98" t="s">
        <v>57</v>
      </c>
      <c r="H160" s="54" t="s">
        <v>146</v>
      </c>
      <c r="T160" s="34"/>
    </row>
    <row r="161" spans="1:20" s="36" customFormat="1" x14ac:dyDescent="0.35">
      <c r="A161" s="93"/>
      <c r="B161" s="93"/>
      <c r="C161" s="93"/>
      <c r="D161" s="93"/>
      <c r="E161" s="99"/>
      <c r="F161" s="93"/>
      <c r="G161" s="99"/>
      <c r="H161" s="64">
        <v>0.55000000000000004</v>
      </c>
      <c r="I161" s="61">
        <v>10.763999999999999</v>
      </c>
      <c r="T161" s="33"/>
    </row>
    <row r="162" spans="1:20" s="62" customFormat="1" x14ac:dyDescent="0.35">
      <c r="A162" s="142" t="s">
        <v>324</v>
      </c>
      <c r="B162" s="143"/>
      <c r="C162" s="143"/>
      <c r="D162" s="143"/>
      <c r="E162" s="143"/>
      <c r="F162" s="143"/>
      <c r="G162" s="143"/>
      <c r="H162" s="144"/>
      <c r="J162" s="35"/>
      <c r="T162" s="20"/>
    </row>
    <row r="163" spans="1:20" s="62" customFormat="1" x14ac:dyDescent="0.35">
      <c r="A163" s="191" t="s">
        <v>325</v>
      </c>
      <c r="B163" s="192"/>
      <c r="C163" s="192"/>
      <c r="D163" s="192"/>
      <c r="E163" s="192"/>
      <c r="F163" s="192"/>
      <c r="G163" s="192"/>
      <c r="H163" s="193"/>
      <c r="J163" s="35"/>
      <c r="T163" s="20"/>
    </row>
    <row r="164" spans="1:20" s="36" customFormat="1" x14ac:dyDescent="0.35">
      <c r="A164" s="142" t="s">
        <v>353</v>
      </c>
      <c r="B164" s="143"/>
      <c r="C164" s="143"/>
      <c r="D164" s="143"/>
      <c r="E164" s="143"/>
      <c r="F164" s="143"/>
      <c r="G164" s="143"/>
      <c r="H164" s="144"/>
      <c r="J164" s="35"/>
      <c r="T164" s="20"/>
    </row>
    <row r="165" spans="1:20" s="36" customFormat="1" ht="15.75" customHeight="1" x14ac:dyDescent="0.35">
      <c r="A165" s="189">
        <v>1</v>
      </c>
      <c r="B165" s="190"/>
      <c r="C165" s="41" t="s">
        <v>326</v>
      </c>
      <c r="D165" s="61">
        <f>(29.91)*10.764</f>
        <v>321.95123999999998</v>
      </c>
      <c r="E165" s="66">
        <f>(2.7*1.2)*10.764</f>
        <v>34.875360000000001</v>
      </c>
      <c r="F165" s="41">
        <f>D165+E165</f>
        <v>356.82659999999998</v>
      </c>
      <c r="G165" s="53">
        <v>0</v>
      </c>
      <c r="H165" s="53">
        <f>(D165+E165)*(($H$161)+1)</f>
        <v>553.08123000000001</v>
      </c>
      <c r="I165" s="65">
        <f>3.45*8.7</f>
        <v>30.015000000000001</v>
      </c>
      <c r="L165" s="136"/>
      <c r="M165" s="136"/>
      <c r="N165" s="35"/>
      <c r="T165" s="20"/>
    </row>
    <row r="166" spans="1:20" s="36" customFormat="1" ht="15.75" customHeight="1" x14ac:dyDescent="0.35">
      <c r="A166" s="189">
        <f>A165+1</f>
        <v>2</v>
      </c>
      <c r="B166" s="190"/>
      <c r="C166" s="61" t="s">
        <v>326</v>
      </c>
      <c r="D166" s="61">
        <f>(23.92)*10.764</f>
        <v>257.47487999999998</v>
      </c>
      <c r="E166" s="61">
        <f>(2.75*1.2)*10.764</f>
        <v>35.521199999999993</v>
      </c>
      <c r="F166" s="53">
        <f>D166+E166</f>
        <v>292.99608000000001</v>
      </c>
      <c r="G166" s="53">
        <v>0</v>
      </c>
      <c r="H166" s="53">
        <f>(D166+E166)*(($H$161)+1)</f>
        <v>454.14392400000003</v>
      </c>
      <c r="I166" s="35"/>
      <c r="J166" s="36">
        <f>2.75*8.7</f>
        <v>23.924999999999997</v>
      </c>
      <c r="L166" s="136"/>
      <c r="M166" s="136"/>
      <c r="N166" s="35"/>
    </row>
    <row r="167" spans="1:20" s="36" customFormat="1" ht="15.75" customHeight="1" x14ac:dyDescent="0.35">
      <c r="A167" s="189">
        <f>A166+1</f>
        <v>3</v>
      </c>
      <c r="B167" s="190"/>
      <c r="C167" s="61" t="s">
        <v>326</v>
      </c>
      <c r="D167" s="61">
        <f>(27.62)*10.764</f>
        <v>297.30167999999998</v>
      </c>
      <c r="E167" s="61">
        <f>(3.45*1.2)*10.764</f>
        <v>44.562959999999997</v>
      </c>
      <c r="F167" s="53">
        <f>D167+E167</f>
        <v>341.86463999999995</v>
      </c>
      <c r="G167" s="53">
        <v>0</v>
      </c>
      <c r="H167" s="53">
        <f>(D167+E167)*(($H$161)+1)</f>
        <v>529.89019199999996</v>
      </c>
      <c r="I167" s="35"/>
      <c r="L167" s="136"/>
      <c r="M167" s="136"/>
      <c r="N167" s="35"/>
    </row>
    <row r="168" spans="1:20" s="36" customFormat="1" ht="15.75" customHeight="1" x14ac:dyDescent="0.35">
      <c r="A168" s="189">
        <f>A167+1</f>
        <v>4</v>
      </c>
      <c r="B168" s="190"/>
      <c r="C168" s="61" t="s">
        <v>326</v>
      </c>
      <c r="D168" s="61">
        <f>(17.62)*10.764</f>
        <v>189.66167999999999</v>
      </c>
      <c r="E168" s="61">
        <f>(2.5*1.2)*10.764</f>
        <v>32.292000000000002</v>
      </c>
      <c r="F168" s="53">
        <f>D168+E168</f>
        <v>221.95367999999999</v>
      </c>
      <c r="G168" s="53">
        <v>0</v>
      </c>
      <c r="H168" s="53">
        <f>(D168+E168)*(($H$161)+1)</f>
        <v>344.02820400000002</v>
      </c>
      <c r="I168" s="65">
        <f>2.5*7.05</f>
        <v>17.625</v>
      </c>
      <c r="L168" s="136"/>
      <c r="M168" s="136"/>
      <c r="N168" s="35"/>
    </row>
    <row r="169" spans="1:20" s="62" customFormat="1" ht="15.75" customHeight="1" x14ac:dyDescent="0.35">
      <c r="A169" s="189">
        <f t="shared" ref="A169:A178" si="4">A168+1</f>
        <v>5</v>
      </c>
      <c r="B169" s="190"/>
      <c r="C169" s="61" t="s">
        <v>326</v>
      </c>
      <c r="D169" s="61">
        <f>(38.32)*10.764</f>
        <v>412.47647999999998</v>
      </c>
      <c r="E169" s="61">
        <f>(5.05*1.2)*10.764</f>
        <v>65.229839999999996</v>
      </c>
      <c r="F169" s="61">
        <f t="shared" ref="F169:F178" si="5">D169+E169</f>
        <v>477.70632000000001</v>
      </c>
      <c r="G169" s="61">
        <v>0</v>
      </c>
      <c r="H169" s="61">
        <f t="shared" ref="H169:H178" si="6">(D169+E169)*(($H$161)+1)</f>
        <v>740.444796</v>
      </c>
      <c r="I169" s="35"/>
      <c r="L169" s="136"/>
      <c r="M169" s="136"/>
      <c r="N169" s="35"/>
    </row>
    <row r="170" spans="1:20" s="62" customFormat="1" ht="15.75" customHeight="1" x14ac:dyDescent="0.35">
      <c r="A170" s="189">
        <f t="shared" si="4"/>
        <v>6</v>
      </c>
      <c r="B170" s="190"/>
      <c r="C170" s="61" t="s">
        <v>326</v>
      </c>
      <c r="D170" s="61">
        <f>(23.49)*10.764</f>
        <v>252.84635999999998</v>
      </c>
      <c r="E170" s="61">
        <f>(2.7*1.2)*10.764</f>
        <v>34.875360000000001</v>
      </c>
      <c r="F170" s="61">
        <f t="shared" si="5"/>
        <v>287.72172</v>
      </c>
      <c r="G170" s="61">
        <v>0</v>
      </c>
      <c r="H170" s="61">
        <f t="shared" si="6"/>
        <v>445.96866600000004</v>
      </c>
      <c r="I170" s="35"/>
      <c r="L170" s="136"/>
      <c r="M170" s="136"/>
      <c r="N170" s="35"/>
    </row>
    <row r="171" spans="1:20" s="62" customFormat="1" ht="15.75" customHeight="1" x14ac:dyDescent="0.35">
      <c r="A171" s="189">
        <f t="shared" si="4"/>
        <v>7</v>
      </c>
      <c r="B171" s="190"/>
      <c r="C171" s="61" t="s">
        <v>326</v>
      </c>
      <c r="D171" s="68">
        <f>(23.92)*10.764</f>
        <v>257.47487999999998</v>
      </c>
      <c r="E171" s="61">
        <f>(2.75*1.2)*10.764</f>
        <v>35.521199999999993</v>
      </c>
      <c r="F171" s="61">
        <f t="shared" si="5"/>
        <v>292.99608000000001</v>
      </c>
      <c r="G171" s="61">
        <v>0</v>
      </c>
      <c r="H171" s="61">
        <f t="shared" si="6"/>
        <v>454.14392400000003</v>
      </c>
      <c r="I171" s="35"/>
      <c r="L171" s="136"/>
      <c r="M171" s="136"/>
      <c r="N171" s="35"/>
    </row>
    <row r="172" spans="1:20" s="62" customFormat="1" ht="15.75" customHeight="1" x14ac:dyDescent="0.35">
      <c r="A172" s="189">
        <f t="shared" si="4"/>
        <v>8</v>
      </c>
      <c r="B172" s="190"/>
      <c r="C172" s="61" t="s">
        <v>326</v>
      </c>
      <c r="D172" s="61">
        <f>(23.92)*10.764</f>
        <v>257.47487999999998</v>
      </c>
      <c r="E172" s="61">
        <f>(2.75*1.2)*10.764</f>
        <v>35.521199999999993</v>
      </c>
      <c r="F172" s="61">
        <f t="shared" si="5"/>
        <v>292.99608000000001</v>
      </c>
      <c r="G172" s="61">
        <v>0</v>
      </c>
      <c r="H172" s="61">
        <f t="shared" si="6"/>
        <v>454.14392400000003</v>
      </c>
      <c r="I172" s="35"/>
      <c r="L172" s="136"/>
      <c r="M172" s="136"/>
      <c r="N172" s="35"/>
    </row>
    <row r="173" spans="1:20" s="62" customFormat="1" ht="15.75" customHeight="1" x14ac:dyDescent="0.35">
      <c r="A173" s="189">
        <f t="shared" si="4"/>
        <v>9</v>
      </c>
      <c r="B173" s="190"/>
      <c r="C173" s="61" t="s">
        <v>326</v>
      </c>
      <c r="D173" s="61">
        <f>(43.06)*10.764</f>
        <v>463.49784</v>
      </c>
      <c r="E173" s="61">
        <f>(4.95*1.2)*10.764</f>
        <v>63.938160000000003</v>
      </c>
      <c r="F173" s="61">
        <f t="shared" si="5"/>
        <v>527.43600000000004</v>
      </c>
      <c r="G173" s="61">
        <v>0</v>
      </c>
      <c r="H173" s="61">
        <f t="shared" si="6"/>
        <v>817.52580000000012</v>
      </c>
      <c r="I173" s="35"/>
      <c r="L173" s="136"/>
      <c r="M173" s="136"/>
      <c r="N173" s="35"/>
    </row>
    <row r="174" spans="1:20" s="62" customFormat="1" ht="15.75" customHeight="1" x14ac:dyDescent="0.35">
      <c r="A174" s="189">
        <f t="shared" si="4"/>
        <v>10</v>
      </c>
      <c r="B174" s="190"/>
      <c r="C174" s="61" t="s">
        <v>326</v>
      </c>
      <c r="D174" s="61">
        <f>(49.15)*10.764</f>
        <v>529.05059999999992</v>
      </c>
      <c r="E174" s="61">
        <f>(5.65*1.2)*10.764</f>
        <v>72.979919999999993</v>
      </c>
      <c r="F174" s="61">
        <f t="shared" si="5"/>
        <v>602.03051999999991</v>
      </c>
      <c r="G174" s="61">
        <v>0</v>
      </c>
      <c r="H174" s="61">
        <f t="shared" si="6"/>
        <v>933.14730599999984</v>
      </c>
      <c r="I174" s="35"/>
      <c r="L174" s="136"/>
      <c r="M174" s="136"/>
      <c r="N174" s="35"/>
    </row>
    <row r="175" spans="1:20" s="62" customFormat="1" ht="15.75" customHeight="1" x14ac:dyDescent="0.35">
      <c r="A175" s="189">
        <f t="shared" si="4"/>
        <v>11</v>
      </c>
      <c r="B175" s="190"/>
      <c r="C175" s="61" t="s">
        <v>326</v>
      </c>
      <c r="D175" s="61">
        <f>(19.04)*10.764</f>
        <v>204.94655999999998</v>
      </c>
      <c r="E175" s="61">
        <f>(2.7*1.2)*10.764</f>
        <v>34.875360000000001</v>
      </c>
      <c r="F175" s="61">
        <f t="shared" si="5"/>
        <v>239.82191999999998</v>
      </c>
      <c r="G175" s="61">
        <v>0</v>
      </c>
      <c r="H175" s="61">
        <f t="shared" si="6"/>
        <v>371.72397599999999</v>
      </c>
      <c r="I175" s="35"/>
      <c r="L175" s="136"/>
      <c r="M175" s="136"/>
      <c r="N175" s="35"/>
    </row>
    <row r="176" spans="1:20" s="62" customFormat="1" ht="15.75" customHeight="1" x14ac:dyDescent="0.35">
      <c r="A176" s="189">
        <f t="shared" si="4"/>
        <v>12</v>
      </c>
      <c r="B176" s="190"/>
      <c r="C176" s="61" t="s">
        <v>326</v>
      </c>
      <c r="D176" s="61">
        <f>(35.6)*10.764</f>
        <v>383.19839999999999</v>
      </c>
      <c r="E176" s="61">
        <f>(5.05*1.2)*10.764</f>
        <v>65.229839999999996</v>
      </c>
      <c r="F176" s="61">
        <f t="shared" si="5"/>
        <v>448.42823999999996</v>
      </c>
      <c r="G176" s="61">
        <v>0</v>
      </c>
      <c r="H176" s="61">
        <f t="shared" si="6"/>
        <v>695.06377199999997</v>
      </c>
      <c r="I176" s="35"/>
      <c r="L176" s="136"/>
      <c r="M176" s="136"/>
      <c r="N176" s="35"/>
    </row>
    <row r="177" spans="1:20" s="62" customFormat="1" ht="15.75" customHeight="1" x14ac:dyDescent="0.35">
      <c r="A177" s="189">
        <f t="shared" si="4"/>
        <v>13</v>
      </c>
      <c r="B177" s="190"/>
      <c r="C177" s="61" t="s">
        <v>326</v>
      </c>
      <c r="D177" s="61">
        <f>(20.45)*10.764</f>
        <v>220.12379999999999</v>
      </c>
      <c r="E177" s="61">
        <f>(2.9*1.2)*10.764</f>
        <v>37.45872</v>
      </c>
      <c r="F177" s="61">
        <f t="shared" si="5"/>
        <v>257.58251999999999</v>
      </c>
      <c r="G177" s="61">
        <v>0</v>
      </c>
      <c r="H177" s="61">
        <f t="shared" si="6"/>
        <v>399.252906</v>
      </c>
      <c r="I177" s="35"/>
      <c r="L177" s="136"/>
      <c r="M177" s="136"/>
      <c r="N177" s="35"/>
    </row>
    <row r="178" spans="1:20" s="62" customFormat="1" ht="15.75" customHeight="1" x14ac:dyDescent="0.35">
      <c r="A178" s="189">
        <f t="shared" si="4"/>
        <v>14</v>
      </c>
      <c r="B178" s="190"/>
      <c r="C178" s="61" t="s">
        <v>326</v>
      </c>
      <c r="D178" s="61">
        <f>(94.07)*10.764</f>
        <v>1012.5694799999999</v>
      </c>
      <c r="E178" s="61">
        <f>(6.5*1.2)*10.764</f>
        <v>83.959199999999996</v>
      </c>
      <c r="F178" s="61">
        <f t="shared" si="5"/>
        <v>1096.5286799999999</v>
      </c>
      <c r="G178" s="61">
        <v>0</v>
      </c>
      <c r="H178" s="61">
        <f t="shared" si="6"/>
        <v>1699.6194539999999</v>
      </c>
      <c r="I178" s="65">
        <f>6.5*7.2+8.15*5.8</f>
        <v>94.070000000000007</v>
      </c>
      <c r="L178" s="136"/>
      <c r="M178" s="136"/>
      <c r="N178" s="35"/>
    </row>
    <row r="179" spans="1:20" s="36" customFormat="1" x14ac:dyDescent="0.35">
      <c r="A179" s="189"/>
      <c r="B179" s="194"/>
      <c r="C179" s="194"/>
      <c r="D179" s="194"/>
      <c r="E179" s="194"/>
      <c r="F179" s="194"/>
      <c r="G179" s="194"/>
      <c r="H179" s="190"/>
      <c r="I179" s="35"/>
      <c r="N179" s="35"/>
    </row>
    <row r="180" spans="1:20" ht="47.25" customHeight="1" x14ac:dyDescent="0.35">
      <c r="A180" s="195" t="s">
        <v>118</v>
      </c>
      <c r="B180" s="92" t="s">
        <v>175</v>
      </c>
      <c r="C180" s="92" t="s">
        <v>55</v>
      </c>
      <c r="D180" s="92" t="s">
        <v>229</v>
      </c>
      <c r="E180" s="92" t="s">
        <v>354</v>
      </c>
      <c r="F180" s="92" t="s">
        <v>56</v>
      </c>
      <c r="G180" s="98" t="s">
        <v>57</v>
      </c>
      <c r="H180" s="54" t="s">
        <v>146</v>
      </c>
      <c r="I180" s="35"/>
      <c r="T180" s="36"/>
    </row>
    <row r="181" spans="1:20" s="36" customFormat="1" x14ac:dyDescent="0.35">
      <c r="A181" s="196"/>
      <c r="B181" s="93"/>
      <c r="C181" s="93"/>
      <c r="D181" s="93"/>
      <c r="E181" s="93"/>
      <c r="F181" s="93"/>
      <c r="G181" s="99"/>
      <c r="H181" s="64">
        <v>0.5</v>
      </c>
      <c r="I181" s="61">
        <v>10.763999999999999</v>
      </c>
    </row>
    <row r="182" spans="1:20" s="62" customFormat="1" x14ac:dyDescent="0.35">
      <c r="A182" s="142" t="s">
        <v>324</v>
      </c>
      <c r="B182" s="143"/>
      <c r="C182" s="143"/>
      <c r="D182" s="143"/>
      <c r="E182" s="143"/>
      <c r="F182" s="143"/>
      <c r="G182" s="143"/>
      <c r="H182" s="144"/>
      <c r="J182" s="35"/>
    </row>
    <row r="183" spans="1:20" s="62" customFormat="1" x14ac:dyDescent="0.35">
      <c r="A183" s="191" t="s">
        <v>325</v>
      </c>
      <c r="B183" s="192"/>
      <c r="C183" s="192"/>
      <c r="D183" s="192"/>
      <c r="E183" s="192"/>
      <c r="F183" s="192"/>
      <c r="G183" s="192"/>
      <c r="H183" s="193"/>
      <c r="J183" s="35"/>
    </row>
    <row r="184" spans="1:20" s="62" customFormat="1" x14ac:dyDescent="0.35">
      <c r="A184" s="142" t="s">
        <v>359</v>
      </c>
      <c r="B184" s="143"/>
      <c r="C184" s="143"/>
      <c r="D184" s="143"/>
      <c r="E184" s="143"/>
      <c r="F184" s="143"/>
      <c r="G184" s="143"/>
      <c r="H184" s="144"/>
      <c r="J184" s="35"/>
    </row>
    <row r="185" spans="1:20" s="62" customFormat="1" x14ac:dyDescent="0.35">
      <c r="A185" s="142" t="s">
        <v>360</v>
      </c>
      <c r="B185" s="143"/>
      <c r="C185" s="143"/>
      <c r="D185" s="143"/>
      <c r="E185" s="143"/>
      <c r="F185" s="143"/>
      <c r="G185" s="143"/>
      <c r="H185" s="144"/>
      <c r="J185" s="35"/>
    </row>
    <row r="186" spans="1:20" s="62" customFormat="1" x14ac:dyDescent="0.35">
      <c r="A186" s="191" t="s">
        <v>327</v>
      </c>
      <c r="B186" s="192"/>
      <c r="C186" s="192"/>
      <c r="D186" s="192"/>
      <c r="E186" s="192"/>
      <c r="F186" s="192"/>
      <c r="G186" s="192"/>
      <c r="H186" s="193"/>
      <c r="J186" s="35"/>
    </row>
    <row r="187" spans="1:20" s="36" customFormat="1" x14ac:dyDescent="0.35">
      <c r="A187" s="142" t="s">
        <v>328</v>
      </c>
      <c r="B187" s="143"/>
      <c r="C187" s="143"/>
      <c r="D187" s="143"/>
      <c r="E187" s="143"/>
      <c r="F187" s="143"/>
      <c r="G187" s="143"/>
      <c r="H187" s="144"/>
      <c r="J187" s="35"/>
    </row>
    <row r="188" spans="1:20" s="36" customFormat="1" ht="15.75" customHeight="1" x14ac:dyDescent="0.35">
      <c r="A188" s="189">
        <v>1</v>
      </c>
      <c r="B188" s="190"/>
      <c r="C188" s="41" t="s">
        <v>329</v>
      </c>
      <c r="D188" s="61">
        <f>(68.33)*10.764</f>
        <v>735.50411999999994</v>
      </c>
      <c r="E188" s="61">
        <f>(6.4*1.2)*10.764</f>
        <v>82.667519999999996</v>
      </c>
      <c r="F188" s="41">
        <f>D188+E188</f>
        <v>818.17163999999991</v>
      </c>
      <c r="G188" s="61">
        <f>(2.8*4.75+0.5*6.3+2.9*3.3)*10.764</f>
        <v>280.07927999999993</v>
      </c>
      <c r="H188" s="53">
        <f>F188*(($H$181)+1)+(IF(G188&lt;101,G188,IF(G188&lt;201,G188/2,IF(G188&lt;=301,G188/3,G188/4))))</f>
        <v>1320.6172199999999</v>
      </c>
      <c r="I188" s="35">
        <f>4.1*4.3+2.3*2.5+2.8*3.5+3.05*3.3+4.1*2.75+1.2*2.15+2.2*1.3+1.35*2.05+2*0.9+0.4*1.2</f>
        <v>65.007499999999993</v>
      </c>
      <c r="L188" s="136"/>
      <c r="M188" s="136"/>
      <c r="N188" s="35"/>
      <c r="T188" s="20"/>
    </row>
    <row r="189" spans="1:20" s="36" customFormat="1" ht="15.75" customHeight="1" x14ac:dyDescent="0.35">
      <c r="A189" s="189">
        <f>A188+1</f>
        <v>2</v>
      </c>
      <c r="B189" s="190"/>
      <c r="C189" s="41" t="s">
        <v>330</v>
      </c>
      <c r="D189" s="61">
        <f>(51.85)*10.764</f>
        <v>558.11339999999996</v>
      </c>
      <c r="E189" s="61">
        <f>(1.05*2.75+2.8*1)*10.764</f>
        <v>61.220249999999993</v>
      </c>
      <c r="F189" s="53">
        <f>D189+E189</f>
        <v>619.33364999999992</v>
      </c>
      <c r="G189" s="61">
        <f>(2.55*3.2+2.65*3.8)*10.764</f>
        <v>196.22771999999995</v>
      </c>
      <c r="H189" s="53">
        <f>F189*(($H$181)+1)+(IF(G189&lt;101,G189,IF(G189&lt;201,G189/2,IF(G189&lt;=301,G189/3,G189/4))))</f>
        <v>1027.1143349999998</v>
      </c>
      <c r="I189" s="35">
        <f>2.75*4.3+2.35*2.3+2.25*2.6+2.75*3.2+2.75*3.5+1.3*1.65+1.2*2.1+1.35*1.3+0.9*1.5</f>
        <v>49.275000000000006</v>
      </c>
      <c r="L189" s="136"/>
      <c r="M189" s="136"/>
      <c r="N189" s="35"/>
    </row>
    <row r="190" spans="1:20" s="36" customFormat="1" ht="15.75" customHeight="1" x14ac:dyDescent="0.35">
      <c r="A190" s="189">
        <f>A189+1</f>
        <v>3</v>
      </c>
      <c r="B190" s="190"/>
      <c r="C190" s="41" t="s">
        <v>330</v>
      </c>
      <c r="D190" s="61">
        <f>(48.37)*10.764</f>
        <v>520.65467999999998</v>
      </c>
      <c r="E190" s="61">
        <f>(1.05*5.1+1.5*3.2)*10.764</f>
        <v>109.30842000000001</v>
      </c>
      <c r="F190" s="53">
        <f>D190+E190</f>
        <v>629.96309999999994</v>
      </c>
      <c r="G190" s="61">
        <f>(2.6*3.8)*10.764</f>
        <v>106.34831999999999</v>
      </c>
      <c r="H190" s="53">
        <f>F190*(($H$181)+1)+(IF(G190&lt;101,G190,IF(G190&lt;201,G190/2,IF(G190&lt;=301,G190/3,G190/4))))</f>
        <v>998.11880999999994</v>
      </c>
      <c r="I190" s="35"/>
      <c r="L190" s="136"/>
      <c r="M190" s="136"/>
      <c r="N190" s="35"/>
    </row>
    <row r="191" spans="1:20" s="36" customFormat="1" ht="15.75" customHeight="1" x14ac:dyDescent="0.35">
      <c r="A191" s="189">
        <f>A190+1</f>
        <v>4</v>
      </c>
      <c r="B191" s="190"/>
      <c r="C191" s="41" t="s">
        <v>330</v>
      </c>
      <c r="D191" s="61">
        <f>(51.85)*10.764</f>
        <v>558.11339999999996</v>
      </c>
      <c r="E191" s="61">
        <f>(1.05*2.75+2.8*1)*10.764</f>
        <v>61.220249999999993</v>
      </c>
      <c r="F191" s="53">
        <f>D191+E191</f>
        <v>619.33364999999992</v>
      </c>
      <c r="G191" s="61">
        <f>(2.55*3.2+2.65*3.8)*10.764</f>
        <v>196.22771999999995</v>
      </c>
      <c r="H191" s="53">
        <f>F191*(($H$181)+1)+(IF(G191&lt;101,G191,IF(G191&lt;201,G191/2,IF(G191&lt;=301,G191/3,G191/4))))</f>
        <v>1027.1143349999998</v>
      </c>
      <c r="I191" s="35"/>
      <c r="L191" s="136"/>
      <c r="M191" s="136"/>
      <c r="N191" s="35"/>
    </row>
    <row r="192" spans="1:20" s="62" customFormat="1" ht="15.75" customHeight="1" x14ac:dyDescent="0.35">
      <c r="A192" s="189">
        <f t="shared" ref="A192:A195" si="7">A191+1</f>
        <v>5</v>
      </c>
      <c r="B192" s="190"/>
      <c r="C192" s="61" t="s">
        <v>329</v>
      </c>
      <c r="D192" s="61">
        <f>(66)*10.764</f>
        <v>710.42399999999998</v>
      </c>
      <c r="E192" s="61">
        <f>(1.05*3.5+1.05*2.75)*10.764</f>
        <v>70.638750000000002</v>
      </c>
      <c r="F192" s="61">
        <f t="shared" ref="F192:F195" si="8">D192+E192</f>
        <v>781.06274999999994</v>
      </c>
      <c r="G192" s="61">
        <f>(2.5*3.8+4.85*3.6+(0.5*9.6*1.8))*10.764</f>
        <v>383.19839999999999</v>
      </c>
      <c r="H192" s="61">
        <f t="shared" ref="H192:H195" si="9">F192*(($H$181)+1)+(IF(G192&lt;101,G192,IF(G192&lt;201,G192/2,IF(G192&lt;=301,G192/3,G192/4))))</f>
        <v>1267.3937249999999</v>
      </c>
      <c r="I192" s="35"/>
      <c r="L192" s="136"/>
      <c r="M192" s="136"/>
      <c r="N192" s="35"/>
    </row>
    <row r="193" spans="1:20" s="62" customFormat="1" ht="15.75" customHeight="1" x14ac:dyDescent="0.35">
      <c r="A193" s="189">
        <f t="shared" si="7"/>
        <v>6</v>
      </c>
      <c r="B193" s="190"/>
      <c r="C193" s="61" t="s">
        <v>329</v>
      </c>
      <c r="D193" s="61">
        <f>(66.41)*10.764</f>
        <v>714.83723999999995</v>
      </c>
      <c r="E193" s="61">
        <f>(1.2*3.5+1.2*2.75)*10.764</f>
        <v>80.72999999999999</v>
      </c>
      <c r="F193" s="61">
        <f t="shared" si="8"/>
        <v>795.56723999999997</v>
      </c>
      <c r="G193" s="61">
        <f>(2.5*3.8+4.9*1.9+1.8*8.1+(0.5*8.1*1.5))*10.764</f>
        <v>424.80126000000001</v>
      </c>
      <c r="H193" s="61">
        <f t="shared" si="9"/>
        <v>1299.5511750000001</v>
      </c>
      <c r="I193" s="35"/>
      <c r="L193" s="136"/>
      <c r="M193" s="136"/>
      <c r="N193" s="35"/>
    </row>
    <row r="194" spans="1:20" s="62" customFormat="1" ht="15.75" customHeight="1" x14ac:dyDescent="0.35">
      <c r="A194" s="189">
        <f t="shared" si="7"/>
        <v>7</v>
      </c>
      <c r="B194" s="190"/>
      <c r="C194" s="61" t="s">
        <v>330</v>
      </c>
      <c r="D194" s="61">
        <f>(46.46)*10.764</f>
        <v>500.09544</v>
      </c>
      <c r="E194" s="61">
        <f>(1.25*2.1+1.5*2.75+2.2*1.9)*10.764</f>
        <v>117.65051999999999</v>
      </c>
      <c r="F194" s="61">
        <f t="shared" si="8"/>
        <v>617.74595999999997</v>
      </c>
      <c r="G194" s="61">
        <f>(2.75*3.9)*10.764</f>
        <v>115.44389999999999</v>
      </c>
      <c r="H194" s="61">
        <f t="shared" si="9"/>
        <v>984.34088999999994</v>
      </c>
      <c r="I194" s="35"/>
      <c r="L194" s="136"/>
      <c r="M194" s="136"/>
      <c r="N194" s="35"/>
    </row>
    <row r="195" spans="1:20" s="62" customFormat="1" ht="15.75" customHeight="1" x14ac:dyDescent="0.35">
      <c r="A195" s="189">
        <f t="shared" si="7"/>
        <v>8</v>
      </c>
      <c r="B195" s="190"/>
      <c r="C195" s="61" t="s">
        <v>330</v>
      </c>
      <c r="D195" s="61">
        <f>(46.46)*10.764</f>
        <v>500.09544</v>
      </c>
      <c r="E195" s="61">
        <f>(1.25*2.1+1.5*2.75+2.2*1.9)*10.764</f>
        <v>117.65051999999999</v>
      </c>
      <c r="F195" s="61">
        <f t="shared" si="8"/>
        <v>617.74595999999997</v>
      </c>
      <c r="G195" s="61">
        <f>(2.75*3.9)*10.764</f>
        <v>115.44389999999999</v>
      </c>
      <c r="H195" s="61">
        <f t="shared" si="9"/>
        <v>984.34088999999994</v>
      </c>
      <c r="I195" s="35">
        <f>2.75*4.3+2.1*2.45+2.75*3.35+2.75*3.2+2.1*1.2+2.1*1.2+0.9*5.3</f>
        <v>44.792500000000004</v>
      </c>
      <c r="L195" s="136"/>
      <c r="M195" s="136"/>
      <c r="N195" s="35"/>
    </row>
    <row r="196" spans="1:20" s="62" customFormat="1" x14ac:dyDescent="0.35">
      <c r="A196" s="142" t="s">
        <v>333</v>
      </c>
      <c r="B196" s="143"/>
      <c r="C196" s="143"/>
      <c r="D196" s="143"/>
      <c r="E196" s="143"/>
      <c r="F196" s="143"/>
      <c r="G196" s="143"/>
      <c r="H196" s="144"/>
      <c r="J196" s="35"/>
    </row>
    <row r="197" spans="1:20" s="62" customFormat="1" ht="15.75" customHeight="1" x14ac:dyDescent="0.35">
      <c r="A197" s="189">
        <v>1</v>
      </c>
      <c r="B197" s="190"/>
      <c r="C197" s="61" t="s">
        <v>329</v>
      </c>
      <c r="D197" s="61">
        <f>(68.33)*10.764</f>
        <v>735.50411999999994</v>
      </c>
      <c r="E197" s="61">
        <f>(1.5*2.9+1.2*6.6+1.2*4.75)*10.764</f>
        <v>193.42907999999997</v>
      </c>
      <c r="F197" s="61">
        <f>D197+E197</f>
        <v>928.93319999999994</v>
      </c>
      <c r="G197" s="61">
        <v>0</v>
      </c>
      <c r="H197" s="61">
        <f>F197*(($H$181)+1)+(IF(G197&lt;101,G197,IF(G197&lt;201,G197/2,IF(G197&lt;=301,G197/3,G197/4))))</f>
        <v>1393.3997999999999</v>
      </c>
      <c r="L197" s="136"/>
      <c r="M197" s="136"/>
      <c r="N197" s="35"/>
      <c r="T197" s="20"/>
    </row>
    <row r="198" spans="1:20" s="62" customFormat="1" ht="15.75" customHeight="1" x14ac:dyDescent="0.35">
      <c r="A198" s="189">
        <f>A197+1</f>
        <v>2</v>
      </c>
      <c r="B198" s="190"/>
      <c r="C198" s="61" t="s">
        <v>330</v>
      </c>
      <c r="D198" s="61">
        <f>(51.85)*10.764</f>
        <v>558.11339999999996</v>
      </c>
      <c r="E198" s="61">
        <f>(1.5*2.75+0.9*2.25+1.05*2.75+2.8*1)*10.764</f>
        <v>127.41885000000002</v>
      </c>
      <c r="F198" s="61">
        <f>D198+E198</f>
        <v>685.53224999999998</v>
      </c>
      <c r="G198" s="61">
        <v>0</v>
      </c>
      <c r="H198" s="61">
        <f>F198*(($H$181)+1)+(IF(G198&lt;101,G198,IF(G198&lt;201,G198/2,IF(G198&lt;=301,G198/3,G198/4))))</f>
        <v>1028.2983749999999</v>
      </c>
      <c r="I198" s="35"/>
      <c r="L198" s="136"/>
      <c r="M198" s="136"/>
      <c r="N198" s="35"/>
    </row>
    <row r="199" spans="1:20" s="62" customFormat="1" ht="15.75" customHeight="1" x14ac:dyDescent="0.35">
      <c r="A199" s="189">
        <f>A198+1</f>
        <v>3</v>
      </c>
      <c r="B199" s="190"/>
      <c r="C199" s="61" t="s">
        <v>330</v>
      </c>
      <c r="D199" s="61">
        <f>(48.37)*10.764</f>
        <v>520.65467999999998</v>
      </c>
      <c r="E199" s="61">
        <f>(2.6*2.7+1.05*5.1+1.5*3.2)*10.764</f>
        <v>184.8717</v>
      </c>
      <c r="F199" s="61">
        <f>D199+E199</f>
        <v>705.52638000000002</v>
      </c>
      <c r="G199" s="61">
        <v>0</v>
      </c>
      <c r="H199" s="61">
        <f>F199*(($H$181)+1)+(IF(G199&lt;101,G199,IF(G199&lt;201,G199/2,IF(G199&lt;=301,G199/3,G199/4))))</f>
        <v>1058.2895699999999</v>
      </c>
      <c r="I199" s="35"/>
      <c r="L199" s="136"/>
      <c r="M199" s="136"/>
      <c r="N199" s="35"/>
    </row>
    <row r="200" spans="1:20" s="62" customFormat="1" ht="15.75" customHeight="1" x14ac:dyDescent="0.35">
      <c r="A200" s="189">
        <f>A199+1</f>
        <v>4</v>
      </c>
      <c r="B200" s="190"/>
      <c r="C200" s="61" t="s">
        <v>330</v>
      </c>
      <c r="D200" s="61">
        <f>(51.85)*10.764</f>
        <v>558.11339999999996</v>
      </c>
      <c r="E200" s="61">
        <f>(1.5*2.75+0.9*2.25+1.05*2.75+2.8*1)*10.764</f>
        <v>127.41885000000002</v>
      </c>
      <c r="F200" s="61">
        <f>D200+E200</f>
        <v>685.53224999999998</v>
      </c>
      <c r="G200" s="61">
        <v>0</v>
      </c>
      <c r="H200" s="61">
        <f>F200*(($H$181)+1)+(IF(G200&lt;101,G200,IF(G200&lt;201,G200/2,IF(G200&lt;=301,G200/3,G200/4))))</f>
        <v>1028.2983749999999</v>
      </c>
      <c r="I200" s="35"/>
      <c r="L200" s="136"/>
      <c r="M200" s="136"/>
      <c r="N200" s="35"/>
    </row>
    <row r="201" spans="1:20" s="62" customFormat="1" ht="15.75" customHeight="1" x14ac:dyDescent="0.35">
      <c r="A201" s="189">
        <f t="shared" ref="A201:A204" si="10">A200+1</f>
        <v>5</v>
      </c>
      <c r="B201" s="190"/>
      <c r="C201" s="61" t="s">
        <v>329</v>
      </c>
      <c r="D201" s="61">
        <f>(66)*10.764</f>
        <v>710.42399999999998</v>
      </c>
      <c r="E201" s="61">
        <f>(1.5*2.1+1.05*3.5+1.05*2.75)*10.764</f>
        <v>104.54535000000001</v>
      </c>
      <c r="F201" s="61">
        <f t="shared" ref="F201:F204" si="11">D201+E201</f>
        <v>814.96934999999996</v>
      </c>
      <c r="G201" s="61">
        <v>0</v>
      </c>
      <c r="H201" s="61">
        <f t="shared" ref="H201:H204" si="12">F201*(($H$181)+1)+(IF(G201&lt;101,G201,IF(G201&lt;201,G201/2,IF(G201&lt;=301,G201/3,G201/4))))</f>
        <v>1222.454025</v>
      </c>
      <c r="I201" s="35"/>
      <c r="L201" s="136"/>
      <c r="M201" s="136"/>
      <c r="N201" s="35"/>
    </row>
    <row r="202" spans="1:20" s="62" customFormat="1" ht="15.75" customHeight="1" x14ac:dyDescent="0.35">
      <c r="A202" s="189">
        <f t="shared" si="10"/>
        <v>6</v>
      </c>
      <c r="B202" s="190"/>
      <c r="C202" s="61" t="s">
        <v>329</v>
      </c>
      <c r="D202" s="61">
        <f>(66.41)*10.764</f>
        <v>714.83723999999995</v>
      </c>
      <c r="E202" s="61">
        <f>(1.5*2.5+1.2*3.5+1.2*2.75)*10.764</f>
        <v>121.095</v>
      </c>
      <c r="F202" s="61">
        <f t="shared" si="11"/>
        <v>835.93223999999998</v>
      </c>
      <c r="G202" s="61">
        <v>0</v>
      </c>
      <c r="H202" s="61">
        <f t="shared" si="12"/>
        <v>1253.8983599999999</v>
      </c>
      <c r="I202" s="35"/>
      <c r="K202" s="62">
        <f>6524000/H202</f>
        <v>5202.9735488289498</v>
      </c>
      <c r="L202" s="136"/>
      <c r="M202" s="136"/>
      <c r="N202" s="35"/>
    </row>
    <row r="203" spans="1:20" s="62" customFormat="1" ht="15.75" customHeight="1" x14ac:dyDescent="0.35">
      <c r="A203" s="189">
        <f t="shared" si="10"/>
        <v>7</v>
      </c>
      <c r="B203" s="190"/>
      <c r="C203" s="61" t="s">
        <v>330</v>
      </c>
      <c r="D203" s="61">
        <f>(46.46)*10.764</f>
        <v>500.09544</v>
      </c>
      <c r="E203" s="61">
        <f>(1.5*2.75+1.25*2.1+1.5*2.75+2.2*1.9)*10.764</f>
        <v>162.05202</v>
      </c>
      <c r="F203" s="61">
        <f t="shared" si="11"/>
        <v>662.14746000000002</v>
      </c>
      <c r="G203" s="61">
        <v>0</v>
      </c>
      <c r="H203" s="61">
        <f t="shared" si="12"/>
        <v>993.22118999999998</v>
      </c>
      <c r="I203" s="35"/>
      <c r="K203" s="62">
        <f>54620000/H203</f>
        <v>54992.785645259944</v>
      </c>
      <c r="L203" s="136"/>
      <c r="M203" s="136"/>
      <c r="N203" s="35"/>
    </row>
    <row r="204" spans="1:20" s="62" customFormat="1" ht="15.75" customHeight="1" x14ac:dyDescent="0.35">
      <c r="A204" s="189">
        <f t="shared" si="10"/>
        <v>8</v>
      </c>
      <c r="B204" s="190"/>
      <c r="C204" s="61" t="s">
        <v>330</v>
      </c>
      <c r="D204" s="61">
        <f>(46.46)*10.764</f>
        <v>500.09544</v>
      </c>
      <c r="E204" s="61">
        <f>(1.5*2.75+1.25*2.1+1.5*2.75+2.2*1.9)*10.764</f>
        <v>162.05202</v>
      </c>
      <c r="F204" s="61">
        <f t="shared" si="11"/>
        <v>662.14746000000002</v>
      </c>
      <c r="G204" s="61">
        <v>0</v>
      </c>
      <c r="H204" s="61">
        <f t="shared" si="12"/>
        <v>993.22118999999998</v>
      </c>
      <c r="I204" s="35"/>
      <c r="L204" s="136"/>
      <c r="M204" s="136"/>
      <c r="N204" s="35"/>
    </row>
    <row r="205" spans="1:20" s="62" customFormat="1" x14ac:dyDescent="0.35">
      <c r="A205" s="142" t="s">
        <v>334</v>
      </c>
      <c r="B205" s="143"/>
      <c r="C205" s="143"/>
      <c r="D205" s="143"/>
      <c r="E205" s="143"/>
      <c r="F205" s="143"/>
      <c r="G205" s="143"/>
      <c r="H205" s="144"/>
      <c r="J205" s="35"/>
    </row>
    <row r="206" spans="1:20" s="62" customFormat="1" ht="15.75" customHeight="1" x14ac:dyDescent="0.35">
      <c r="A206" s="189">
        <v>1</v>
      </c>
      <c r="B206" s="190"/>
      <c r="C206" s="61" t="s">
        <v>329</v>
      </c>
      <c r="D206" s="61">
        <f>(68.33)*10.764</f>
        <v>735.50411999999994</v>
      </c>
      <c r="E206" s="61">
        <f>(1.5*2.9+1.2*6.6+1.2*4.75)*10.764</f>
        <v>193.42907999999997</v>
      </c>
      <c r="F206" s="61">
        <f>D206+E206</f>
        <v>928.93319999999994</v>
      </c>
      <c r="G206" s="61">
        <v>0</v>
      </c>
      <c r="H206" s="61">
        <f>F206*(($H$181)+1)+(IF(G206&lt;101,G206,IF(G206&lt;201,G206/2,IF(G206&lt;=301,G206/3,G206/4))))</f>
        <v>1393.3997999999999</v>
      </c>
      <c r="I206" s="35"/>
      <c r="L206" s="136"/>
      <c r="M206" s="136"/>
      <c r="N206" s="35"/>
      <c r="T206" s="20"/>
    </row>
    <row r="207" spans="1:20" s="62" customFormat="1" ht="15.75" customHeight="1" x14ac:dyDescent="0.35">
      <c r="A207" s="189">
        <f>A206+1</f>
        <v>2</v>
      </c>
      <c r="B207" s="190"/>
      <c r="C207" s="61" t="s">
        <v>330</v>
      </c>
      <c r="D207" s="61">
        <f>(51.85)*10.764</f>
        <v>558.11339999999996</v>
      </c>
      <c r="E207" s="61">
        <f>(1.5*2.75+0.9*2.25+1.05*2.75+2.8*1)*10.764</f>
        <v>127.41885000000002</v>
      </c>
      <c r="F207" s="61">
        <f>D207+E207</f>
        <v>685.53224999999998</v>
      </c>
      <c r="G207" s="61">
        <v>0</v>
      </c>
      <c r="H207" s="61">
        <f>F207*(($H$181)+1)+(IF(G207&lt;101,G207,IF(G207&lt;201,G207/2,IF(G207&lt;=301,G207/3,G207/4))))</f>
        <v>1028.2983749999999</v>
      </c>
      <c r="I207" s="35"/>
      <c r="L207" s="136"/>
      <c r="M207" s="136"/>
      <c r="N207" s="35"/>
    </row>
    <row r="208" spans="1:20" s="62" customFormat="1" ht="15.75" customHeight="1" x14ac:dyDescent="0.35">
      <c r="A208" s="189">
        <f>A207+1</f>
        <v>3</v>
      </c>
      <c r="B208" s="190"/>
      <c r="C208" s="61" t="s">
        <v>330</v>
      </c>
      <c r="D208" s="61">
        <f>(48.37)*10.764</f>
        <v>520.65467999999998</v>
      </c>
      <c r="E208" s="61">
        <f>(2.6*2.7+1.05*5.1+1.5*3.2)*10.764</f>
        <v>184.8717</v>
      </c>
      <c r="F208" s="61">
        <f>D208+E208</f>
        <v>705.52638000000002</v>
      </c>
      <c r="G208" s="61">
        <v>0</v>
      </c>
      <c r="H208" s="61">
        <f>F208*(($H$181)+1)+(IF(G208&lt;101,G208,IF(G208&lt;201,G208/2,IF(G208&lt;=301,G208/3,G208/4))))</f>
        <v>1058.2895699999999</v>
      </c>
      <c r="I208" s="35"/>
      <c r="L208" s="136"/>
      <c r="M208" s="136"/>
      <c r="N208" s="35"/>
    </row>
    <row r="209" spans="1:20" s="62" customFormat="1" ht="15.75" customHeight="1" x14ac:dyDescent="0.35">
      <c r="A209" s="189">
        <f>A208+1</f>
        <v>4</v>
      </c>
      <c r="B209" s="190"/>
      <c r="C209" s="61" t="s">
        <v>330</v>
      </c>
      <c r="D209" s="61">
        <f>(51.85)*10.764</f>
        <v>558.11339999999996</v>
      </c>
      <c r="E209" s="61">
        <f>(1.5*2.75+0.9*2.25+1.05*2.75+2.8*1)*10.764</f>
        <v>127.41885000000002</v>
      </c>
      <c r="F209" s="61">
        <f>D209+E209</f>
        <v>685.53224999999998</v>
      </c>
      <c r="G209" s="61">
        <v>0</v>
      </c>
      <c r="H209" s="61">
        <f>F209*(($H$181)+1)+(IF(G209&lt;101,G209,IF(G209&lt;201,G209/2,IF(G209&lt;=301,G209/3,G209/4))))</f>
        <v>1028.2983749999999</v>
      </c>
      <c r="I209" s="35"/>
      <c r="L209" s="136"/>
      <c r="M209" s="136"/>
      <c r="N209" s="35"/>
    </row>
    <row r="210" spans="1:20" s="62" customFormat="1" ht="15.75" customHeight="1" x14ac:dyDescent="0.35">
      <c r="A210" s="189">
        <f t="shared" ref="A210:A213" si="13">A209+1</f>
        <v>5</v>
      </c>
      <c r="B210" s="190"/>
      <c r="C210" s="61" t="s">
        <v>329</v>
      </c>
      <c r="D210" s="61">
        <f>(66)*10.764</f>
        <v>710.42399999999998</v>
      </c>
      <c r="E210" s="61">
        <f>(1.5*2.1+1.05*3.5+1.05*2.75)*10.764</f>
        <v>104.54535000000001</v>
      </c>
      <c r="F210" s="61">
        <f t="shared" ref="F210:F213" si="14">D210+E210</f>
        <v>814.96934999999996</v>
      </c>
      <c r="G210" s="61">
        <v>0</v>
      </c>
      <c r="H210" s="61">
        <f t="shared" ref="H210:H213" si="15">F210*(($H$181)+1)+(IF(G210&lt;101,G210,IF(G210&lt;201,G210/2,IF(G210&lt;=301,G210/3,G210/4))))</f>
        <v>1222.454025</v>
      </c>
      <c r="I210" s="35"/>
      <c r="L210" s="136"/>
      <c r="M210" s="136"/>
      <c r="N210" s="35"/>
    </row>
    <row r="211" spans="1:20" s="62" customFormat="1" ht="15.75" customHeight="1" x14ac:dyDescent="0.35">
      <c r="A211" s="189">
        <f t="shared" si="13"/>
        <v>6</v>
      </c>
      <c r="B211" s="190"/>
      <c r="C211" s="61" t="s">
        <v>329</v>
      </c>
      <c r="D211" s="61">
        <f>(66.41)*10.764</f>
        <v>714.83723999999995</v>
      </c>
      <c r="E211" s="61">
        <f>(1.5*2.5+1.2*3.5+1.2*2.75)*10.764</f>
        <v>121.095</v>
      </c>
      <c r="F211" s="61">
        <f t="shared" si="14"/>
        <v>835.93223999999998</v>
      </c>
      <c r="G211" s="61">
        <v>0</v>
      </c>
      <c r="H211" s="61">
        <f t="shared" si="15"/>
        <v>1253.8983599999999</v>
      </c>
      <c r="I211" s="35"/>
      <c r="L211" s="136"/>
      <c r="M211" s="136"/>
      <c r="N211" s="35"/>
    </row>
    <row r="212" spans="1:20" s="62" customFormat="1" ht="15.75" customHeight="1" x14ac:dyDescent="0.35">
      <c r="A212" s="189">
        <f t="shared" si="13"/>
        <v>7</v>
      </c>
      <c r="B212" s="190"/>
      <c r="C212" s="61" t="s">
        <v>330</v>
      </c>
      <c r="D212" s="61">
        <f>(46.46)*10.764</f>
        <v>500.09544</v>
      </c>
      <c r="E212" s="61">
        <f>(1.5*2.75+1.25*2.1+1.5*2.75+2.2*1.9)*10.764</f>
        <v>162.05202</v>
      </c>
      <c r="F212" s="61">
        <f t="shared" si="14"/>
        <v>662.14746000000002</v>
      </c>
      <c r="G212" s="61">
        <v>0</v>
      </c>
      <c r="H212" s="61">
        <f t="shared" si="15"/>
        <v>993.22118999999998</v>
      </c>
      <c r="I212" s="35"/>
      <c r="L212" s="136"/>
      <c r="M212" s="136"/>
      <c r="N212" s="35"/>
    </row>
    <row r="213" spans="1:20" s="62" customFormat="1" ht="15.75" customHeight="1" x14ac:dyDescent="0.35">
      <c r="A213" s="189">
        <f t="shared" si="13"/>
        <v>8</v>
      </c>
      <c r="B213" s="190"/>
      <c r="C213" s="61" t="s">
        <v>330</v>
      </c>
      <c r="D213" s="61">
        <f>(46.46)*10.764</f>
        <v>500.09544</v>
      </c>
      <c r="E213" s="61">
        <f>(1.5*2.75+1.25*2.1+1.5*2.75+2.2*1.9)*10.764</f>
        <v>162.05202</v>
      </c>
      <c r="F213" s="61">
        <f t="shared" si="14"/>
        <v>662.14746000000002</v>
      </c>
      <c r="G213" s="61">
        <v>0</v>
      </c>
      <c r="H213" s="61">
        <f t="shared" si="15"/>
        <v>993.22118999999998</v>
      </c>
      <c r="I213" s="35"/>
      <c r="L213" s="136"/>
      <c r="M213" s="136"/>
      <c r="N213" s="35"/>
    </row>
    <row r="214" spans="1:20" s="62" customFormat="1" x14ac:dyDescent="0.35">
      <c r="A214" s="142" t="s">
        <v>336</v>
      </c>
      <c r="B214" s="143"/>
      <c r="C214" s="143"/>
      <c r="D214" s="143"/>
      <c r="E214" s="143"/>
      <c r="F214" s="143"/>
      <c r="G214" s="143"/>
      <c r="H214" s="144"/>
      <c r="J214" s="35"/>
    </row>
    <row r="215" spans="1:20" s="62" customFormat="1" ht="15.75" customHeight="1" x14ac:dyDescent="0.35">
      <c r="A215" s="189">
        <v>1</v>
      </c>
      <c r="B215" s="190"/>
      <c r="C215" s="61" t="s">
        <v>329</v>
      </c>
      <c r="D215" s="61">
        <f>(68.33)*10.764</f>
        <v>735.50411999999994</v>
      </c>
      <c r="E215" s="61">
        <f>(1.5*2.9+1.2*6.6+1.2*4.75)*10.764</f>
        <v>193.42907999999997</v>
      </c>
      <c r="F215" s="61">
        <f>D215+E215</f>
        <v>928.93319999999994</v>
      </c>
      <c r="G215" s="61">
        <v>0</v>
      </c>
      <c r="H215" s="61">
        <f>F215*(($H$181)+1)+(IF(G215&lt;101,G215,IF(G215&lt;201,G215/2,IF(G215&lt;=301,G215/3,G215/4))))</f>
        <v>1393.3997999999999</v>
      </c>
      <c r="I215" s="35"/>
      <c r="L215" s="136"/>
      <c r="M215" s="136"/>
      <c r="N215" s="35"/>
      <c r="T215" s="20"/>
    </row>
    <row r="216" spans="1:20" s="62" customFormat="1" ht="15.75" customHeight="1" x14ac:dyDescent="0.35">
      <c r="A216" s="189">
        <f>A215+1</f>
        <v>2</v>
      </c>
      <c r="B216" s="190"/>
      <c r="C216" s="189" t="s">
        <v>335</v>
      </c>
      <c r="D216" s="194"/>
      <c r="E216" s="194"/>
      <c r="F216" s="194"/>
      <c r="G216" s="194"/>
      <c r="H216" s="190"/>
      <c r="I216" s="35"/>
      <c r="L216" s="136"/>
      <c r="M216" s="136"/>
      <c r="N216" s="35"/>
    </row>
    <row r="217" spans="1:20" s="62" customFormat="1" ht="15.75" customHeight="1" x14ac:dyDescent="0.35">
      <c r="A217" s="189">
        <f>A216+1</f>
        <v>3</v>
      </c>
      <c r="B217" s="190"/>
      <c r="C217" s="61" t="s">
        <v>330</v>
      </c>
      <c r="D217" s="61">
        <f>(48.37)*10.764</f>
        <v>520.65467999999998</v>
      </c>
      <c r="E217" s="61">
        <f>(2.6*2.7+1.05*5.1+1.5*3.2)*10.764</f>
        <v>184.8717</v>
      </c>
      <c r="F217" s="61">
        <f>D217+E217</f>
        <v>705.52638000000002</v>
      </c>
      <c r="G217" s="61">
        <v>0</v>
      </c>
      <c r="H217" s="61">
        <f>F217*(($H$181)+1)+(IF(G217&lt;101,G217,IF(G217&lt;201,G217/2,IF(G217&lt;=301,G217/3,G217/4))))</f>
        <v>1058.2895699999999</v>
      </c>
      <c r="I217" s="35"/>
      <c r="L217" s="136"/>
      <c r="M217" s="136"/>
      <c r="N217" s="35"/>
    </row>
    <row r="218" spans="1:20" s="62" customFormat="1" ht="15.75" customHeight="1" x14ac:dyDescent="0.35">
      <c r="A218" s="189">
        <f>A217+1</f>
        <v>4</v>
      </c>
      <c r="B218" s="190"/>
      <c r="C218" s="61" t="s">
        <v>330</v>
      </c>
      <c r="D218" s="61">
        <f>(51.85)*10.764</f>
        <v>558.11339999999996</v>
      </c>
      <c r="E218" s="61">
        <f>(1.5*2.75+0.9*2.25+1.05*2.75+2.8*1)*10.764</f>
        <v>127.41885000000002</v>
      </c>
      <c r="F218" s="61">
        <f>D218+E218</f>
        <v>685.53224999999998</v>
      </c>
      <c r="G218" s="61">
        <v>0</v>
      </c>
      <c r="H218" s="61">
        <f>F218*(($H$181)+1)+(IF(G218&lt;101,G218,IF(G218&lt;201,G218/2,IF(G218&lt;=301,G218/3,G218/4))))</f>
        <v>1028.2983749999999</v>
      </c>
      <c r="I218" s="35"/>
      <c r="L218" s="136"/>
      <c r="M218" s="136"/>
      <c r="N218" s="35"/>
    </row>
    <row r="219" spans="1:20" s="62" customFormat="1" ht="15.75" customHeight="1" x14ac:dyDescent="0.35">
      <c r="A219" s="189">
        <f t="shared" ref="A219:A222" si="16">A218+1</f>
        <v>5</v>
      </c>
      <c r="B219" s="190"/>
      <c r="C219" s="61" t="s">
        <v>329</v>
      </c>
      <c r="D219" s="61">
        <f>(66)*10.764</f>
        <v>710.42399999999998</v>
      </c>
      <c r="E219" s="61">
        <f>(1.5*2.1+1.05*3.5+1.05*2.75)*10.764</f>
        <v>104.54535000000001</v>
      </c>
      <c r="F219" s="61">
        <f t="shared" ref="F219:F222" si="17">D219+E219</f>
        <v>814.96934999999996</v>
      </c>
      <c r="G219" s="61">
        <v>0</v>
      </c>
      <c r="H219" s="61">
        <f t="shared" ref="H219:H222" si="18">F219*(($H$181)+1)+(IF(G219&lt;101,G219,IF(G219&lt;201,G219/2,IF(G219&lt;=301,G219/3,G219/4))))</f>
        <v>1222.454025</v>
      </c>
      <c r="I219" s="35"/>
      <c r="L219" s="136"/>
      <c r="M219" s="136"/>
      <c r="N219" s="35"/>
    </row>
    <row r="220" spans="1:20" s="62" customFormat="1" ht="15.75" customHeight="1" x14ac:dyDescent="0.35">
      <c r="A220" s="189">
        <f t="shared" si="16"/>
        <v>6</v>
      </c>
      <c r="B220" s="190"/>
      <c r="C220" s="61" t="s">
        <v>329</v>
      </c>
      <c r="D220" s="61">
        <f>(66.41)*10.764</f>
        <v>714.83723999999995</v>
      </c>
      <c r="E220" s="61">
        <f>(1.5*2.5+1.2*3.5+1.2*2.75)*10.764</f>
        <v>121.095</v>
      </c>
      <c r="F220" s="61">
        <f t="shared" si="17"/>
        <v>835.93223999999998</v>
      </c>
      <c r="G220" s="61">
        <v>0</v>
      </c>
      <c r="H220" s="61">
        <f t="shared" si="18"/>
        <v>1253.8983599999999</v>
      </c>
      <c r="I220" s="35"/>
      <c r="L220" s="136"/>
      <c r="M220" s="136"/>
      <c r="N220" s="35"/>
    </row>
    <row r="221" spans="1:20" s="62" customFormat="1" ht="15.75" customHeight="1" x14ac:dyDescent="0.35">
      <c r="A221" s="189">
        <f t="shared" si="16"/>
        <v>7</v>
      </c>
      <c r="B221" s="190"/>
      <c r="C221" s="61" t="s">
        <v>330</v>
      </c>
      <c r="D221" s="61">
        <f>(46.46)*10.764</f>
        <v>500.09544</v>
      </c>
      <c r="E221" s="61">
        <f>(1.5*2.75+1.25*2.1+1.5*2.75+2.2*1.9)*10.764</f>
        <v>162.05202</v>
      </c>
      <c r="F221" s="61">
        <f t="shared" si="17"/>
        <v>662.14746000000002</v>
      </c>
      <c r="G221" s="61">
        <v>0</v>
      </c>
      <c r="H221" s="61">
        <f t="shared" si="18"/>
        <v>993.22118999999998</v>
      </c>
      <c r="I221" s="35"/>
      <c r="L221" s="136"/>
      <c r="M221" s="136"/>
      <c r="N221" s="35"/>
    </row>
    <row r="222" spans="1:20" s="62" customFormat="1" ht="15.75" customHeight="1" x14ac:dyDescent="0.35">
      <c r="A222" s="189">
        <f t="shared" si="16"/>
        <v>8</v>
      </c>
      <c r="B222" s="190"/>
      <c r="C222" s="61" t="s">
        <v>330</v>
      </c>
      <c r="D222" s="61">
        <f>(46.46)*10.764</f>
        <v>500.09544</v>
      </c>
      <c r="E222" s="61">
        <f>(1.5*2.75+1.25*2.1+1.5*2.75+2.2*1.9)*10.764</f>
        <v>162.05202</v>
      </c>
      <c r="F222" s="61">
        <f t="shared" si="17"/>
        <v>662.14746000000002</v>
      </c>
      <c r="G222" s="61">
        <v>0</v>
      </c>
      <c r="H222" s="61">
        <f t="shared" si="18"/>
        <v>993.22118999999998</v>
      </c>
      <c r="I222" s="35"/>
      <c r="L222" s="136"/>
      <c r="M222" s="136"/>
      <c r="N222" s="35"/>
    </row>
    <row r="223" spans="1:20" s="62" customFormat="1" x14ac:dyDescent="0.35">
      <c r="A223" s="244" t="s">
        <v>337</v>
      </c>
      <c r="B223" s="245"/>
      <c r="C223" s="245"/>
      <c r="D223" s="245"/>
      <c r="E223" s="245"/>
      <c r="F223" s="245"/>
      <c r="G223" s="245"/>
      <c r="H223" s="246"/>
      <c r="J223" s="35"/>
    </row>
    <row r="224" spans="1:20" s="62" customFormat="1" ht="15.75" customHeight="1" x14ac:dyDescent="0.35">
      <c r="A224" s="189">
        <v>1</v>
      </c>
      <c r="B224" s="190"/>
      <c r="C224" s="61" t="s">
        <v>329</v>
      </c>
      <c r="D224" s="61">
        <f>(68.33)*10.764</f>
        <v>735.50411999999994</v>
      </c>
      <c r="E224" s="61">
        <f>(1.5*2.9+1.2*6.6+1.2*4.75)*10.764</f>
        <v>193.42907999999997</v>
      </c>
      <c r="F224" s="61">
        <f>D224+E224</f>
        <v>928.93319999999994</v>
      </c>
      <c r="G224" s="61">
        <v>0</v>
      </c>
      <c r="H224" s="61">
        <f>F224*(($H$181)+1)+(IF(G224&lt;101,G224,IF(G224&lt;201,G224/2,IF(G224&lt;=301,G224/3,G224/4))))</f>
        <v>1393.3997999999999</v>
      </c>
      <c r="I224" s="35"/>
      <c r="L224" s="136"/>
      <c r="M224" s="136"/>
      <c r="N224" s="35"/>
      <c r="T224" s="20"/>
    </row>
    <row r="225" spans="1:20" s="62" customFormat="1" ht="15.75" customHeight="1" x14ac:dyDescent="0.35">
      <c r="A225" s="189">
        <f>A224+1</f>
        <v>2</v>
      </c>
      <c r="B225" s="190"/>
      <c r="C225" s="61" t="s">
        <v>330</v>
      </c>
      <c r="D225" s="61">
        <f>(51.85)*10.764</f>
        <v>558.11339999999996</v>
      </c>
      <c r="E225" s="61">
        <f>(1.5*2.75+0.9*2.25+1.05*2.75+2.8*1)*10.764</f>
        <v>127.41885000000002</v>
      </c>
      <c r="F225" s="61">
        <f>D225+E225</f>
        <v>685.53224999999998</v>
      </c>
      <c r="G225" s="61">
        <v>0</v>
      </c>
      <c r="H225" s="61">
        <f>F225*(($H$181)+1)+(IF(G225&lt;101,G225,IF(G225&lt;201,G225/2,IF(G225&lt;=301,G225/3,G225/4))))</f>
        <v>1028.2983749999999</v>
      </c>
      <c r="I225" s="35"/>
      <c r="L225" s="136"/>
      <c r="M225" s="136"/>
      <c r="N225" s="35"/>
    </row>
    <row r="226" spans="1:20" s="62" customFormat="1" ht="15.75" customHeight="1" x14ac:dyDescent="0.35">
      <c r="A226" s="189">
        <f>A225+1</f>
        <v>3</v>
      </c>
      <c r="B226" s="190"/>
      <c r="C226" s="61" t="s">
        <v>330</v>
      </c>
      <c r="D226" s="61">
        <f>(48.37)*10.764</f>
        <v>520.65467999999998</v>
      </c>
      <c r="E226" s="61">
        <f>(2.6*2.7+1.05*5.1+1.5*3.2)*10.764</f>
        <v>184.8717</v>
      </c>
      <c r="F226" s="61">
        <f>D226+E226</f>
        <v>705.52638000000002</v>
      </c>
      <c r="G226" s="61">
        <v>0</v>
      </c>
      <c r="H226" s="61">
        <f>F226*(($H$181)+1)+(IF(G226&lt;101,G226,IF(G226&lt;201,G226/2,IF(G226&lt;=301,G226/3,G226/4))))</f>
        <v>1058.2895699999999</v>
      </c>
      <c r="I226" s="35"/>
      <c r="L226" s="136"/>
      <c r="M226" s="136"/>
      <c r="N226" s="35"/>
    </row>
    <row r="227" spans="1:20" s="62" customFormat="1" ht="15.75" customHeight="1" x14ac:dyDescent="0.35">
      <c r="A227" s="189">
        <f>A226+1</f>
        <v>4</v>
      </c>
      <c r="B227" s="190"/>
      <c r="C227" s="61" t="s">
        <v>330</v>
      </c>
      <c r="D227" s="61">
        <f>(51.85)*10.764</f>
        <v>558.11339999999996</v>
      </c>
      <c r="E227" s="61">
        <f>(1.5*2.75+0.9*2.25+1.05*2.75+2.8*1)*10.764</f>
        <v>127.41885000000002</v>
      </c>
      <c r="F227" s="61">
        <f>D227+E227</f>
        <v>685.53224999999998</v>
      </c>
      <c r="G227" s="61">
        <v>0</v>
      </c>
      <c r="H227" s="61">
        <f>F227*(($H$181)+1)+(IF(G227&lt;101,G227,IF(G227&lt;201,G227/2,IF(G227&lt;=301,G227/3,G227/4))))</f>
        <v>1028.2983749999999</v>
      </c>
      <c r="I227" s="35"/>
      <c r="L227" s="136"/>
      <c r="M227" s="136"/>
      <c r="N227" s="35"/>
    </row>
    <row r="228" spans="1:20" s="62" customFormat="1" ht="15.75" customHeight="1" x14ac:dyDescent="0.35">
      <c r="A228" s="189">
        <f t="shared" ref="A228:A231" si="19">A227+1</f>
        <v>5</v>
      </c>
      <c r="B228" s="190"/>
      <c r="C228" s="61" t="s">
        <v>329</v>
      </c>
      <c r="D228" s="61">
        <f>(66)*10.764</f>
        <v>710.42399999999998</v>
      </c>
      <c r="E228" s="61">
        <f>(1.5*2.1+1.05*3.5+1.05*2.75)*10.764</f>
        <v>104.54535000000001</v>
      </c>
      <c r="F228" s="61">
        <f t="shared" ref="F228:F231" si="20">D228+E228</f>
        <v>814.96934999999996</v>
      </c>
      <c r="G228" s="61">
        <v>0</v>
      </c>
      <c r="H228" s="61">
        <f t="shared" ref="H228:H231" si="21">F228*(($H$181)+1)+(IF(G228&lt;101,G228,IF(G228&lt;201,G228/2,IF(G228&lt;=301,G228/3,G228/4))))</f>
        <v>1222.454025</v>
      </c>
      <c r="I228" s="35"/>
      <c r="L228" s="136"/>
      <c r="M228" s="136"/>
      <c r="N228" s="35"/>
    </row>
    <row r="229" spans="1:20" s="62" customFormat="1" ht="15.75" customHeight="1" x14ac:dyDescent="0.35">
      <c r="A229" s="189">
        <f t="shared" si="19"/>
        <v>6</v>
      </c>
      <c r="B229" s="190"/>
      <c r="C229" s="61" t="s">
        <v>329</v>
      </c>
      <c r="D229" s="61">
        <f>(66.41)*10.764</f>
        <v>714.83723999999995</v>
      </c>
      <c r="E229" s="61">
        <f>(1.5*2.5+1.2*3.5+1.2*2.75)*10.764</f>
        <v>121.095</v>
      </c>
      <c r="F229" s="61">
        <f t="shared" si="20"/>
        <v>835.93223999999998</v>
      </c>
      <c r="G229" s="61">
        <v>0</v>
      </c>
      <c r="H229" s="61">
        <f t="shared" si="21"/>
        <v>1253.8983599999999</v>
      </c>
      <c r="I229" s="35"/>
      <c r="L229" s="136"/>
      <c r="M229" s="136"/>
      <c r="N229" s="35"/>
    </row>
    <row r="230" spans="1:20" s="62" customFormat="1" ht="15.75" customHeight="1" x14ac:dyDescent="0.35">
      <c r="A230" s="189">
        <f t="shared" si="19"/>
        <v>7</v>
      </c>
      <c r="B230" s="190"/>
      <c r="C230" s="61" t="s">
        <v>330</v>
      </c>
      <c r="D230" s="61">
        <f>(47.43)*10.764</f>
        <v>510.53651999999994</v>
      </c>
      <c r="E230" s="61">
        <f>(1.5*2.75+1.2*2.1+1.2*2.75+2.2*1.9)*10.764</f>
        <v>152.04149999999998</v>
      </c>
      <c r="F230" s="61">
        <f t="shared" si="20"/>
        <v>662.57801999999992</v>
      </c>
      <c r="G230" s="61">
        <v>0</v>
      </c>
      <c r="H230" s="61">
        <f t="shared" si="21"/>
        <v>993.86702999999989</v>
      </c>
      <c r="I230" s="35"/>
      <c r="L230" s="136"/>
      <c r="M230" s="136"/>
      <c r="N230" s="35"/>
    </row>
    <row r="231" spans="1:20" s="62" customFormat="1" ht="15.75" customHeight="1" x14ac:dyDescent="0.35">
      <c r="A231" s="189">
        <f t="shared" si="19"/>
        <v>8</v>
      </c>
      <c r="B231" s="190"/>
      <c r="C231" s="61" t="s">
        <v>330</v>
      </c>
      <c r="D231" s="61">
        <f>(47.43)*10.764</f>
        <v>510.53651999999994</v>
      </c>
      <c r="E231" s="61">
        <f>(1.5*2.75+1.2*2.1+1.2*2.75+2.2*1.9)*10.764</f>
        <v>152.04149999999998</v>
      </c>
      <c r="F231" s="61">
        <f t="shared" si="20"/>
        <v>662.57801999999992</v>
      </c>
      <c r="G231" s="61">
        <v>0</v>
      </c>
      <c r="H231" s="61">
        <f t="shared" si="21"/>
        <v>993.86702999999989</v>
      </c>
      <c r="I231" s="35"/>
      <c r="L231" s="136"/>
      <c r="M231" s="136"/>
      <c r="N231" s="35"/>
    </row>
    <row r="232" spans="1:20" s="62" customFormat="1" x14ac:dyDescent="0.35">
      <c r="A232" s="142" t="s">
        <v>338</v>
      </c>
      <c r="B232" s="143"/>
      <c r="C232" s="143"/>
      <c r="D232" s="143"/>
      <c r="E232" s="143"/>
      <c r="F232" s="143"/>
      <c r="G232" s="143"/>
      <c r="H232" s="144"/>
      <c r="J232" s="35"/>
    </row>
    <row r="233" spans="1:20" s="62" customFormat="1" ht="15.75" customHeight="1" x14ac:dyDescent="0.35">
      <c r="A233" s="189">
        <v>1</v>
      </c>
      <c r="B233" s="190"/>
      <c r="C233" s="61" t="s">
        <v>329</v>
      </c>
      <c r="D233" s="61">
        <f>(68.33)*10.764</f>
        <v>735.50411999999994</v>
      </c>
      <c r="E233" s="61">
        <f>(1.5*2.9+1.2*6.6+1.2*4.75)*10.764</f>
        <v>193.42907999999997</v>
      </c>
      <c r="F233" s="61">
        <f>D233+E233</f>
        <v>928.93319999999994</v>
      </c>
      <c r="G233" s="61">
        <v>0</v>
      </c>
      <c r="H233" s="61">
        <f>F233*(($H$181)+1)+(IF(G233&lt;101,G233,IF(G233&lt;201,G233/2,IF(G233&lt;=301,G233/3,G233/4))))</f>
        <v>1393.3997999999999</v>
      </c>
      <c r="I233" s="35"/>
      <c r="L233" s="136"/>
      <c r="M233" s="136"/>
      <c r="N233" s="35"/>
      <c r="T233" s="20"/>
    </row>
    <row r="234" spans="1:20" s="62" customFormat="1" ht="15.75" customHeight="1" x14ac:dyDescent="0.35">
      <c r="A234" s="189">
        <f>A233+1</f>
        <v>2</v>
      </c>
      <c r="B234" s="190"/>
      <c r="C234" s="189" t="s">
        <v>335</v>
      </c>
      <c r="D234" s="194"/>
      <c r="E234" s="194"/>
      <c r="F234" s="194"/>
      <c r="G234" s="194"/>
      <c r="H234" s="190"/>
      <c r="I234" s="35"/>
      <c r="L234" s="136"/>
      <c r="M234" s="136"/>
      <c r="N234" s="35"/>
    </row>
    <row r="235" spans="1:20" s="62" customFormat="1" ht="15.75" customHeight="1" x14ac:dyDescent="0.35">
      <c r="A235" s="189">
        <f>A234+1</f>
        <v>3</v>
      </c>
      <c r="B235" s="190"/>
      <c r="C235" s="61" t="s">
        <v>330</v>
      </c>
      <c r="D235" s="61">
        <f>(48.37)*10.764</f>
        <v>520.65467999999998</v>
      </c>
      <c r="E235" s="61">
        <f>(2.6*2.7+1.05*5.1+1.5*3.2)*10.764</f>
        <v>184.8717</v>
      </c>
      <c r="F235" s="61">
        <f>D235+E235</f>
        <v>705.52638000000002</v>
      </c>
      <c r="G235" s="61">
        <v>0</v>
      </c>
      <c r="H235" s="61">
        <f>F235*(($H$181)+1)+(IF(G235&lt;101,G235,IF(G235&lt;201,G235/2,IF(G235&lt;=301,G235/3,G235/4))))</f>
        <v>1058.2895699999999</v>
      </c>
      <c r="I235" s="35"/>
      <c r="L235" s="136"/>
      <c r="M235" s="136"/>
      <c r="N235" s="35"/>
    </row>
    <row r="236" spans="1:20" s="62" customFormat="1" ht="15.75" customHeight="1" x14ac:dyDescent="0.35">
      <c r="A236" s="189">
        <f>A235+1</f>
        <v>4</v>
      </c>
      <c r="B236" s="190"/>
      <c r="C236" s="61" t="s">
        <v>330</v>
      </c>
      <c r="D236" s="61">
        <f>(51.85)*10.764</f>
        <v>558.11339999999996</v>
      </c>
      <c r="E236" s="61">
        <f>(1.5*2.75+0.9*2.25+1.05*2.75+2.8*1)*10.764</f>
        <v>127.41885000000002</v>
      </c>
      <c r="F236" s="61">
        <f>D236+E236</f>
        <v>685.53224999999998</v>
      </c>
      <c r="G236" s="61">
        <v>0</v>
      </c>
      <c r="H236" s="61">
        <f>F236*(($H$181)+1)+(IF(G236&lt;101,G236,IF(G236&lt;201,G236/2,IF(G236&lt;=301,G236/3,G236/4))))</f>
        <v>1028.2983749999999</v>
      </c>
      <c r="I236" s="35"/>
      <c r="L236" s="136"/>
      <c r="M236" s="136"/>
      <c r="N236" s="35"/>
    </row>
    <row r="237" spans="1:20" s="62" customFormat="1" ht="15.75" customHeight="1" x14ac:dyDescent="0.35">
      <c r="A237" s="189">
        <f t="shared" ref="A237:A240" si="22">A236+1</f>
        <v>5</v>
      </c>
      <c r="B237" s="190"/>
      <c r="C237" s="61" t="s">
        <v>329</v>
      </c>
      <c r="D237" s="61">
        <f>(66)*10.764</f>
        <v>710.42399999999998</v>
      </c>
      <c r="E237" s="61">
        <f>(1.5*2.1+1.05*3.5+1.05*2.75)*10.764</f>
        <v>104.54535000000001</v>
      </c>
      <c r="F237" s="61">
        <f t="shared" ref="F237:F240" si="23">D237+E237</f>
        <v>814.96934999999996</v>
      </c>
      <c r="G237" s="61">
        <v>0</v>
      </c>
      <c r="H237" s="61">
        <f t="shared" ref="H237:H240" si="24">F237*(($H$181)+1)+(IF(G237&lt;101,G237,IF(G237&lt;201,G237/2,IF(G237&lt;=301,G237/3,G237/4))))</f>
        <v>1222.454025</v>
      </c>
      <c r="I237" s="35"/>
      <c r="L237" s="136"/>
      <c r="M237" s="136"/>
      <c r="N237" s="35"/>
    </row>
    <row r="238" spans="1:20" s="62" customFormat="1" ht="15.75" customHeight="1" x14ac:dyDescent="0.35">
      <c r="A238" s="189">
        <f t="shared" si="22"/>
        <v>6</v>
      </c>
      <c r="B238" s="190"/>
      <c r="C238" s="61" t="s">
        <v>329</v>
      </c>
      <c r="D238" s="61">
        <f>(66.41)*10.764</f>
        <v>714.83723999999995</v>
      </c>
      <c r="E238" s="61">
        <f>(1.5*2.5+1.2*3.5+1.2*2.75)*10.764</f>
        <v>121.095</v>
      </c>
      <c r="F238" s="61">
        <f t="shared" si="23"/>
        <v>835.93223999999998</v>
      </c>
      <c r="G238" s="61">
        <v>0</v>
      </c>
      <c r="H238" s="61">
        <f t="shared" si="24"/>
        <v>1253.8983599999999</v>
      </c>
      <c r="I238" s="35"/>
      <c r="L238" s="136"/>
      <c r="M238" s="136"/>
      <c r="N238" s="35"/>
    </row>
    <row r="239" spans="1:20" s="62" customFormat="1" ht="15.75" customHeight="1" x14ac:dyDescent="0.35">
      <c r="A239" s="189">
        <f t="shared" si="22"/>
        <v>7</v>
      </c>
      <c r="B239" s="190"/>
      <c r="C239" s="61" t="s">
        <v>330</v>
      </c>
      <c r="D239" s="61">
        <v>510.53651999999994</v>
      </c>
      <c r="E239" s="61">
        <f>(1.5*2.75+1.2*2.1+1.2*2.75+2.2*1.9)*10.764</f>
        <v>152.04149999999998</v>
      </c>
      <c r="F239" s="61">
        <f t="shared" si="23"/>
        <v>662.57801999999992</v>
      </c>
      <c r="G239" s="61">
        <v>0</v>
      </c>
      <c r="H239" s="61">
        <f t="shared" si="24"/>
        <v>993.86702999999989</v>
      </c>
      <c r="I239" s="35"/>
      <c r="L239" s="136"/>
      <c r="M239" s="136"/>
      <c r="N239" s="35"/>
    </row>
    <row r="240" spans="1:20" s="62" customFormat="1" ht="15.75" customHeight="1" x14ac:dyDescent="0.35">
      <c r="A240" s="189">
        <f t="shared" si="22"/>
        <v>8</v>
      </c>
      <c r="B240" s="190"/>
      <c r="C240" s="61" t="s">
        <v>330</v>
      </c>
      <c r="D240" s="61">
        <f>(47.43)*10.764</f>
        <v>510.53651999999994</v>
      </c>
      <c r="E240" s="61">
        <f>(1.5*2.75+1.2*2.1+1.2*2.75+2.2*1.9)*10.764</f>
        <v>152.04149999999998</v>
      </c>
      <c r="F240" s="61">
        <f t="shared" si="23"/>
        <v>662.57801999999992</v>
      </c>
      <c r="G240" s="61">
        <v>0</v>
      </c>
      <c r="H240" s="61">
        <f t="shared" si="24"/>
        <v>993.86702999999989</v>
      </c>
      <c r="I240" s="35"/>
      <c r="L240" s="136"/>
      <c r="M240" s="136"/>
      <c r="N240" s="35"/>
    </row>
    <row r="241" spans="1:20" s="62" customFormat="1" x14ac:dyDescent="0.35">
      <c r="A241" s="191" t="s">
        <v>331</v>
      </c>
      <c r="B241" s="192"/>
      <c r="C241" s="192"/>
      <c r="D241" s="192"/>
      <c r="E241" s="192"/>
      <c r="F241" s="192"/>
      <c r="G241" s="192"/>
      <c r="H241" s="193"/>
      <c r="J241" s="35"/>
    </row>
    <row r="242" spans="1:20" s="62" customFormat="1" x14ac:dyDescent="0.35">
      <c r="A242" s="142" t="s">
        <v>328</v>
      </c>
      <c r="B242" s="143"/>
      <c r="C242" s="143"/>
      <c r="D242" s="143"/>
      <c r="E242" s="143"/>
      <c r="F242" s="143"/>
      <c r="G242" s="143"/>
      <c r="H242" s="144"/>
      <c r="J242" s="35"/>
    </row>
    <row r="243" spans="1:20" s="62" customFormat="1" ht="15.75" customHeight="1" x14ac:dyDescent="0.35">
      <c r="A243" s="189">
        <v>1</v>
      </c>
      <c r="B243" s="190"/>
      <c r="C243" s="61" t="s">
        <v>332</v>
      </c>
      <c r="D243" s="61">
        <f>(31.39)*10.764</f>
        <v>337.88195999999999</v>
      </c>
      <c r="E243" s="61">
        <f>(1.5*5.5+1.2*2.1+1.2*2.1)*10.764</f>
        <v>143.05355999999998</v>
      </c>
      <c r="F243" s="61">
        <f>D243+E243</f>
        <v>480.93552</v>
      </c>
      <c r="G243" s="61">
        <v>0</v>
      </c>
      <c r="H243" s="61">
        <f>F243*(($H$181)+1)+(IF(G243&lt;101,G243,IF(G243&lt;201,G243/2,IF(G243&lt;=301,G243/3,G243/4))))</f>
        <v>721.40328</v>
      </c>
      <c r="I243" s="35">
        <f>4.3*2.75+2.45*2.1+2.95*2.75+1.8*0.95+1.25*1.8+1.2*0.95</f>
        <v>30.182500000000001</v>
      </c>
      <c r="K243" s="62">
        <f>1318000/H243</f>
        <v>1826.9947428018347</v>
      </c>
      <c r="L243" s="136"/>
      <c r="M243" s="136"/>
      <c r="N243" s="35"/>
      <c r="T243" s="20"/>
    </row>
    <row r="244" spans="1:20" s="62" customFormat="1" ht="15.75" customHeight="1" x14ac:dyDescent="0.35">
      <c r="A244" s="189">
        <f>A243+1</f>
        <v>2</v>
      </c>
      <c r="B244" s="190"/>
      <c r="C244" s="61" t="s">
        <v>329</v>
      </c>
      <c r="D244" s="61">
        <f>(60)*10.764</f>
        <v>645.83999999999992</v>
      </c>
      <c r="E244" s="61">
        <f>(1.5*2.75+1.2*3.05+1.25*2.1+1.35*2.75+1.9*2.1)*10.764</f>
        <v>194.96295000000001</v>
      </c>
      <c r="F244" s="61">
        <f>D244+E244</f>
        <v>840.8029499999999</v>
      </c>
      <c r="G244" s="61">
        <v>0</v>
      </c>
      <c r="H244" s="61">
        <f>F244*(($H$181)+1)+(IF(G244&lt;101,G244,IF(G244&lt;201,G244/2,IF(G244&lt;=301,G244/3,G244/4))))</f>
        <v>1261.2044249999999</v>
      </c>
      <c r="I244" s="35">
        <f>4.3*2.75+2.45*2.1+3.5*3.05+3.35*2.75+3.35*2.75+1.2*2.1+1.2*2.1+2.1*1.05+0.9*5.1</f>
        <v>57.905000000000001</v>
      </c>
      <c r="L244" s="136"/>
      <c r="M244" s="136"/>
      <c r="N244" s="35"/>
    </row>
    <row r="245" spans="1:20" s="62" customFormat="1" ht="15.75" customHeight="1" x14ac:dyDescent="0.35">
      <c r="A245" s="189">
        <f>A244+1</f>
        <v>3</v>
      </c>
      <c r="B245" s="190"/>
      <c r="C245" s="61" t="s">
        <v>330</v>
      </c>
      <c r="D245" s="61">
        <f>(49.06)*10.764</f>
        <v>528.08183999999994</v>
      </c>
      <c r="E245" s="61">
        <f>(1.5*2.75+1.25*7.9)*10.764</f>
        <v>150.696</v>
      </c>
      <c r="F245" s="61">
        <f>D245+E245</f>
        <v>678.77783999999997</v>
      </c>
      <c r="G245" s="61">
        <f>(3.3*5.2)*10.764</f>
        <v>184.71024</v>
      </c>
      <c r="H245" s="61">
        <f>F245*(($H$181)+1)+(IF(G245&lt;101,G245,IF(G245&lt;201,G245/2,IF(G245&lt;=301,G245/3,G245/4))))</f>
        <v>1110.52188</v>
      </c>
      <c r="I245" s="35"/>
      <c r="L245" s="136"/>
      <c r="M245" s="136"/>
      <c r="N245" s="35"/>
    </row>
    <row r="246" spans="1:20" s="62" customFormat="1" ht="15.75" customHeight="1" x14ac:dyDescent="0.35">
      <c r="A246" s="189">
        <f>A245+1</f>
        <v>4</v>
      </c>
      <c r="B246" s="190"/>
      <c r="C246" s="61" t="s">
        <v>329</v>
      </c>
      <c r="D246" s="61">
        <f>(70.4)*10.764</f>
        <v>757.78560000000004</v>
      </c>
      <c r="E246" s="61">
        <f>(1.35*2.25+1.05*2.75+1.05*2.75)*10.764</f>
        <v>94.857749999999996</v>
      </c>
      <c r="F246" s="61">
        <f>D246+E246</f>
        <v>852.64335000000005</v>
      </c>
      <c r="G246" s="61">
        <f>(3*4.2+0.75*1.5+5.8*3.7)*10.764</f>
        <v>378.73133999999999</v>
      </c>
      <c r="H246" s="61">
        <f>F246*(($H$181)+1)+(IF(G246&lt;101,G246,IF(G246&lt;201,G246/2,IF(G246&lt;=301,G246/3,G246/4))))</f>
        <v>1373.64786</v>
      </c>
      <c r="I246" s="35"/>
      <c r="L246" s="136"/>
      <c r="M246" s="136"/>
      <c r="N246" s="35"/>
    </row>
    <row r="247" spans="1:20" s="62" customFormat="1" ht="15.75" customHeight="1" x14ac:dyDescent="0.35">
      <c r="A247" s="189">
        <f t="shared" ref="A247:A249" si="25">A246+1</f>
        <v>5</v>
      </c>
      <c r="B247" s="190"/>
      <c r="C247" s="61" t="s">
        <v>330</v>
      </c>
      <c r="D247" s="61">
        <f>(49.64)*10.764</f>
        <v>534.32495999999992</v>
      </c>
      <c r="E247" s="61">
        <f>(1.05*5.1+2.05*2.2)*10.764</f>
        <v>106.18685999999998</v>
      </c>
      <c r="F247" s="61">
        <f t="shared" ref="F247:F249" si="26">D247+E247</f>
        <v>640.51181999999994</v>
      </c>
      <c r="G247" s="61">
        <f>(2.2*4.2+2.1*2.75)*10.764</f>
        <v>161.62146000000001</v>
      </c>
      <c r="H247" s="61">
        <f t="shared" ref="H247:H249" si="27">F247*(($H$181)+1)+(IF(G247&lt;101,G247,IF(G247&lt;201,G247/2,IF(G247&lt;=301,G247/3,G247/4))))</f>
        <v>1041.57846</v>
      </c>
      <c r="I247" s="35"/>
      <c r="L247" s="136"/>
      <c r="M247" s="136"/>
      <c r="N247" s="35"/>
    </row>
    <row r="248" spans="1:20" s="62" customFormat="1" ht="15.75" customHeight="1" x14ac:dyDescent="0.35">
      <c r="A248" s="189">
        <f t="shared" si="25"/>
        <v>6</v>
      </c>
      <c r="B248" s="190"/>
      <c r="C248" s="61" t="s">
        <v>330</v>
      </c>
      <c r="D248" s="61">
        <f>(49.64)*10.764</f>
        <v>534.32495999999992</v>
      </c>
      <c r="E248" s="61">
        <f>(1.05*5.1+2.05*2.2)*10.764</f>
        <v>106.18685999999998</v>
      </c>
      <c r="F248" s="61">
        <f t="shared" si="26"/>
        <v>640.51181999999994</v>
      </c>
      <c r="G248" s="61">
        <f>(2.2*4.2+2.1*2.75)*10.764</f>
        <v>161.62146000000001</v>
      </c>
      <c r="H248" s="61">
        <f t="shared" si="27"/>
        <v>1041.57846</v>
      </c>
      <c r="I248" s="35"/>
      <c r="L248" s="136"/>
      <c r="M248" s="136"/>
      <c r="N248" s="35"/>
    </row>
    <row r="249" spans="1:20" s="62" customFormat="1" ht="15.75" customHeight="1" x14ac:dyDescent="0.35">
      <c r="A249" s="189">
        <f t="shared" si="25"/>
        <v>7</v>
      </c>
      <c r="B249" s="190"/>
      <c r="C249" s="61" t="s">
        <v>330</v>
      </c>
      <c r="D249" s="61">
        <f>(50.73)*10.764</f>
        <v>546.0577199999999</v>
      </c>
      <c r="E249" s="61">
        <f>(1.05*7.9+2.05*2.2)*10.764</f>
        <v>137.83301999999998</v>
      </c>
      <c r="F249" s="61">
        <f t="shared" si="26"/>
        <v>683.89073999999982</v>
      </c>
      <c r="G249" s="61">
        <f>(2.2*4.2)*10.764</f>
        <v>99.459360000000018</v>
      </c>
      <c r="H249" s="61">
        <f t="shared" si="27"/>
        <v>1125.2954699999998</v>
      </c>
      <c r="I249" s="35"/>
      <c r="L249" s="136"/>
      <c r="M249" s="136"/>
      <c r="N249" s="35"/>
    </row>
    <row r="250" spans="1:20" s="62" customFormat="1" x14ac:dyDescent="0.35">
      <c r="A250" s="142" t="s">
        <v>333</v>
      </c>
      <c r="B250" s="143"/>
      <c r="C250" s="143"/>
      <c r="D250" s="143"/>
      <c r="E250" s="143"/>
      <c r="F250" s="143"/>
      <c r="G250" s="143"/>
      <c r="H250" s="144"/>
      <c r="J250" s="35"/>
    </row>
    <row r="251" spans="1:20" s="62" customFormat="1" ht="15.75" customHeight="1" x14ac:dyDescent="0.35">
      <c r="A251" s="189">
        <v>1</v>
      </c>
      <c r="B251" s="190"/>
      <c r="C251" s="61" t="s">
        <v>332</v>
      </c>
      <c r="D251" s="61">
        <f>(31.39)*10.764</f>
        <v>337.88195999999999</v>
      </c>
      <c r="E251" s="61">
        <f>(1.5*5.5+1.2*2.1+1.2*2.1)*10.764</f>
        <v>143.05355999999998</v>
      </c>
      <c r="F251" s="61">
        <f>D251+E251</f>
        <v>480.93552</v>
      </c>
      <c r="G251" s="61">
        <v>0</v>
      </c>
      <c r="H251" s="61">
        <f>F251*(($H$181)+1)+(IF(G251&lt;101,G251,IF(G251&lt;201,G251/2,IF(G251&lt;=301,G251/3,G251/4))))</f>
        <v>721.40328</v>
      </c>
      <c r="I251" s="35"/>
      <c r="L251" s="136"/>
      <c r="M251" s="136"/>
      <c r="N251" s="35"/>
      <c r="T251" s="20"/>
    </row>
    <row r="252" spans="1:20" s="62" customFormat="1" ht="15.75" customHeight="1" x14ac:dyDescent="0.35">
      <c r="A252" s="189">
        <f>A251+1</f>
        <v>2</v>
      </c>
      <c r="B252" s="190"/>
      <c r="C252" s="61" t="s">
        <v>329</v>
      </c>
      <c r="D252" s="61">
        <f>(60)*10.764</f>
        <v>645.83999999999992</v>
      </c>
      <c r="E252" s="61">
        <f>(1.5*2.75+1.2*3.05+1.25*2.1+1.35*2.75+1.9*2.1)*10.764</f>
        <v>194.96295000000001</v>
      </c>
      <c r="F252" s="61">
        <f>D252+E252</f>
        <v>840.8029499999999</v>
      </c>
      <c r="G252" s="61">
        <v>0</v>
      </c>
      <c r="H252" s="61">
        <f>F252*(($H$181)+1)+(IF(G252&lt;101,G252,IF(G252&lt;201,G252/2,IF(G252&lt;=301,G252/3,G252/4))))</f>
        <v>1261.2044249999999</v>
      </c>
      <c r="I252" s="35"/>
      <c r="L252" s="136"/>
      <c r="M252" s="136"/>
      <c r="N252" s="35"/>
    </row>
    <row r="253" spans="1:20" s="62" customFormat="1" ht="15.75" customHeight="1" x14ac:dyDescent="0.35">
      <c r="A253" s="189">
        <f>A252+1</f>
        <v>3</v>
      </c>
      <c r="B253" s="190"/>
      <c r="C253" s="61" t="s">
        <v>330</v>
      </c>
      <c r="D253" s="61">
        <f>(49.06)*10.764</f>
        <v>528.08183999999994</v>
      </c>
      <c r="E253" s="61">
        <f>(1.5*2.75+1.25*7.9)*10.764</f>
        <v>150.696</v>
      </c>
      <c r="F253" s="61">
        <f>D253+E253</f>
        <v>678.77783999999997</v>
      </c>
      <c r="G253" s="61">
        <v>0</v>
      </c>
      <c r="H253" s="61">
        <f>F253*(($H$181)+1)+(IF(G253&lt;101,G253,IF(G253&lt;201,G253/2,IF(G253&lt;=301,G253/3,G253/4))))</f>
        <v>1018.16676</v>
      </c>
      <c r="I253" s="35"/>
      <c r="L253" s="136"/>
      <c r="M253" s="136"/>
      <c r="N253" s="35"/>
    </row>
    <row r="254" spans="1:20" s="62" customFormat="1" ht="15.75" customHeight="1" x14ac:dyDescent="0.35">
      <c r="A254" s="189">
        <f>A253+1</f>
        <v>4</v>
      </c>
      <c r="B254" s="190"/>
      <c r="C254" s="61" t="s">
        <v>329</v>
      </c>
      <c r="D254" s="61">
        <f>(65.37)*10.764</f>
        <v>703.64268000000004</v>
      </c>
      <c r="E254" s="61">
        <f>(1.5*3+1.35*2.25+1.05*2.75+1.05*2.75)*10.764</f>
        <v>143.29575</v>
      </c>
      <c r="F254" s="61">
        <f>D254+E254</f>
        <v>846.93843000000004</v>
      </c>
      <c r="G254" s="61">
        <v>0</v>
      </c>
      <c r="H254" s="61">
        <f>F254*(($H$181)+1)+(IF(G254&lt;101,G254,IF(G254&lt;201,G254/2,IF(G254&lt;=301,G254/3,G254/4))))</f>
        <v>1270.407645</v>
      </c>
      <c r="I254" s="35">
        <f>4.5*3.75+2.6*2.25+3.5*2.75+2.9*2.75+3.05*2.75+1.65*1.2+1.3*1.95+1.3*1.95+0.9*5.9+0.4*1.2+1.6*0.6</f>
        <v>62.512500000000003</v>
      </c>
      <c r="L254" s="136"/>
      <c r="M254" s="136"/>
      <c r="N254" s="35"/>
    </row>
    <row r="255" spans="1:20" s="62" customFormat="1" ht="15.75" customHeight="1" x14ac:dyDescent="0.35">
      <c r="A255" s="189">
        <f t="shared" ref="A255:A257" si="28">A254+1</f>
        <v>5</v>
      </c>
      <c r="B255" s="190"/>
      <c r="C255" s="61" t="s">
        <v>330</v>
      </c>
      <c r="D255" s="61">
        <f>(49.64)*10.764</f>
        <v>534.32495999999992</v>
      </c>
      <c r="E255" s="61">
        <f>(1.5*2.2+1.05*5.1+0.9*2.75+2.05*2.2)*10.764</f>
        <v>168.34895999999998</v>
      </c>
      <c r="F255" s="61">
        <f t="shared" ref="F255:F257" si="29">D255+E255</f>
        <v>702.67391999999995</v>
      </c>
      <c r="G255" s="61">
        <v>0</v>
      </c>
      <c r="H255" s="61">
        <f t="shared" ref="H255:H257" si="30">F255*(($H$181)+1)+(IF(G255&lt;101,G255,IF(G255&lt;201,G255/2,IF(G255&lt;=301,G255/3,G255/4))))</f>
        <v>1054.0108799999998</v>
      </c>
      <c r="I255" s="35"/>
      <c r="L255" s="136"/>
      <c r="M255" s="136"/>
      <c r="N255" s="35"/>
    </row>
    <row r="256" spans="1:20" s="62" customFormat="1" ht="15.75" customHeight="1" x14ac:dyDescent="0.35">
      <c r="A256" s="189">
        <f t="shared" si="28"/>
        <v>6</v>
      </c>
      <c r="B256" s="190"/>
      <c r="C256" s="61" t="s">
        <v>330</v>
      </c>
      <c r="D256" s="61">
        <f>(49.64)*10.764</f>
        <v>534.32495999999992</v>
      </c>
      <c r="E256" s="61">
        <f>(1.5*2.2+1.05*5.1+0.9*2.75+2.05*2.2)*10.764</f>
        <v>168.34895999999998</v>
      </c>
      <c r="F256" s="61">
        <f t="shared" si="29"/>
        <v>702.67391999999995</v>
      </c>
      <c r="G256" s="61">
        <v>0</v>
      </c>
      <c r="H256" s="61">
        <f t="shared" si="30"/>
        <v>1054.0108799999998</v>
      </c>
      <c r="I256" s="35"/>
      <c r="L256" s="136"/>
      <c r="M256" s="136"/>
      <c r="N256" s="35"/>
    </row>
    <row r="257" spans="1:20" s="62" customFormat="1" ht="15.75" customHeight="1" x14ac:dyDescent="0.35">
      <c r="A257" s="189">
        <f t="shared" si="28"/>
        <v>7</v>
      </c>
      <c r="B257" s="190"/>
      <c r="C257" s="61" t="s">
        <v>330</v>
      </c>
      <c r="D257" s="61">
        <f>(50.73)*10.764</f>
        <v>546.0577199999999</v>
      </c>
      <c r="E257" s="61">
        <f>(1.5*2.2+1.05*7.9+2.05*2.2)*10.764</f>
        <v>173.35422</v>
      </c>
      <c r="F257" s="61">
        <f t="shared" si="29"/>
        <v>719.41193999999996</v>
      </c>
      <c r="G257" s="61">
        <v>0</v>
      </c>
      <c r="H257" s="61">
        <f t="shared" si="30"/>
        <v>1079.1179099999999</v>
      </c>
      <c r="I257" s="35"/>
      <c r="L257" s="136"/>
      <c r="M257" s="136"/>
      <c r="N257" s="35"/>
    </row>
    <row r="258" spans="1:20" s="62" customFormat="1" x14ac:dyDescent="0.35">
      <c r="A258" s="142" t="s">
        <v>334</v>
      </c>
      <c r="B258" s="143"/>
      <c r="C258" s="143"/>
      <c r="D258" s="143"/>
      <c r="E258" s="143"/>
      <c r="F258" s="143"/>
      <c r="G258" s="143"/>
      <c r="H258" s="144"/>
      <c r="J258" s="35"/>
    </row>
    <row r="259" spans="1:20" s="62" customFormat="1" ht="15.75" customHeight="1" x14ac:dyDescent="0.35">
      <c r="A259" s="189">
        <v>1</v>
      </c>
      <c r="B259" s="190"/>
      <c r="C259" s="61" t="s">
        <v>332</v>
      </c>
      <c r="D259" s="61">
        <f>(31.39)*10.764</f>
        <v>337.88195999999999</v>
      </c>
      <c r="E259" s="61">
        <f>(1.5*5.5+1.2*2.1+1.2*2.1)*10.764</f>
        <v>143.05355999999998</v>
      </c>
      <c r="F259" s="61">
        <f>D259+E259</f>
        <v>480.93552</v>
      </c>
      <c r="G259" s="61">
        <v>0</v>
      </c>
      <c r="H259" s="61">
        <f>F259*(($H$181)+1)+(IF(G259&lt;101,G259,IF(G259&lt;201,G259/2,IF(G259&lt;=301,G259/3,G259/4))))</f>
        <v>721.40328</v>
      </c>
      <c r="I259" s="35"/>
      <c r="L259" s="136"/>
      <c r="M259" s="136"/>
      <c r="N259" s="35"/>
      <c r="T259" s="20"/>
    </row>
    <row r="260" spans="1:20" s="62" customFormat="1" ht="15.75" customHeight="1" x14ac:dyDescent="0.35">
      <c r="A260" s="189">
        <f>A259+1</f>
        <v>2</v>
      </c>
      <c r="B260" s="190"/>
      <c r="C260" s="61" t="s">
        <v>329</v>
      </c>
      <c r="D260" s="61">
        <f>(60)*10.764</f>
        <v>645.83999999999992</v>
      </c>
      <c r="E260" s="61">
        <f>(1.5*2.75+1.2*3.05+1.25*2.1+1.35*2.75+1.9*2.1)*10.764</f>
        <v>194.96295000000001</v>
      </c>
      <c r="F260" s="61">
        <f>D260+E260</f>
        <v>840.8029499999999</v>
      </c>
      <c r="G260" s="61">
        <v>0</v>
      </c>
      <c r="H260" s="61">
        <f>F260*(($H$181)+1)+(IF(G260&lt;101,G260,IF(G260&lt;201,G260/2,IF(G260&lt;=301,G260/3,G260/4))))</f>
        <v>1261.2044249999999</v>
      </c>
      <c r="I260" s="35"/>
      <c r="L260" s="136"/>
      <c r="M260" s="136"/>
      <c r="N260" s="35"/>
    </row>
    <row r="261" spans="1:20" s="62" customFormat="1" ht="15.75" customHeight="1" x14ac:dyDescent="0.35">
      <c r="A261" s="189">
        <f>A260+1</f>
        <v>3</v>
      </c>
      <c r="B261" s="190"/>
      <c r="C261" s="61" t="s">
        <v>330</v>
      </c>
      <c r="D261" s="61">
        <f>(49.06)*10.764</f>
        <v>528.08183999999994</v>
      </c>
      <c r="E261" s="61">
        <f>(1.5*2.75+1.25*7.9)*10.764</f>
        <v>150.696</v>
      </c>
      <c r="F261" s="61">
        <f>D261+E261</f>
        <v>678.77783999999997</v>
      </c>
      <c r="G261" s="61">
        <v>0</v>
      </c>
      <c r="H261" s="61">
        <f>F261*(($H$181)+1)+(IF(G261&lt;101,G261,IF(G261&lt;201,G261/2,IF(G261&lt;=301,G261/3,G261/4))))</f>
        <v>1018.16676</v>
      </c>
      <c r="I261" s="35"/>
      <c r="L261" s="136"/>
      <c r="M261" s="136"/>
      <c r="N261" s="35"/>
    </row>
    <row r="262" spans="1:20" s="62" customFormat="1" ht="15.75" customHeight="1" x14ac:dyDescent="0.35">
      <c r="A262" s="189">
        <f>A261+1</f>
        <v>4</v>
      </c>
      <c r="B262" s="190"/>
      <c r="C262" s="61" t="s">
        <v>329</v>
      </c>
      <c r="D262" s="61">
        <f>(65.37)*10.764</f>
        <v>703.64268000000004</v>
      </c>
      <c r="E262" s="61">
        <f>(1.5*3+1.35*2.25+1.05*2.75+1.05*2.75)*10.764</f>
        <v>143.29575</v>
      </c>
      <c r="F262" s="61">
        <f>D262+E262</f>
        <v>846.93843000000004</v>
      </c>
      <c r="G262" s="61">
        <v>0</v>
      </c>
      <c r="H262" s="61">
        <f>F262*(($H$181)+1)+(IF(G262&lt;101,G262,IF(G262&lt;201,G262/2,IF(G262&lt;=301,G262/3,G262/4))))</f>
        <v>1270.407645</v>
      </c>
      <c r="I262" s="35"/>
      <c r="L262" s="136"/>
      <c r="M262" s="136"/>
      <c r="N262" s="35"/>
    </row>
    <row r="263" spans="1:20" s="62" customFormat="1" ht="15.75" customHeight="1" x14ac:dyDescent="0.35">
      <c r="A263" s="189">
        <f t="shared" ref="A263:A265" si="31">A262+1</f>
        <v>5</v>
      </c>
      <c r="B263" s="190"/>
      <c r="C263" s="61" t="s">
        <v>330</v>
      </c>
      <c r="D263" s="61">
        <f>(49.64)*10.764</f>
        <v>534.32495999999992</v>
      </c>
      <c r="E263" s="61">
        <f>(1.5*2.2+1.05*5.1+0.9*2.75+2.05*2.2)*10.764</f>
        <v>168.34895999999998</v>
      </c>
      <c r="F263" s="61">
        <f t="shared" ref="F263:F265" si="32">D263+E263</f>
        <v>702.67391999999995</v>
      </c>
      <c r="G263" s="61">
        <v>0</v>
      </c>
      <c r="H263" s="61">
        <f t="shared" ref="H263:H265" si="33">F263*(($H$181)+1)+(IF(G263&lt;101,G263,IF(G263&lt;201,G263/2,IF(G263&lt;=301,G263/3,G263/4))))</f>
        <v>1054.0108799999998</v>
      </c>
      <c r="I263" s="35"/>
      <c r="L263" s="136"/>
      <c r="M263" s="136"/>
      <c r="N263" s="35"/>
    </row>
    <row r="264" spans="1:20" s="62" customFormat="1" ht="15.75" customHeight="1" x14ac:dyDescent="0.35">
      <c r="A264" s="189">
        <f t="shared" si="31"/>
        <v>6</v>
      </c>
      <c r="B264" s="190"/>
      <c r="C264" s="61" t="s">
        <v>330</v>
      </c>
      <c r="D264" s="61">
        <f>(49.64)*10.764</f>
        <v>534.32495999999992</v>
      </c>
      <c r="E264" s="61">
        <f>(1.5*2.2+1.05*5.1+0.9*2.75+2.05*2.2)*10.764</f>
        <v>168.34895999999998</v>
      </c>
      <c r="F264" s="61">
        <f t="shared" si="32"/>
        <v>702.67391999999995</v>
      </c>
      <c r="G264" s="61">
        <v>0</v>
      </c>
      <c r="H264" s="61">
        <f t="shared" si="33"/>
        <v>1054.0108799999998</v>
      </c>
      <c r="I264" s="35"/>
      <c r="L264" s="136"/>
      <c r="M264" s="136"/>
      <c r="N264" s="35"/>
    </row>
    <row r="265" spans="1:20" s="62" customFormat="1" ht="15.75" customHeight="1" x14ac:dyDescent="0.35">
      <c r="A265" s="189">
        <f t="shared" si="31"/>
        <v>7</v>
      </c>
      <c r="B265" s="190"/>
      <c r="C265" s="61" t="s">
        <v>330</v>
      </c>
      <c r="D265" s="61">
        <f>(50.73)*10.764</f>
        <v>546.0577199999999</v>
      </c>
      <c r="E265" s="61">
        <f>(1.5*2.2+1.05*7.9+2.05*2.2)*10.764</f>
        <v>173.35422</v>
      </c>
      <c r="F265" s="61">
        <f t="shared" si="32"/>
        <v>719.41193999999996</v>
      </c>
      <c r="G265" s="61">
        <v>0</v>
      </c>
      <c r="H265" s="61">
        <f t="shared" si="33"/>
        <v>1079.1179099999999</v>
      </c>
      <c r="I265" s="35"/>
      <c r="L265" s="136"/>
      <c r="M265" s="136"/>
      <c r="N265" s="35"/>
    </row>
    <row r="266" spans="1:20" s="62" customFormat="1" x14ac:dyDescent="0.35">
      <c r="A266" s="142" t="s">
        <v>367</v>
      </c>
      <c r="B266" s="143"/>
      <c r="C266" s="143"/>
      <c r="D266" s="143"/>
      <c r="E266" s="143"/>
      <c r="F266" s="143"/>
      <c r="G266" s="143"/>
      <c r="H266" s="144"/>
      <c r="J266" s="35"/>
    </row>
    <row r="267" spans="1:20" s="62" customFormat="1" ht="15.75" customHeight="1" x14ac:dyDescent="0.35">
      <c r="A267" s="189">
        <v>1</v>
      </c>
      <c r="B267" s="190"/>
      <c r="C267" s="61" t="s">
        <v>332</v>
      </c>
      <c r="D267" s="61">
        <f>(31.39)*10.764</f>
        <v>337.88195999999999</v>
      </c>
      <c r="E267" s="61">
        <f>(1.5*5.5+1.2*2.1+1.2*2.1)*10.764</f>
        <v>143.05355999999998</v>
      </c>
      <c r="F267" s="61">
        <f>D267+E267</f>
        <v>480.93552</v>
      </c>
      <c r="G267" s="61">
        <v>0</v>
      </c>
      <c r="H267" s="61">
        <f>F267*(($H$181)+1)+(IF(G267&lt;101,G267,IF(G267&lt;201,G267/2,IF(G267&lt;=301,G267/3,G267/4))))</f>
        <v>721.40328</v>
      </c>
      <c r="I267" s="35"/>
      <c r="L267" s="136"/>
      <c r="M267" s="136"/>
      <c r="N267" s="35"/>
      <c r="T267" s="20"/>
    </row>
    <row r="268" spans="1:20" s="62" customFormat="1" ht="15.75" customHeight="1" x14ac:dyDescent="0.35">
      <c r="A268" s="189">
        <f>A267+1</f>
        <v>2</v>
      </c>
      <c r="B268" s="190"/>
      <c r="C268" s="61" t="s">
        <v>329</v>
      </c>
      <c r="D268" s="61">
        <f>(60)*10.764</f>
        <v>645.83999999999992</v>
      </c>
      <c r="E268" s="61">
        <f>(1.5*2.75+1.2*3.05+1.25*2.1+1.35*2.75+1.9*2.1)*10.764</f>
        <v>194.96295000000001</v>
      </c>
      <c r="F268" s="61">
        <f>D268+E268</f>
        <v>840.8029499999999</v>
      </c>
      <c r="G268" s="61">
        <v>0</v>
      </c>
      <c r="H268" s="61">
        <f>F268*(($H$181)+1)+(IF(G268&lt;101,G268,IF(G268&lt;201,G268/2,IF(G268&lt;=301,G268/3,G268/4))))</f>
        <v>1261.2044249999999</v>
      </c>
      <c r="I268" s="35"/>
      <c r="L268" s="136"/>
      <c r="M268" s="136"/>
      <c r="N268" s="35"/>
    </row>
    <row r="269" spans="1:20" s="62" customFormat="1" ht="15.75" customHeight="1" x14ac:dyDescent="0.35">
      <c r="A269" s="189">
        <f>A268+1</f>
        <v>3</v>
      </c>
      <c r="B269" s="190"/>
      <c r="C269" s="61" t="s">
        <v>330</v>
      </c>
      <c r="D269" s="61">
        <f>(49.06)*10.764</f>
        <v>528.08183999999994</v>
      </c>
      <c r="E269" s="61">
        <f>(1.5*2.75+1.25*7.9)*10.764</f>
        <v>150.696</v>
      </c>
      <c r="F269" s="61">
        <f>D269+E269</f>
        <v>678.77783999999997</v>
      </c>
      <c r="G269" s="61">
        <v>0</v>
      </c>
      <c r="H269" s="61">
        <f>F269*(($H$181)+1)+(IF(G269&lt;101,G269,IF(G269&lt;201,G269/2,IF(G269&lt;=301,G269/3,G269/4))))</f>
        <v>1018.16676</v>
      </c>
      <c r="I269" s="35"/>
      <c r="L269" s="136"/>
      <c r="M269" s="136"/>
      <c r="N269" s="35"/>
    </row>
    <row r="270" spans="1:20" s="62" customFormat="1" ht="15.75" customHeight="1" x14ac:dyDescent="0.35">
      <c r="A270" s="189">
        <f>A269+1</f>
        <v>4</v>
      </c>
      <c r="B270" s="190"/>
      <c r="C270" s="61" t="s">
        <v>329</v>
      </c>
      <c r="D270" s="61">
        <f>(65.37)*10.764</f>
        <v>703.64268000000004</v>
      </c>
      <c r="E270" s="61">
        <f>(1.5*3+1.35*2.25+1.05*2.75+1.05*2.75)*10.764</f>
        <v>143.29575</v>
      </c>
      <c r="F270" s="61">
        <f>D270+E270</f>
        <v>846.93843000000004</v>
      </c>
      <c r="G270" s="61">
        <v>0</v>
      </c>
      <c r="H270" s="61">
        <f>F270*(($H$181)+1)+(IF(G270&lt;101,G270,IF(G270&lt;201,G270/2,IF(G270&lt;=301,G270/3,G270/4))))</f>
        <v>1270.407645</v>
      </c>
      <c r="I270" s="35"/>
      <c r="L270" s="136"/>
      <c r="M270" s="136"/>
      <c r="N270" s="35"/>
    </row>
    <row r="271" spans="1:20" s="62" customFormat="1" ht="15.75" customHeight="1" x14ac:dyDescent="0.35">
      <c r="A271" s="189">
        <f t="shared" ref="A271:A273" si="34">A270+1</f>
        <v>5</v>
      </c>
      <c r="B271" s="190"/>
      <c r="C271" s="61" t="s">
        <v>330</v>
      </c>
      <c r="D271" s="61">
        <f>(49.64)*10.764</f>
        <v>534.32495999999992</v>
      </c>
      <c r="E271" s="61">
        <f>(1.5*2.2+1.05*5.1+0.9*2.75+2.05*2.2)*10.764</f>
        <v>168.34895999999998</v>
      </c>
      <c r="F271" s="61">
        <f t="shared" ref="F271:F273" si="35">D271+E271</f>
        <v>702.67391999999995</v>
      </c>
      <c r="G271" s="61">
        <v>0</v>
      </c>
      <c r="H271" s="61">
        <f t="shared" ref="H271:H273" si="36">F271*(($H$181)+1)+(IF(G271&lt;101,G271,IF(G271&lt;201,G271/2,IF(G271&lt;=301,G271/3,G271/4))))</f>
        <v>1054.0108799999998</v>
      </c>
      <c r="I271" s="35"/>
      <c r="L271" s="136"/>
      <c r="M271" s="136"/>
      <c r="N271" s="35"/>
    </row>
    <row r="272" spans="1:20" s="62" customFormat="1" ht="15.75" customHeight="1" x14ac:dyDescent="0.35">
      <c r="A272" s="189">
        <f t="shared" si="34"/>
        <v>6</v>
      </c>
      <c r="B272" s="190"/>
      <c r="C272" s="61" t="s">
        <v>330</v>
      </c>
      <c r="D272" s="61">
        <f>(49.64)*10.764</f>
        <v>534.32495999999992</v>
      </c>
      <c r="E272" s="61">
        <f>(1.5*2.2+1.05*5.1+0.9*2.75+2.05*2.2)*10.764</f>
        <v>168.34895999999998</v>
      </c>
      <c r="F272" s="61">
        <f t="shared" si="35"/>
        <v>702.67391999999995</v>
      </c>
      <c r="G272" s="61">
        <v>0</v>
      </c>
      <c r="H272" s="61">
        <f t="shared" si="36"/>
        <v>1054.0108799999998</v>
      </c>
      <c r="I272" s="35"/>
      <c r="L272" s="136"/>
      <c r="M272" s="136"/>
      <c r="N272" s="35"/>
    </row>
    <row r="273" spans="1:20" s="62" customFormat="1" ht="15.75" customHeight="1" x14ac:dyDescent="0.35">
      <c r="A273" s="189">
        <f t="shared" si="34"/>
        <v>7</v>
      </c>
      <c r="B273" s="190"/>
      <c r="C273" s="61" t="s">
        <v>330</v>
      </c>
      <c r="D273" s="61">
        <f>(50.73)*10.764</f>
        <v>546.0577199999999</v>
      </c>
      <c r="E273" s="61">
        <f>(1.5*2.2+1.05*7.9+2.05*2.2)*10.764</f>
        <v>173.35422</v>
      </c>
      <c r="F273" s="61">
        <f t="shared" si="35"/>
        <v>719.41193999999996</v>
      </c>
      <c r="G273" s="61">
        <v>0</v>
      </c>
      <c r="H273" s="61">
        <f t="shared" si="36"/>
        <v>1079.1179099999999</v>
      </c>
      <c r="I273" s="35"/>
      <c r="L273" s="136"/>
      <c r="M273" s="136"/>
      <c r="N273" s="35"/>
    </row>
    <row r="274" spans="1:20" s="62" customFormat="1" ht="15.75" customHeight="1" x14ac:dyDescent="0.35">
      <c r="A274" s="142" t="s">
        <v>337</v>
      </c>
      <c r="B274" s="143"/>
      <c r="C274" s="143"/>
      <c r="D274" s="143"/>
      <c r="E274" s="143"/>
      <c r="F274" s="143"/>
      <c r="G274" s="143"/>
      <c r="H274" s="144"/>
      <c r="J274" s="35"/>
    </row>
    <row r="275" spans="1:20" s="62" customFormat="1" ht="15.75" customHeight="1" x14ac:dyDescent="0.35">
      <c r="A275" s="189">
        <v>1</v>
      </c>
      <c r="B275" s="190"/>
      <c r="C275" s="61" t="s">
        <v>332</v>
      </c>
      <c r="D275" s="61">
        <f>(47.08)*10.764</f>
        <v>506.76911999999993</v>
      </c>
      <c r="E275" s="61">
        <f>(1.95*5.5+1.1*5.2+3.2*0.9)*10.764</f>
        <v>208.01429999999999</v>
      </c>
      <c r="F275" s="61">
        <f>D275+E275</f>
        <v>714.78341999999998</v>
      </c>
      <c r="G275" s="61">
        <v>0</v>
      </c>
      <c r="H275" s="61">
        <f>F275*(($H$181)+1)+(IF(G275&lt;101,G275,IF(G275&lt;201,G275/2,IF(G275&lt;=301,G275/3,G275/4))))</f>
        <v>1072.1751300000001</v>
      </c>
      <c r="I275" s="35"/>
      <c r="L275" s="136"/>
      <c r="M275" s="136"/>
      <c r="N275" s="35"/>
      <c r="T275" s="20"/>
    </row>
    <row r="276" spans="1:20" s="62" customFormat="1" ht="15.75" customHeight="1" x14ac:dyDescent="0.35">
      <c r="A276" s="189">
        <f>A275+1</f>
        <v>2</v>
      </c>
      <c r="B276" s="190"/>
      <c r="C276" s="61" t="s">
        <v>330</v>
      </c>
      <c r="D276" s="61">
        <f>(47.43)*10.764</f>
        <v>510.53651999999994</v>
      </c>
      <c r="E276" s="61">
        <f>(1.5*2.75+1.2*2.1+1.2*2.75+1.9*2.1)*10.764</f>
        <v>149.99634</v>
      </c>
      <c r="F276" s="61">
        <f>D276+E276</f>
        <v>660.53285999999991</v>
      </c>
      <c r="G276" s="61">
        <v>0</v>
      </c>
      <c r="H276" s="61">
        <f>F276*(($H$181)+1)+(IF(G276&lt;101,G276,IF(G276&lt;201,G276/2,IF(G276&lt;=301,G276/3,G276/4))))</f>
        <v>990.79928999999993</v>
      </c>
      <c r="I276" s="35"/>
      <c r="L276" s="136"/>
      <c r="M276" s="136"/>
      <c r="N276" s="35"/>
    </row>
    <row r="277" spans="1:20" s="62" customFormat="1" ht="15.75" customHeight="1" x14ac:dyDescent="0.35">
      <c r="A277" s="189">
        <f>A276+1</f>
        <v>3</v>
      </c>
      <c r="B277" s="190"/>
      <c r="C277" s="61" t="s">
        <v>330</v>
      </c>
      <c r="D277" s="61">
        <f>(49.06)*10.764</f>
        <v>528.08183999999994</v>
      </c>
      <c r="E277" s="61">
        <f>(1.5*2.75+1.25*7.9)*10.764</f>
        <v>150.696</v>
      </c>
      <c r="F277" s="61">
        <f>D277+E277</f>
        <v>678.77783999999997</v>
      </c>
      <c r="G277" s="61">
        <v>0</v>
      </c>
      <c r="H277" s="61">
        <f>F277*(($H$181)+1)+(IF(G277&lt;101,G277,IF(G277&lt;201,G277/2,IF(G277&lt;=301,G277/3,G277/4))))</f>
        <v>1018.16676</v>
      </c>
      <c r="I277" s="35"/>
      <c r="L277" s="136"/>
      <c r="M277" s="136"/>
      <c r="N277" s="35"/>
    </row>
    <row r="278" spans="1:20" s="62" customFormat="1" ht="15.75" customHeight="1" x14ac:dyDescent="0.35">
      <c r="A278" s="189">
        <f>A277+1</f>
        <v>4</v>
      </c>
      <c r="B278" s="190"/>
      <c r="C278" s="61" t="s">
        <v>329</v>
      </c>
      <c r="D278" s="61">
        <f>(65.37)*10.764</f>
        <v>703.64268000000004</v>
      </c>
      <c r="E278" s="61">
        <f>(1.5*3+1.35*2.25+1.05*2.75+1.05*2.75)*10.764</f>
        <v>143.29575</v>
      </c>
      <c r="F278" s="61">
        <f>D278+E278</f>
        <v>846.93843000000004</v>
      </c>
      <c r="G278" s="61">
        <v>0</v>
      </c>
      <c r="H278" s="61">
        <f>F278*(($H$181)+1)+(IF(G278&lt;101,G278,IF(G278&lt;201,G278/2,IF(G278&lt;=301,G278/3,G278/4))))</f>
        <v>1270.407645</v>
      </c>
      <c r="I278" s="35"/>
      <c r="L278" s="136"/>
      <c r="M278" s="136"/>
      <c r="N278" s="35"/>
    </row>
    <row r="279" spans="1:20" s="62" customFormat="1" ht="15.75" customHeight="1" x14ac:dyDescent="0.35">
      <c r="A279" s="189">
        <f t="shared" ref="A279:A281" si="37">A278+1</f>
        <v>5</v>
      </c>
      <c r="B279" s="190"/>
      <c r="C279" s="61" t="s">
        <v>330</v>
      </c>
      <c r="D279" s="61">
        <f>(49.64)*10.764</f>
        <v>534.32495999999992</v>
      </c>
      <c r="E279" s="61">
        <f>(1.5*2.2+1.05*5.1+0.9*2.75+2.05*2.2)*10.764</f>
        <v>168.34895999999998</v>
      </c>
      <c r="F279" s="61">
        <f t="shared" ref="F279:F281" si="38">D279+E279</f>
        <v>702.67391999999995</v>
      </c>
      <c r="G279" s="61">
        <v>0</v>
      </c>
      <c r="H279" s="61">
        <f t="shared" ref="H279:H281" si="39">F279*(($H$181)+1)+(IF(G279&lt;101,G279,IF(G279&lt;201,G279/2,IF(G279&lt;=301,G279/3,G279/4))))</f>
        <v>1054.0108799999998</v>
      </c>
      <c r="I279" s="35"/>
      <c r="L279" s="136"/>
      <c r="M279" s="136"/>
      <c r="N279" s="35"/>
    </row>
    <row r="280" spans="1:20" s="62" customFormat="1" ht="15.75" customHeight="1" x14ac:dyDescent="0.35">
      <c r="A280" s="189">
        <f t="shared" si="37"/>
        <v>6</v>
      </c>
      <c r="B280" s="190"/>
      <c r="C280" s="61" t="s">
        <v>330</v>
      </c>
      <c r="D280" s="61">
        <f>(49.64)*10.764</f>
        <v>534.32495999999992</v>
      </c>
      <c r="E280" s="61">
        <f>(1.5*2.2+1.05*5.1+0.9*2.75+2.05*2.2)*10.764</f>
        <v>168.34895999999998</v>
      </c>
      <c r="F280" s="61">
        <f t="shared" si="38"/>
        <v>702.67391999999995</v>
      </c>
      <c r="G280" s="61">
        <v>0</v>
      </c>
      <c r="H280" s="61">
        <f t="shared" si="39"/>
        <v>1054.0108799999998</v>
      </c>
      <c r="I280" s="35"/>
      <c r="L280" s="136"/>
      <c r="M280" s="136"/>
      <c r="N280" s="35"/>
    </row>
    <row r="281" spans="1:20" s="62" customFormat="1" ht="15.75" customHeight="1" x14ac:dyDescent="0.35">
      <c r="A281" s="189">
        <f t="shared" si="37"/>
        <v>7</v>
      </c>
      <c r="B281" s="190"/>
      <c r="C281" s="61" t="s">
        <v>330</v>
      </c>
      <c r="D281" s="61">
        <f>(50.73)*10.764</f>
        <v>546.0577199999999</v>
      </c>
      <c r="E281" s="61">
        <f>(1.5*2.2+1.05*7.9+2.05*2.2)*10.764</f>
        <v>173.35422</v>
      </c>
      <c r="F281" s="61">
        <f t="shared" si="38"/>
        <v>719.41193999999996</v>
      </c>
      <c r="G281" s="61">
        <v>0</v>
      </c>
      <c r="H281" s="61">
        <f t="shared" si="39"/>
        <v>1079.1179099999999</v>
      </c>
      <c r="I281" s="35"/>
      <c r="L281" s="136"/>
      <c r="M281" s="136"/>
      <c r="N281" s="35"/>
    </row>
    <row r="282" spans="1:20" s="62" customFormat="1" ht="15.75" customHeight="1" x14ac:dyDescent="0.35">
      <c r="A282" s="142" t="s">
        <v>339</v>
      </c>
      <c r="B282" s="143"/>
      <c r="C282" s="143"/>
      <c r="D282" s="143"/>
      <c r="E282" s="143"/>
      <c r="F282" s="143"/>
      <c r="G282" s="143"/>
      <c r="H282" s="144"/>
      <c r="J282" s="35"/>
    </row>
    <row r="283" spans="1:20" s="62" customFormat="1" ht="15.75" customHeight="1" x14ac:dyDescent="0.35">
      <c r="A283" s="189">
        <v>1</v>
      </c>
      <c r="B283" s="190"/>
      <c r="C283" s="61" t="s">
        <v>332</v>
      </c>
      <c r="D283" s="61">
        <f>(47.08)*10.764</f>
        <v>506.76911999999993</v>
      </c>
      <c r="E283" s="61">
        <f>(1.95*5.5+1.1*5.2+3.2*0.9)*10.764</f>
        <v>208.01429999999999</v>
      </c>
      <c r="F283" s="61">
        <f>D283+E283</f>
        <v>714.78341999999998</v>
      </c>
      <c r="G283" s="61">
        <v>0</v>
      </c>
      <c r="H283" s="61">
        <f>F283*(($H$181)+1)+(IF(G283&lt;101,G283,IF(G283&lt;201,G283/2,IF(G283&lt;=301,G283/3,G283/4))))</f>
        <v>1072.1751300000001</v>
      </c>
      <c r="I283" s="35"/>
      <c r="L283" s="136"/>
      <c r="M283" s="136"/>
      <c r="N283" s="35"/>
      <c r="T283" s="20"/>
    </row>
    <row r="284" spans="1:20" s="62" customFormat="1" ht="15.75" customHeight="1" x14ac:dyDescent="0.35">
      <c r="A284" s="189">
        <f>A283+1</f>
        <v>2</v>
      </c>
      <c r="B284" s="190"/>
      <c r="C284" s="61" t="s">
        <v>330</v>
      </c>
      <c r="D284" s="61">
        <f>(47.43)*10.764</f>
        <v>510.53651999999994</v>
      </c>
      <c r="E284" s="61">
        <f>(1.5*2.75+1.2*2.1+1.2*2.75+1.9*2.1)*10.764</f>
        <v>149.99634</v>
      </c>
      <c r="F284" s="61">
        <f>D284+E284</f>
        <v>660.53285999999991</v>
      </c>
      <c r="G284" s="61">
        <v>0</v>
      </c>
      <c r="H284" s="61">
        <f>F284*(($H$181)+1)+(IF(G284&lt;101,G284,IF(G284&lt;201,G284/2,IF(G284&lt;=301,G284/3,G284/4))))</f>
        <v>990.79928999999993</v>
      </c>
      <c r="I284" s="35"/>
      <c r="L284" s="136"/>
      <c r="M284" s="136"/>
      <c r="N284" s="35"/>
    </row>
    <row r="285" spans="1:20" s="62" customFormat="1" ht="15.75" customHeight="1" x14ac:dyDescent="0.35">
      <c r="A285" s="189">
        <f>A284+1</f>
        <v>3</v>
      </c>
      <c r="B285" s="190"/>
      <c r="C285" s="61" t="s">
        <v>330</v>
      </c>
      <c r="D285" s="61">
        <f>(49.06)*10.764</f>
        <v>528.08183999999994</v>
      </c>
      <c r="E285" s="61">
        <f>(1.5*2.75+1.25*7.9)*10.764</f>
        <v>150.696</v>
      </c>
      <c r="F285" s="61">
        <f>D285+E285</f>
        <v>678.77783999999997</v>
      </c>
      <c r="G285" s="61">
        <v>0</v>
      </c>
      <c r="H285" s="61">
        <f>F285*(($H$181)+1)+(IF(G285&lt;101,G285,IF(G285&lt;201,G285/2,IF(G285&lt;=301,G285/3,G285/4))))</f>
        <v>1018.16676</v>
      </c>
      <c r="I285" s="35"/>
      <c r="L285" s="136"/>
      <c r="M285" s="136"/>
      <c r="N285" s="35"/>
    </row>
    <row r="286" spans="1:20" s="62" customFormat="1" ht="15.75" customHeight="1" x14ac:dyDescent="0.35">
      <c r="A286" s="189">
        <f>A285+1</f>
        <v>4</v>
      </c>
      <c r="B286" s="190"/>
      <c r="C286" s="61" t="s">
        <v>329</v>
      </c>
      <c r="D286" s="61">
        <f>(65.37)*10.764</f>
        <v>703.64268000000004</v>
      </c>
      <c r="E286" s="61">
        <f>(1.5*3+1.35*2.25+1.05*2.75+1.05*2.75)*10.764</f>
        <v>143.29575</v>
      </c>
      <c r="F286" s="61">
        <f>D286+E286</f>
        <v>846.93843000000004</v>
      </c>
      <c r="G286" s="61">
        <v>0</v>
      </c>
      <c r="H286" s="61">
        <f>F286*(($H$181)+1)+(IF(G286&lt;101,G286,IF(G286&lt;201,G286/2,IF(G286&lt;=301,G286/3,G286/4))))</f>
        <v>1270.407645</v>
      </c>
      <c r="I286" s="35"/>
      <c r="L286" s="136"/>
      <c r="M286" s="136"/>
      <c r="N286" s="35"/>
    </row>
    <row r="287" spans="1:20" s="62" customFormat="1" ht="15.75" customHeight="1" x14ac:dyDescent="0.35">
      <c r="A287" s="189">
        <f t="shared" ref="A287:A289" si="40">A286+1</f>
        <v>5</v>
      </c>
      <c r="B287" s="190"/>
      <c r="C287" s="61" t="s">
        <v>330</v>
      </c>
      <c r="D287" s="61">
        <f>(49.64)*10.764</f>
        <v>534.32495999999992</v>
      </c>
      <c r="E287" s="61">
        <f>(1.5*2.2+1.05*5.1+0.9*2.75+2.05*2.2)*10.764</f>
        <v>168.34895999999998</v>
      </c>
      <c r="F287" s="61">
        <f t="shared" ref="F287:F289" si="41">D287+E287</f>
        <v>702.67391999999995</v>
      </c>
      <c r="G287" s="61">
        <v>0</v>
      </c>
      <c r="H287" s="61">
        <f t="shared" ref="H287:H289" si="42">F287*(($H$181)+1)+(IF(G287&lt;101,G287,IF(G287&lt;201,G287/2,IF(G287&lt;=301,G287/3,G287/4))))</f>
        <v>1054.0108799999998</v>
      </c>
      <c r="I287" s="35"/>
      <c r="L287" s="136"/>
      <c r="M287" s="136"/>
      <c r="N287" s="35"/>
    </row>
    <row r="288" spans="1:20" s="62" customFormat="1" ht="15.75" customHeight="1" x14ac:dyDescent="0.35">
      <c r="A288" s="189">
        <f t="shared" si="40"/>
        <v>6</v>
      </c>
      <c r="B288" s="190"/>
      <c r="C288" s="61" t="s">
        <v>330</v>
      </c>
      <c r="D288" s="61">
        <f>(49.64)*10.764</f>
        <v>534.32495999999992</v>
      </c>
      <c r="E288" s="61">
        <f>(1.5*2.2+1.05*5.1+0.9*2.75+2.05*2.2)*10.764</f>
        <v>168.34895999999998</v>
      </c>
      <c r="F288" s="61">
        <f t="shared" si="41"/>
        <v>702.67391999999995</v>
      </c>
      <c r="G288" s="61">
        <v>0</v>
      </c>
      <c r="H288" s="61">
        <f t="shared" si="42"/>
        <v>1054.0108799999998</v>
      </c>
      <c r="I288" s="35"/>
      <c r="L288" s="136"/>
      <c r="M288" s="136"/>
      <c r="N288" s="35"/>
    </row>
    <row r="289" spans="1:20" s="62" customFormat="1" ht="15.75" customHeight="1" x14ac:dyDescent="0.35">
      <c r="A289" s="189">
        <f t="shared" si="40"/>
        <v>7</v>
      </c>
      <c r="B289" s="190"/>
      <c r="C289" s="61" t="s">
        <v>330</v>
      </c>
      <c r="D289" s="61">
        <f>(50.73)*10.764</f>
        <v>546.0577199999999</v>
      </c>
      <c r="E289" s="61">
        <f>(1.5*2.2+1.05*7.9+2.05*2.2)*10.764</f>
        <v>173.35422</v>
      </c>
      <c r="F289" s="61">
        <f t="shared" si="41"/>
        <v>719.41193999999996</v>
      </c>
      <c r="G289" s="61">
        <v>0</v>
      </c>
      <c r="H289" s="61">
        <f t="shared" si="42"/>
        <v>1079.1179099999999</v>
      </c>
      <c r="I289" s="35"/>
      <c r="L289" s="136"/>
      <c r="M289" s="136"/>
      <c r="N289" s="35"/>
    </row>
    <row r="290" spans="1:20" s="36" customFormat="1" x14ac:dyDescent="0.35">
      <c r="A290" s="183" t="s">
        <v>348</v>
      </c>
      <c r="B290" s="183"/>
      <c r="C290" s="183"/>
      <c r="D290" s="183"/>
      <c r="E290" s="183"/>
      <c r="F290" s="183"/>
      <c r="G290" s="183"/>
      <c r="H290" s="183"/>
      <c r="I290" s="35"/>
      <c r="L290" s="136"/>
      <c r="M290" s="136"/>
    </row>
    <row r="291" spans="1:20" s="36" customFormat="1" x14ac:dyDescent="0.35">
      <c r="A291" s="79" t="s">
        <v>340</v>
      </c>
      <c r="B291" s="79"/>
      <c r="C291" s="41" t="s">
        <v>346</v>
      </c>
      <c r="D291" s="61">
        <f>(104.68)*10.764</f>
        <v>1126.7755199999999</v>
      </c>
      <c r="E291" s="53">
        <v>0</v>
      </c>
      <c r="F291" s="53">
        <f t="shared" ref="F291:F296" si="43">D291+E291</f>
        <v>1126.7755199999999</v>
      </c>
      <c r="G291" s="61">
        <f>(2.5*8.5+5.7*4.4+3.4*3.8+2.8*3.2)*10.764</f>
        <v>734.2124399999999</v>
      </c>
      <c r="H291" s="53">
        <f t="shared" ref="H291:H296" si="44">F291*(($H$181)+1)+(IF(G291&lt;101,G291,IF(G291&lt;201,G291/2,IF(G291&lt;=301,G291/3,G291/4))))</f>
        <v>1873.7163899999998</v>
      </c>
      <c r="I291" s="35">
        <f>5.6*7.8+3*2.75+5.6*2.75+3.15*2.55+2.75*3.25+3.35*2.75+2.3*1.2+2.3*1.2</f>
        <v>99.032500000000013</v>
      </c>
      <c r="N291" s="35"/>
    </row>
    <row r="292" spans="1:20" s="36" customFormat="1" x14ac:dyDescent="0.35">
      <c r="A292" s="79" t="s">
        <v>341</v>
      </c>
      <c r="B292" s="79"/>
      <c r="C292" s="41" t="s">
        <v>346</v>
      </c>
      <c r="D292" s="61">
        <f>(99.61)*10.764</f>
        <v>1072.2020399999999</v>
      </c>
      <c r="E292" s="53">
        <v>0</v>
      </c>
      <c r="F292" s="53">
        <f t="shared" si="43"/>
        <v>1072.2020399999999</v>
      </c>
      <c r="G292" s="61">
        <f>(3.7*3.8+4.3*3.2+3.2*2.6+6.7*2.7)*10.764</f>
        <v>583.73172</v>
      </c>
      <c r="H292" s="53">
        <f t="shared" si="44"/>
        <v>1754.2359899999997</v>
      </c>
      <c r="I292" s="35"/>
      <c r="N292" s="35"/>
    </row>
    <row r="293" spans="1:20" s="36" customFormat="1" x14ac:dyDescent="0.35">
      <c r="A293" s="79" t="s">
        <v>342</v>
      </c>
      <c r="B293" s="79"/>
      <c r="C293" s="41" t="s">
        <v>347</v>
      </c>
      <c r="D293" s="61">
        <f>(116.11)*10.764</f>
        <v>1249.8080399999999</v>
      </c>
      <c r="E293" s="53">
        <v>0</v>
      </c>
      <c r="F293" s="53">
        <f t="shared" si="43"/>
        <v>1249.8080399999999</v>
      </c>
      <c r="G293" s="61">
        <f>(4.9*4+4.8*8.7+3.5*2.7)*10.764</f>
        <v>762.19884000000002</v>
      </c>
      <c r="H293" s="53">
        <f t="shared" si="44"/>
        <v>2065.2617700000001</v>
      </c>
      <c r="I293" s="35"/>
      <c r="N293" s="35"/>
    </row>
    <row r="294" spans="1:20" s="36" customFormat="1" x14ac:dyDescent="0.35">
      <c r="A294" s="79" t="s">
        <v>343</v>
      </c>
      <c r="B294" s="79"/>
      <c r="C294" s="41" t="s">
        <v>346</v>
      </c>
      <c r="D294" s="61">
        <f>(93.21)*10.764</f>
        <v>1003.3124399999999</v>
      </c>
      <c r="E294" s="61">
        <f>(1.2*9.9)*10.764</f>
        <v>127.87632000000001</v>
      </c>
      <c r="F294" s="53">
        <f t="shared" si="43"/>
        <v>1131.18876</v>
      </c>
      <c r="G294" s="61">
        <f>(4.9*2.2+(0.5*4.9*2.7)+5*4.8+2.4*3.9+2.5*7.6)*10.764</f>
        <v>750.84281999999996</v>
      </c>
      <c r="H294" s="53">
        <f t="shared" si="44"/>
        <v>1884.493845</v>
      </c>
      <c r="I294" s="35"/>
      <c r="N294" s="35"/>
    </row>
    <row r="295" spans="1:20" s="36" customFormat="1" x14ac:dyDescent="0.35">
      <c r="A295" s="79" t="s">
        <v>344</v>
      </c>
      <c r="B295" s="79"/>
      <c r="C295" s="41" t="s">
        <v>347</v>
      </c>
      <c r="D295" s="61">
        <f>(116.09)*10.764</f>
        <v>1249.59276</v>
      </c>
      <c r="E295" s="61">
        <f>(1.2*8.4)*10.764</f>
        <v>108.50112</v>
      </c>
      <c r="F295" s="53">
        <f t="shared" si="43"/>
        <v>1358.0938799999999</v>
      </c>
      <c r="G295" s="61">
        <f>(3.6*4+1.9*4.5+4.8*10.3+3.6*4.2)*10.764</f>
        <v>941.95763999999997</v>
      </c>
      <c r="H295" s="53">
        <f t="shared" si="44"/>
        <v>2272.6302299999998</v>
      </c>
      <c r="I295" s="35"/>
      <c r="N295" s="35"/>
    </row>
    <row r="296" spans="1:20" s="62" customFormat="1" x14ac:dyDescent="0.35">
      <c r="A296" s="79" t="s">
        <v>345</v>
      </c>
      <c r="B296" s="79"/>
      <c r="C296" s="61" t="s">
        <v>347</v>
      </c>
      <c r="D296" s="61">
        <f>(108.02)*10.764</f>
        <v>1162.7272799999998</v>
      </c>
      <c r="E296" s="61">
        <f>(0.9*3.6+1.2*7.6)*10.764</f>
        <v>133.04303999999999</v>
      </c>
      <c r="F296" s="61">
        <f t="shared" si="43"/>
        <v>1295.7703199999999</v>
      </c>
      <c r="G296" s="61">
        <f>(3.1*3+2.1*4.5+3.7*6.9+0.9*3+2.8*4.8+3.8*5.8)*10.764</f>
        <v>887.59944000000007</v>
      </c>
      <c r="H296" s="61">
        <f t="shared" si="44"/>
        <v>2165.5553399999999</v>
      </c>
      <c r="I296" s="35"/>
      <c r="N296" s="35"/>
    </row>
    <row r="297" spans="1:20" s="34" customFormat="1" x14ac:dyDescent="0.35">
      <c r="A297" s="188" t="s">
        <v>65</v>
      </c>
      <c r="B297" s="188"/>
      <c r="C297" s="188"/>
      <c r="D297" s="188"/>
      <c r="E297" s="188"/>
      <c r="F297" s="188"/>
      <c r="G297" s="188"/>
      <c r="H297" s="188"/>
      <c r="T297" s="36"/>
    </row>
    <row r="298" spans="1:20" s="34" customFormat="1" ht="50" customHeight="1" x14ac:dyDescent="0.35">
      <c r="A298" s="43" t="s">
        <v>150</v>
      </c>
      <c r="B298" s="185" t="s">
        <v>378</v>
      </c>
      <c r="C298" s="186"/>
      <c r="D298" s="186"/>
      <c r="E298" s="186"/>
      <c r="F298" s="186"/>
      <c r="G298" s="186"/>
      <c r="H298" s="187"/>
      <c r="T298" s="36"/>
    </row>
    <row r="299" spans="1:20" s="34" customFormat="1" x14ac:dyDescent="0.35">
      <c r="A299" s="43" t="s">
        <v>150</v>
      </c>
      <c r="B299" s="185" t="str">
        <f>(IF(H180="Saleable area Loading :","We have considered Saleable area of Flats as per our Calculation.","We considered Saleable area of Flat as per Builder area Sheet."))</f>
        <v>We have considered Saleable area of Flats as per our Calculation.</v>
      </c>
      <c r="C299" s="186"/>
      <c r="D299" s="186"/>
      <c r="E299" s="186"/>
      <c r="F299" s="186"/>
      <c r="G299" s="186"/>
      <c r="H299" s="187"/>
      <c r="T299" s="36"/>
    </row>
    <row r="300" spans="1:20" s="34" customFormat="1" x14ac:dyDescent="0.35">
      <c r="A300" s="43" t="s">
        <v>150</v>
      </c>
      <c r="B300" s="185" t="str">
        <f>(IF(H160="Saleable area Loading :","We have considered Saleable area of Commercial as per our Calculation.","We considered Saleable area of Commercial as per Builder area Sheet."))</f>
        <v>We have considered Saleable area of Commercial as per our Calculation.</v>
      </c>
      <c r="C300" s="186"/>
      <c r="D300" s="186"/>
      <c r="E300" s="186"/>
      <c r="F300" s="186"/>
      <c r="G300" s="186"/>
      <c r="H300" s="187"/>
    </row>
    <row r="301" spans="1:20" s="34" customFormat="1" x14ac:dyDescent="0.35">
      <c r="A301" s="43" t="s">
        <v>150</v>
      </c>
      <c r="B301" s="76" t="s">
        <v>120</v>
      </c>
      <c r="C301" s="77"/>
      <c r="D301" s="77"/>
      <c r="E301" s="77"/>
      <c r="F301" s="77"/>
      <c r="G301" s="77"/>
      <c r="H301" s="78"/>
    </row>
    <row r="302" spans="1:20" s="34" customFormat="1" x14ac:dyDescent="0.35">
      <c r="A302" s="43" t="s">
        <v>150</v>
      </c>
      <c r="B302" s="76" t="s">
        <v>355</v>
      </c>
      <c r="C302" s="77"/>
      <c r="D302" s="77"/>
      <c r="E302" s="77"/>
      <c r="F302" s="77"/>
      <c r="G302" s="77"/>
      <c r="H302" s="78"/>
    </row>
    <row r="303" spans="1:20" s="34" customFormat="1" x14ac:dyDescent="0.35">
      <c r="A303" s="43" t="s">
        <v>150</v>
      </c>
      <c r="B303" s="76" t="s">
        <v>149</v>
      </c>
      <c r="C303" s="77"/>
      <c r="D303" s="77"/>
      <c r="E303" s="77"/>
      <c r="F303" s="77"/>
      <c r="G303" s="77"/>
      <c r="H303" s="78"/>
    </row>
    <row r="304" spans="1:20" s="34" customFormat="1" x14ac:dyDescent="0.35">
      <c r="A304" s="43" t="s">
        <v>150</v>
      </c>
      <c r="B304" s="76" t="s">
        <v>121</v>
      </c>
      <c r="C304" s="77"/>
      <c r="D304" s="77"/>
      <c r="E304" s="77"/>
      <c r="F304" s="77"/>
      <c r="G304" s="77"/>
      <c r="H304" s="78"/>
    </row>
    <row r="305" spans="1:20" s="34" customFormat="1" ht="34.5" customHeight="1" x14ac:dyDescent="0.35">
      <c r="A305" s="75" t="s">
        <v>150</v>
      </c>
      <c r="B305" s="248" t="s">
        <v>151</v>
      </c>
      <c r="C305" s="248"/>
      <c r="D305" s="248"/>
      <c r="E305" s="248"/>
      <c r="F305" s="248"/>
      <c r="G305" s="248"/>
      <c r="H305" s="248"/>
    </row>
    <row r="306" spans="1:20" s="34" customFormat="1" x14ac:dyDescent="0.35">
      <c r="A306" s="75" t="s">
        <v>150</v>
      </c>
      <c r="B306" s="248" t="s">
        <v>122</v>
      </c>
      <c r="C306" s="248"/>
      <c r="D306" s="248"/>
      <c r="E306" s="248"/>
      <c r="F306" s="248"/>
      <c r="G306" s="248"/>
      <c r="H306" s="248"/>
    </row>
    <row r="307" spans="1:20" s="34" customFormat="1" ht="32.25" customHeight="1" x14ac:dyDescent="0.35">
      <c r="A307" s="75" t="s">
        <v>150</v>
      </c>
      <c r="B307" s="248" t="s">
        <v>368</v>
      </c>
      <c r="C307" s="248"/>
      <c r="D307" s="248"/>
      <c r="E307" s="248"/>
      <c r="F307" s="248"/>
      <c r="G307" s="248"/>
      <c r="H307" s="248"/>
    </row>
    <row r="308" spans="1:20" s="34" customFormat="1" x14ac:dyDescent="0.35">
      <c r="A308" s="75" t="s">
        <v>150</v>
      </c>
      <c r="B308" s="248" t="s">
        <v>375</v>
      </c>
      <c r="C308" s="248"/>
      <c r="D308" s="248"/>
      <c r="E308" s="248"/>
      <c r="F308" s="248"/>
      <c r="G308" s="248"/>
      <c r="H308" s="248"/>
    </row>
    <row r="309" spans="1:20" x14ac:dyDescent="0.35">
      <c r="A309" s="184" t="s">
        <v>58</v>
      </c>
      <c r="B309" s="184"/>
      <c r="C309" s="184"/>
      <c r="D309" s="184"/>
      <c r="E309" s="184"/>
      <c r="F309" s="184"/>
      <c r="G309" s="184"/>
      <c r="H309" s="184"/>
      <c r="T309" s="34"/>
    </row>
    <row r="310" spans="1:20" x14ac:dyDescent="0.35">
      <c r="A310" s="91" t="s">
        <v>59</v>
      </c>
      <c r="B310" s="91"/>
      <c r="C310" s="91"/>
      <c r="D310" s="91"/>
      <c r="E310" s="91"/>
      <c r="F310" s="91"/>
      <c r="G310" s="91"/>
      <c r="H310" s="91"/>
      <c r="T310" s="34"/>
    </row>
    <row r="311" spans="1:20" ht="15.75" customHeight="1" x14ac:dyDescent="0.35">
      <c r="A311" s="197" t="s">
        <v>60</v>
      </c>
      <c r="B311" s="197"/>
      <c r="C311" s="197"/>
      <c r="D311" s="197"/>
      <c r="E311" s="197"/>
      <c r="F311" s="197"/>
      <c r="G311" s="197"/>
      <c r="H311" s="197"/>
      <c r="T311" s="34"/>
    </row>
    <row r="312" spans="1:20" x14ac:dyDescent="0.35">
      <c r="A312" s="91" t="s">
        <v>61</v>
      </c>
      <c r="B312" s="91"/>
      <c r="C312" s="91"/>
      <c r="D312" s="91"/>
      <c r="E312" s="91"/>
      <c r="F312" s="91"/>
      <c r="G312" s="91"/>
      <c r="H312" s="91"/>
    </row>
    <row r="313" spans="1:20" x14ac:dyDescent="0.35">
      <c r="A313" s="91" t="s">
        <v>62</v>
      </c>
      <c r="B313" s="91"/>
      <c r="C313" s="91"/>
      <c r="D313" s="91"/>
      <c r="E313" s="91"/>
      <c r="F313" s="91"/>
      <c r="G313" s="91"/>
      <c r="H313" s="91"/>
    </row>
    <row r="314" spans="1:20" x14ac:dyDescent="0.35">
      <c r="A314" s="91" t="s">
        <v>123</v>
      </c>
      <c r="B314" s="91"/>
      <c r="C314" s="91"/>
      <c r="D314" s="91"/>
      <c r="E314" s="91"/>
      <c r="F314" s="91"/>
      <c r="G314" s="91"/>
      <c r="H314" s="91"/>
    </row>
    <row r="315" spans="1:20" ht="33.75" customHeight="1" x14ac:dyDescent="0.35">
      <c r="A315" s="119" t="s">
        <v>124</v>
      </c>
      <c r="B315" s="119"/>
      <c r="C315" s="119"/>
      <c r="D315" s="119"/>
      <c r="E315" s="119"/>
      <c r="F315" s="119"/>
      <c r="G315" s="119"/>
      <c r="H315" s="119"/>
    </row>
    <row r="316" spans="1:20" x14ac:dyDescent="0.35">
      <c r="A316" s="181" t="s">
        <v>74</v>
      </c>
      <c r="B316" s="181"/>
      <c r="C316" s="181" t="s">
        <v>361</v>
      </c>
      <c r="D316" s="181"/>
      <c r="E316" s="181" t="s">
        <v>104</v>
      </c>
      <c r="F316" s="181"/>
      <c r="G316" s="181" t="s">
        <v>379</v>
      </c>
      <c r="H316" s="181"/>
    </row>
    <row r="317" spans="1:20" x14ac:dyDescent="0.35">
      <c r="A317" s="180" t="s">
        <v>76</v>
      </c>
      <c r="B317" s="180"/>
      <c r="C317" s="180"/>
      <c r="D317" s="180"/>
      <c r="E317" s="180"/>
      <c r="F317" s="180"/>
      <c r="G317" s="180"/>
      <c r="H317" s="180"/>
    </row>
    <row r="318" spans="1:20" x14ac:dyDescent="0.35">
      <c r="A318" s="180"/>
      <c r="B318" s="180"/>
      <c r="C318" s="180"/>
      <c r="D318" s="180"/>
      <c r="E318" s="180"/>
      <c r="F318" s="180"/>
      <c r="G318" s="180"/>
      <c r="H318" s="180"/>
    </row>
    <row r="319" spans="1:20" x14ac:dyDescent="0.35">
      <c r="A319" s="180"/>
      <c r="B319" s="180"/>
      <c r="C319" s="180"/>
      <c r="D319" s="180"/>
      <c r="E319" s="180"/>
      <c r="F319" s="180"/>
      <c r="G319" s="180"/>
      <c r="H319" s="180"/>
    </row>
    <row r="320" spans="1:20" x14ac:dyDescent="0.35">
      <c r="A320" s="180"/>
      <c r="B320" s="180"/>
      <c r="C320" s="180"/>
      <c r="D320" s="180"/>
      <c r="E320" s="180"/>
      <c r="F320" s="180"/>
      <c r="G320" s="180"/>
      <c r="H320" s="180"/>
    </row>
    <row r="321" spans="1:8" x14ac:dyDescent="0.35">
      <c r="A321" s="37" t="s">
        <v>63</v>
      </c>
      <c r="B321" s="38"/>
      <c r="C321" s="38"/>
      <c r="D321" s="37" t="str">
        <f>E9</f>
        <v>Thanekar Palacio Phase II</v>
      </c>
      <c r="F321" s="38"/>
      <c r="G321" s="38"/>
      <c r="H321" s="38"/>
    </row>
    <row r="322" spans="1:8" x14ac:dyDescent="0.35">
      <c r="A322" s="38"/>
      <c r="B322" s="38"/>
      <c r="C322" s="38"/>
      <c r="D322" s="38"/>
      <c r="E322" s="38"/>
      <c r="F322" s="38"/>
      <c r="G322" s="38"/>
      <c r="H322" s="38"/>
    </row>
    <row r="323" spans="1:8" x14ac:dyDescent="0.35">
      <c r="A323" s="38"/>
      <c r="B323" s="38"/>
      <c r="C323" s="38"/>
      <c r="D323" s="38"/>
      <c r="E323" s="38"/>
      <c r="F323" s="38"/>
      <c r="G323" s="38"/>
      <c r="H323" s="38"/>
    </row>
    <row r="324" spans="1:8" ht="15" customHeight="1" x14ac:dyDescent="0.35"/>
    <row r="361" spans="1:1" x14ac:dyDescent="0.35">
      <c r="A361" s="40" t="s">
        <v>160</v>
      </c>
    </row>
    <row r="404" spans="1:1" x14ac:dyDescent="0.35">
      <c r="A404" s="40" t="s">
        <v>64</v>
      </c>
    </row>
  </sheetData>
  <mergeCells count="576">
    <mergeCell ref="B308:H308"/>
    <mergeCell ref="B307:H307"/>
    <mergeCell ref="A92:B92"/>
    <mergeCell ref="C92:H92"/>
    <mergeCell ref="A94:B94"/>
    <mergeCell ref="C94:H94"/>
    <mergeCell ref="A95:B95"/>
    <mergeCell ref="E95:F95"/>
    <mergeCell ref="G95:H95"/>
    <mergeCell ref="A96:B96"/>
    <mergeCell ref="E96:F105"/>
    <mergeCell ref="G96:H105"/>
    <mergeCell ref="A97:B97"/>
    <mergeCell ref="A98:B98"/>
    <mergeCell ref="A99:B99"/>
    <mergeCell ref="A100:B100"/>
    <mergeCell ref="A101:B101"/>
    <mergeCell ref="A102:B102"/>
    <mergeCell ref="A103:B103"/>
    <mergeCell ref="A104:B104"/>
    <mergeCell ref="A105:B105"/>
    <mergeCell ref="A287:B287"/>
    <mergeCell ref="A279:B279"/>
    <mergeCell ref="A275:B275"/>
    <mergeCell ref="A223:H223"/>
    <mergeCell ref="L287:M287"/>
    <mergeCell ref="A288:B288"/>
    <mergeCell ref="L288:M288"/>
    <mergeCell ref="A289:B289"/>
    <mergeCell ref="L289:M289"/>
    <mergeCell ref="A296:B296"/>
    <mergeCell ref="A282:H282"/>
    <mergeCell ref="A283:B283"/>
    <mergeCell ref="L283:M283"/>
    <mergeCell ref="A284:B284"/>
    <mergeCell ref="L284:M284"/>
    <mergeCell ref="A285:B285"/>
    <mergeCell ref="L285:M285"/>
    <mergeCell ref="A286:B286"/>
    <mergeCell ref="L286:M286"/>
    <mergeCell ref="L290:M290"/>
    <mergeCell ref="A295:B295"/>
    <mergeCell ref="A292:B292"/>
    <mergeCell ref="A293:B293"/>
    <mergeCell ref="L279:M279"/>
    <mergeCell ref="A280:B280"/>
    <mergeCell ref="L280:M280"/>
    <mergeCell ref="A281:B281"/>
    <mergeCell ref="L281:M281"/>
    <mergeCell ref="A232:H232"/>
    <mergeCell ref="A233:B233"/>
    <mergeCell ref="L233:M233"/>
    <mergeCell ref="A234:B234"/>
    <mergeCell ref="L234:M234"/>
    <mergeCell ref="A235:B235"/>
    <mergeCell ref="L235:M235"/>
    <mergeCell ref="A236:B236"/>
    <mergeCell ref="L236:M236"/>
    <mergeCell ref="A237:B237"/>
    <mergeCell ref="L237:M237"/>
    <mergeCell ref="A238:B238"/>
    <mergeCell ref="L238:M238"/>
    <mergeCell ref="A239:B239"/>
    <mergeCell ref="L239:M239"/>
    <mergeCell ref="A240:B240"/>
    <mergeCell ref="L240:M240"/>
    <mergeCell ref="C234:H234"/>
    <mergeCell ref="A274:H274"/>
    <mergeCell ref="L275:M275"/>
    <mergeCell ref="A276:B276"/>
    <mergeCell ref="L276:M276"/>
    <mergeCell ref="A277:B277"/>
    <mergeCell ref="L277:M277"/>
    <mergeCell ref="A278:B278"/>
    <mergeCell ref="L278:M278"/>
    <mergeCell ref="A271:B271"/>
    <mergeCell ref="L271:M271"/>
    <mergeCell ref="A272:B272"/>
    <mergeCell ref="L272:M272"/>
    <mergeCell ref="A273:B273"/>
    <mergeCell ref="L273:M273"/>
    <mergeCell ref="A224:B224"/>
    <mergeCell ref="L224:M224"/>
    <mergeCell ref="A225:B225"/>
    <mergeCell ref="L225:M225"/>
    <mergeCell ref="A226:B226"/>
    <mergeCell ref="L226:M226"/>
    <mergeCell ref="A227:B227"/>
    <mergeCell ref="L227:M227"/>
    <mergeCell ref="A228:B228"/>
    <mergeCell ref="L228:M228"/>
    <mergeCell ref="A231:B231"/>
    <mergeCell ref="L231:M231"/>
    <mergeCell ref="A266:H266"/>
    <mergeCell ref="A268:B268"/>
    <mergeCell ref="L268:M268"/>
    <mergeCell ref="A251:B251"/>
    <mergeCell ref="L251:M251"/>
    <mergeCell ref="A252:B252"/>
    <mergeCell ref="L252:M252"/>
    <mergeCell ref="A253:B253"/>
    <mergeCell ref="L253:M253"/>
    <mergeCell ref="A254:B254"/>
    <mergeCell ref="L254:M254"/>
    <mergeCell ref="A250:H250"/>
    <mergeCell ref="A249:B249"/>
    <mergeCell ref="L249:M249"/>
    <mergeCell ref="A245:B245"/>
    <mergeCell ref="L245:M245"/>
    <mergeCell ref="A246:B246"/>
    <mergeCell ref="L246:M246"/>
    <mergeCell ref="L243:M243"/>
    <mergeCell ref="A269:B269"/>
    <mergeCell ref="L269:M269"/>
    <mergeCell ref="A270:B270"/>
    <mergeCell ref="L270:M270"/>
    <mergeCell ref="A263:B263"/>
    <mergeCell ref="L263:M263"/>
    <mergeCell ref="A264:B264"/>
    <mergeCell ref="L264:M264"/>
    <mergeCell ref="A265:B265"/>
    <mergeCell ref="L265:M265"/>
    <mergeCell ref="L217:M217"/>
    <mergeCell ref="A218:B218"/>
    <mergeCell ref="L218:M218"/>
    <mergeCell ref="A267:B267"/>
    <mergeCell ref="L267:M267"/>
    <mergeCell ref="A258:H258"/>
    <mergeCell ref="A259:B259"/>
    <mergeCell ref="L259:M259"/>
    <mergeCell ref="A260:B260"/>
    <mergeCell ref="L260:M260"/>
    <mergeCell ref="A261:B261"/>
    <mergeCell ref="L261:M261"/>
    <mergeCell ref="A262:B262"/>
    <mergeCell ref="L262:M262"/>
    <mergeCell ref="A255:B255"/>
    <mergeCell ref="L255:M255"/>
    <mergeCell ref="A256:B256"/>
    <mergeCell ref="L256:M256"/>
    <mergeCell ref="A257:B257"/>
    <mergeCell ref="L257:M257"/>
    <mergeCell ref="A229:B229"/>
    <mergeCell ref="L229:M229"/>
    <mergeCell ref="A230:B230"/>
    <mergeCell ref="L230:M230"/>
    <mergeCell ref="L215:M215"/>
    <mergeCell ref="A216:B216"/>
    <mergeCell ref="L216:M216"/>
    <mergeCell ref="A212:B212"/>
    <mergeCell ref="L212:M212"/>
    <mergeCell ref="A213:B213"/>
    <mergeCell ref="L213:M213"/>
    <mergeCell ref="A214:H214"/>
    <mergeCell ref="A215:B215"/>
    <mergeCell ref="L193:M193"/>
    <mergeCell ref="A194:B194"/>
    <mergeCell ref="L194:M194"/>
    <mergeCell ref="A195:B195"/>
    <mergeCell ref="L195:M195"/>
    <mergeCell ref="A247:B247"/>
    <mergeCell ref="L247:M247"/>
    <mergeCell ref="A248:B248"/>
    <mergeCell ref="L248:M248"/>
    <mergeCell ref="A244:B244"/>
    <mergeCell ref="L244:M244"/>
    <mergeCell ref="A196:H196"/>
    <mergeCell ref="A197:B197"/>
    <mergeCell ref="L197:M197"/>
    <mergeCell ref="A198:B198"/>
    <mergeCell ref="L198:M198"/>
    <mergeCell ref="A199:B199"/>
    <mergeCell ref="L199:M199"/>
    <mergeCell ref="A200:B200"/>
    <mergeCell ref="L200:M200"/>
    <mergeCell ref="A219:B219"/>
    <mergeCell ref="L219:M219"/>
    <mergeCell ref="A220:B220"/>
    <mergeCell ref="L220:M220"/>
    <mergeCell ref="A201:B201"/>
    <mergeCell ref="L201:M201"/>
    <mergeCell ref="A202:B202"/>
    <mergeCell ref="L202:M202"/>
    <mergeCell ref="A203:B203"/>
    <mergeCell ref="L203:M203"/>
    <mergeCell ref="A204:B204"/>
    <mergeCell ref="L204:M204"/>
    <mergeCell ref="A211:B211"/>
    <mergeCell ref="L211:M211"/>
    <mergeCell ref="A210:B210"/>
    <mergeCell ref="L210:M210"/>
    <mergeCell ref="L206:M206"/>
    <mergeCell ref="A207:B207"/>
    <mergeCell ref="L207:M207"/>
    <mergeCell ref="A208:B208"/>
    <mergeCell ref="L208:M208"/>
    <mergeCell ref="A209:B209"/>
    <mergeCell ref="L209:M209"/>
    <mergeCell ref="A221:B221"/>
    <mergeCell ref="L221:M221"/>
    <mergeCell ref="A222:B222"/>
    <mergeCell ref="L222:M222"/>
    <mergeCell ref="C216:H216"/>
    <mergeCell ref="L176:M176"/>
    <mergeCell ref="A177:B177"/>
    <mergeCell ref="L177:M177"/>
    <mergeCell ref="A178:B178"/>
    <mergeCell ref="L178:M178"/>
    <mergeCell ref="A183:H183"/>
    <mergeCell ref="A182:H182"/>
    <mergeCell ref="A192:B192"/>
    <mergeCell ref="L192:M192"/>
    <mergeCell ref="A184:H184"/>
    <mergeCell ref="A185:H185"/>
    <mergeCell ref="A186:H186"/>
    <mergeCell ref="L191:M191"/>
    <mergeCell ref="L188:M188"/>
    <mergeCell ref="L189:M189"/>
    <mergeCell ref="L190:M190"/>
    <mergeCell ref="A191:B191"/>
    <mergeCell ref="A189:B189"/>
    <mergeCell ref="A190:B190"/>
    <mergeCell ref="B180:B181"/>
    <mergeCell ref="L171:M171"/>
    <mergeCell ref="A172:B172"/>
    <mergeCell ref="L172:M172"/>
    <mergeCell ref="A173:B173"/>
    <mergeCell ref="L173:M173"/>
    <mergeCell ref="A174:B174"/>
    <mergeCell ref="L174:M174"/>
    <mergeCell ref="A175:B175"/>
    <mergeCell ref="L175:M175"/>
    <mergeCell ref="L169:M169"/>
    <mergeCell ref="A170:B170"/>
    <mergeCell ref="L170:M170"/>
    <mergeCell ref="C154:D154"/>
    <mergeCell ref="E154:F154"/>
    <mergeCell ref="G154:H154"/>
    <mergeCell ref="A153:A154"/>
    <mergeCell ref="G54:H54"/>
    <mergeCell ref="D70:H70"/>
    <mergeCell ref="A67:C70"/>
    <mergeCell ref="D67:H67"/>
    <mergeCell ref="D69:H69"/>
    <mergeCell ref="E109:F109"/>
    <mergeCell ref="G109:H109"/>
    <mergeCell ref="A127:B127"/>
    <mergeCell ref="A128:B128"/>
    <mergeCell ref="E110:F119"/>
    <mergeCell ref="A117:B117"/>
    <mergeCell ref="D68:H68"/>
    <mergeCell ref="A141:E141"/>
    <mergeCell ref="F141:H141"/>
    <mergeCell ref="A143:E143"/>
    <mergeCell ref="F138:H138"/>
    <mergeCell ref="A142:E142"/>
    <mergeCell ref="I15:P15"/>
    <mergeCell ref="F145:H145"/>
    <mergeCell ref="F143:H143"/>
    <mergeCell ref="A159:H159"/>
    <mergeCell ref="G149:H149"/>
    <mergeCell ref="A144:E144"/>
    <mergeCell ref="A166:B166"/>
    <mergeCell ref="A62:B62"/>
    <mergeCell ref="C62:E62"/>
    <mergeCell ref="D64:H64"/>
    <mergeCell ref="F144:H144"/>
    <mergeCell ref="E149:F149"/>
    <mergeCell ref="A149:B149"/>
    <mergeCell ref="C152:D152"/>
    <mergeCell ref="D75:H75"/>
    <mergeCell ref="A76:C76"/>
    <mergeCell ref="E43:H43"/>
    <mergeCell ref="A43:D43"/>
    <mergeCell ref="A106:B106"/>
    <mergeCell ref="C106:H106"/>
    <mergeCell ref="A87:B87"/>
    <mergeCell ref="A50:B50"/>
    <mergeCell ref="C50:E50"/>
    <mergeCell ref="G50:H50"/>
    <mergeCell ref="A51:B51"/>
    <mergeCell ref="A63:H63"/>
    <mergeCell ref="A64:C64"/>
    <mergeCell ref="A65:C65"/>
    <mergeCell ref="D65:H65"/>
    <mergeCell ref="G62:H62"/>
    <mergeCell ref="A56:B57"/>
    <mergeCell ref="C56:E56"/>
    <mergeCell ref="G56:H56"/>
    <mergeCell ref="A58:B59"/>
    <mergeCell ref="C58:E58"/>
    <mergeCell ref="G58:H58"/>
    <mergeCell ref="A60:B61"/>
    <mergeCell ref="C60:E60"/>
    <mergeCell ref="G60:H60"/>
    <mergeCell ref="G51:H51"/>
    <mergeCell ref="A54:B55"/>
    <mergeCell ref="C55:H55"/>
    <mergeCell ref="A52:B53"/>
    <mergeCell ref="C54:E54"/>
    <mergeCell ref="C51:E51"/>
    <mergeCell ref="C52:E52"/>
    <mergeCell ref="G52:H52"/>
    <mergeCell ref="A314:H314"/>
    <mergeCell ref="A311:H311"/>
    <mergeCell ref="A291:B291"/>
    <mergeCell ref="A152:B152"/>
    <mergeCell ref="D180:D181"/>
    <mergeCell ref="E180:E181"/>
    <mergeCell ref="A114:B114"/>
    <mergeCell ref="A115:B115"/>
    <mergeCell ref="A116:B116"/>
    <mergeCell ref="A130:B130"/>
    <mergeCell ref="F135:H135"/>
    <mergeCell ref="G150:H150"/>
    <mergeCell ref="A133:B133"/>
    <mergeCell ref="F142:H142"/>
    <mergeCell ref="C149:D149"/>
    <mergeCell ref="C156:D156"/>
    <mergeCell ref="A187:H187"/>
    <mergeCell ref="A165:B165"/>
    <mergeCell ref="A157:B157"/>
    <mergeCell ref="C157:D157"/>
    <mergeCell ref="E157:F157"/>
    <mergeCell ref="B306:H306"/>
    <mergeCell ref="B304:H304"/>
    <mergeCell ref="A167:B167"/>
    <mergeCell ref="B301:H301"/>
    <mergeCell ref="B302:H302"/>
    <mergeCell ref="A297:H297"/>
    <mergeCell ref="A188:B188"/>
    <mergeCell ref="A168:B168"/>
    <mergeCell ref="A310:H310"/>
    <mergeCell ref="A162:H162"/>
    <mergeCell ref="A163:H163"/>
    <mergeCell ref="A169:B169"/>
    <mergeCell ref="A171:B171"/>
    <mergeCell ref="A176:B176"/>
    <mergeCell ref="F180:F181"/>
    <mergeCell ref="C180:C181"/>
    <mergeCell ref="G180:G181"/>
    <mergeCell ref="A179:H179"/>
    <mergeCell ref="A180:A181"/>
    <mergeCell ref="B300:H300"/>
    <mergeCell ref="A241:H241"/>
    <mergeCell ref="A242:H242"/>
    <mergeCell ref="A243:B243"/>
    <mergeCell ref="A193:B193"/>
    <mergeCell ref="A205:H205"/>
    <mergeCell ref="A206:B206"/>
    <mergeCell ref="A217:B217"/>
    <mergeCell ref="A77:C77"/>
    <mergeCell ref="D77:H77"/>
    <mergeCell ref="A75:C75"/>
    <mergeCell ref="D76:H76"/>
    <mergeCell ref="A82:B82"/>
    <mergeCell ref="G81:H81"/>
    <mergeCell ref="A317:H320"/>
    <mergeCell ref="A316:B316"/>
    <mergeCell ref="E316:F316"/>
    <mergeCell ref="C316:D316"/>
    <mergeCell ref="G316:H316"/>
    <mergeCell ref="A148:H148"/>
    <mergeCell ref="A146:E146"/>
    <mergeCell ref="F146:H146"/>
    <mergeCell ref="A147:E147"/>
    <mergeCell ref="F147:H147"/>
    <mergeCell ref="A290:H290"/>
    <mergeCell ref="A312:H312"/>
    <mergeCell ref="A151:H151"/>
    <mergeCell ref="A315:H315"/>
    <mergeCell ref="A313:H313"/>
    <mergeCell ref="A309:H309"/>
    <mergeCell ref="B298:H298"/>
    <mergeCell ref="B299:H29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24:H133"/>
    <mergeCell ref="A42:D42"/>
    <mergeCell ref="E42:H42"/>
    <mergeCell ref="A41:H41"/>
    <mergeCell ref="A71:C71"/>
    <mergeCell ref="A72:C72"/>
    <mergeCell ref="D71:H71"/>
    <mergeCell ref="E82:F91"/>
    <mergeCell ref="G82:H91"/>
    <mergeCell ref="A90:B90"/>
    <mergeCell ref="A91:B91"/>
    <mergeCell ref="D72:H72"/>
    <mergeCell ref="A44:D44"/>
    <mergeCell ref="E44:H44"/>
    <mergeCell ref="E45:H45"/>
    <mergeCell ref="E46:H46"/>
    <mergeCell ref="A109:B109"/>
    <mergeCell ref="E47:H47"/>
    <mergeCell ref="C59:H59"/>
    <mergeCell ref="C61:H61"/>
    <mergeCell ref="A108:B108"/>
    <mergeCell ref="L168:M168"/>
    <mergeCell ref="L167:M167"/>
    <mergeCell ref="L166:M166"/>
    <mergeCell ref="L165:M165"/>
    <mergeCell ref="A89:B89"/>
    <mergeCell ref="C153:D153"/>
    <mergeCell ref="E153:F153"/>
    <mergeCell ref="G153:H153"/>
    <mergeCell ref="A135:E135"/>
    <mergeCell ref="A120:B120"/>
    <mergeCell ref="C120:H120"/>
    <mergeCell ref="A164:H164"/>
    <mergeCell ref="E160:E161"/>
    <mergeCell ref="A110:B110"/>
    <mergeCell ref="C108:H108"/>
    <mergeCell ref="G152:H152"/>
    <mergeCell ref="C160:C161"/>
    <mergeCell ref="G157:H157"/>
    <mergeCell ref="A158:H158"/>
    <mergeCell ref="A118:B118"/>
    <mergeCell ref="E123:F123"/>
    <mergeCell ref="E124:F133"/>
    <mergeCell ref="E152:F152"/>
    <mergeCell ref="A124:B124"/>
    <mergeCell ref="A39:B39"/>
    <mergeCell ref="C39:H39"/>
    <mergeCell ref="A46:D46"/>
    <mergeCell ref="A47:D47"/>
    <mergeCell ref="A48:H48"/>
    <mergeCell ref="D66:H66"/>
    <mergeCell ref="A66:C66"/>
    <mergeCell ref="A88:B88"/>
    <mergeCell ref="A45:D45"/>
    <mergeCell ref="A80:B80"/>
    <mergeCell ref="A78:B78"/>
    <mergeCell ref="C78:H78"/>
    <mergeCell ref="A86:B86"/>
    <mergeCell ref="A73:C73"/>
    <mergeCell ref="D73:H73"/>
    <mergeCell ref="C80:H80"/>
    <mergeCell ref="A83:B83"/>
    <mergeCell ref="A85:B85"/>
    <mergeCell ref="A40:B40"/>
    <mergeCell ref="C40:H40"/>
    <mergeCell ref="A49:B49"/>
    <mergeCell ref="C49:H49"/>
    <mergeCell ref="E81:F81"/>
    <mergeCell ref="A74:C74"/>
    <mergeCell ref="F160:F161"/>
    <mergeCell ref="C150:D150"/>
    <mergeCell ref="E150:F150"/>
    <mergeCell ref="B160:B161"/>
    <mergeCell ref="A160:A161"/>
    <mergeCell ref="F134:H134"/>
    <mergeCell ref="F140:H140"/>
    <mergeCell ref="C53:H53"/>
    <mergeCell ref="C57:H57"/>
    <mergeCell ref="A81:B81"/>
    <mergeCell ref="A84:B84"/>
    <mergeCell ref="E156:F156"/>
    <mergeCell ref="C122:H122"/>
    <mergeCell ref="A123:B123"/>
    <mergeCell ref="A145:E145"/>
    <mergeCell ref="G156:H156"/>
    <mergeCell ref="A155:B155"/>
    <mergeCell ref="C155:D155"/>
    <mergeCell ref="E155:F155"/>
    <mergeCell ref="G155:H155"/>
    <mergeCell ref="A136:E136"/>
    <mergeCell ref="F136:H136"/>
    <mergeCell ref="A156:B156"/>
    <mergeCell ref="D74:H74"/>
    <mergeCell ref="B305:H305"/>
    <mergeCell ref="A294:B294"/>
    <mergeCell ref="B303:H303"/>
    <mergeCell ref="A125:B125"/>
    <mergeCell ref="A126:B126"/>
    <mergeCell ref="G110:H119"/>
    <mergeCell ref="A111:B111"/>
    <mergeCell ref="A112:B112"/>
    <mergeCell ref="A113:B113"/>
    <mergeCell ref="F137:H137"/>
    <mergeCell ref="A137:E137"/>
    <mergeCell ref="D160:D161"/>
    <mergeCell ref="A139:E139"/>
    <mergeCell ref="A129:B129"/>
    <mergeCell ref="A131:B131"/>
    <mergeCell ref="A132:B132"/>
    <mergeCell ref="A138:E138"/>
    <mergeCell ref="A134:E134"/>
    <mergeCell ref="F139:H139"/>
    <mergeCell ref="G123:H123"/>
    <mergeCell ref="A122:B122"/>
    <mergeCell ref="G160:G161"/>
    <mergeCell ref="A140:E140"/>
    <mergeCell ref="A119:B119"/>
  </mergeCells>
  <dataValidations count="14">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60:E161">
      <formula1>"Attached Loft area,Attached Otla area,Attached Mezzanine area"</formula1>
    </dataValidation>
    <dataValidation type="list" allowBlank="1" showInputMessage="1" showErrorMessage="1" sqref="F134:H134">
      <formula1>"On Saleable Area,On Builtup Area,On Carpet Area,On Plot Area"</formula1>
    </dataValidation>
    <dataValidation type="list" allowBlank="1" showInputMessage="1" showErrorMessage="1" sqref="F146:H146">
      <formula1>OFFSET($S$134,1,MATCH($G20,$S$134:$W$134,0)-1,15,1)</formula1>
    </dataValidation>
    <dataValidation type="list" allowBlank="1" showInputMessage="1" showErrorMessage="1" sqref="B160:B161">
      <formula1>"Shop No. (Sale Plan),Sale / Rehab,Sale / Mhada"</formula1>
    </dataValidation>
    <dataValidation type="list" allowBlank="1" showInputMessage="1" showErrorMessage="1" sqref="B180:B18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80:E181">
      <formula1>"Arch Proj. + Service Area,Fungible area,Balcony Area,Chajja Area,Cornice Area,AP Area,WS Area"</formula1>
    </dataValidation>
    <dataValidation type="list" allowBlank="1" showInputMessage="1" showErrorMessage="1" sqref="H161 H18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7" max="16383" man="1"/>
    <brk id="320" max="16383" man="1"/>
    <brk id="360" max="16383" man="1"/>
    <brk id="40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47" t="s">
        <v>105</v>
      </c>
      <c r="C3" s="247"/>
      <c r="D3" s="247"/>
      <c r="E3" s="247"/>
      <c r="F3" s="247"/>
      <c r="G3" s="247"/>
      <c r="H3" s="247"/>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1"/>
      <c r="C4" s="51" t="s">
        <v>11</v>
      </c>
      <c r="D4" s="52" t="s">
        <v>176</v>
      </c>
      <c r="E4" s="52" t="s">
        <v>186</v>
      </c>
      <c r="F4" s="52" t="s">
        <v>170</v>
      </c>
      <c r="G4" s="52" t="s">
        <v>191</v>
      </c>
      <c r="H4" s="52" t="s">
        <v>209</v>
      </c>
      <c r="J4" t="s">
        <v>191</v>
      </c>
      <c r="K4" t="s">
        <v>207</v>
      </c>
    </row>
    <row r="5" spans="2:11" x14ac:dyDescent="0.35">
      <c r="B5" s="51"/>
      <c r="C5" s="51"/>
      <c r="D5" s="52" t="s">
        <v>177</v>
      </c>
      <c r="E5" s="52" t="s">
        <v>184</v>
      </c>
      <c r="F5" s="52" t="s">
        <v>206</v>
      </c>
      <c r="G5" s="52" t="s">
        <v>192</v>
      </c>
      <c r="H5" s="52" t="s">
        <v>210</v>
      </c>
    </row>
    <row r="6" spans="2:11" x14ac:dyDescent="0.35">
      <c r="B6" s="51"/>
      <c r="C6" s="51"/>
      <c r="D6" s="52" t="s">
        <v>178</v>
      </c>
      <c r="E6" s="52" t="s">
        <v>185</v>
      </c>
      <c r="F6" s="52" t="s">
        <v>207</v>
      </c>
      <c r="G6" s="52" t="s">
        <v>193</v>
      </c>
      <c r="H6" s="52" t="s">
        <v>223</v>
      </c>
    </row>
    <row r="7" spans="2:11" x14ac:dyDescent="0.35">
      <c r="B7" s="51"/>
      <c r="C7" s="51"/>
      <c r="D7" s="52" t="s">
        <v>179</v>
      </c>
      <c r="E7" s="52" t="s">
        <v>187</v>
      </c>
      <c r="F7" s="52" t="s">
        <v>208</v>
      </c>
      <c r="G7" s="52" t="s">
        <v>194</v>
      </c>
      <c r="H7" s="52" t="s">
        <v>211</v>
      </c>
    </row>
    <row r="8" spans="2:11" x14ac:dyDescent="0.35">
      <c r="B8" s="51"/>
      <c r="C8" s="51"/>
      <c r="D8" s="52" t="s">
        <v>180</v>
      </c>
      <c r="E8" s="52" t="s">
        <v>188</v>
      </c>
      <c r="F8" s="52"/>
      <c r="G8" s="52" t="s">
        <v>195</v>
      </c>
      <c r="H8" s="52" t="s">
        <v>212</v>
      </c>
    </row>
    <row r="9" spans="2:11" x14ac:dyDescent="0.35">
      <c r="B9" s="51"/>
      <c r="C9" s="51"/>
      <c r="D9" s="52" t="s">
        <v>181</v>
      </c>
      <c r="E9" s="52" t="s">
        <v>186</v>
      </c>
      <c r="F9" s="52"/>
      <c r="G9" s="52" t="s">
        <v>196</v>
      </c>
      <c r="H9" s="52" t="s">
        <v>213</v>
      </c>
    </row>
    <row r="10" spans="2:11" x14ac:dyDescent="0.35">
      <c r="B10" s="51"/>
      <c r="C10" s="51"/>
      <c r="D10" s="52" t="s">
        <v>182</v>
      </c>
      <c r="E10" s="52" t="s">
        <v>189</v>
      </c>
      <c r="F10" s="52"/>
      <c r="G10" s="52" t="s">
        <v>197</v>
      </c>
      <c r="H10" s="52" t="s">
        <v>214</v>
      </c>
    </row>
    <row r="11" spans="2:11" x14ac:dyDescent="0.35">
      <c r="B11" s="51"/>
      <c r="C11" s="51"/>
      <c r="D11" s="52" t="s">
        <v>183</v>
      </c>
      <c r="E11" s="52" t="s">
        <v>190</v>
      </c>
      <c r="F11" s="52"/>
      <c r="G11" s="52" t="s">
        <v>198</v>
      </c>
      <c r="H11" s="52" t="s">
        <v>215</v>
      </c>
    </row>
    <row r="12" spans="2:11" x14ac:dyDescent="0.35">
      <c r="B12" s="51"/>
      <c r="C12" s="51"/>
      <c r="D12" s="52"/>
      <c r="E12" s="52"/>
      <c r="F12" s="52"/>
      <c r="G12" s="52" t="s">
        <v>199</v>
      </c>
      <c r="H12" s="52" t="s">
        <v>216</v>
      </c>
    </row>
    <row r="13" spans="2:11" x14ac:dyDescent="0.35">
      <c r="B13" s="51"/>
      <c r="C13" s="51"/>
      <c r="D13" s="52"/>
      <c r="E13" s="52"/>
      <c r="F13" s="52"/>
      <c r="G13" s="52" t="s">
        <v>200</v>
      </c>
      <c r="H13" s="52" t="s">
        <v>217</v>
      </c>
    </row>
    <row r="14" spans="2:11" x14ac:dyDescent="0.35">
      <c r="B14" s="51"/>
      <c r="C14" s="51"/>
      <c r="D14" s="52"/>
      <c r="E14" s="52"/>
      <c r="F14" s="52"/>
      <c r="G14" s="52" t="s">
        <v>201</v>
      </c>
      <c r="H14" s="52" t="s">
        <v>218</v>
      </c>
    </row>
    <row r="15" spans="2:11" x14ac:dyDescent="0.35">
      <c r="B15" s="51"/>
      <c r="C15" s="51"/>
      <c r="D15" s="52"/>
      <c r="E15" s="52"/>
      <c r="F15" s="52"/>
      <c r="G15" s="52" t="s">
        <v>202</v>
      </c>
      <c r="H15" s="52" t="s">
        <v>219</v>
      </c>
    </row>
    <row r="16" spans="2:11" x14ac:dyDescent="0.35">
      <c r="B16" s="51"/>
      <c r="C16" s="51"/>
      <c r="D16" s="52"/>
      <c r="E16" s="52"/>
      <c r="F16" s="52"/>
      <c r="G16" s="52" t="s">
        <v>203</v>
      </c>
      <c r="H16" s="52" t="s">
        <v>220</v>
      </c>
    </row>
    <row r="17" spans="2:8" x14ac:dyDescent="0.35">
      <c r="B17" s="51"/>
      <c r="C17" s="51"/>
      <c r="D17" s="52"/>
      <c r="E17" s="52"/>
      <c r="F17" s="52"/>
      <c r="G17" s="52" t="s">
        <v>204</v>
      </c>
      <c r="H17" s="52" t="s">
        <v>221</v>
      </c>
    </row>
    <row r="18" spans="2:8" x14ac:dyDescent="0.35">
      <c r="B18" s="51"/>
      <c r="C18" s="51"/>
      <c r="D18" s="52"/>
      <c r="E18" s="52"/>
      <c r="F18" s="52"/>
      <c r="G18" s="52" t="s">
        <v>205</v>
      </c>
      <c r="H18" s="52" t="s">
        <v>222</v>
      </c>
    </row>
    <row r="24" spans="2:8" x14ac:dyDescent="0.35">
      <c r="C24" t="s">
        <v>167</v>
      </c>
    </row>
    <row r="25" spans="2:8" x14ac:dyDescent="0.35">
      <c r="C25" t="s">
        <v>224</v>
      </c>
    </row>
    <row r="26" spans="2:8" x14ac:dyDescent="0.35">
      <c r="C26" t="s">
        <v>225</v>
      </c>
    </row>
    <row r="27" spans="2:8" x14ac:dyDescent="0.35">
      <c r="C27" t="s">
        <v>226</v>
      </c>
    </row>
    <row r="28" spans="2:8" x14ac:dyDescent="0.35">
      <c r="C28" t="s">
        <v>227</v>
      </c>
    </row>
    <row r="29" spans="2:8" x14ac:dyDescent="0.35">
      <c r="C29" t="s">
        <v>228</v>
      </c>
    </row>
    <row r="30" spans="2:8" x14ac:dyDescent="0.35">
      <c r="C30" t="s">
        <v>167</v>
      </c>
    </row>
    <row r="33" spans="3:11" x14ac:dyDescent="0.35">
      <c r="J33">
        <v>1</v>
      </c>
      <c r="K33">
        <v>2</v>
      </c>
    </row>
    <row r="34" spans="3:11" x14ac:dyDescent="0.35">
      <c r="C34" s="55" t="s">
        <v>233</v>
      </c>
      <c r="D34" s="52" t="s">
        <v>231</v>
      </c>
      <c r="E34" s="52" t="s">
        <v>236</v>
      </c>
      <c r="F34" s="52" t="s">
        <v>234</v>
      </c>
      <c r="G34" s="52" t="s">
        <v>235</v>
      </c>
      <c r="H34" s="52" t="s">
        <v>237</v>
      </c>
      <c r="J34" t="s">
        <v>191</v>
      </c>
      <c r="K34" t="s">
        <v>207</v>
      </c>
    </row>
    <row r="35" spans="3:11" x14ac:dyDescent="0.35">
      <c r="C35" s="51" t="s">
        <v>232</v>
      </c>
      <c r="D35" s="52" t="s">
        <v>168</v>
      </c>
      <c r="E35" s="52" t="s">
        <v>241</v>
      </c>
      <c r="F35" s="52" t="s">
        <v>243</v>
      </c>
      <c r="G35" s="52" t="s">
        <v>245</v>
      </c>
      <c r="H35" s="52"/>
    </row>
    <row r="36" spans="3:11" x14ac:dyDescent="0.35">
      <c r="C36" s="51"/>
      <c r="D36" s="52" t="s">
        <v>238</v>
      </c>
      <c r="E36" s="52" t="s">
        <v>242</v>
      </c>
      <c r="F36" s="52" t="s">
        <v>244</v>
      </c>
      <c r="G36" s="52" t="s">
        <v>246</v>
      </c>
      <c r="H36" s="52"/>
    </row>
    <row r="37" spans="3:11" x14ac:dyDescent="0.35">
      <c r="C37" s="51"/>
      <c r="D37" s="52" t="s">
        <v>239</v>
      </c>
      <c r="E37" s="52"/>
      <c r="F37" s="52"/>
      <c r="G37" s="52" t="s">
        <v>247</v>
      </c>
      <c r="H37" s="52"/>
    </row>
    <row r="38" spans="3:11" x14ac:dyDescent="0.35">
      <c r="C38" s="51"/>
      <c r="D38" s="52" t="s">
        <v>240</v>
      </c>
      <c r="E38" s="52"/>
      <c r="F38" s="52"/>
      <c r="G38" s="52" t="s">
        <v>247</v>
      </c>
      <c r="H38" s="52"/>
    </row>
    <row r="39" spans="3:11" x14ac:dyDescent="0.35">
      <c r="C39" s="51"/>
      <c r="D39" s="52"/>
      <c r="E39" s="52"/>
      <c r="F39" s="52"/>
      <c r="G39" s="52" t="s">
        <v>248</v>
      </c>
      <c r="H39" s="52"/>
    </row>
    <row r="40" spans="3:11" x14ac:dyDescent="0.35">
      <c r="C40" s="51"/>
      <c r="D40" s="52"/>
      <c r="E40" s="52"/>
      <c r="F40" s="52"/>
      <c r="G40" s="52" t="s">
        <v>249</v>
      </c>
      <c r="H40" s="52"/>
    </row>
    <row r="41" spans="3:11" x14ac:dyDescent="0.35">
      <c r="C41" s="51"/>
      <c r="D41" s="52"/>
      <c r="E41" s="52"/>
      <c r="F41" s="52"/>
      <c r="G41" s="52"/>
      <c r="H41" s="52"/>
    </row>
    <row r="43" spans="3:11" x14ac:dyDescent="0.35">
      <c r="C43" t="s">
        <v>250</v>
      </c>
    </row>
    <row r="44" spans="3:11" x14ac:dyDescent="0.35">
      <c r="C44" t="s">
        <v>170</v>
      </c>
      <c r="D44" t="s">
        <v>251</v>
      </c>
    </row>
    <row r="45" spans="3:11" x14ac:dyDescent="0.35">
      <c r="D45" t="s">
        <v>252</v>
      </c>
    </row>
    <row r="46" spans="3:11" x14ac:dyDescent="0.35">
      <c r="D46" t="s">
        <v>253</v>
      </c>
    </row>
    <row r="47" spans="3:11" x14ac:dyDescent="0.35">
      <c r="D47" t="s">
        <v>254</v>
      </c>
    </row>
    <row r="48" spans="3:11" x14ac:dyDescent="0.35">
      <c r="D48" t="s">
        <v>255</v>
      </c>
    </row>
    <row r="49" spans="3:4" x14ac:dyDescent="0.35">
      <c r="C49" t="s">
        <v>176</v>
      </c>
      <c r="D49" t="s">
        <v>256</v>
      </c>
    </row>
    <row r="50" spans="3:4" x14ac:dyDescent="0.35">
      <c r="D50" t="s">
        <v>257</v>
      </c>
    </row>
    <row r="51" spans="3:4" x14ac:dyDescent="0.35">
      <c r="D51" t="s">
        <v>258</v>
      </c>
    </row>
    <row r="52" spans="3:4" x14ac:dyDescent="0.35">
      <c r="D52" t="s">
        <v>261</v>
      </c>
    </row>
    <row r="53" spans="3:4" x14ac:dyDescent="0.35">
      <c r="D53" t="s">
        <v>259</v>
      </c>
    </row>
    <row r="54" spans="3:4" x14ac:dyDescent="0.35">
      <c r="D54" t="s">
        <v>260</v>
      </c>
    </row>
    <row r="55" spans="3:4" x14ac:dyDescent="0.35">
      <c r="D55" t="s">
        <v>262</v>
      </c>
    </row>
    <row r="56" spans="3:4" x14ac:dyDescent="0.35">
      <c r="D56" t="s">
        <v>263</v>
      </c>
    </row>
    <row r="57" spans="3:4" x14ac:dyDescent="0.35">
      <c r="D57" t="s">
        <v>264</v>
      </c>
    </row>
    <row r="58" spans="3:4" x14ac:dyDescent="0.35">
      <c r="D58" t="s">
        <v>266</v>
      </c>
    </row>
    <row r="59" spans="3:4" x14ac:dyDescent="0.35">
      <c r="D59" t="s">
        <v>275</v>
      </c>
    </row>
    <row r="60" spans="3:4" x14ac:dyDescent="0.35">
      <c r="C60" t="s">
        <v>191</v>
      </c>
      <c r="D60" t="s">
        <v>267</v>
      </c>
    </row>
    <row r="61" spans="3:4" x14ac:dyDescent="0.35">
      <c r="D61" t="s">
        <v>265</v>
      </c>
    </row>
    <row r="62" spans="3:4" x14ac:dyDescent="0.35">
      <c r="D62" t="s">
        <v>255</v>
      </c>
    </row>
    <row r="63" spans="3:4" x14ac:dyDescent="0.35">
      <c r="D63" t="s">
        <v>268</v>
      </c>
    </row>
    <row r="64" spans="3:4" x14ac:dyDescent="0.35">
      <c r="D64" t="s">
        <v>269</v>
      </c>
    </row>
    <row r="65" spans="3:4" x14ac:dyDescent="0.35">
      <c r="D65" t="s">
        <v>270</v>
      </c>
    </row>
    <row r="66" spans="3:4" x14ac:dyDescent="0.35">
      <c r="D66" t="s">
        <v>271</v>
      </c>
    </row>
    <row r="67" spans="3:4" x14ac:dyDescent="0.35">
      <c r="C67" t="s">
        <v>186</v>
      </c>
      <c r="D67" t="s">
        <v>272</v>
      </c>
    </row>
    <row r="68" spans="3:4" x14ac:dyDescent="0.35">
      <c r="D68" t="s">
        <v>273</v>
      </c>
    </row>
    <row r="69" spans="3:4" x14ac:dyDescent="0.3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8"/>
  <sheetViews>
    <sheetView topLeftCell="A4" workbookViewId="0">
      <selection activeCell="C16" sqref="C16"/>
    </sheetView>
  </sheetViews>
  <sheetFormatPr defaultRowHeight="14.5" x14ac:dyDescent="0.35"/>
  <cols>
    <col min="2" max="2" width="3" bestFit="1" customWidth="1"/>
    <col min="3" max="3" width="167.1796875" customWidth="1"/>
  </cols>
  <sheetData>
    <row r="2" spans="2:3" ht="15" customHeight="1" x14ac:dyDescent="0.35">
      <c r="B2" s="56">
        <v>1</v>
      </c>
      <c r="C2" s="59" t="s">
        <v>281</v>
      </c>
    </row>
    <row r="3" spans="2:3" x14ac:dyDescent="0.35">
      <c r="B3" s="56">
        <v>2</v>
      </c>
      <c r="C3" s="57" t="s">
        <v>282</v>
      </c>
    </row>
    <row r="4" spans="2:3" x14ac:dyDescent="0.35">
      <c r="B4" s="56">
        <v>3</v>
      </c>
      <c r="C4" s="58" t="s">
        <v>283</v>
      </c>
    </row>
    <row r="5" spans="2:3" x14ac:dyDescent="0.35">
      <c r="B5" s="56">
        <v>4</v>
      </c>
      <c r="C5" s="57" t="s">
        <v>284</v>
      </c>
    </row>
    <row r="6" spans="2:3" x14ac:dyDescent="0.35">
      <c r="B6" s="56">
        <v>5</v>
      </c>
      <c r="C6" s="58" t="s">
        <v>285</v>
      </c>
    </row>
    <row r="7" spans="2:3" x14ac:dyDescent="0.35">
      <c r="B7" s="56">
        <v>6</v>
      </c>
      <c r="C7" s="57" t="s">
        <v>286</v>
      </c>
    </row>
    <row r="8" spans="2:3" ht="72.5" x14ac:dyDescent="0.35">
      <c r="B8" s="56">
        <v>7</v>
      </c>
      <c r="C8" s="57" t="s">
        <v>287</v>
      </c>
    </row>
    <row r="9" spans="2:3" x14ac:dyDescent="0.35">
      <c r="B9" s="56">
        <v>8</v>
      </c>
      <c r="C9" s="58" t="s">
        <v>288</v>
      </c>
    </row>
    <row r="10" spans="2:3" x14ac:dyDescent="0.35">
      <c r="B10" s="56">
        <v>9</v>
      </c>
      <c r="C10" s="58" t="s">
        <v>289</v>
      </c>
    </row>
    <row r="11" spans="2:3" x14ac:dyDescent="0.35">
      <c r="B11" s="56">
        <v>10</v>
      </c>
      <c r="C11" s="58" t="s">
        <v>290</v>
      </c>
    </row>
    <row r="12" spans="2:3" x14ac:dyDescent="0.35">
      <c r="B12" s="56">
        <v>11</v>
      </c>
      <c r="C12" s="58" t="s">
        <v>291</v>
      </c>
    </row>
    <row r="13" spans="2:3" x14ac:dyDescent="0.35">
      <c r="B13" s="56">
        <v>12</v>
      </c>
      <c r="C13" s="58" t="s">
        <v>292</v>
      </c>
    </row>
    <row r="14" spans="2:3" x14ac:dyDescent="0.35">
      <c r="B14" s="56">
        <v>13</v>
      </c>
      <c r="C14" s="58" t="s">
        <v>293</v>
      </c>
    </row>
    <row r="15" spans="2:3" x14ac:dyDescent="0.35">
      <c r="B15" s="56">
        <v>14</v>
      </c>
      <c r="C15" s="58" t="s">
        <v>295</v>
      </c>
    </row>
    <row r="16" spans="2:3" x14ac:dyDescent="0.35">
      <c r="B16" s="56">
        <v>15</v>
      </c>
      <c r="C16" s="58" t="s">
        <v>296</v>
      </c>
    </row>
    <row r="17" spans="2:3" x14ac:dyDescent="0.35">
      <c r="B17" s="56">
        <v>16</v>
      </c>
      <c r="C17" s="63" t="s">
        <v>297</v>
      </c>
    </row>
    <row r="18" spans="2:3" x14ac:dyDescent="0.35">
      <c r="B18" s="56">
        <v>15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2025-07-12T13:30:29Z</cp:lastPrinted>
  <dcterms:created xsi:type="dcterms:W3CDTF">2019-07-16T09:29:46Z</dcterms:created>
  <dcterms:modified xsi:type="dcterms:W3CDTF">2025-07-12T13:31:09Z</dcterms:modified>
</cp:coreProperties>
</file>