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09-07-2025\"/>
    </mc:Choice>
  </mc:AlternateContent>
  <bookViews>
    <workbookView xWindow="0" yWindow="0" windowWidth="19200" windowHeight="6640" tabRatio="721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1" i="1" l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G202" i="1"/>
  <c r="D202" i="1"/>
  <c r="F202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G190" i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A176" i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G175" i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G162" i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D151" i="1"/>
  <c r="D150" i="1"/>
  <c r="D149" i="1"/>
  <c r="C131" i="1" l="1"/>
  <c r="C130" i="1"/>
  <c r="G131" i="1"/>
  <c r="E130" i="1"/>
  <c r="E131" i="1"/>
  <c r="C132" i="1"/>
  <c r="C133" i="1" s="1"/>
  <c r="E132" i="1" l="1"/>
  <c r="E133" i="1" s="1"/>
  <c r="E42" i="1"/>
  <c r="E43" i="1" s="1"/>
  <c r="C14" i="1" l="1"/>
  <c r="E29" i="1" l="1"/>
  <c r="F150" i="1" l="1"/>
  <c r="F151" i="1"/>
  <c r="F152" i="1"/>
  <c r="F149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G149" i="1"/>
  <c r="G130" i="1" l="1"/>
  <c r="G132" i="1" s="1"/>
  <c r="G133" i="1" s="1"/>
  <c r="F122" i="1"/>
  <c r="F140" i="1" l="1"/>
  <c r="F141" i="1"/>
  <c r="F142" i="1"/>
  <c r="F139" i="1"/>
  <c r="B215" i="1" l="1"/>
  <c r="B21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6" i="1"/>
  <c r="A140" i="1"/>
  <c r="A141" i="1" s="1"/>
  <c r="A142" i="1" s="1"/>
  <c r="G139" i="1"/>
  <c r="G140" i="1" s="1"/>
  <c r="G141" i="1" s="1"/>
  <c r="G142" i="1" s="1"/>
  <c r="C95" i="1"/>
  <c r="B96" i="1" s="1"/>
  <c r="C81" i="1"/>
  <c r="B82" i="1" s="1"/>
  <c r="C67" i="1"/>
  <c r="B68" i="1" s="1"/>
  <c r="D54" i="1"/>
  <c r="C49" i="1"/>
  <c r="E26" i="1"/>
  <c r="E24" i="1"/>
  <c r="E7" i="1"/>
  <c r="E3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H82" i="1"/>
  <c r="H96" i="1"/>
  <c r="C101" i="1" l="1"/>
  <c r="J95" i="1" s="1"/>
  <c r="J97" i="1" s="1"/>
  <c r="J99" i="1"/>
  <c r="D108" i="1"/>
  <c r="D106" i="1"/>
  <c r="D105" i="1"/>
  <c r="D104" i="1"/>
  <c r="D102" i="1"/>
  <c r="J100" i="1"/>
  <c r="C99" i="1" s="1"/>
  <c r="D99" i="1" s="1"/>
  <c r="D107" i="1"/>
  <c r="J98" i="1"/>
  <c r="J101" i="1"/>
  <c r="J102" i="1" s="1"/>
  <c r="J107" i="1" s="1"/>
  <c r="D103" i="1"/>
  <c r="J85" i="1"/>
  <c r="J86" i="1"/>
  <c r="C85" i="1" s="1"/>
  <c r="D85" i="1" s="1"/>
  <c r="J81" i="1"/>
  <c r="J83" i="1" s="1"/>
  <c r="D88" i="1"/>
  <c r="D89" i="1"/>
  <c r="D91" i="1"/>
  <c r="J87" i="1"/>
  <c r="J88" i="1" s="1"/>
  <c r="J93" i="1" s="1"/>
  <c r="J84" i="1"/>
  <c r="D92" i="1"/>
  <c r="D90" i="1"/>
  <c r="D93" i="1"/>
  <c r="D94" i="1"/>
  <c r="J103" i="1"/>
  <c r="J104" i="1" s="1"/>
  <c r="J105" i="1" s="1"/>
  <c r="J106" i="1" s="1"/>
  <c r="J89" i="1"/>
  <c r="J90" i="1" s="1"/>
  <c r="J91" i="1" s="1"/>
  <c r="J92" i="1" s="1"/>
  <c r="J75" i="1"/>
  <c r="J76" i="1" s="1"/>
  <c r="J77" i="1" s="1"/>
  <c r="J78" i="1" s="1"/>
  <c r="D87" i="1"/>
  <c r="D73" i="1"/>
  <c r="J69" i="1"/>
  <c r="D71" i="1"/>
  <c r="D101" i="1" l="1"/>
  <c r="J108" i="1"/>
  <c r="C100" i="1" s="1"/>
  <c r="E99" i="1" s="1"/>
  <c r="J80" i="1"/>
  <c r="C72" i="1" s="1"/>
  <c r="J94" i="1"/>
  <c r="J96" i="1" l="1"/>
  <c r="G99" i="1"/>
  <c r="D100" i="1"/>
  <c r="I96" i="1" s="1"/>
  <c r="I97" i="1" s="1"/>
  <c r="I95" i="1" s="1"/>
  <c r="C97" i="1" s="1"/>
  <c r="G71" i="1"/>
  <c r="C86" i="1"/>
  <c r="J82" i="1" s="1"/>
  <c r="J68" i="1"/>
  <c r="E71" i="1"/>
  <c r="D72" i="1" l="1"/>
  <c r="I68" i="1" s="1"/>
  <c r="I69" i="1" s="1"/>
  <c r="G85" i="1"/>
  <c r="D65" i="1" s="1"/>
  <c r="D86" i="1"/>
  <c r="I82" i="1" s="1"/>
  <c r="I83" i="1" s="1"/>
  <c r="E85" i="1"/>
  <c r="I67" i="1" l="1"/>
  <c r="C69" i="1" s="1"/>
  <c r="D66" i="1"/>
  <c r="F66" i="1"/>
  <c r="I81" i="1"/>
  <c r="C83" i="1" s="1"/>
</calcChain>
</file>

<file path=xl/sharedStrings.xml><?xml version="1.0" encoding="utf-8"?>
<sst xmlns="http://schemas.openxmlformats.org/spreadsheetml/2006/main" count="402" uniqueCount="229">
  <si>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</si>
  <si>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</si>
  <si>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</si>
  <si>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</si>
  <si>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</si>
  <si>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</si>
  <si>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</si>
  <si>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</si>
  <si>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</si>
  <si>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</si>
  <si>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</si>
  <si>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</si>
  <si>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</si>
  <si>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</si>
  <si>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</si>
  <si>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</si>
  <si>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</si>
  <si>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</si>
  <si>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</si>
  <si>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</si>
  <si>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</si>
  <si>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</si>
  <si>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</si>
  <si>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</si>
  <si>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</si>
  <si>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</si>
  <si>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</si>
  <si>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</si>
  <si>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</si>
  <si>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</si>
  <si>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</si>
  <si>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</si>
  <si>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</si>
  <si>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</si>
  <si>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</si>
  <si>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</si>
  <si>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</si>
  <si>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</si>
  <si>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</si>
  <si>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</si>
  <si>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</si>
  <si>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</si>
  <si>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</si>
  <si>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</si>
  <si>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</si>
  <si>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</si>
  <si>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</si>
  <si>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</si>
  <si>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</si>
  <si>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</si>
  <si>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</si>
  <si>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</si>
  <si>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</si>
  <si>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</si>
  <si>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</si>
  <si>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</si>
  <si>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</si>
  <si>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</si>
  <si>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</si>
  <si>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</si>
  <si>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</si>
  <si>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</si>
  <si>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</si>
  <si>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</si>
  <si>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</si>
  <si>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</si>
  <si>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</si>
  <si>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</si>
  <si>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</si>
  <si>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</si>
  <si>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</si>
  <si>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</si>
  <si>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</si>
  <si>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</si>
  <si>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</si>
  <si>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</si>
  <si>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</si>
  <si>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</si>
  <si>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</si>
  <si>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</si>
  <si>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</si>
  <si>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</si>
  <si>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</si>
  <si>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</si>
  <si>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</si>
  <si>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</si>
  <si>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</si>
  <si>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</si>
  <si>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</si>
  <si>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</si>
  <si>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</si>
  <si>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</si>
  <si>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</si>
  <si>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</si>
  <si>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</si>
  <si>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</si>
  <si>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</si>
  <si>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</si>
  <si>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</si>
  <si>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</si>
  <si>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</si>
  <si>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</si>
  <si>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</si>
  <si>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</si>
  <si>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</si>
  <si>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</si>
  <si>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</si>
  <si>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</si>
  <si>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</si>
  <si>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</si>
  <si>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</si>
  <si>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</si>
  <si>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</si>
  <si>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</si>
  <si>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</si>
  <si>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</si>
  <si>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</si>
  <si>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</si>
  <si>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</si>
  <si>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</si>
  <si>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</si>
  <si>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</si>
  <si>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</si>
  <si>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</si>
  <si>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</si>
  <si>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</si>
  <si>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</si>
  <si>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</si>
  <si>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</si>
  <si>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</si>
  <si>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</si>
  <si>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</si>
  <si>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</si>
  <si>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</si>
  <si>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</si>
  <si>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</si>
  <si>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</si>
  <si>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</si>
  <si>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</si>
  <si>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</si>
  <si>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</si>
  <si>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</si>
  <si>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</si>
  <si>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</si>
  <si>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</si>
  <si>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</si>
  <si>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</si>
  <si>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</si>
  <si>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</si>
  <si>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</si>
  <si>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</si>
  <si>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</si>
  <si>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</si>
  <si>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</si>
  <si>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</si>
  <si>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</si>
  <si>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</si>
  <si>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</si>
  <si>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</si>
  <si>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</si>
  <si>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</si>
  <si>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</si>
  <si>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</si>
  <si>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</si>
  <si>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</si>
  <si>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</si>
  <si>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</si>
  <si>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</si>
  <si>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</si>
  <si>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</si>
  <si>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</si>
  <si>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</si>
  <si>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</si>
  <si>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</si>
  <si>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</si>
  <si>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</si>
  <si>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</si>
  <si>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C Wing = 1B + G + 1st to 20th Floor</t>
  </si>
  <si>
    <t>Axis Badlapur</t>
  </si>
  <si>
    <t>Shree Developers</t>
  </si>
  <si>
    <t>Tulsi Aananta</t>
  </si>
  <si>
    <t xml:space="preserve">Mr. Jetendra Saroj 8857024887
</t>
  </si>
  <si>
    <t>Wing A &amp; B</t>
  </si>
  <si>
    <t>P51700048896</t>
  </si>
  <si>
    <t>Survey No</t>
  </si>
  <si>
    <t>41, H. No. 2/2, S. No. 41, H. No. 3 &amp; S. No. 41, H. No. 4</t>
  </si>
  <si>
    <t>Kharvai</t>
  </si>
  <si>
    <t>Badlapur</t>
  </si>
  <si>
    <t>Ambernath</t>
  </si>
  <si>
    <t>Thane</t>
  </si>
  <si>
    <t>Tulsi Aadvik</t>
  </si>
  <si>
    <t>Tulsi City Rd</t>
  </si>
  <si>
    <t>2.5KM from Badlapur Railway Station</t>
  </si>
  <si>
    <t>Open Plot</t>
  </si>
  <si>
    <t xml:space="preserve">Raj Group Tulsi City Club House
</t>
  </si>
  <si>
    <t>Tulsi Aahan/ Open Plot</t>
  </si>
  <si>
    <t>https://goo.gl/maps/H7nyyJELyKtjaQZk7?coh=178572&amp;entry=tt</t>
  </si>
  <si>
    <t>KBNP/NRV/BP/2096-95</t>
  </si>
  <si>
    <t>Wing A = Stilt + 1st to 11th Floor
Wing B = Stilt + 1st to 14th Floor</t>
  </si>
  <si>
    <t xml:space="preserve">Wing A = Stilt + 1st to 11th Floor
</t>
  </si>
  <si>
    <t>Wing B = Stilt + 1st to 14th Floor</t>
  </si>
  <si>
    <t xml:space="preserve">As per RERA - 31/12/2028
</t>
  </si>
  <si>
    <t xml:space="preserve">Gymnasium, Children's play area, Club House, Branded lift with power back-up, 24 Hours Security, Theme Park , Lift Available, Rain Water Harvesting, Swimming Pool.
</t>
  </si>
  <si>
    <t>Wing A</t>
  </si>
  <si>
    <t>Stilt/Gr Floor For Entrance Lobby, Fitness Center &amp; Parking</t>
  </si>
  <si>
    <t>1st to 7th, 9th &amp; 10th Floor For Residential</t>
  </si>
  <si>
    <t>2BHK</t>
  </si>
  <si>
    <t>1BHK</t>
  </si>
  <si>
    <t>8th Floor (Part Refuge Area)</t>
  </si>
  <si>
    <t>11th Floor</t>
  </si>
  <si>
    <t>Refuge Area</t>
  </si>
  <si>
    <t>Void Area</t>
  </si>
  <si>
    <t>Wing B</t>
  </si>
  <si>
    <t>Stilt/Gr Floor For Entrance Lobby, Driver Room &amp; Parking</t>
  </si>
  <si>
    <t>1st to 7th, 9th to 12th &amp; 14th Floor For Residential</t>
  </si>
  <si>
    <t>8th &amp; 13th Floor (Part Refuge Area)</t>
  </si>
  <si>
    <t>We considered Gross carpet area = Net carpet + Balcony.</t>
  </si>
  <si>
    <t>Flats - 277</t>
  </si>
  <si>
    <t>02 Buildings</t>
  </si>
  <si>
    <t>We have taken CC from RERA site on 11/05/2023.</t>
  </si>
  <si>
    <t xml:space="preserve">Commencement-CC No
Valid Up to: </t>
  </si>
  <si>
    <t xml:space="preserve">Kalyan-Dombivli Municipal Corporation (KDMC)
</t>
  </si>
  <si>
    <t>19.150847,73.249254</t>
  </si>
  <si>
    <t>KBNP/NRV/BP/2096/20220-2021/
Unique No.95</t>
  </si>
  <si>
    <t>Sudhir Bhosale</t>
  </si>
  <si>
    <t>A Wing = Work is not yet started.</t>
  </si>
  <si>
    <t>Approved Plans</t>
  </si>
  <si>
    <t xml:space="preserve">Wing A = Construction work is in process at the time of Visit.(Labour found) (Slow Speed).
Wing B = Finishing work in process. 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</si>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</sst>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347386</xdr:colOff>
      <xdr:row>280</xdr:row>
      <xdr:rowOff>0</xdr:rowOff>
    </xdr:from>
    <xdr:to>
      <xdr:col>6</xdr:col>
      <xdr:colOff>516753</xdr:colOff>
      <xdr:row>315</xdr:row>
      <xdr:rowOff>140295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415" y="54695912"/>
          <a:ext cx="4640514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747591</xdr:colOff>
      <xdr:row>286</xdr:row>
      <xdr:rowOff>100851</xdr:rowOff>
    </xdr:from>
    <xdr:to>
      <xdr:col>4</xdr:col>
      <xdr:colOff>815625</xdr:colOff>
      <xdr:row>296</xdr:row>
      <xdr:rowOff>112056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28473" y="56006998"/>
          <a:ext cx="1995446" cy="2028264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474168</xdr:colOff>
      <xdr:row>301</xdr:row>
      <xdr:rowOff>51545</xdr:rowOff>
    </xdr:from>
    <xdr:to>
      <xdr:col>5</xdr:col>
      <xdr:colOff>64831</xdr:colOff>
      <xdr:row>311</xdr:row>
      <xdr:rowOff>62750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55050" y="58983280"/>
          <a:ext cx="2358516" cy="2028264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235326</xdr:colOff>
      <xdr:row>323</xdr:row>
      <xdr:rowOff>0</xdr:rowOff>
    </xdr:from>
    <xdr:to>
      <xdr:col>6</xdr:col>
      <xdr:colOff>621771</xdr:colOff>
      <xdr:row>340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3355" y="63570971"/>
          <a:ext cx="485759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20007</xdr:colOff>
      <xdr:row>332</xdr:row>
      <xdr:rowOff>190501</xdr:rowOff>
    </xdr:from>
    <xdr:to>
      <xdr:col>5</xdr:col>
      <xdr:colOff>830833</xdr:colOff>
      <xdr:row>337</xdr:row>
      <xdr:rowOff>89649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735527">
          <a:off x="4468742" y="65576825"/>
          <a:ext cx="810826" cy="90767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210507</xdr:colOff>
      <xdr:row>324</xdr:row>
      <xdr:rowOff>22414</xdr:rowOff>
    </xdr:from>
    <xdr:to>
      <xdr:col>7</xdr:col>
      <xdr:colOff>424219</xdr:colOff>
      <xdr:row>328</xdr:row>
      <xdr:rowOff>100855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59242" y="63795090"/>
          <a:ext cx="1894595" cy="885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solidFill>
                <a:srgbClr val="FFFF00"/>
              </a:solidFill>
            </a:rPr>
            <a:t>B Wing</a:t>
          </a:r>
        </a:p>
      </xdr:txBody>
    </xdr:sp>
    <xdr:clientData/>
  </xdr:twoCellAnchor>
  <xdr:twoCellAnchor>
    <xdr:from>
      <xdr:col>5</xdr:col>
      <xdr:colOff>617922</xdr:colOff>
      <xdr:row>325</xdr:row>
      <xdr:rowOff>168090</xdr:rowOff>
    </xdr:from>
    <xdr:to>
      <xdr:col>5</xdr:col>
      <xdr:colOff>819628</xdr:colOff>
      <xdr:row>333</xdr:row>
      <xdr:rowOff>56032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066657" y="64142472"/>
          <a:ext cx="201706" cy="1501589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791931</xdr:colOff>
      <xdr:row>331</xdr:row>
      <xdr:rowOff>141196</xdr:rowOff>
    </xdr:from>
    <xdr:to>
      <xdr:col>4</xdr:col>
      <xdr:colOff>594228</xdr:colOff>
      <xdr:row>336</xdr:row>
      <xdr:rowOff>40344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735527">
          <a:off x="3391696" y="65325814"/>
          <a:ext cx="810826" cy="90767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743108</xdr:colOff>
      <xdr:row>327</xdr:row>
      <xdr:rowOff>29138</xdr:rowOff>
    </xdr:from>
    <xdr:to>
      <xdr:col>4</xdr:col>
      <xdr:colOff>706288</xdr:colOff>
      <xdr:row>331</xdr:row>
      <xdr:rowOff>107579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423990" y="64406932"/>
          <a:ext cx="1890592" cy="885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solidFill>
                <a:srgbClr val="FFFF00"/>
              </a:solidFill>
            </a:rPr>
            <a:t>A Wing</a:t>
          </a:r>
        </a:p>
      </xdr:txBody>
    </xdr:sp>
    <xdr:clientData/>
  </xdr:twoCellAnchor>
  <xdr:twoCellAnchor>
    <xdr:from>
      <xdr:col>3</xdr:col>
      <xdr:colOff>549885</xdr:colOff>
      <xdr:row>329</xdr:row>
      <xdr:rowOff>123266</xdr:rowOff>
    </xdr:from>
    <xdr:to>
      <xdr:col>3</xdr:col>
      <xdr:colOff>897267</xdr:colOff>
      <xdr:row>332</xdr:row>
      <xdr:rowOff>78442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149650" y="64904472"/>
          <a:ext cx="347382" cy="560294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78445</xdr:colOff>
      <xdr:row>341</xdr:row>
      <xdr:rowOff>112058</xdr:rowOff>
    </xdr:from>
    <xdr:to>
      <xdr:col>6</xdr:col>
      <xdr:colOff>758518</xdr:colOff>
      <xdr:row>355</xdr:row>
      <xdr:rowOff>168175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74" y="67313734"/>
          <a:ext cx="515122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916173</xdr:colOff>
      <xdr:row>287</xdr:row>
      <xdr:rowOff>78442</xdr:rowOff>
    </xdr:from>
    <xdr:to>
      <xdr:col>5</xdr:col>
      <xdr:colOff>38912</xdr:colOff>
      <xdr:row>291</xdr:row>
      <xdr:rowOff>156884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597055" y="56186295"/>
          <a:ext cx="1890592" cy="885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solidFill>
                <a:srgbClr val="7030A0"/>
              </a:solidFill>
            </a:rPr>
            <a:t>B Wing</a:t>
          </a:r>
        </a:p>
      </xdr:txBody>
    </xdr:sp>
    <xdr:clientData/>
  </xdr:twoCellAnchor>
  <xdr:twoCellAnchor>
    <xdr:from>
      <xdr:col>3</xdr:col>
      <xdr:colOff>291364</xdr:colOff>
      <xdr:row>302</xdr:row>
      <xdr:rowOff>29137</xdr:rowOff>
    </xdr:from>
    <xdr:to>
      <xdr:col>5</xdr:col>
      <xdr:colOff>336987</xdr:colOff>
      <xdr:row>306</xdr:row>
      <xdr:rowOff>107578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91129" y="59162578"/>
          <a:ext cx="1894593" cy="885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solidFill>
                <a:srgbClr val="7030A0"/>
              </a:solidFill>
            </a:rPr>
            <a:t>A Wing</a:t>
          </a:r>
        </a:p>
      </xdr:txBody>
    </xdr:sp>
    <xdr:clientData/>
  </xdr:twoCellAnchor>
  <xdr:twoCellAnchor>
    <xdr:from>
      <xdr:col>8</xdr:col>
      <xdr:colOff>438150</xdr:colOff>
      <xdr:row>239</xdr:row>
      <xdr:rowOff>142875</xdr:rowOff>
    </xdr:from>
    <xdr:to>
      <xdr:col>10</xdr:col>
      <xdr:colOff>238125</xdr:colOff>
      <xdr:row>242</xdr:row>
      <xdr:rowOff>152400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962775" y="43910250"/>
          <a:ext cx="1724025" cy="609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8</xdr:col>
      <xdr:colOff>511175</xdr:colOff>
      <xdr:row>236</xdr:row>
      <xdr:rowOff>15875</xdr:rowOff>
    </xdr:from>
    <xdr:to>
      <xdr:col>16</xdr:col>
      <xdr:colOff>274671</xdr:colOff>
      <xdr:row>277</xdr:row>
      <xdr:rowOff>85725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7356475" y="42598975"/>
          <a:ext cx="6462746" cy="8134350"/>
          <a:chOff x="177800" y="42424350"/>
          <a:chExt cx="6443696" cy="8134350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4397" y="49212738"/>
            <a:ext cx="1917334" cy="13459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3746" y="42424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5902" y="4468714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5902" y="46956292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3791" y="4468714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1680" y="46956292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2419" y="46956292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424243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9898" y="42424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1680" y="4468714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94074" y="49212738"/>
            <a:ext cx="1917334" cy="134596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146050</xdr:colOff>
      <xdr:row>236</xdr:row>
      <xdr:rowOff>82550</xdr:rowOff>
    </xdr:from>
    <xdr:to>
      <xdr:col>7</xdr:col>
      <xdr:colOff>730981</xdr:colOff>
      <xdr:row>272</xdr:row>
      <xdr:rowOff>56484</xdr:rowOff>
    </xdr:to>
    <xdr:grpSp>
      <xdr:nvGrpSpPr>
        <xdr:cNvPr id="17" name="Group 16"/>
        <xdr:cNvGrpSpPr/>
      </xdr:nvGrpSpPr>
      <xdr:grpSpPr>
        <a:xfrm>
          <a:off x="146050" y="42665650"/>
          <a:ext cx="6560281" cy="7054184"/>
          <a:chOff x="146050" y="42665650"/>
          <a:chExt cx="6560281" cy="7054184"/>
        </a:xfrm>
      </xdr:grpSpPr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64615" y="47667834"/>
            <a:ext cx="2722119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2378" y="426656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45508742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8379" y="45508742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0708" y="45508742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628" y="426656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8003" y="426656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8717" y="47667834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63037" y="45508742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7nyyJELyKtjaQZk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48" t="s">
        <v>172</v>
      </c>
      <c r="B1" s="148"/>
      <c r="C1" s="148"/>
      <c r="D1" s="148"/>
      <c r="E1" s="148"/>
      <c r="F1" s="148"/>
      <c r="G1" s="148"/>
      <c r="H1" s="148"/>
    </row>
    <row r="2" spans="1:8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35">
      <c r="A3" s="107" t="s">
        <v>1</v>
      </c>
      <c r="B3" s="107"/>
      <c r="C3" s="107"/>
      <c r="D3" s="107"/>
      <c r="E3" s="107" t="str">
        <f ca="1">TEXT(TODAY(),"DD/MM/YYYY")</f>
        <v>09/07/2025</v>
      </c>
      <c r="F3" s="107"/>
      <c r="G3" s="107"/>
      <c r="H3" s="107"/>
    </row>
    <row r="4" spans="1:8" ht="15" customHeight="1" x14ac:dyDescent="0.35">
      <c r="A4" s="107" t="s">
        <v>2</v>
      </c>
      <c r="B4" s="107"/>
      <c r="C4" s="107"/>
      <c r="D4" s="107"/>
      <c r="E4" s="107" t="s">
        <v>178</v>
      </c>
      <c r="F4" s="107"/>
      <c r="G4" s="107"/>
      <c r="H4" s="107"/>
    </row>
    <row r="5" spans="1:8" x14ac:dyDescent="0.35">
      <c r="A5" s="107" t="s">
        <v>3</v>
      </c>
      <c r="B5" s="107"/>
      <c r="C5" s="107"/>
      <c r="D5" s="107"/>
      <c r="E5" s="149">
        <v>45846</v>
      </c>
      <c r="F5" s="107"/>
      <c r="G5" s="107"/>
      <c r="H5" s="107"/>
    </row>
    <row r="6" spans="1:8" ht="16.5" customHeight="1" x14ac:dyDescent="0.35">
      <c r="A6" s="107" t="s">
        <v>4</v>
      </c>
      <c r="B6" s="107"/>
      <c r="C6" s="107"/>
      <c r="D6" s="107"/>
      <c r="E6" s="107" t="s">
        <v>179</v>
      </c>
      <c r="F6" s="107"/>
      <c r="G6" s="107"/>
      <c r="H6" s="107"/>
    </row>
    <row r="7" spans="1:8" ht="15" customHeight="1" x14ac:dyDescent="0.35">
      <c r="A7" s="107" t="s">
        <v>5</v>
      </c>
      <c r="B7" s="107"/>
      <c r="C7" s="107"/>
      <c r="D7" s="107"/>
      <c r="E7" s="107" t="str">
        <f>E6</f>
        <v>Shree Developers</v>
      </c>
      <c r="F7" s="107"/>
      <c r="G7" s="107"/>
      <c r="H7" s="107"/>
    </row>
    <row r="8" spans="1:8" x14ac:dyDescent="0.35">
      <c r="A8" s="107" t="s">
        <v>6</v>
      </c>
      <c r="B8" s="107"/>
      <c r="C8" s="107"/>
      <c r="D8" s="107"/>
      <c r="E8" s="142" t="s">
        <v>180</v>
      </c>
      <c r="F8" s="142"/>
      <c r="G8" s="142"/>
      <c r="H8" s="142"/>
    </row>
    <row r="9" spans="1:8" x14ac:dyDescent="0.35">
      <c r="A9" s="107" t="s">
        <v>175</v>
      </c>
      <c r="B9" s="107"/>
      <c r="C9" s="107"/>
      <c r="D9" s="107"/>
      <c r="E9" s="106" t="s">
        <v>181</v>
      </c>
      <c r="F9" s="107"/>
      <c r="G9" s="107"/>
      <c r="H9" s="107"/>
    </row>
    <row r="10" spans="1:8" x14ac:dyDescent="0.35">
      <c r="A10" s="107" t="s">
        <v>176</v>
      </c>
      <c r="B10" s="107"/>
      <c r="C10" s="107"/>
      <c r="D10" s="107"/>
      <c r="E10" s="107" t="s">
        <v>30</v>
      </c>
      <c r="F10" s="107"/>
      <c r="G10" s="107"/>
      <c r="H10" s="107"/>
    </row>
    <row r="11" spans="1:8" x14ac:dyDescent="0.35">
      <c r="A11" s="107" t="s">
        <v>7</v>
      </c>
      <c r="B11" s="107"/>
      <c r="C11" s="107"/>
      <c r="D11" s="107"/>
      <c r="E11" s="107" t="s">
        <v>182</v>
      </c>
      <c r="F11" s="107"/>
      <c r="G11" s="107"/>
      <c r="H11" s="107"/>
    </row>
    <row r="12" spans="1:8" x14ac:dyDescent="0.35">
      <c r="A12" s="100" t="s">
        <v>8</v>
      </c>
      <c r="B12" s="100"/>
      <c r="C12" s="100"/>
      <c r="D12" s="100"/>
      <c r="E12" s="99" t="s">
        <v>226</v>
      </c>
      <c r="F12" s="99"/>
      <c r="G12" s="99"/>
      <c r="H12" s="99"/>
    </row>
    <row r="13" spans="1:8" x14ac:dyDescent="0.35">
      <c r="A13" s="100" t="s">
        <v>9</v>
      </c>
      <c r="B13" s="100"/>
      <c r="C13" s="100"/>
      <c r="D13" s="100"/>
      <c r="E13" s="99" t="s">
        <v>183</v>
      </c>
      <c r="F13" s="100"/>
      <c r="G13" s="100"/>
      <c r="H13" s="100"/>
    </row>
    <row r="14" spans="1:8" ht="48.75" customHeight="1" x14ac:dyDescent="0.35">
      <c r="A14" s="99" t="s">
        <v>10</v>
      </c>
      <c r="B14" s="99"/>
      <c r="C14" s="9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Tulsi Aananta, Survey No.41, H. No. 2/2, S. No. 41, H. No. 3 &amp; S. No. 41, H. No. 4, near Tulsi Aadvik, Tulsi City Rd, Kharvai, Badlapur, Badlapur, Ambernath, Thane - 421503.</v>
      </c>
      <c r="D14" s="99"/>
      <c r="E14" s="99"/>
      <c r="F14" s="99"/>
      <c r="G14" s="99"/>
      <c r="H14" s="99"/>
    </row>
    <row r="15" spans="1:8" x14ac:dyDescent="0.35">
      <c r="A15" s="99" t="s">
        <v>184</v>
      </c>
      <c r="B15" s="99"/>
      <c r="C15" s="99" t="s">
        <v>185</v>
      </c>
      <c r="D15" s="99"/>
      <c r="E15" s="99"/>
      <c r="F15" s="99"/>
      <c r="G15" s="99"/>
      <c r="H15" s="99"/>
    </row>
    <row r="16" spans="1:8" ht="15.75" customHeight="1" x14ac:dyDescent="0.35">
      <c r="A16" s="99" t="s">
        <v>170</v>
      </c>
      <c r="B16" s="99"/>
      <c r="C16" s="99" t="s">
        <v>186</v>
      </c>
      <c r="D16" s="99"/>
      <c r="E16" s="99"/>
      <c r="F16" s="99"/>
      <c r="G16" s="99"/>
      <c r="H16" s="99"/>
    </row>
    <row r="17" spans="1:8" ht="15.75" customHeight="1" x14ac:dyDescent="0.35">
      <c r="A17" s="99" t="s">
        <v>11</v>
      </c>
      <c r="B17" s="99"/>
      <c r="C17" s="100" t="s">
        <v>191</v>
      </c>
      <c r="D17" s="100"/>
      <c r="E17" s="99" t="s">
        <v>75</v>
      </c>
      <c r="F17" s="99"/>
      <c r="G17" s="99" t="s">
        <v>187</v>
      </c>
      <c r="H17" s="99"/>
    </row>
    <row r="18" spans="1:8" x14ac:dyDescent="0.35">
      <c r="A18" s="100" t="s">
        <v>13</v>
      </c>
      <c r="B18" s="100"/>
      <c r="C18" s="99" t="s">
        <v>187</v>
      </c>
      <c r="D18" s="99"/>
      <c r="E18" s="99" t="s">
        <v>12</v>
      </c>
      <c r="F18" s="99"/>
      <c r="G18" s="152" t="s">
        <v>189</v>
      </c>
      <c r="H18" s="152"/>
    </row>
    <row r="19" spans="1:8" x14ac:dyDescent="0.35">
      <c r="A19" s="100" t="s">
        <v>76</v>
      </c>
      <c r="B19" s="100"/>
      <c r="C19" s="99" t="s">
        <v>188</v>
      </c>
      <c r="D19" s="99"/>
      <c r="E19" s="99" t="s">
        <v>14</v>
      </c>
      <c r="F19" s="99"/>
      <c r="G19" s="99">
        <v>421503</v>
      </c>
      <c r="H19" s="99"/>
    </row>
    <row r="20" spans="1:8" ht="32.25" customHeight="1" x14ac:dyDescent="0.35">
      <c r="A20" s="100" t="s">
        <v>128</v>
      </c>
      <c r="B20" s="100"/>
      <c r="C20" s="99" t="s">
        <v>190</v>
      </c>
      <c r="D20" s="99"/>
      <c r="E20" s="99" t="s">
        <v>15</v>
      </c>
      <c r="F20" s="99"/>
      <c r="G20" s="99" t="s">
        <v>192</v>
      </c>
      <c r="H20" s="99"/>
    </row>
    <row r="21" spans="1:8" ht="15" customHeight="1" x14ac:dyDescent="0.35">
      <c r="A21" s="99" t="s">
        <v>79</v>
      </c>
      <c r="B21" s="99"/>
      <c r="C21" s="99"/>
      <c r="D21" s="99"/>
      <c r="E21" s="100" t="s">
        <v>16</v>
      </c>
      <c r="F21" s="100"/>
      <c r="G21" s="100"/>
      <c r="H21" s="100"/>
    </row>
    <row r="22" spans="1:8" ht="18.75" customHeight="1" x14ac:dyDescent="0.35">
      <c r="A22" s="99"/>
      <c r="B22" s="99"/>
      <c r="C22" s="99"/>
      <c r="D22" s="99"/>
      <c r="E22" s="100"/>
      <c r="F22" s="100"/>
      <c r="G22" s="100"/>
      <c r="H22" s="100"/>
    </row>
    <row r="23" spans="1:8" ht="15" customHeight="1" x14ac:dyDescent="0.35">
      <c r="A23" s="105" t="s">
        <v>17</v>
      </c>
      <c r="B23" s="105"/>
      <c r="C23" s="105"/>
      <c r="D23" s="105"/>
      <c r="E23" s="106" t="s">
        <v>18</v>
      </c>
      <c r="F23" s="106"/>
      <c r="G23" s="106"/>
      <c r="H23" s="106"/>
    </row>
    <row r="24" spans="1:8" ht="15" customHeight="1" x14ac:dyDescent="0.35">
      <c r="A24" s="75" t="s">
        <v>19</v>
      </c>
      <c r="B24" s="75"/>
      <c r="C24" s="75"/>
      <c r="D24" s="75"/>
      <c r="E24" s="106" t="str">
        <f>IF(AND(G18="Mumbai"),"Upper Class","Middle Class")</f>
        <v>Middle Class</v>
      </c>
      <c r="F24" s="106"/>
      <c r="G24" s="106"/>
      <c r="H24" s="106"/>
    </row>
    <row r="25" spans="1:8" x14ac:dyDescent="0.35">
      <c r="A25" s="75" t="s">
        <v>20</v>
      </c>
      <c r="B25" s="75"/>
      <c r="C25" s="75"/>
      <c r="D25" s="75"/>
      <c r="E25" s="106" t="s">
        <v>21</v>
      </c>
      <c r="F25" s="106"/>
      <c r="G25" s="106"/>
      <c r="H25" s="106"/>
    </row>
    <row r="26" spans="1:8" ht="15.75" customHeight="1" x14ac:dyDescent="0.35">
      <c r="A26" s="75" t="s">
        <v>22</v>
      </c>
      <c r="B26" s="75"/>
      <c r="C26" s="75"/>
      <c r="D26" s="75"/>
      <c r="E26" s="106" t="str">
        <f>IF(AND(G18="Mumbai"),"Developed","Developing")</f>
        <v>Developing</v>
      </c>
      <c r="F26" s="106"/>
      <c r="G26" s="106"/>
      <c r="H26" s="106"/>
    </row>
    <row r="27" spans="1:8" x14ac:dyDescent="0.35">
      <c r="A27" s="75" t="s">
        <v>23</v>
      </c>
      <c r="B27" s="75"/>
      <c r="C27" s="75"/>
      <c r="D27" s="75"/>
      <c r="E27" s="106" t="s">
        <v>24</v>
      </c>
      <c r="F27" s="106"/>
      <c r="G27" s="106"/>
      <c r="H27" s="106"/>
    </row>
    <row r="28" spans="1:8" ht="15.75" customHeight="1" x14ac:dyDescent="0.35">
      <c r="A28" s="75" t="s">
        <v>84</v>
      </c>
      <c r="B28" s="75"/>
      <c r="C28" s="75"/>
      <c r="D28" s="75"/>
      <c r="E28" s="106" t="s">
        <v>85</v>
      </c>
      <c r="F28" s="106"/>
      <c r="G28" s="106"/>
      <c r="H28" s="106"/>
    </row>
    <row r="29" spans="1:8" ht="15" customHeight="1" x14ac:dyDescent="0.35">
      <c r="A29" s="75" t="s">
        <v>33</v>
      </c>
      <c r="B29" s="75"/>
      <c r="C29" s="75"/>
      <c r="D29" s="75"/>
      <c r="E29" s="10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06"/>
      <c r="G29" s="106"/>
      <c r="H29" s="106"/>
    </row>
    <row r="30" spans="1:8" ht="15.75" customHeight="1" x14ac:dyDescent="0.35">
      <c r="A30" s="75" t="s">
        <v>96</v>
      </c>
      <c r="B30" s="75"/>
      <c r="C30" s="75"/>
      <c r="D30" s="75"/>
      <c r="E30" s="106" t="s">
        <v>34</v>
      </c>
      <c r="F30" s="106"/>
      <c r="G30" s="106"/>
      <c r="H30" s="106"/>
    </row>
    <row r="31" spans="1:8" s="22" customFormat="1" x14ac:dyDescent="0.35">
      <c r="A31" s="154" t="s">
        <v>97</v>
      </c>
      <c r="B31" s="154"/>
      <c r="C31" s="153" t="s">
        <v>29</v>
      </c>
      <c r="D31" s="153"/>
      <c r="E31" s="153"/>
      <c r="F31" s="153" t="s">
        <v>31</v>
      </c>
      <c r="G31" s="153"/>
      <c r="H31" s="153"/>
    </row>
    <row r="32" spans="1:8" s="22" customFormat="1" x14ac:dyDescent="0.35">
      <c r="A32" s="150" t="s">
        <v>25</v>
      </c>
      <c r="B32" s="150" t="s">
        <v>30</v>
      </c>
      <c r="C32" s="151" t="s">
        <v>30</v>
      </c>
      <c r="D32" s="151"/>
      <c r="E32" s="151"/>
      <c r="F32" s="151" t="s">
        <v>193</v>
      </c>
      <c r="G32" s="151"/>
      <c r="H32" s="151"/>
    </row>
    <row r="33" spans="1:8" x14ac:dyDescent="0.35">
      <c r="A33" s="150" t="s">
        <v>26</v>
      </c>
      <c r="B33" s="150" t="s">
        <v>30</v>
      </c>
      <c r="C33" s="151" t="s">
        <v>30</v>
      </c>
      <c r="D33" s="151"/>
      <c r="E33" s="151"/>
      <c r="F33" s="162" t="s">
        <v>194</v>
      </c>
      <c r="G33" s="151"/>
      <c r="H33" s="151"/>
    </row>
    <row r="34" spans="1:8" s="22" customFormat="1" x14ac:dyDescent="0.35">
      <c r="A34" s="150" t="s">
        <v>28</v>
      </c>
      <c r="B34" s="150" t="s">
        <v>30</v>
      </c>
      <c r="C34" s="151" t="s">
        <v>30</v>
      </c>
      <c r="D34" s="151"/>
      <c r="E34" s="151"/>
      <c r="F34" s="151" t="s">
        <v>190</v>
      </c>
      <c r="G34" s="151"/>
      <c r="H34" s="151"/>
    </row>
    <row r="35" spans="1:8" x14ac:dyDescent="0.35">
      <c r="A35" s="150" t="s">
        <v>27</v>
      </c>
      <c r="B35" s="150" t="s">
        <v>30</v>
      </c>
      <c r="C35" s="151" t="s">
        <v>30</v>
      </c>
      <c r="D35" s="151"/>
      <c r="E35" s="151"/>
      <c r="F35" s="151" t="s">
        <v>195</v>
      </c>
      <c r="G35" s="151"/>
      <c r="H35" s="151"/>
    </row>
    <row r="36" spans="1:8" x14ac:dyDescent="0.35">
      <c r="A36" s="75" t="s">
        <v>32</v>
      </c>
      <c r="B36" s="75"/>
      <c r="C36" s="75"/>
      <c r="D36" s="75"/>
      <c r="E36" s="75"/>
      <c r="F36" s="75"/>
      <c r="G36" s="75"/>
      <c r="H36" s="75"/>
    </row>
    <row r="37" spans="1:8" ht="15.75" customHeight="1" x14ac:dyDescent="0.35">
      <c r="A37" s="75" t="s">
        <v>173</v>
      </c>
      <c r="B37" s="75"/>
      <c r="C37" s="133" t="s">
        <v>222</v>
      </c>
      <c r="D37" s="133"/>
      <c r="E37" s="133"/>
      <c r="F37" s="133"/>
      <c r="G37" s="133"/>
      <c r="H37" s="133"/>
    </row>
    <row r="38" spans="1:8" x14ac:dyDescent="0.35">
      <c r="A38" s="75" t="s">
        <v>169</v>
      </c>
      <c r="B38" s="75"/>
      <c r="C38" s="178" t="s">
        <v>196</v>
      </c>
      <c r="D38" s="106"/>
      <c r="E38" s="106"/>
      <c r="F38" s="106"/>
      <c r="G38" s="106"/>
      <c r="H38" s="106"/>
    </row>
    <row r="39" spans="1:8" x14ac:dyDescent="0.35">
      <c r="A39" s="133" t="s">
        <v>35</v>
      </c>
      <c r="B39" s="133"/>
      <c r="C39" s="133"/>
      <c r="D39" s="133"/>
      <c r="E39" s="133"/>
      <c r="F39" s="133"/>
      <c r="G39" s="133"/>
      <c r="H39" s="133"/>
    </row>
    <row r="40" spans="1:8" x14ac:dyDescent="0.35">
      <c r="A40" s="75" t="s">
        <v>36</v>
      </c>
      <c r="B40" s="75"/>
      <c r="C40" s="75"/>
      <c r="D40" s="75"/>
      <c r="E40" s="161">
        <v>5928.5</v>
      </c>
      <c r="F40" s="161"/>
      <c r="G40" s="161"/>
      <c r="H40" s="161"/>
    </row>
    <row r="41" spans="1:8" x14ac:dyDescent="0.35">
      <c r="A41" s="75" t="s">
        <v>37</v>
      </c>
      <c r="B41" s="75"/>
      <c r="C41" s="75"/>
      <c r="D41" s="75"/>
      <c r="E41" s="74">
        <v>1.1000000000000001</v>
      </c>
      <c r="F41" s="74"/>
      <c r="G41" s="74"/>
      <c r="H41" s="74"/>
    </row>
    <row r="42" spans="1:8" x14ac:dyDescent="0.35">
      <c r="A42" s="75" t="s">
        <v>38</v>
      </c>
      <c r="B42" s="75"/>
      <c r="C42" s="75"/>
      <c r="D42" s="75"/>
      <c r="E42" s="74">
        <f>E44/E40-E41</f>
        <v>1.6189761322425573</v>
      </c>
      <c r="F42" s="74"/>
      <c r="G42" s="74"/>
      <c r="H42" s="74"/>
    </row>
    <row r="43" spans="1:8" x14ac:dyDescent="0.35">
      <c r="A43" s="75" t="s">
        <v>39</v>
      </c>
      <c r="B43" s="75"/>
      <c r="C43" s="75"/>
      <c r="D43" s="75"/>
      <c r="E43" s="74">
        <f>E41+E42</f>
        <v>2.7189761322425574</v>
      </c>
      <c r="F43" s="74"/>
      <c r="G43" s="74"/>
      <c r="H43" s="74"/>
    </row>
    <row r="44" spans="1:8" x14ac:dyDescent="0.35">
      <c r="A44" s="75" t="s">
        <v>95</v>
      </c>
      <c r="B44" s="75"/>
      <c r="C44" s="75"/>
      <c r="D44" s="75"/>
      <c r="E44" s="167">
        <v>16119.45</v>
      </c>
      <c r="F44" s="167"/>
      <c r="G44" s="167"/>
      <c r="H44" s="167"/>
    </row>
    <row r="45" spans="1:8" x14ac:dyDescent="0.35">
      <c r="A45" s="107" t="s">
        <v>40</v>
      </c>
      <c r="B45" s="107"/>
      <c r="C45" s="107"/>
      <c r="D45" s="107"/>
      <c r="E45" s="100" t="s">
        <v>218</v>
      </c>
      <c r="F45" s="100"/>
      <c r="G45" s="100"/>
      <c r="H45" s="100"/>
    </row>
    <row r="46" spans="1:8" x14ac:dyDescent="0.35">
      <c r="A46" s="133" t="s">
        <v>41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5">
      <c r="A47" s="89" t="s">
        <v>157</v>
      </c>
      <c r="B47" s="90"/>
      <c r="C47" s="179" t="s">
        <v>221</v>
      </c>
      <c r="D47" s="180"/>
      <c r="E47" s="180"/>
      <c r="F47" s="180"/>
      <c r="G47" s="180"/>
      <c r="H47" s="181"/>
    </row>
    <row r="48" spans="1:8" ht="15.75" customHeight="1" x14ac:dyDescent="0.35">
      <c r="A48" s="89" t="s">
        <v>42</v>
      </c>
      <c r="B48" s="90"/>
      <c r="C48" s="89" t="s">
        <v>197</v>
      </c>
      <c r="D48" s="91"/>
      <c r="E48" s="90"/>
      <c r="F48" s="18" t="s">
        <v>43</v>
      </c>
      <c r="G48" s="92">
        <v>44263</v>
      </c>
      <c r="H48" s="90"/>
    </row>
    <row r="49" spans="1:14" x14ac:dyDescent="0.35">
      <c r="A49" s="89" t="s">
        <v>44</v>
      </c>
      <c r="B49" s="90"/>
      <c r="C49" s="89" t="str">
        <f>C48</f>
        <v>KBNP/NRV/BP/2096-95</v>
      </c>
      <c r="D49" s="91"/>
      <c r="E49" s="90"/>
      <c r="F49" s="18" t="s">
        <v>43</v>
      </c>
      <c r="G49" s="92">
        <v>44263</v>
      </c>
      <c r="H49" s="90"/>
    </row>
    <row r="50" spans="1:14" s="23" customFormat="1" ht="32.25" customHeight="1" x14ac:dyDescent="0.35">
      <c r="A50" s="137" t="s">
        <v>220</v>
      </c>
      <c r="B50" s="138"/>
      <c r="C50" s="89" t="s">
        <v>223</v>
      </c>
      <c r="D50" s="91"/>
      <c r="E50" s="90"/>
      <c r="F50" s="18" t="s">
        <v>43</v>
      </c>
      <c r="G50" s="92">
        <v>44263</v>
      </c>
      <c r="H50" s="90"/>
    </row>
    <row r="51" spans="1:14" s="23" customFormat="1" ht="31.5" customHeight="1" x14ac:dyDescent="0.35">
      <c r="A51" s="139"/>
      <c r="B51" s="140"/>
      <c r="C51" s="89" t="s">
        <v>198</v>
      </c>
      <c r="D51" s="91"/>
      <c r="E51" s="91"/>
      <c r="F51" s="91"/>
      <c r="G51" s="91"/>
      <c r="H51" s="90"/>
    </row>
    <row r="52" spans="1:14" x14ac:dyDescent="0.35">
      <c r="A52" s="101" t="s">
        <v>45</v>
      </c>
      <c r="B52" s="102"/>
      <c r="C52" s="101" t="s">
        <v>109</v>
      </c>
      <c r="D52" s="103"/>
      <c r="E52" s="102"/>
      <c r="F52" s="45" t="s">
        <v>43</v>
      </c>
      <c r="G52" s="108" t="s">
        <v>30</v>
      </c>
      <c r="H52" s="109"/>
    </row>
    <row r="53" spans="1:14" x14ac:dyDescent="0.35">
      <c r="A53" s="104" t="s">
        <v>47</v>
      </c>
      <c r="B53" s="104"/>
      <c r="C53" s="104"/>
      <c r="D53" s="104"/>
      <c r="E53" s="104"/>
      <c r="F53" s="104"/>
      <c r="G53" s="104"/>
      <c r="H53" s="104"/>
    </row>
    <row r="54" spans="1:14" x14ac:dyDescent="0.35">
      <c r="A54" s="105" t="s">
        <v>94</v>
      </c>
      <c r="B54" s="105"/>
      <c r="C54" s="105"/>
      <c r="D54" s="75">
        <f>E44</f>
        <v>16119.45</v>
      </c>
      <c r="E54" s="75"/>
      <c r="F54" s="75"/>
      <c r="G54" s="75"/>
      <c r="H54" s="75"/>
    </row>
    <row r="55" spans="1:14" x14ac:dyDescent="0.35">
      <c r="A55" s="106" t="s">
        <v>48</v>
      </c>
      <c r="B55" s="107"/>
      <c r="C55" s="107"/>
      <c r="D55" s="100" t="s">
        <v>217</v>
      </c>
      <c r="E55" s="100"/>
      <c r="F55" s="100"/>
      <c r="G55" s="100"/>
      <c r="H55" s="100"/>
      <c r="I55" s="24"/>
    </row>
    <row r="56" spans="1:14" ht="33" customHeight="1" x14ac:dyDescent="0.35">
      <c r="A56" s="93" t="s">
        <v>49</v>
      </c>
      <c r="B56" s="94"/>
      <c r="C56" s="136"/>
      <c r="D56" s="134" t="s">
        <v>198</v>
      </c>
      <c r="E56" s="135"/>
      <c r="F56" s="135"/>
      <c r="G56" s="135"/>
      <c r="H56" s="135"/>
    </row>
    <row r="57" spans="1:14" x14ac:dyDescent="0.35">
      <c r="A57" s="93" t="s">
        <v>92</v>
      </c>
      <c r="B57" s="94"/>
      <c r="C57" s="94"/>
      <c r="D57" s="99" t="s">
        <v>199</v>
      </c>
      <c r="E57" s="100"/>
      <c r="F57" s="100"/>
      <c r="G57" s="100"/>
      <c r="H57" s="100"/>
    </row>
    <row r="58" spans="1:14" ht="15.75" customHeight="1" x14ac:dyDescent="0.35">
      <c r="A58" s="95"/>
      <c r="B58" s="96"/>
      <c r="C58" s="96"/>
      <c r="D58" s="100" t="s">
        <v>200</v>
      </c>
      <c r="E58" s="100"/>
      <c r="F58" s="100"/>
      <c r="G58" s="100"/>
      <c r="H58" s="100"/>
    </row>
    <row r="59" spans="1:14" ht="15.75" hidden="1" customHeight="1" x14ac:dyDescent="0.35">
      <c r="A59" s="97"/>
      <c r="B59" s="98"/>
      <c r="C59" s="98"/>
      <c r="D59" s="110" t="s">
        <v>177</v>
      </c>
      <c r="E59" s="110"/>
      <c r="F59" s="110"/>
      <c r="G59" s="110"/>
      <c r="H59" s="110"/>
    </row>
    <row r="60" spans="1:14" ht="15.75" customHeight="1" x14ac:dyDescent="0.35">
      <c r="A60" s="75" t="s">
        <v>46</v>
      </c>
      <c r="B60" s="75"/>
      <c r="C60" s="75"/>
      <c r="D60" s="105" t="s">
        <v>201</v>
      </c>
      <c r="E60" s="105"/>
      <c r="F60" s="105"/>
      <c r="G60" s="105"/>
      <c r="H60" s="105"/>
      <c r="J60" s="25"/>
      <c r="K60" s="24"/>
      <c r="N60" s="24"/>
    </row>
    <row r="61" spans="1:14" ht="15.75" customHeight="1" x14ac:dyDescent="0.35">
      <c r="A61" s="75" t="s">
        <v>90</v>
      </c>
      <c r="B61" s="75"/>
      <c r="C61" s="75"/>
      <c r="D61" s="166" t="str">
        <f>(IF(G52="NA","60 Years After Completion",IF(G52&lt;&gt;"NA",""&amp;60-ROUNDDOWN((E3-G52)/360,0)&amp;" Years"," ")))</f>
        <v>60 Years After Completion</v>
      </c>
      <c r="E61" s="166"/>
      <c r="F61" s="166"/>
      <c r="G61" s="166"/>
      <c r="H61" s="166"/>
      <c r="N61" s="24"/>
    </row>
    <row r="62" spans="1:14" ht="15.75" customHeight="1" x14ac:dyDescent="0.35">
      <c r="A62" s="75" t="s">
        <v>91</v>
      </c>
      <c r="B62" s="75"/>
      <c r="C62" s="75"/>
      <c r="D62" s="105" t="s">
        <v>24</v>
      </c>
      <c r="E62" s="105"/>
      <c r="F62" s="105"/>
      <c r="G62" s="105"/>
      <c r="H62" s="105"/>
      <c r="J62" s="26"/>
      <c r="K62" s="26"/>
    </row>
    <row r="63" spans="1:14" ht="47.25" customHeight="1" x14ac:dyDescent="0.35">
      <c r="A63" s="75" t="s">
        <v>77</v>
      </c>
      <c r="B63" s="75"/>
      <c r="C63" s="75"/>
      <c r="D63" s="106" t="s">
        <v>202</v>
      </c>
      <c r="E63" s="105"/>
      <c r="F63" s="105"/>
      <c r="G63" s="105"/>
      <c r="H63" s="105"/>
    </row>
    <row r="64" spans="1:14" x14ac:dyDescent="0.35">
      <c r="A64" s="105" t="s">
        <v>154</v>
      </c>
      <c r="B64" s="105"/>
      <c r="C64" s="105"/>
      <c r="D64" s="105" t="s">
        <v>30</v>
      </c>
      <c r="E64" s="105"/>
      <c r="F64" s="105"/>
      <c r="G64" s="105"/>
      <c r="H64" s="105"/>
      <c r="I64" s="27"/>
      <c r="J64" s="27"/>
      <c r="K64" s="27"/>
      <c r="L64" s="27"/>
      <c r="M64" s="27"/>
      <c r="N64" s="27"/>
    </row>
    <row r="65" spans="1:10" ht="15.75" customHeight="1" x14ac:dyDescent="0.35">
      <c r="A65" s="128" t="s">
        <v>89</v>
      </c>
      <c r="B65" s="128"/>
      <c r="C65" s="128"/>
      <c r="D65" s="129" t="str">
        <f ca="1">(IF(G85&gt;95%,"Nothing",IF(G85&gt;0%,"Cement, Aggregate, Steel, etc",IF(G85=0%,"Work not yet Started"))))</f>
        <v>Cement, Aggregate, Steel, etc</v>
      </c>
      <c r="E65" s="129"/>
      <c r="F65" s="129"/>
      <c r="G65" s="129"/>
      <c r="H65" s="129"/>
      <c r="J65" s="26"/>
    </row>
    <row r="66" spans="1:10" ht="33.75" customHeight="1" thickBot="1" x14ac:dyDescent="0.4">
      <c r="A66" s="147" t="s">
        <v>122</v>
      </c>
      <c r="B66" s="147"/>
      <c r="C66" s="147"/>
      <c r="D66" s="129" t="str">
        <f ca="1">(IF(D65="Nothing","Yes",IF(D65="Cement, Aggregate, Steel, etc","Under Construction",IF(D65="Work not yet Started","Work not yet Started"))))</f>
        <v>Under Construction</v>
      </c>
      <c r="E66" s="129"/>
      <c r="F66" s="129" t="str">
        <f ca="1">(IF(D65="Nothing","Yes",IF(D65="Cement, Aggregate, Steel, etc","Under Construction",IF(D65="Work not yet Started","Work not yet Started"))))</f>
        <v>Under Construction</v>
      </c>
      <c r="G66" s="129"/>
      <c r="H66" s="129"/>
    </row>
    <row r="67" spans="1:10" x14ac:dyDescent="0.35">
      <c r="A67" s="143" t="s">
        <v>146</v>
      </c>
      <c r="B67" s="144"/>
      <c r="C67" s="82" t="str">
        <f>D57</f>
        <v xml:space="preserve">Wing A = Stilt + 1st to 11th Floor
</v>
      </c>
      <c r="D67" s="83"/>
      <c r="E67" s="83"/>
      <c r="F67" s="83"/>
      <c r="G67" s="83"/>
      <c r="H67" s="84"/>
      <c r="I67" s="49" t="str">
        <f ca="1">IF(D80=100%,"All work Completed. Possession granted to the Building.",IF(D79=100%,"All work Completed, Waiting for OC",I68&amp;""&amp;I69&amp;""&amp;J68&amp;""&amp;J67&amp;" "&amp;J69))</f>
        <v>Excavation, Plinth Completed, RCC upto 4 Slab Completed</v>
      </c>
      <c r="J67" s="5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4 Slab</v>
      </c>
    </row>
    <row r="68" spans="1:10" x14ac:dyDescent="0.35">
      <c r="A68" s="16" t="s">
        <v>148</v>
      </c>
      <c r="B68" s="47">
        <f>IF(AND(ISNUMBER(SEARCH("1B",C67))),1,IF(AND(ISNUMBER(SEARCH("2B",C67))),2,IF(AND(ISNUMBER(SEARCH("3B",C67))),3,IF(AND(ISNUMBER(SEARCH("4B",C67))),4,IF(ISNUMBER(SEARCH("5B",C67)),5,0)))))</f>
        <v>0</v>
      </c>
      <c r="C68" s="56" t="s">
        <v>74</v>
      </c>
      <c r="D68" s="56">
        <v>1</v>
      </c>
      <c r="E68" s="56" t="s">
        <v>73</v>
      </c>
      <c r="F68" s="56">
        <v>0</v>
      </c>
      <c r="G68" s="56" t="s">
        <v>83</v>
      </c>
      <c r="H68" s="57">
        <f ca="1">--TRIM(RIGHT(SUBSTITUTE(LEFT(C67,_xlfn.AGGREGATE(16,6,FIND({0,1,2,3,4,5,6,7,8,9},C67,ROW(INDIRECT("1:"&amp;LEN(C67)))),1))," ",REPT(" ",LEN(C67))),LEN(C67)))</f>
        <v>11</v>
      </c>
      <c r="I68" s="5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35">
      <c r="A69" s="141" t="s">
        <v>93</v>
      </c>
      <c r="B69" s="142"/>
      <c r="C69" s="145" t="str">
        <f ca="1">I67</f>
        <v>Excavation, Plinth Completed, RCC upto 4 Slab Completed</v>
      </c>
      <c r="D69" s="145"/>
      <c r="E69" s="145"/>
      <c r="F69" s="145"/>
      <c r="G69" s="145"/>
      <c r="H69" s="146"/>
      <c r="I69" s="51" t="str">
        <f ca="1">IF(I68&lt;&gt;""," Completed","")</f>
        <v xml:space="preserve"> Completed</v>
      </c>
      <c r="J69" s="52" t="str">
        <f ca="1">IF(J67&lt;&gt;"","Completed","")</f>
        <v>Completed</v>
      </c>
    </row>
    <row r="70" spans="1:10" ht="15.75" customHeight="1" x14ac:dyDescent="0.35">
      <c r="A70" s="78" t="s">
        <v>50</v>
      </c>
      <c r="B70" s="79"/>
      <c r="C70" s="43" t="s">
        <v>145</v>
      </c>
      <c r="D70" s="43" t="s">
        <v>86</v>
      </c>
      <c r="E70" s="79" t="s">
        <v>88</v>
      </c>
      <c r="F70" s="79"/>
      <c r="G70" s="79" t="s">
        <v>87</v>
      </c>
      <c r="H70" s="130"/>
      <c r="I70" s="13" t="s">
        <v>147</v>
      </c>
      <c r="J70" s="28">
        <f ca="1">H68*25%</f>
        <v>2.75</v>
      </c>
    </row>
    <row r="71" spans="1:10" x14ac:dyDescent="0.35">
      <c r="A71" s="78" t="s">
        <v>134</v>
      </c>
      <c r="B71" s="79"/>
      <c r="C71" s="43">
        <f ca="1">J72</f>
        <v>11</v>
      </c>
      <c r="D71" s="19">
        <f ca="1">((100/H68)*C71)/100</f>
        <v>1.0000000000000002</v>
      </c>
      <c r="E71" s="155">
        <f ca="1">(((C72/H68*10)+(40/(D68+F68+H68)*C73)+(7.5/(H68)*C74)+(7.5/(H68)*C75)+(10/H68*C76)+(10/H68*C77)+(5/H68*C78)+(5/H68*C79)+(5/H68*C80))/100)</f>
        <v>0.23333333333333336</v>
      </c>
      <c r="F71" s="163"/>
      <c r="G71" s="155">
        <f ca="1">((((C71/H68)*20)+((C72/H68)*25)+(30/(H68+F68+D68)*C73)+(5/H68*C74)+(5/H68*C75)+(5/H68*C76)+(5/H68*C77)+(0/H68*C78)+(0/H68*C79)+(5/H68*C80))/100)</f>
        <v>0.55000000000000004</v>
      </c>
      <c r="H71" s="156"/>
      <c r="I71" s="13" t="s">
        <v>104</v>
      </c>
      <c r="J71" s="29">
        <f ca="1">H68*50%</f>
        <v>5.5</v>
      </c>
    </row>
    <row r="72" spans="1:10" x14ac:dyDescent="0.35">
      <c r="A72" s="78" t="s">
        <v>51</v>
      </c>
      <c r="B72" s="79"/>
      <c r="C72" s="53">
        <f ca="1">J80</f>
        <v>11</v>
      </c>
      <c r="D72" s="19">
        <f ca="1">((100/H68)*C72)/100</f>
        <v>1.0000000000000002</v>
      </c>
      <c r="E72" s="157"/>
      <c r="F72" s="164"/>
      <c r="G72" s="157"/>
      <c r="H72" s="158"/>
      <c r="I72" s="13" t="s">
        <v>105</v>
      </c>
      <c r="J72" s="29">
        <f ca="1">H68</f>
        <v>11</v>
      </c>
    </row>
    <row r="73" spans="1:10" ht="15.75" customHeight="1" x14ac:dyDescent="0.35">
      <c r="A73" s="78" t="s">
        <v>135</v>
      </c>
      <c r="B73" s="79"/>
      <c r="C73" s="43">
        <v>4</v>
      </c>
      <c r="D73" s="19">
        <f ca="1">((100/(D68+F68+H68))*C73)/100</f>
        <v>0.33333333333333337</v>
      </c>
      <c r="E73" s="157"/>
      <c r="F73" s="164"/>
      <c r="G73" s="157"/>
      <c r="H73" s="158"/>
      <c r="I73" s="13" t="s">
        <v>106</v>
      </c>
      <c r="J73" s="30">
        <f ca="1">(IF(B68&gt;1,(H68/(B68+2)),H68/4))</f>
        <v>2.75</v>
      </c>
    </row>
    <row r="74" spans="1:10" ht="15.75" customHeight="1" x14ac:dyDescent="0.35">
      <c r="A74" s="78" t="s">
        <v>142</v>
      </c>
      <c r="B74" s="79" t="s">
        <v>136</v>
      </c>
      <c r="C74" s="43">
        <v>0</v>
      </c>
      <c r="D74" s="19">
        <f ca="1">((100/H68)*C74)/100</f>
        <v>0</v>
      </c>
      <c r="E74" s="157"/>
      <c r="F74" s="164"/>
      <c r="G74" s="157"/>
      <c r="H74" s="158"/>
      <c r="I74" s="13" t="s">
        <v>107</v>
      </c>
      <c r="J74" s="30">
        <f ca="1">(IF(B68&gt;1,(H68/(B68+2)+J73),H68/4+J73))</f>
        <v>5.5</v>
      </c>
    </row>
    <row r="75" spans="1:10" ht="15.75" customHeight="1" x14ac:dyDescent="0.35">
      <c r="A75" s="78" t="s">
        <v>143</v>
      </c>
      <c r="B75" s="79" t="s">
        <v>136</v>
      </c>
      <c r="C75" s="43">
        <v>0</v>
      </c>
      <c r="D75" s="19">
        <f ca="1">((100/H68)*C75)/100</f>
        <v>0</v>
      </c>
      <c r="E75" s="157"/>
      <c r="F75" s="164"/>
      <c r="G75" s="157"/>
      <c r="H75" s="158"/>
      <c r="I75" s="13" t="s">
        <v>152</v>
      </c>
      <c r="J75" s="30">
        <f>(IF(B68&gt;1,(H68/(B68+2)+J74),0))</f>
        <v>0</v>
      </c>
    </row>
    <row r="76" spans="1:10" ht="15" customHeight="1" x14ac:dyDescent="0.35">
      <c r="A76" s="78" t="s">
        <v>141</v>
      </c>
      <c r="B76" s="79" t="s">
        <v>138</v>
      </c>
      <c r="C76" s="43">
        <v>0</v>
      </c>
      <c r="D76" s="19">
        <f ca="1">((100/(H68))*C76)/100</f>
        <v>0</v>
      </c>
      <c r="E76" s="157"/>
      <c r="F76" s="164"/>
      <c r="G76" s="157"/>
      <c r="H76" s="158"/>
      <c r="I76" s="13" t="s">
        <v>149</v>
      </c>
      <c r="J76" s="30">
        <f>(IF(B68&gt;2,(H68/(B68+2)+J75),0))</f>
        <v>0</v>
      </c>
    </row>
    <row r="77" spans="1:10" ht="15.75" customHeight="1" x14ac:dyDescent="0.35">
      <c r="A77" s="78" t="s">
        <v>137</v>
      </c>
      <c r="B77" s="79" t="s">
        <v>137</v>
      </c>
      <c r="C77" s="43">
        <v>0</v>
      </c>
      <c r="D77" s="19">
        <f ca="1">((100/H68)*C77)/100</f>
        <v>0</v>
      </c>
      <c r="E77" s="157"/>
      <c r="F77" s="164"/>
      <c r="G77" s="157"/>
      <c r="H77" s="158"/>
      <c r="I77" s="13" t="s">
        <v>150</v>
      </c>
      <c r="J77" s="31">
        <f>(IF(B68&gt;3,(H68/(B68+2)+J76),0))</f>
        <v>0</v>
      </c>
    </row>
    <row r="78" spans="1:10" ht="15.75" customHeight="1" x14ac:dyDescent="0.35">
      <c r="A78" s="78" t="s">
        <v>144</v>
      </c>
      <c r="B78" s="79"/>
      <c r="C78" s="43">
        <v>0</v>
      </c>
      <c r="D78" s="19">
        <f ca="1">((100/H68)*C78)/100</f>
        <v>0</v>
      </c>
      <c r="E78" s="157"/>
      <c r="F78" s="164"/>
      <c r="G78" s="157"/>
      <c r="H78" s="158"/>
      <c r="I78" s="13" t="s">
        <v>151</v>
      </c>
      <c r="J78" s="30">
        <f>(IF(B68&gt;4,(H68/(B68+2)+J77),0))</f>
        <v>0</v>
      </c>
    </row>
    <row r="79" spans="1:10" ht="15.75" customHeight="1" x14ac:dyDescent="0.35">
      <c r="A79" s="78" t="s">
        <v>139</v>
      </c>
      <c r="B79" s="79" t="s">
        <v>139</v>
      </c>
      <c r="C79" s="43">
        <v>0</v>
      </c>
      <c r="D79" s="19">
        <f ca="1">((100/(H68))*C79)/100</f>
        <v>0</v>
      </c>
      <c r="E79" s="157"/>
      <c r="F79" s="164"/>
      <c r="G79" s="157"/>
      <c r="H79" s="158"/>
      <c r="I79" s="13" t="s">
        <v>153</v>
      </c>
      <c r="J79" s="30">
        <f ca="1">(IF(B68=1,(H68/(B68+3)+J74),IF(B68=0,(H68/4+J74),IF(B68&gt;1,0))))</f>
        <v>8.25</v>
      </c>
    </row>
    <row r="80" spans="1:10" ht="16" thickBot="1" x14ac:dyDescent="0.4">
      <c r="A80" s="87" t="s">
        <v>140</v>
      </c>
      <c r="B80" s="88"/>
      <c r="C80" s="44">
        <v>0</v>
      </c>
      <c r="D80" s="20">
        <f ca="1">((100/(H68))*C80)/100</f>
        <v>0</v>
      </c>
      <c r="E80" s="159"/>
      <c r="F80" s="165"/>
      <c r="G80" s="159"/>
      <c r="H80" s="160"/>
      <c r="I80" s="15" t="s">
        <v>108</v>
      </c>
      <c r="J80" s="32">
        <f ca="1">(IF(B68&gt;1.5,(H68/(B68+2)+J74+MAX(0,J75-J74)+MAX(0,J76-J75)+MAX(0,J77-J76)+MAX(0,J78-J77)+MAX(0,J79-J78)),IF(B68=1,(H68/(B68+3)+J79),IF(B68=0,H68/4+J79))))</f>
        <v>11</v>
      </c>
    </row>
    <row r="81" spans="1:10" ht="15.75" customHeight="1" x14ac:dyDescent="0.35">
      <c r="A81" s="80" t="s">
        <v>146</v>
      </c>
      <c r="B81" s="81"/>
      <c r="C81" s="82" t="str">
        <f>D58</f>
        <v>Wing B = Stilt + 1st to 14th Floor</v>
      </c>
      <c r="D81" s="83"/>
      <c r="E81" s="83"/>
      <c r="F81" s="83"/>
      <c r="G81" s="83"/>
      <c r="H81" s="84"/>
      <c r="I81" s="49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Plaster, Flooring, Painting Completed, Finishing upto 5 Floor Completed</v>
      </c>
      <c r="J81" s="5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Finishing upto 5 Floor</v>
      </c>
    </row>
    <row r="82" spans="1:10" x14ac:dyDescent="0.35">
      <c r="A82" s="55" t="s">
        <v>148</v>
      </c>
      <c r="B82" s="56">
        <f>IF(AND(ISNUMBER(SEARCH("1B",C81))),1,IF(AND(ISNUMBER(SEARCH("2B",C81))),2,IF(AND(ISNUMBER(SEARCH("3B",C81))),3,IF(AND(ISNUMBER(SEARCH("4B",C81))),4,IF(ISNUMBER(SEARCH("5B",C81)),5,0)))))</f>
        <v>0</v>
      </c>
      <c r="C82" s="56" t="s">
        <v>74</v>
      </c>
      <c r="D82" s="56">
        <v>1</v>
      </c>
      <c r="E82" s="56" t="s">
        <v>73</v>
      </c>
      <c r="F82" s="56">
        <v>0</v>
      </c>
      <c r="G82" s="56" t="s">
        <v>83</v>
      </c>
      <c r="H82" s="57">
        <f ca="1">--TRIM(RIGHT(SUBSTITUTE(LEFT(C81,_xlfn.AGGREGATE(16,6,FIND({0,1,2,3,4,5,6,7,8,9},C81,ROW(INDIRECT("1:"&amp;LEN(C81)))),1))," ",REPT(" ",LEN(C81))),LEN(C81)))</f>
        <v>14</v>
      </c>
      <c r="I82" s="5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</v>
      </c>
      <c r="J82" s="5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2.25" customHeight="1" x14ac:dyDescent="0.35">
      <c r="A83" s="182" t="s">
        <v>93</v>
      </c>
      <c r="B83" s="183"/>
      <c r="C83" s="145" t="str">
        <f ca="1">(IF($G$52="NA",I81,"All work Completed. OC Received."))</f>
        <v>Excavation, Plinth, RCC Slab, Brickwork, Internal Plaster, External Plaster, Flooring, Painting Completed, Finishing upto 5 Floor Completed</v>
      </c>
      <c r="D83" s="145"/>
      <c r="E83" s="145"/>
      <c r="F83" s="145"/>
      <c r="G83" s="145"/>
      <c r="H83" s="146"/>
      <c r="I83" s="51" t="str">
        <f ca="1">IF(I82&lt;&gt;""," Completed","")</f>
        <v xml:space="preserve"> Completed</v>
      </c>
      <c r="J83" s="52" t="str">
        <f ca="1">IF(J81&lt;&gt;"","Completed","")</f>
        <v>Completed</v>
      </c>
    </row>
    <row r="84" spans="1:10" ht="15.75" customHeight="1" x14ac:dyDescent="0.35">
      <c r="A84" s="78" t="s">
        <v>50</v>
      </c>
      <c r="B84" s="79"/>
      <c r="C84" s="43" t="s">
        <v>145</v>
      </c>
      <c r="D84" s="43" t="s">
        <v>86</v>
      </c>
      <c r="E84" s="79" t="s">
        <v>88</v>
      </c>
      <c r="F84" s="79"/>
      <c r="G84" s="79" t="s">
        <v>87</v>
      </c>
      <c r="H84" s="130"/>
      <c r="I84" s="13" t="s">
        <v>147</v>
      </c>
      <c r="J84" s="28">
        <f ca="1">H82*25%</f>
        <v>3.5</v>
      </c>
    </row>
    <row r="85" spans="1:10" x14ac:dyDescent="0.35">
      <c r="A85" s="78" t="s">
        <v>134</v>
      </c>
      <c r="B85" s="79"/>
      <c r="C85" s="43">
        <f ca="1">J86</f>
        <v>14</v>
      </c>
      <c r="D85" s="19">
        <f ca="1">((100/H82)*C85)/100</f>
        <v>1</v>
      </c>
      <c r="E85" s="155">
        <f ca="1">(((C86/H82*10)+(40/(D82+F82+H82)*C87)+(7.5/(H82)*C88)+(7.5/(H82)*C89)+(10/H82*C90)+(10/H82*C91)+(5/H82*C92)+(5/H82*C93)+(5/H82*C94))/100)</f>
        <v>0.91785714285714293</v>
      </c>
      <c r="F85" s="163"/>
      <c r="G85" s="155">
        <f ca="1">((((C85/H82)*20)+((C86/H82)*25)+(30/(H82+F82+D82)*C87)+(5/H82*C88)+(5/H82*C89)+(5/H82*C90)+(5/H82*C91)+(0/H82*C92)+(0/H82*C93)+(5/H82*C94))/100)</f>
        <v>0.95</v>
      </c>
      <c r="H85" s="156"/>
      <c r="I85" s="13" t="s">
        <v>104</v>
      </c>
      <c r="J85" s="29">
        <f ca="1">H82*50%</f>
        <v>7</v>
      </c>
    </row>
    <row r="86" spans="1:10" x14ac:dyDescent="0.35">
      <c r="A86" s="78" t="s">
        <v>51</v>
      </c>
      <c r="B86" s="79"/>
      <c r="C86" s="53">
        <f ca="1">J94</f>
        <v>14</v>
      </c>
      <c r="D86" s="19">
        <f ca="1">((100/H82)*C86)/100</f>
        <v>1</v>
      </c>
      <c r="E86" s="157"/>
      <c r="F86" s="164"/>
      <c r="G86" s="157"/>
      <c r="H86" s="158"/>
      <c r="I86" s="13" t="s">
        <v>105</v>
      </c>
      <c r="J86" s="29">
        <f ca="1">H82</f>
        <v>14</v>
      </c>
    </row>
    <row r="87" spans="1:10" ht="15.75" customHeight="1" x14ac:dyDescent="0.35">
      <c r="A87" s="78" t="s">
        <v>135</v>
      </c>
      <c r="B87" s="79"/>
      <c r="C87" s="43">
        <v>15</v>
      </c>
      <c r="D87" s="19">
        <f ca="1">((100/(D82+F82+H82))*C87)/100</f>
        <v>1</v>
      </c>
      <c r="E87" s="157"/>
      <c r="F87" s="164"/>
      <c r="G87" s="157"/>
      <c r="H87" s="158"/>
      <c r="I87" s="13" t="s">
        <v>106</v>
      </c>
      <c r="J87" s="30">
        <f ca="1">(IF(B82&gt;1,(H82/(B82+2)),H82/4))</f>
        <v>3.5</v>
      </c>
    </row>
    <row r="88" spans="1:10" ht="15.75" customHeight="1" x14ac:dyDescent="0.35">
      <c r="A88" s="78" t="s">
        <v>142</v>
      </c>
      <c r="B88" s="79" t="s">
        <v>136</v>
      </c>
      <c r="C88" s="43">
        <v>14</v>
      </c>
      <c r="D88" s="19">
        <f ca="1">((100/H82)*C88)/100</f>
        <v>1</v>
      </c>
      <c r="E88" s="157"/>
      <c r="F88" s="164"/>
      <c r="G88" s="157"/>
      <c r="H88" s="158"/>
      <c r="I88" s="13" t="s">
        <v>107</v>
      </c>
      <c r="J88" s="30">
        <f ca="1">(IF(B82&gt;1,(H82/(B82+2)+J87),H82/4+J87))</f>
        <v>7</v>
      </c>
    </row>
    <row r="89" spans="1:10" ht="15.75" customHeight="1" x14ac:dyDescent="0.35">
      <c r="A89" s="78" t="s">
        <v>143</v>
      </c>
      <c r="B89" s="79" t="s">
        <v>136</v>
      </c>
      <c r="C89" s="43">
        <v>14</v>
      </c>
      <c r="D89" s="19">
        <f ca="1">((100/H82)*C89)/100</f>
        <v>1</v>
      </c>
      <c r="E89" s="157"/>
      <c r="F89" s="164"/>
      <c r="G89" s="157"/>
      <c r="H89" s="158"/>
      <c r="I89" s="13" t="s">
        <v>152</v>
      </c>
      <c r="J89" s="30">
        <f>(IF(B82&gt;1,(H82/(B82+2)+J88),0))</f>
        <v>0</v>
      </c>
    </row>
    <row r="90" spans="1:10" ht="15" customHeight="1" x14ac:dyDescent="0.35">
      <c r="A90" s="78" t="s">
        <v>141</v>
      </c>
      <c r="B90" s="79" t="s">
        <v>138</v>
      </c>
      <c r="C90" s="43">
        <v>14</v>
      </c>
      <c r="D90" s="19">
        <f ca="1">((100/(H82))*C90)/100</f>
        <v>1</v>
      </c>
      <c r="E90" s="157"/>
      <c r="F90" s="164"/>
      <c r="G90" s="157"/>
      <c r="H90" s="158"/>
      <c r="I90" s="13" t="s">
        <v>149</v>
      </c>
      <c r="J90" s="30">
        <f>(IF(B82&gt;2,(H82/(B82+2)+J89),0))</f>
        <v>0</v>
      </c>
    </row>
    <row r="91" spans="1:10" ht="15.75" customHeight="1" x14ac:dyDescent="0.35">
      <c r="A91" s="78" t="s">
        <v>137</v>
      </c>
      <c r="B91" s="79" t="s">
        <v>137</v>
      </c>
      <c r="C91" s="43">
        <v>14</v>
      </c>
      <c r="D91" s="19">
        <f ca="1">((100/H82)*C91)/100</f>
        <v>1</v>
      </c>
      <c r="E91" s="157"/>
      <c r="F91" s="164"/>
      <c r="G91" s="157"/>
      <c r="H91" s="158"/>
      <c r="I91" s="13" t="s">
        <v>150</v>
      </c>
      <c r="J91" s="31">
        <f>(IF(B82&gt;3,(H82/(B82+2)+J90),0))</f>
        <v>0</v>
      </c>
    </row>
    <row r="92" spans="1:10" ht="15.75" customHeight="1" x14ac:dyDescent="0.35">
      <c r="A92" s="78" t="s">
        <v>144</v>
      </c>
      <c r="B92" s="79"/>
      <c r="C92" s="43">
        <v>14</v>
      </c>
      <c r="D92" s="19">
        <f ca="1">((100/H82)*C92)/100</f>
        <v>1</v>
      </c>
      <c r="E92" s="157"/>
      <c r="F92" s="164"/>
      <c r="G92" s="157"/>
      <c r="H92" s="158"/>
      <c r="I92" s="13" t="s">
        <v>151</v>
      </c>
      <c r="J92" s="30">
        <f>(IF(B82&gt;4,(H82/(B82+2)+J91),0))</f>
        <v>0</v>
      </c>
    </row>
    <row r="93" spans="1:10" ht="15.75" customHeight="1" x14ac:dyDescent="0.35">
      <c r="A93" s="78" t="s">
        <v>139</v>
      </c>
      <c r="B93" s="79" t="s">
        <v>139</v>
      </c>
      <c r="C93" s="43">
        <v>5</v>
      </c>
      <c r="D93" s="19">
        <f ca="1">((100/(H82))*C93)/100</f>
        <v>0.35714285714285715</v>
      </c>
      <c r="E93" s="157"/>
      <c r="F93" s="164"/>
      <c r="G93" s="157"/>
      <c r="H93" s="158"/>
      <c r="I93" s="13" t="s">
        <v>153</v>
      </c>
      <c r="J93" s="30">
        <f ca="1">(IF(B82=1,(H82/(B82+3)+J88),IF(B82=0,(H82/4+J88),IF(B82&gt;1,0))))</f>
        <v>10.5</v>
      </c>
    </row>
    <row r="94" spans="1:10" ht="16" thickBot="1" x14ac:dyDescent="0.4">
      <c r="A94" s="87" t="s">
        <v>140</v>
      </c>
      <c r="B94" s="88"/>
      <c r="C94" s="44">
        <v>0</v>
      </c>
      <c r="D94" s="20">
        <f ca="1">((100/(H82))*C94)/100</f>
        <v>0</v>
      </c>
      <c r="E94" s="159"/>
      <c r="F94" s="165"/>
      <c r="G94" s="159"/>
      <c r="H94" s="160"/>
      <c r="I94" s="15" t="s">
        <v>108</v>
      </c>
      <c r="J94" s="32">
        <f ca="1">(IF(B82&gt;1.5,(H82/(B82+2)+J88+MAX(0,J89-J88)+MAX(0,J90-J89)+MAX(0,J91-J90)+MAX(0,J92-J91)+MAX(0,J93-J92)),IF(B82=1,(H82/(B82+3)+J93),IF(B82=0,H82/4+J93))))</f>
        <v>14</v>
      </c>
    </row>
    <row r="95" spans="1:10" ht="15.75" hidden="1" customHeight="1" x14ac:dyDescent="0.35">
      <c r="A95" s="143" t="s">
        <v>146</v>
      </c>
      <c r="B95" s="144"/>
      <c r="C95" s="168" t="str">
        <f>D59</f>
        <v>C Wing = 1B + G + 1st to 20th Floor</v>
      </c>
      <c r="D95" s="169"/>
      <c r="E95" s="169"/>
      <c r="F95" s="169"/>
      <c r="G95" s="169"/>
      <c r="H95" s="170"/>
      <c r="I95" s="49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0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5">
      <c r="A96" s="16" t="s">
        <v>148</v>
      </c>
      <c r="B96" s="47">
        <f>IF(AND(ISNUMBER(SEARCH("1B",C95))),1,IF(AND(ISNUMBER(SEARCH("2B",C95))),2,IF(AND(ISNUMBER(SEARCH("3B",C95))),3,IF(AND(ISNUMBER(SEARCH("4B",C95))),4,IF(ISNUMBER(SEARCH("5B",C95)),5,0)))))</f>
        <v>1</v>
      </c>
      <c r="C96" s="47" t="s">
        <v>74</v>
      </c>
      <c r="D96" s="47">
        <v>1</v>
      </c>
      <c r="E96" s="47" t="s">
        <v>73</v>
      </c>
      <c r="F96" s="14">
        <v>0</v>
      </c>
      <c r="G96" s="48" t="s">
        <v>83</v>
      </c>
      <c r="H96" s="17">
        <f ca="1">--TRIM(RIGHT(SUBSTITUTE(LEFT(C95,_xlfn.AGGREGATE(16,6,FIND({0,1,2,3,4,5,6,7,8,9},C95,ROW(INDIRECT("1:"&amp;LEN(C95)))),1))," ",REPT(" ",LEN(C95))),LEN(C95)))</f>
        <v>20</v>
      </c>
      <c r="I96" s="51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2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" hidden="1" customHeight="1" x14ac:dyDescent="0.35">
      <c r="A97" s="141" t="s">
        <v>93</v>
      </c>
      <c r="B97" s="142"/>
      <c r="C97" s="171" t="str">
        <f ca="1">(IF($G$52="NA",I95,"All work Completed. OC Received."))</f>
        <v xml:space="preserve">Excavation, Plinth, RCC Slab Completed </v>
      </c>
      <c r="D97" s="171"/>
      <c r="E97" s="171"/>
      <c r="F97" s="171"/>
      <c r="G97" s="171"/>
      <c r="H97" s="172"/>
      <c r="I97" s="51" t="str">
        <f ca="1">IF(I96&lt;&gt;""," Completed","")</f>
        <v xml:space="preserve"> Completed</v>
      </c>
      <c r="J97" s="52" t="str">
        <f ca="1">IF(J95&lt;&gt;"","Completed","")</f>
        <v/>
      </c>
    </row>
    <row r="98" spans="1:10" ht="15.75" hidden="1" customHeight="1" x14ac:dyDescent="0.35">
      <c r="A98" s="78" t="s">
        <v>50</v>
      </c>
      <c r="B98" s="79"/>
      <c r="C98" s="43" t="s">
        <v>145</v>
      </c>
      <c r="D98" s="43" t="s">
        <v>86</v>
      </c>
      <c r="E98" s="79" t="s">
        <v>88</v>
      </c>
      <c r="F98" s="79"/>
      <c r="G98" s="79" t="s">
        <v>87</v>
      </c>
      <c r="H98" s="130"/>
      <c r="I98" s="13" t="s">
        <v>147</v>
      </c>
      <c r="J98" s="28">
        <f ca="1">H96*25%</f>
        <v>5</v>
      </c>
    </row>
    <row r="99" spans="1:10" hidden="1" x14ac:dyDescent="0.35">
      <c r="A99" s="78" t="s">
        <v>134</v>
      </c>
      <c r="B99" s="79"/>
      <c r="C99" s="43">
        <f ca="1">J100</f>
        <v>20</v>
      </c>
      <c r="D99" s="19">
        <f ca="1">((100/H96)*C99)/100</f>
        <v>1</v>
      </c>
      <c r="E99" s="155">
        <f ca="1">(((C100/H96*10)+(40/(D96+F96+H96)*C101)+(7.5/(H96)*C102)+(7.5/(H96)*C103)+(10/H96*C104)+(10/H96*C105)+(5/H96*C106)+(5/H96*C107)+(5/H96*C108))/100)</f>
        <v>0.5</v>
      </c>
      <c r="F99" s="163"/>
      <c r="G99" s="155">
        <f ca="1">((((C99/H96)*20)+((C100/H96)*25)+(30/(H96+F96+D96)*C101)+(5/H96*C102)+(5/H96*C103)+(5/H96*C104)+(5/H96*C105)+(0/H96*C106)+(0/H96*C107)+(5/H96*C108))/100)</f>
        <v>0.75</v>
      </c>
      <c r="H99" s="156"/>
      <c r="I99" s="13" t="s">
        <v>104</v>
      </c>
      <c r="J99" s="29">
        <f ca="1">H96*50%</f>
        <v>10</v>
      </c>
    </row>
    <row r="100" spans="1:10" hidden="1" x14ac:dyDescent="0.35">
      <c r="A100" s="78" t="s">
        <v>51</v>
      </c>
      <c r="B100" s="79"/>
      <c r="C100" s="43">
        <f ca="1">J108</f>
        <v>20</v>
      </c>
      <c r="D100" s="19">
        <f ca="1">((100/H96)*C100)/100</f>
        <v>1</v>
      </c>
      <c r="E100" s="157"/>
      <c r="F100" s="164"/>
      <c r="G100" s="157"/>
      <c r="H100" s="158"/>
      <c r="I100" s="13" t="s">
        <v>105</v>
      </c>
      <c r="J100" s="29">
        <f ca="1">H96</f>
        <v>20</v>
      </c>
    </row>
    <row r="101" spans="1:10" ht="15.75" hidden="1" customHeight="1" x14ac:dyDescent="0.35">
      <c r="A101" s="78" t="s">
        <v>135</v>
      </c>
      <c r="B101" s="79"/>
      <c r="C101" s="43">
        <f ca="1">D96+H96</f>
        <v>21</v>
      </c>
      <c r="D101" s="19">
        <f ca="1">((100/(D96+F96+H96))*C101)/100</f>
        <v>1</v>
      </c>
      <c r="E101" s="157"/>
      <c r="F101" s="164"/>
      <c r="G101" s="157"/>
      <c r="H101" s="158"/>
      <c r="I101" s="13" t="s">
        <v>106</v>
      </c>
      <c r="J101" s="30">
        <f ca="1">(IF(B96&gt;1,(H96/(B96+2)),H96/4))</f>
        <v>5</v>
      </c>
    </row>
    <row r="102" spans="1:10" ht="15.75" hidden="1" customHeight="1" x14ac:dyDescent="0.35">
      <c r="A102" s="78" t="s">
        <v>142</v>
      </c>
      <c r="B102" s="79" t="s">
        <v>136</v>
      </c>
      <c r="C102" s="43">
        <v>0</v>
      </c>
      <c r="D102" s="19">
        <f ca="1">((100/H96)*C102)/100</f>
        <v>0</v>
      </c>
      <c r="E102" s="157"/>
      <c r="F102" s="164"/>
      <c r="G102" s="157"/>
      <c r="H102" s="158"/>
      <c r="I102" s="13" t="s">
        <v>107</v>
      </c>
      <c r="J102" s="30">
        <f ca="1">(IF(B96&gt;1,(H96/(B96+2)+J101),H96/4+J101))</f>
        <v>10</v>
      </c>
    </row>
    <row r="103" spans="1:10" ht="15.75" hidden="1" customHeight="1" x14ac:dyDescent="0.35">
      <c r="A103" s="78" t="s">
        <v>143</v>
      </c>
      <c r="B103" s="79" t="s">
        <v>136</v>
      </c>
      <c r="C103" s="43">
        <v>0</v>
      </c>
      <c r="D103" s="19">
        <f ca="1">((100/H96)*C103)/100</f>
        <v>0</v>
      </c>
      <c r="E103" s="157"/>
      <c r="F103" s="164"/>
      <c r="G103" s="157"/>
      <c r="H103" s="158"/>
      <c r="I103" s="13" t="s">
        <v>152</v>
      </c>
      <c r="J103" s="30">
        <f>(IF(B96&gt;1,(H96/(B96+2)+J102),0))</f>
        <v>0</v>
      </c>
    </row>
    <row r="104" spans="1:10" ht="15" hidden="1" customHeight="1" x14ac:dyDescent="0.35">
      <c r="A104" s="78" t="s">
        <v>141</v>
      </c>
      <c r="B104" s="79" t="s">
        <v>138</v>
      </c>
      <c r="C104" s="43">
        <v>0</v>
      </c>
      <c r="D104" s="19">
        <f ca="1">((100/(H96))*C104)/100</f>
        <v>0</v>
      </c>
      <c r="E104" s="157"/>
      <c r="F104" s="164"/>
      <c r="G104" s="157"/>
      <c r="H104" s="158"/>
      <c r="I104" s="13" t="s">
        <v>149</v>
      </c>
      <c r="J104" s="30">
        <f>(IF(B96&gt;2,(H96/(B96+2)+J103),0))</f>
        <v>0</v>
      </c>
    </row>
    <row r="105" spans="1:10" ht="15.75" hidden="1" customHeight="1" x14ac:dyDescent="0.35">
      <c r="A105" s="78" t="s">
        <v>137</v>
      </c>
      <c r="B105" s="79" t="s">
        <v>137</v>
      </c>
      <c r="C105" s="43">
        <v>0</v>
      </c>
      <c r="D105" s="19">
        <f ca="1">((100/H96)*C105)/100</f>
        <v>0</v>
      </c>
      <c r="E105" s="157"/>
      <c r="F105" s="164"/>
      <c r="G105" s="157"/>
      <c r="H105" s="158"/>
      <c r="I105" s="13" t="s">
        <v>150</v>
      </c>
      <c r="J105" s="31">
        <f>(IF(B96&gt;3,(H96/(B96+2)+J104),0))</f>
        <v>0</v>
      </c>
    </row>
    <row r="106" spans="1:10" ht="15.75" hidden="1" customHeight="1" x14ac:dyDescent="0.35">
      <c r="A106" s="78" t="s">
        <v>144</v>
      </c>
      <c r="B106" s="79"/>
      <c r="C106" s="43">
        <v>0</v>
      </c>
      <c r="D106" s="19">
        <f ca="1">((100/H96)*C106)/100</f>
        <v>0</v>
      </c>
      <c r="E106" s="157"/>
      <c r="F106" s="164"/>
      <c r="G106" s="157"/>
      <c r="H106" s="158"/>
      <c r="I106" s="13" t="s">
        <v>151</v>
      </c>
      <c r="J106" s="30">
        <f>(IF(B96&gt;4,(H96/(B96+2)+J105),0))</f>
        <v>0</v>
      </c>
    </row>
    <row r="107" spans="1:10" ht="15.75" hidden="1" customHeight="1" x14ac:dyDescent="0.35">
      <c r="A107" s="78" t="s">
        <v>139</v>
      </c>
      <c r="B107" s="79" t="s">
        <v>139</v>
      </c>
      <c r="C107" s="43">
        <v>0</v>
      </c>
      <c r="D107" s="19">
        <f ca="1">((100/(H96))*C107)/100</f>
        <v>0</v>
      </c>
      <c r="E107" s="157"/>
      <c r="F107" s="164"/>
      <c r="G107" s="157"/>
      <c r="H107" s="158"/>
      <c r="I107" s="13" t="s">
        <v>153</v>
      </c>
      <c r="J107" s="30">
        <f ca="1">(IF(B96=1,(H96/(B96+3)+J102),IF(B96=0,(H96/4+J102),IF(B96&gt;1,0))))</f>
        <v>15</v>
      </c>
    </row>
    <row r="108" spans="1:10" ht="16" hidden="1" thickBot="1" x14ac:dyDescent="0.4">
      <c r="A108" s="87" t="s">
        <v>140</v>
      </c>
      <c r="B108" s="88"/>
      <c r="C108" s="44">
        <v>0</v>
      </c>
      <c r="D108" s="20">
        <f ca="1">((100/(H96))*C108)/100</f>
        <v>0</v>
      </c>
      <c r="E108" s="159"/>
      <c r="F108" s="165"/>
      <c r="G108" s="159"/>
      <c r="H108" s="160"/>
      <c r="I108" s="15" t="s">
        <v>108</v>
      </c>
      <c r="J108" s="32">
        <f ca="1">(IF(B96&gt;1.5,(H96/(B96+2)+J102+MAX(0,J103-J102)+MAX(0,J104-J103)+MAX(0,J105-J104)+MAX(0,J106-J105)+MAX(0,J107-J106)),IF(B96=1,(H96/(B96+3)+J107),IF(B96=0,H96/4+J107))))</f>
        <v>20</v>
      </c>
    </row>
    <row r="109" spans="1:10" x14ac:dyDescent="0.35">
      <c r="A109" s="177" t="s">
        <v>162</v>
      </c>
      <c r="B109" s="177"/>
      <c r="C109" s="177"/>
      <c r="D109" s="177"/>
      <c r="E109" s="177"/>
      <c r="F109" s="121" t="s">
        <v>167</v>
      </c>
      <c r="G109" s="121"/>
      <c r="H109" s="121"/>
    </row>
    <row r="110" spans="1:10" x14ac:dyDescent="0.35">
      <c r="A110" s="75" t="s">
        <v>165</v>
      </c>
      <c r="B110" s="75"/>
      <c r="C110" s="75"/>
      <c r="D110" s="75"/>
      <c r="E110" s="75"/>
      <c r="F110" s="85">
        <v>4000</v>
      </c>
      <c r="G110" s="85"/>
      <c r="H110" s="85"/>
    </row>
    <row r="111" spans="1:10" hidden="1" x14ac:dyDescent="0.35">
      <c r="A111" s="75" t="s">
        <v>164</v>
      </c>
      <c r="B111" s="75"/>
      <c r="C111" s="75"/>
      <c r="D111" s="75"/>
      <c r="E111" s="75"/>
      <c r="F111" s="85"/>
      <c r="G111" s="85"/>
      <c r="H111" s="85"/>
    </row>
    <row r="112" spans="1:10" hidden="1" x14ac:dyDescent="0.35">
      <c r="A112" s="75" t="s">
        <v>166</v>
      </c>
      <c r="B112" s="75"/>
      <c r="C112" s="75"/>
      <c r="D112" s="75"/>
      <c r="E112" s="75"/>
      <c r="F112" s="85"/>
      <c r="G112" s="85"/>
      <c r="H112" s="85"/>
    </row>
    <row r="113" spans="1:8" s="33" customFormat="1" hidden="1" x14ac:dyDescent="0.3">
      <c r="A113" s="75" t="s">
        <v>163</v>
      </c>
      <c r="B113" s="75"/>
      <c r="C113" s="75"/>
      <c r="D113" s="75"/>
      <c r="E113" s="75"/>
      <c r="F113" s="85"/>
      <c r="G113" s="85"/>
      <c r="H113" s="85"/>
    </row>
    <row r="114" spans="1:8" s="33" customFormat="1" hidden="1" x14ac:dyDescent="0.3">
      <c r="A114" s="75" t="s">
        <v>98</v>
      </c>
      <c r="B114" s="75"/>
      <c r="C114" s="75"/>
      <c r="D114" s="75"/>
      <c r="E114" s="75"/>
      <c r="F114" s="85"/>
      <c r="G114" s="85"/>
      <c r="H114" s="85"/>
    </row>
    <row r="115" spans="1:8" s="33" customFormat="1" hidden="1" x14ac:dyDescent="0.3">
      <c r="A115" s="75" t="s">
        <v>99</v>
      </c>
      <c r="B115" s="75"/>
      <c r="C115" s="75"/>
      <c r="D115" s="75"/>
      <c r="E115" s="75"/>
      <c r="F115" s="85"/>
      <c r="G115" s="85"/>
      <c r="H115" s="85"/>
    </row>
    <row r="116" spans="1:8" s="33" customFormat="1" hidden="1" x14ac:dyDescent="0.3">
      <c r="A116" s="75" t="s">
        <v>168</v>
      </c>
      <c r="B116" s="75"/>
      <c r="C116" s="75"/>
      <c r="D116" s="75"/>
      <c r="E116" s="75"/>
      <c r="F116" s="85"/>
      <c r="G116" s="85"/>
      <c r="H116" s="85"/>
    </row>
    <row r="117" spans="1:8" s="33" customFormat="1" hidden="1" x14ac:dyDescent="0.3">
      <c r="A117" s="75" t="s">
        <v>100</v>
      </c>
      <c r="B117" s="75"/>
      <c r="C117" s="75"/>
      <c r="D117" s="75"/>
      <c r="E117" s="75"/>
      <c r="F117" s="85"/>
      <c r="G117" s="85"/>
      <c r="H117" s="85"/>
    </row>
    <row r="118" spans="1:8" s="33" customFormat="1" hidden="1" x14ac:dyDescent="0.3">
      <c r="A118" s="75" t="s">
        <v>101</v>
      </c>
      <c r="B118" s="75"/>
      <c r="C118" s="75"/>
      <c r="D118" s="75"/>
      <c r="E118" s="75"/>
      <c r="F118" s="85"/>
      <c r="G118" s="85"/>
      <c r="H118" s="85"/>
    </row>
    <row r="119" spans="1:8" s="33" customFormat="1" hidden="1" x14ac:dyDescent="0.3">
      <c r="A119" s="75" t="s">
        <v>102</v>
      </c>
      <c r="B119" s="75"/>
      <c r="C119" s="75"/>
      <c r="D119" s="75"/>
      <c r="E119" s="75"/>
      <c r="F119" s="85"/>
      <c r="G119" s="85"/>
      <c r="H119" s="85"/>
    </row>
    <row r="120" spans="1:8" s="33" customFormat="1" hidden="1" x14ac:dyDescent="0.3">
      <c r="A120" s="75" t="s">
        <v>103</v>
      </c>
      <c r="B120" s="75"/>
      <c r="C120" s="75"/>
      <c r="D120" s="75"/>
      <c r="E120" s="75"/>
      <c r="F120" s="85"/>
      <c r="G120" s="85"/>
      <c r="H120" s="85"/>
    </row>
    <row r="121" spans="1:8" x14ac:dyDescent="0.35">
      <c r="A121" s="75" t="s">
        <v>52</v>
      </c>
      <c r="B121" s="75"/>
      <c r="C121" s="75"/>
      <c r="D121" s="75"/>
      <c r="E121" s="75"/>
      <c r="F121" s="85">
        <v>150000</v>
      </c>
      <c r="G121" s="85"/>
      <c r="H121" s="85"/>
    </row>
    <row r="122" spans="1:8" s="34" customFormat="1" x14ac:dyDescent="0.35">
      <c r="A122" s="133" t="s">
        <v>53</v>
      </c>
      <c r="B122" s="133"/>
      <c r="C122" s="133"/>
      <c r="D122" s="133"/>
      <c r="E122" s="133"/>
      <c r="F122" s="85">
        <f>F110*0.8</f>
        <v>3200</v>
      </c>
      <c r="G122" s="85"/>
      <c r="H122" s="85"/>
    </row>
    <row r="123" spans="1:8" s="35" customFormat="1" ht="15.75" hidden="1" customHeight="1" x14ac:dyDescent="0.35">
      <c r="A123" s="117" t="s">
        <v>78</v>
      </c>
      <c r="B123" s="117"/>
      <c r="C123" s="117"/>
      <c r="D123" s="117"/>
      <c r="E123" s="117"/>
      <c r="F123" s="117"/>
      <c r="G123" s="117"/>
      <c r="H123" s="117"/>
    </row>
    <row r="124" spans="1:8" s="35" customFormat="1" ht="15.75" hidden="1" customHeight="1" x14ac:dyDescent="0.35">
      <c r="A124" s="77" t="s">
        <v>54</v>
      </c>
      <c r="B124" s="77"/>
      <c r="C124" s="111" t="s">
        <v>81</v>
      </c>
      <c r="D124" s="111"/>
      <c r="E124" s="115" t="s">
        <v>55</v>
      </c>
      <c r="F124" s="115"/>
      <c r="G124" s="77" t="s">
        <v>56</v>
      </c>
      <c r="H124" s="77"/>
    </row>
    <row r="125" spans="1:8" s="35" customFormat="1" hidden="1" x14ac:dyDescent="0.35">
      <c r="A125" s="116"/>
      <c r="B125" s="116"/>
      <c r="C125" s="113"/>
      <c r="D125" s="113"/>
      <c r="E125" s="114"/>
      <c r="F125" s="114"/>
      <c r="G125" s="86"/>
      <c r="H125" s="86"/>
    </row>
    <row r="126" spans="1:8" s="35" customFormat="1" hidden="1" x14ac:dyDescent="0.35">
      <c r="A126" s="116"/>
      <c r="B126" s="116"/>
      <c r="C126" s="113"/>
      <c r="D126" s="113"/>
      <c r="E126" s="114"/>
      <c r="F126" s="114"/>
      <c r="G126" s="86"/>
      <c r="H126" s="86"/>
    </row>
    <row r="127" spans="1:8" s="35" customFormat="1" hidden="1" x14ac:dyDescent="0.35">
      <c r="A127" s="117" t="s">
        <v>156</v>
      </c>
      <c r="B127" s="117"/>
      <c r="C127" s="111"/>
      <c r="D127" s="111"/>
      <c r="E127" s="115"/>
      <c r="F127" s="115"/>
      <c r="G127" s="77"/>
      <c r="H127" s="77"/>
    </row>
    <row r="128" spans="1:8" s="35" customFormat="1" x14ac:dyDescent="0.35">
      <c r="A128" s="117" t="s">
        <v>72</v>
      </c>
      <c r="B128" s="117"/>
      <c r="C128" s="117"/>
      <c r="D128" s="117"/>
      <c r="E128" s="117"/>
      <c r="F128" s="117"/>
      <c r="G128" s="117"/>
      <c r="H128" s="117"/>
    </row>
    <row r="129" spans="1:14" s="35" customFormat="1" ht="15.75" customHeight="1" x14ac:dyDescent="0.35">
      <c r="A129" s="77" t="s">
        <v>54</v>
      </c>
      <c r="B129" s="77"/>
      <c r="C129" s="111" t="s">
        <v>81</v>
      </c>
      <c r="D129" s="111"/>
      <c r="E129" s="115" t="s">
        <v>55</v>
      </c>
      <c r="F129" s="115"/>
      <c r="G129" s="77" t="s">
        <v>56</v>
      </c>
      <c r="H129" s="77"/>
    </row>
    <row r="130" spans="1:14" s="35" customFormat="1" x14ac:dyDescent="0.35">
      <c r="A130" s="116" t="s">
        <v>203</v>
      </c>
      <c r="B130" s="116"/>
      <c r="C130" s="126">
        <f>COUNT(D149:D160)*9+COUNT(D163:D173)+COUNT(D181:D186)</f>
        <v>125</v>
      </c>
      <c r="D130" s="126"/>
      <c r="E130" s="127">
        <f>SUM(D149:D160)*9+SUM(D163:D173)+SUM(D181:D186)</f>
        <v>59820.822359999998</v>
      </c>
      <c r="F130" s="127"/>
      <c r="G130" s="127">
        <f>SUM(F149:F160)*9+SUM(F163:F173)+SUM(F181:F186)</f>
        <v>89731.233540000001</v>
      </c>
      <c r="H130" s="127"/>
    </row>
    <row r="131" spans="1:14" s="35" customFormat="1" x14ac:dyDescent="0.35">
      <c r="A131" s="116" t="s">
        <v>212</v>
      </c>
      <c r="B131" s="116"/>
      <c r="C131" s="126">
        <f>COUNT(D190:D200)*12+COUNT(D202:D211)*2</f>
        <v>152</v>
      </c>
      <c r="D131" s="126"/>
      <c r="E131" s="127">
        <f>SUM(D190:D200)*12+SUM(D202:D211)*2</f>
        <v>70289.996400000004</v>
      </c>
      <c r="F131" s="127"/>
      <c r="G131" s="127">
        <f>SUM(F190:F200)*12+SUM(F202:F211)*2</f>
        <v>105434.99459999998</v>
      </c>
      <c r="H131" s="127"/>
    </row>
    <row r="132" spans="1:14" s="35" customFormat="1" ht="16" thickBot="1" x14ac:dyDescent="0.4">
      <c r="A132" s="174" t="s">
        <v>156</v>
      </c>
      <c r="B132" s="174"/>
      <c r="C132" s="176">
        <f>SUM(C130:C131)</f>
        <v>277</v>
      </c>
      <c r="D132" s="176"/>
      <c r="E132" s="175">
        <f>SUM(E130:E131)</f>
        <v>130110.81875999999</v>
      </c>
      <c r="F132" s="175"/>
      <c r="G132" s="125">
        <f>SUM(G130:G131)</f>
        <v>195166.22813999996</v>
      </c>
      <c r="H132" s="125"/>
    </row>
    <row r="133" spans="1:14" s="35" customFormat="1" x14ac:dyDescent="0.35">
      <c r="A133" s="185" t="s">
        <v>174</v>
      </c>
      <c r="B133" s="186"/>
      <c r="C133" s="187">
        <f>C127+C132</f>
        <v>277</v>
      </c>
      <c r="D133" s="187"/>
      <c r="E133" s="188">
        <f>E127+E132</f>
        <v>130110.81875999999</v>
      </c>
      <c r="F133" s="188"/>
      <c r="G133" s="189">
        <f>G127+G132</f>
        <v>195166.22813999996</v>
      </c>
      <c r="H133" s="190"/>
    </row>
    <row r="134" spans="1:14" s="34" customFormat="1" x14ac:dyDescent="0.35">
      <c r="A134" s="112" t="s">
        <v>57</v>
      </c>
      <c r="B134" s="112"/>
      <c r="C134" s="112"/>
      <c r="D134" s="112"/>
      <c r="E134" s="112"/>
      <c r="F134" s="112"/>
      <c r="G134" s="112"/>
      <c r="H134" s="112"/>
    </row>
    <row r="135" spans="1:14" x14ac:dyDescent="0.35">
      <c r="A135" s="112" t="s">
        <v>58</v>
      </c>
      <c r="B135" s="112"/>
      <c r="C135" s="112"/>
      <c r="D135" s="112"/>
      <c r="E135" s="112"/>
      <c r="F135" s="112"/>
      <c r="G135" s="112"/>
      <c r="H135" s="112"/>
    </row>
    <row r="136" spans="1:14" ht="47.25" hidden="1" customHeight="1" x14ac:dyDescent="0.35">
      <c r="A136" s="191" t="s">
        <v>125</v>
      </c>
      <c r="B136" s="191" t="s">
        <v>124</v>
      </c>
      <c r="C136" s="191" t="s">
        <v>59</v>
      </c>
      <c r="D136" s="191" t="s">
        <v>60</v>
      </c>
      <c r="E136" s="192" t="s">
        <v>161</v>
      </c>
      <c r="F136" s="193" t="s">
        <v>155</v>
      </c>
      <c r="G136" s="191" t="s">
        <v>62</v>
      </c>
      <c r="H136" s="191"/>
    </row>
    <row r="137" spans="1:14" s="37" customFormat="1" hidden="1" x14ac:dyDescent="0.35">
      <c r="A137" s="191"/>
      <c r="B137" s="191"/>
      <c r="C137" s="191"/>
      <c r="D137" s="191"/>
      <c r="E137" s="192"/>
      <c r="F137" s="194">
        <v>0.6</v>
      </c>
      <c r="G137" s="191"/>
      <c r="H137" s="191"/>
    </row>
    <row r="138" spans="1:14" s="37" customFormat="1" hidden="1" x14ac:dyDescent="0.35">
      <c r="A138" s="195" t="s">
        <v>123</v>
      </c>
      <c r="B138" s="195"/>
      <c r="C138" s="195"/>
      <c r="D138" s="195"/>
      <c r="E138" s="195"/>
      <c r="F138" s="195"/>
      <c r="G138" s="195"/>
      <c r="H138" s="195"/>
      <c r="J138" s="36"/>
    </row>
    <row r="139" spans="1:14" s="37" customFormat="1" hidden="1" x14ac:dyDescent="0.35">
      <c r="A139" s="196">
        <v>1</v>
      </c>
      <c r="B139" s="196"/>
      <c r="C139" s="42"/>
      <c r="D139" s="42"/>
      <c r="E139" s="42">
        <v>0</v>
      </c>
      <c r="F139" s="42">
        <f>(D139+E139)*(($F$137)+1)</f>
        <v>0</v>
      </c>
      <c r="G139" s="196" t="str">
        <f>A138</f>
        <v>Ground Floor</v>
      </c>
      <c r="H139" s="196"/>
      <c r="I139" s="36"/>
      <c r="L139" s="63"/>
      <c r="M139" s="63"/>
      <c r="N139" s="36"/>
    </row>
    <row r="140" spans="1:14" s="37" customFormat="1" hidden="1" x14ac:dyDescent="0.35">
      <c r="A140" s="196">
        <f t="shared" ref="A140:A142" si="0">A139+1</f>
        <v>2</v>
      </c>
      <c r="B140" s="196"/>
      <c r="C140" s="42"/>
      <c r="D140" s="42"/>
      <c r="E140" s="42">
        <v>0</v>
      </c>
      <c r="F140" s="42">
        <f t="shared" ref="F140:F142" si="1">(D140+E140)*(($F$137)+1)</f>
        <v>0</v>
      </c>
      <c r="G140" s="196" t="str">
        <f t="shared" ref="G140:G142" si="2">G139</f>
        <v>Ground Floor</v>
      </c>
      <c r="H140" s="196"/>
      <c r="I140" s="36"/>
      <c r="L140" s="63"/>
      <c r="M140" s="63"/>
      <c r="N140" s="36"/>
    </row>
    <row r="141" spans="1:14" s="37" customFormat="1" hidden="1" x14ac:dyDescent="0.35">
      <c r="A141" s="196">
        <f t="shared" si="0"/>
        <v>3</v>
      </c>
      <c r="B141" s="196"/>
      <c r="C141" s="42"/>
      <c r="D141" s="42"/>
      <c r="E141" s="42">
        <v>0</v>
      </c>
      <c r="F141" s="42">
        <f t="shared" si="1"/>
        <v>0</v>
      </c>
      <c r="G141" s="196" t="str">
        <f t="shared" si="2"/>
        <v>Ground Floor</v>
      </c>
      <c r="H141" s="196"/>
      <c r="I141" s="36"/>
      <c r="L141" s="63"/>
      <c r="M141" s="63"/>
      <c r="N141" s="36"/>
    </row>
    <row r="142" spans="1:14" s="37" customFormat="1" hidden="1" x14ac:dyDescent="0.35">
      <c r="A142" s="196">
        <f t="shared" si="0"/>
        <v>4</v>
      </c>
      <c r="B142" s="196"/>
      <c r="C142" s="42"/>
      <c r="D142" s="42"/>
      <c r="E142" s="42">
        <v>0</v>
      </c>
      <c r="F142" s="42">
        <f t="shared" si="1"/>
        <v>0</v>
      </c>
      <c r="G142" s="196" t="str">
        <f t="shared" si="2"/>
        <v>Ground Floor</v>
      </c>
      <c r="H142" s="196"/>
      <c r="I142" s="36"/>
      <c r="L142" s="63"/>
      <c r="M142" s="63"/>
      <c r="N142" s="36"/>
    </row>
    <row r="143" spans="1:14" s="37" customFormat="1" hidden="1" x14ac:dyDescent="0.35">
      <c r="A143" s="196"/>
      <c r="B143" s="196"/>
      <c r="C143" s="196"/>
      <c r="D143" s="196"/>
      <c r="E143" s="196"/>
      <c r="F143" s="196"/>
      <c r="G143" s="196"/>
      <c r="H143" s="196"/>
      <c r="I143" s="36"/>
      <c r="N143" s="36"/>
    </row>
    <row r="144" spans="1:14" ht="47.25" customHeight="1" x14ac:dyDescent="0.35">
      <c r="A144" s="191" t="s">
        <v>126</v>
      </c>
      <c r="B144" s="191" t="s">
        <v>127</v>
      </c>
      <c r="C144" s="191" t="s">
        <v>59</v>
      </c>
      <c r="D144" s="191" t="s">
        <v>60</v>
      </c>
      <c r="E144" s="192" t="s">
        <v>61</v>
      </c>
      <c r="F144" s="193" t="s">
        <v>155</v>
      </c>
      <c r="G144" s="191" t="s">
        <v>62</v>
      </c>
      <c r="H144" s="191"/>
      <c r="I144" s="36"/>
    </row>
    <row r="145" spans="1:14" s="37" customFormat="1" x14ac:dyDescent="0.35">
      <c r="A145" s="191"/>
      <c r="B145" s="191"/>
      <c r="C145" s="191"/>
      <c r="D145" s="191"/>
      <c r="E145" s="192"/>
      <c r="F145" s="194">
        <v>0.5</v>
      </c>
      <c r="G145" s="191"/>
      <c r="H145" s="191"/>
      <c r="I145" s="36"/>
    </row>
    <row r="146" spans="1:14" s="37" customFormat="1" x14ac:dyDescent="0.35">
      <c r="A146" s="195" t="s">
        <v>203</v>
      </c>
      <c r="B146" s="195"/>
      <c r="C146" s="195"/>
      <c r="D146" s="195"/>
      <c r="E146" s="195"/>
      <c r="F146" s="195"/>
      <c r="G146" s="195"/>
      <c r="H146" s="195"/>
      <c r="J146" s="36"/>
    </row>
    <row r="147" spans="1:14" s="37" customFormat="1" x14ac:dyDescent="0.35">
      <c r="A147" s="195" t="s">
        <v>204</v>
      </c>
      <c r="B147" s="195"/>
      <c r="C147" s="195"/>
      <c r="D147" s="195"/>
      <c r="E147" s="195"/>
      <c r="F147" s="195"/>
      <c r="G147" s="195"/>
      <c r="H147" s="195"/>
      <c r="J147" s="36"/>
    </row>
    <row r="148" spans="1:14" s="37" customFormat="1" x14ac:dyDescent="0.35">
      <c r="A148" s="195" t="s">
        <v>205</v>
      </c>
      <c r="B148" s="195"/>
      <c r="C148" s="195"/>
      <c r="D148" s="195"/>
      <c r="E148" s="195"/>
      <c r="F148" s="195"/>
      <c r="G148" s="195"/>
      <c r="H148" s="195"/>
      <c r="J148" s="36"/>
    </row>
    <row r="149" spans="1:14" s="37" customFormat="1" ht="15.75" customHeight="1" x14ac:dyDescent="0.35">
      <c r="A149" s="196">
        <v>1</v>
      </c>
      <c r="B149" s="196"/>
      <c r="C149" s="42" t="s">
        <v>206</v>
      </c>
      <c r="D149" s="54">
        <f>(45.3+10.4)*10.764</f>
        <v>599.55479999999989</v>
      </c>
      <c r="E149" s="42">
        <v>0</v>
      </c>
      <c r="F149" s="42">
        <f t="shared" ref="F149:F160" si="3">D149*(($F$145)+1)+(IF(E149&lt;101,E149,IF(E149&lt;201,E149/2,IF(E149&lt;=301,E149/3,E149/4))))</f>
        <v>899.33219999999983</v>
      </c>
      <c r="G149" s="196" t="str">
        <f>A148</f>
        <v>1st to 7th, 9th &amp; 10th Floor For Residential</v>
      </c>
      <c r="H149" s="196"/>
      <c r="I149" s="36"/>
      <c r="J149" s="54">
        <v>10.763999999999999</v>
      </c>
      <c r="L149" s="63"/>
      <c r="M149" s="63"/>
      <c r="N149" s="36"/>
    </row>
    <row r="150" spans="1:14" s="37" customFormat="1" ht="15.75" customHeight="1" x14ac:dyDescent="0.35">
      <c r="A150" s="196">
        <f t="shared" ref="A150:A160" si="4">A149+1</f>
        <v>2</v>
      </c>
      <c r="B150" s="196"/>
      <c r="C150" s="42" t="s">
        <v>207</v>
      </c>
      <c r="D150" s="54">
        <f>(35.28+4.95)*10.764</f>
        <v>433.03572000000003</v>
      </c>
      <c r="E150" s="42">
        <v>0</v>
      </c>
      <c r="F150" s="42">
        <f t="shared" si="3"/>
        <v>649.55358000000001</v>
      </c>
      <c r="G150" s="196"/>
      <c r="H150" s="196"/>
      <c r="I150" s="36"/>
      <c r="L150" s="63"/>
      <c r="M150" s="63"/>
      <c r="N150" s="36"/>
    </row>
    <row r="151" spans="1:14" s="37" customFormat="1" ht="15.75" customHeight="1" x14ac:dyDescent="0.35">
      <c r="A151" s="196">
        <f t="shared" si="4"/>
        <v>3</v>
      </c>
      <c r="B151" s="196"/>
      <c r="C151" s="42" t="s">
        <v>207</v>
      </c>
      <c r="D151" s="54">
        <f>(34.56+4.88)*10.764</f>
        <v>424.53216000000003</v>
      </c>
      <c r="E151" s="42">
        <v>0</v>
      </c>
      <c r="F151" s="42">
        <f t="shared" si="3"/>
        <v>636.79824000000008</v>
      </c>
      <c r="G151" s="196"/>
      <c r="H151" s="196"/>
      <c r="I151" s="36"/>
      <c r="L151" s="63"/>
      <c r="M151" s="63"/>
      <c r="N151" s="36"/>
    </row>
    <row r="152" spans="1:14" s="37" customFormat="1" ht="15.75" customHeight="1" x14ac:dyDescent="0.35">
      <c r="A152" s="196">
        <f t="shared" si="4"/>
        <v>4</v>
      </c>
      <c r="B152" s="196"/>
      <c r="C152" s="42" t="s">
        <v>207</v>
      </c>
      <c r="D152" s="54">
        <f>(34.56+4.88)*10.764</f>
        <v>424.53216000000003</v>
      </c>
      <c r="E152" s="42">
        <v>0</v>
      </c>
      <c r="F152" s="42">
        <f t="shared" si="3"/>
        <v>636.79824000000008</v>
      </c>
      <c r="G152" s="196"/>
      <c r="H152" s="196"/>
      <c r="I152" s="36"/>
      <c r="L152" s="63"/>
      <c r="M152" s="63"/>
      <c r="N152" s="36"/>
    </row>
    <row r="153" spans="1:14" s="37" customFormat="1" ht="15.75" customHeight="1" x14ac:dyDescent="0.35">
      <c r="A153" s="196">
        <f t="shared" si="4"/>
        <v>5</v>
      </c>
      <c r="B153" s="196"/>
      <c r="C153" s="42" t="s">
        <v>207</v>
      </c>
      <c r="D153" s="54">
        <f>(35.28+4.95)*10.764</f>
        <v>433.03572000000003</v>
      </c>
      <c r="E153" s="42">
        <v>0</v>
      </c>
      <c r="F153" s="42">
        <f t="shared" si="3"/>
        <v>649.55358000000001</v>
      </c>
      <c r="G153" s="196"/>
      <c r="H153" s="196"/>
      <c r="I153" s="36"/>
      <c r="L153" s="63"/>
      <c r="M153" s="63"/>
      <c r="N153" s="36"/>
    </row>
    <row r="154" spans="1:14" s="37" customFormat="1" ht="15.75" customHeight="1" x14ac:dyDescent="0.35">
      <c r="A154" s="196">
        <f t="shared" si="4"/>
        <v>6</v>
      </c>
      <c r="B154" s="196"/>
      <c r="C154" s="42" t="s">
        <v>207</v>
      </c>
      <c r="D154" s="54">
        <f>(34.17+5)*10.764</f>
        <v>421.62588</v>
      </c>
      <c r="E154" s="42">
        <v>0</v>
      </c>
      <c r="F154" s="42">
        <f t="shared" si="3"/>
        <v>632.43881999999996</v>
      </c>
      <c r="G154" s="196"/>
      <c r="H154" s="196"/>
      <c r="I154" s="36"/>
      <c r="L154" s="63"/>
      <c r="M154" s="63"/>
      <c r="N154" s="36"/>
    </row>
    <row r="155" spans="1:14" s="37" customFormat="1" ht="15.75" customHeight="1" x14ac:dyDescent="0.35">
      <c r="A155" s="196">
        <f t="shared" si="4"/>
        <v>7</v>
      </c>
      <c r="B155" s="196"/>
      <c r="C155" s="42" t="s">
        <v>207</v>
      </c>
      <c r="D155" s="54">
        <f>(34.17+5)*10.764</f>
        <v>421.62588</v>
      </c>
      <c r="E155" s="42">
        <v>0</v>
      </c>
      <c r="F155" s="42">
        <f t="shared" si="3"/>
        <v>632.43881999999996</v>
      </c>
      <c r="G155" s="196"/>
      <c r="H155" s="196"/>
      <c r="I155" s="36"/>
      <c r="L155" s="63"/>
      <c r="M155" s="63"/>
      <c r="N155" s="36"/>
    </row>
    <row r="156" spans="1:14" s="37" customFormat="1" ht="15.75" customHeight="1" x14ac:dyDescent="0.35">
      <c r="A156" s="196">
        <f t="shared" si="4"/>
        <v>8</v>
      </c>
      <c r="B156" s="196"/>
      <c r="C156" s="42" t="s">
        <v>206</v>
      </c>
      <c r="D156" s="54">
        <f>(47.42+6.7)*10.764</f>
        <v>582.54768000000001</v>
      </c>
      <c r="E156" s="42">
        <v>0</v>
      </c>
      <c r="F156" s="42">
        <f t="shared" si="3"/>
        <v>873.82151999999996</v>
      </c>
      <c r="G156" s="196"/>
      <c r="H156" s="196"/>
      <c r="I156" s="36"/>
      <c r="L156" s="63"/>
      <c r="M156" s="63"/>
      <c r="N156" s="36"/>
    </row>
    <row r="157" spans="1:14" s="37" customFormat="1" ht="15.75" customHeight="1" x14ac:dyDescent="0.35">
      <c r="A157" s="196">
        <f t="shared" si="4"/>
        <v>9</v>
      </c>
      <c r="B157" s="196"/>
      <c r="C157" s="42" t="s">
        <v>207</v>
      </c>
      <c r="D157" s="54">
        <f>(35.1+5)*10.764</f>
        <v>431.63639999999998</v>
      </c>
      <c r="E157" s="42">
        <v>0</v>
      </c>
      <c r="F157" s="42">
        <f t="shared" si="3"/>
        <v>647.45460000000003</v>
      </c>
      <c r="G157" s="196"/>
      <c r="H157" s="196"/>
      <c r="I157" s="36"/>
      <c r="L157" s="63"/>
      <c r="M157" s="63"/>
      <c r="N157" s="36"/>
    </row>
    <row r="158" spans="1:14" s="37" customFormat="1" ht="15.75" customHeight="1" x14ac:dyDescent="0.35">
      <c r="A158" s="196">
        <f t="shared" si="4"/>
        <v>10</v>
      </c>
      <c r="B158" s="196"/>
      <c r="C158" s="42" t="s">
        <v>207</v>
      </c>
      <c r="D158" s="54">
        <f>(35.1+5)*10.764</f>
        <v>431.63639999999998</v>
      </c>
      <c r="E158" s="42">
        <v>0</v>
      </c>
      <c r="F158" s="42">
        <f t="shared" si="3"/>
        <v>647.45460000000003</v>
      </c>
      <c r="G158" s="196"/>
      <c r="H158" s="196"/>
      <c r="I158" s="36"/>
      <c r="L158" s="63"/>
      <c r="M158" s="63"/>
      <c r="N158" s="36"/>
    </row>
    <row r="159" spans="1:14" s="37" customFormat="1" ht="15.75" customHeight="1" x14ac:dyDescent="0.35">
      <c r="A159" s="196">
        <f t="shared" si="4"/>
        <v>11</v>
      </c>
      <c r="B159" s="196"/>
      <c r="C159" s="42" t="s">
        <v>206</v>
      </c>
      <c r="D159" s="54">
        <f>(47.42+6.7)*10.764</f>
        <v>582.54768000000001</v>
      </c>
      <c r="E159" s="42">
        <v>0</v>
      </c>
      <c r="F159" s="42">
        <f t="shared" si="3"/>
        <v>873.82151999999996</v>
      </c>
      <c r="G159" s="196"/>
      <c r="H159" s="196"/>
      <c r="I159" s="36"/>
      <c r="L159" s="63"/>
      <c r="M159" s="63"/>
      <c r="N159" s="36"/>
    </row>
    <row r="160" spans="1:14" s="37" customFormat="1" ht="15.75" customHeight="1" x14ac:dyDescent="0.35">
      <c r="A160" s="196">
        <f t="shared" si="4"/>
        <v>12</v>
      </c>
      <c r="B160" s="196"/>
      <c r="C160" s="42" t="s">
        <v>206</v>
      </c>
      <c r="D160" s="54">
        <f>(46.63+4.95)*10.764</f>
        <v>555.20712000000003</v>
      </c>
      <c r="E160" s="42">
        <v>0</v>
      </c>
      <c r="F160" s="42">
        <f t="shared" si="3"/>
        <v>832.81068000000005</v>
      </c>
      <c r="G160" s="196"/>
      <c r="H160" s="196"/>
      <c r="I160" s="36"/>
      <c r="L160" s="63"/>
      <c r="M160" s="63"/>
      <c r="N160" s="36"/>
    </row>
    <row r="161" spans="1:14" s="37" customFormat="1" x14ac:dyDescent="0.35">
      <c r="A161" s="71" t="s">
        <v>208</v>
      </c>
      <c r="B161" s="72"/>
      <c r="C161" s="72"/>
      <c r="D161" s="72"/>
      <c r="E161" s="72"/>
      <c r="F161" s="72"/>
      <c r="G161" s="72"/>
      <c r="H161" s="73"/>
      <c r="J161" s="36"/>
    </row>
    <row r="162" spans="1:14" s="37" customFormat="1" ht="15.75" customHeight="1" x14ac:dyDescent="0.35">
      <c r="A162" s="61">
        <v>1</v>
      </c>
      <c r="B162" s="62"/>
      <c r="C162" s="61" t="s">
        <v>210</v>
      </c>
      <c r="D162" s="64"/>
      <c r="E162" s="64"/>
      <c r="F162" s="62"/>
      <c r="G162" s="65" t="str">
        <f>A161</f>
        <v>8th Floor (Part Refuge Area)</v>
      </c>
      <c r="H162" s="66"/>
      <c r="I162" s="36"/>
      <c r="J162" s="54">
        <v>10.763999999999999</v>
      </c>
      <c r="L162" s="63"/>
      <c r="M162" s="63"/>
      <c r="N162" s="36"/>
    </row>
    <row r="163" spans="1:14" s="37" customFormat="1" ht="15.75" customHeight="1" x14ac:dyDescent="0.35">
      <c r="A163" s="61">
        <f t="shared" ref="A163:A173" si="5">A162+1</f>
        <v>2</v>
      </c>
      <c r="B163" s="62"/>
      <c r="C163" s="42" t="s">
        <v>207</v>
      </c>
      <c r="D163" s="54">
        <f>(35.28+4.95)*10.764</f>
        <v>433.03572000000003</v>
      </c>
      <c r="E163" s="42">
        <v>0</v>
      </c>
      <c r="F163" s="42">
        <f t="shared" ref="F163:F173" si="6">D163*(($F$145)+1)+(IF(E163&lt;101,E163,IF(E163&lt;201,E163/2,IF(E163&lt;=301,E163/3,E163/4))))</f>
        <v>649.55358000000001</v>
      </c>
      <c r="G163" s="67"/>
      <c r="H163" s="68"/>
      <c r="I163" s="36"/>
      <c r="L163" s="63"/>
      <c r="M163" s="63"/>
      <c r="N163" s="36"/>
    </row>
    <row r="164" spans="1:14" s="37" customFormat="1" ht="15.75" customHeight="1" x14ac:dyDescent="0.35">
      <c r="A164" s="61">
        <f t="shared" si="5"/>
        <v>3</v>
      </c>
      <c r="B164" s="62"/>
      <c r="C164" s="42" t="s">
        <v>207</v>
      </c>
      <c r="D164" s="54">
        <f>(34.56+4.88)*10.764</f>
        <v>424.53216000000003</v>
      </c>
      <c r="E164" s="42">
        <v>0</v>
      </c>
      <c r="F164" s="42">
        <f t="shared" si="6"/>
        <v>636.79824000000008</v>
      </c>
      <c r="G164" s="67"/>
      <c r="H164" s="68"/>
      <c r="I164" s="36"/>
      <c r="L164" s="63"/>
      <c r="M164" s="63"/>
      <c r="N164" s="36"/>
    </row>
    <row r="165" spans="1:14" s="37" customFormat="1" ht="15.75" customHeight="1" x14ac:dyDescent="0.35">
      <c r="A165" s="61">
        <f t="shared" si="5"/>
        <v>4</v>
      </c>
      <c r="B165" s="62"/>
      <c r="C165" s="42" t="s">
        <v>207</v>
      </c>
      <c r="D165" s="54">
        <f>(34.56+4.88)*10.764</f>
        <v>424.53216000000003</v>
      </c>
      <c r="E165" s="42">
        <v>0</v>
      </c>
      <c r="F165" s="42">
        <f t="shared" si="6"/>
        <v>636.79824000000008</v>
      </c>
      <c r="G165" s="67"/>
      <c r="H165" s="68"/>
      <c r="I165" s="36"/>
      <c r="L165" s="63"/>
      <c r="M165" s="63"/>
      <c r="N165" s="36"/>
    </row>
    <row r="166" spans="1:14" s="37" customFormat="1" ht="15.75" customHeight="1" x14ac:dyDescent="0.35">
      <c r="A166" s="61">
        <f t="shared" si="5"/>
        <v>5</v>
      </c>
      <c r="B166" s="62"/>
      <c r="C166" s="42" t="s">
        <v>207</v>
      </c>
      <c r="D166" s="54">
        <f>(35.28+4.95)*10.764</f>
        <v>433.03572000000003</v>
      </c>
      <c r="E166" s="42">
        <v>0</v>
      </c>
      <c r="F166" s="42">
        <f t="shared" si="6"/>
        <v>649.55358000000001</v>
      </c>
      <c r="G166" s="67"/>
      <c r="H166" s="68"/>
      <c r="I166" s="36"/>
      <c r="L166" s="63"/>
      <c r="M166" s="63"/>
      <c r="N166" s="36"/>
    </row>
    <row r="167" spans="1:14" s="37" customFormat="1" ht="15.75" customHeight="1" x14ac:dyDescent="0.35">
      <c r="A167" s="61">
        <f t="shared" si="5"/>
        <v>6</v>
      </c>
      <c r="B167" s="62"/>
      <c r="C167" s="42" t="s">
        <v>207</v>
      </c>
      <c r="D167" s="54">
        <f>(34.17+5)*10.764</f>
        <v>421.62588</v>
      </c>
      <c r="E167" s="42">
        <v>0</v>
      </c>
      <c r="F167" s="42">
        <f t="shared" si="6"/>
        <v>632.43881999999996</v>
      </c>
      <c r="G167" s="67"/>
      <c r="H167" s="68"/>
      <c r="I167" s="36"/>
      <c r="L167" s="63"/>
      <c r="M167" s="63"/>
      <c r="N167" s="36"/>
    </row>
    <row r="168" spans="1:14" s="37" customFormat="1" ht="15.75" customHeight="1" x14ac:dyDescent="0.35">
      <c r="A168" s="61">
        <f t="shared" si="5"/>
        <v>7</v>
      </c>
      <c r="B168" s="62"/>
      <c r="C168" s="42" t="s">
        <v>207</v>
      </c>
      <c r="D168" s="54">
        <f>(34.17+5)*10.764</f>
        <v>421.62588</v>
      </c>
      <c r="E168" s="42">
        <v>0</v>
      </c>
      <c r="F168" s="42">
        <f t="shared" si="6"/>
        <v>632.43881999999996</v>
      </c>
      <c r="G168" s="67"/>
      <c r="H168" s="68"/>
      <c r="I168" s="36"/>
      <c r="L168" s="63"/>
      <c r="M168" s="63"/>
      <c r="N168" s="36"/>
    </row>
    <row r="169" spans="1:14" s="37" customFormat="1" ht="15.75" customHeight="1" x14ac:dyDescent="0.35">
      <c r="A169" s="61">
        <f t="shared" si="5"/>
        <v>8</v>
      </c>
      <c r="B169" s="62"/>
      <c r="C169" s="42" t="s">
        <v>206</v>
      </c>
      <c r="D169" s="54">
        <f>(47.42+6.7)*10.764</f>
        <v>582.54768000000001</v>
      </c>
      <c r="E169" s="42">
        <v>0</v>
      </c>
      <c r="F169" s="42">
        <f t="shared" si="6"/>
        <v>873.82151999999996</v>
      </c>
      <c r="G169" s="67"/>
      <c r="H169" s="68"/>
      <c r="I169" s="36"/>
      <c r="L169" s="63"/>
      <c r="M169" s="63"/>
      <c r="N169" s="36"/>
    </row>
    <row r="170" spans="1:14" s="37" customFormat="1" ht="15.75" customHeight="1" x14ac:dyDescent="0.35">
      <c r="A170" s="61">
        <f t="shared" si="5"/>
        <v>9</v>
      </c>
      <c r="B170" s="62"/>
      <c r="C170" s="42" t="s">
        <v>207</v>
      </c>
      <c r="D170" s="54">
        <f>(35.1+5)*10.764</f>
        <v>431.63639999999998</v>
      </c>
      <c r="E170" s="42">
        <v>0</v>
      </c>
      <c r="F170" s="42">
        <f t="shared" si="6"/>
        <v>647.45460000000003</v>
      </c>
      <c r="G170" s="67"/>
      <c r="H170" s="68"/>
      <c r="I170" s="36"/>
      <c r="L170" s="63"/>
      <c r="M170" s="63"/>
      <c r="N170" s="36"/>
    </row>
    <row r="171" spans="1:14" s="37" customFormat="1" ht="15.75" customHeight="1" x14ac:dyDescent="0.35">
      <c r="A171" s="61">
        <f t="shared" si="5"/>
        <v>10</v>
      </c>
      <c r="B171" s="62"/>
      <c r="C171" s="42" t="s">
        <v>207</v>
      </c>
      <c r="D171" s="54">
        <f>(35.1+5)*10.764</f>
        <v>431.63639999999998</v>
      </c>
      <c r="E171" s="42">
        <v>0</v>
      </c>
      <c r="F171" s="42">
        <f t="shared" si="6"/>
        <v>647.45460000000003</v>
      </c>
      <c r="G171" s="67"/>
      <c r="H171" s="68"/>
      <c r="I171" s="36"/>
      <c r="L171" s="63"/>
      <c r="M171" s="63"/>
      <c r="N171" s="36"/>
    </row>
    <row r="172" spans="1:14" s="37" customFormat="1" ht="15.75" customHeight="1" x14ac:dyDescent="0.35">
      <c r="A172" s="61">
        <f t="shared" si="5"/>
        <v>11</v>
      </c>
      <c r="B172" s="62"/>
      <c r="C172" s="42" t="s">
        <v>206</v>
      </c>
      <c r="D172" s="54">
        <f>(47.42+6.7)*10.764</f>
        <v>582.54768000000001</v>
      </c>
      <c r="E172" s="42">
        <v>0</v>
      </c>
      <c r="F172" s="42">
        <f t="shared" si="6"/>
        <v>873.82151999999996</v>
      </c>
      <c r="G172" s="67"/>
      <c r="H172" s="68"/>
      <c r="I172" s="36"/>
      <c r="L172" s="63"/>
      <c r="M172" s="63"/>
      <c r="N172" s="36"/>
    </row>
    <row r="173" spans="1:14" s="37" customFormat="1" ht="15.75" customHeight="1" x14ac:dyDescent="0.35">
      <c r="A173" s="61">
        <f t="shared" si="5"/>
        <v>12</v>
      </c>
      <c r="B173" s="62"/>
      <c r="C173" s="42" t="s">
        <v>206</v>
      </c>
      <c r="D173" s="54">
        <f>(46.63+4.95)*10.764</f>
        <v>555.20712000000003</v>
      </c>
      <c r="E173" s="42">
        <v>0</v>
      </c>
      <c r="F173" s="42">
        <f t="shared" si="6"/>
        <v>832.81068000000005</v>
      </c>
      <c r="G173" s="69"/>
      <c r="H173" s="70"/>
      <c r="I173" s="36"/>
      <c r="L173" s="63"/>
      <c r="M173" s="63"/>
      <c r="N173" s="36"/>
    </row>
    <row r="174" spans="1:14" s="37" customFormat="1" x14ac:dyDescent="0.35">
      <c r="A174" s="195" t="s">
        <v>209</v>
      </c>
      <c r="B174" s="195"/>
      <c r="C174" s="195"/>
      <c r="D174" s="195"/>
      <c r="E174" s="195"/>
      <c r="F174" s="195"/>
      <c r="G174" s="195"/>
      <c r="H174" s="195"/>
      <c r="J174" s="36"/>
    </row>
    <row r="175" spans="1:14" s="37" customFormat="1" x14ac:dyDescent="0.35">
      <c r="A175" s="196">
        <v>1</v>
      </c>
      <c r="B175" s="196"/>
      <c r="C175" s="196" t="s">
        <v>211</v>
      </c>
      <c r="D175" s="196"/>
      <c r="E175" s="196"/>
      <c r="F175" s="196"/>
      <c r="G175" s="196" t="str">
        <f>A174</f>
        <v>11th Floor</v>
      </c>
      <c r="H175" s="196"/>
      <c r="I175" s="36"/>
      <c r="J175" s="54">
        <v>10.763999999999999</v>
      </c>
      <c r="L175" s="63"/>
      <c r="M175" s="63"/>
      <c r="N175" s="36"/>
    </row>
    <row r="176" spans="1:14" s="37" customFormat="1" x14ac:dyDescent="0.35">
      <c r="A176" s="196">
        <f t="shared" ref="A176:A186" si="7">A175+1</f>
        <v>2</v>
      </c>
      <c r="B176" s="196"/>
      <c r="C176" s="196" t="s">
        <v>211</v>
      </c>
      <c r="D176" s="196"/>
      <c r="E176" s="196"/>
      <c r="F176" s="196"/>
      <c r="G176" s="196"/>
      <c r="H176" s="196"/>
      <c r="I176" s="36"/>
      <c r="L176" s="63"/>
      <c r="M176" s="63"/>
      <c r="N176" s="36"/>
    </row>
    <row r="177" spans="1:14" s="37" customFormat="1" x14ac:dyDescent="0.35">
      <c r="A177" s="196">
        <f t="shared" si="7"/>
        <v>3</v>
      </c>
      <c r="B177" s="196"/>
      <c r="C177" s="196" t="s">
        <v>211</v>
      </c>
      <c r="D177" s="196"/>
      <c r="E177" s="196"/>
      <c r="F177" s="196"/>
      <c r="G177" s="196"/>
      <c r="H177" s="196"/>
      <c r="I177" s="36"/>
      <c r="L177" s="63"/>
      <c r="M177" s="63"/>
      <c r="N177" s="36"/>
    </row>
    <row r="178" spans="1:14" s="37" customFormat="1" x14ac:dyDescent="0.35">
      <c r="A178" s="196">
        <f t="shared" si="7"/>
        <v>4</v>
      </c>
      <c r="B178" s="196"/>
      <c r="C178" s="196" t="s">
        <v>211</v>
      </c>
      <c r="D178" s="196"/>
      <c r="E178" s="196"/>
      <c r="F178" s="196"/>
      <c r="G178" s="196"/>
      <c r="H178" s="196"/>
      <c r="I178" s="36"/>
      <c r="L178" s="63"/>
      <c r="M178" s="63"/>
      <c r="N178" s="36"/>
    </row>
    <row r="179" spans="1:14" s="37" customFormat="1" x14ac:dyDescent="0.35">
      <c r="A179" s="196">
        <f t="shared" si="7"/>
        <v>5</v>
      </c>
      <c r="B179" s="196"/>
      <c r="C179" s="196" t="s">
        <v>211</v>
      </c>
      <c r="D179" s="196"/>
      <c r="E179" s="196"/>
      <c r="F179" s="196"/>
      <c r="G179" s="196"/>
      <c r="H179" s="196"/>
      <c r="I179" s="36"/>
      <c r="L179" s="63"/>
      <c r="M179" s="63"/>
      <c r="N179" s="36"/>
    </row>
    <row r="180" spans="1:14" s="37" customFormat="1" x14ac:dyDescent="0.35">
      <c r="A180" s="196">
        <f t="shared" si="7"/>
        <v>6</v>
      </c>
      <c r="B180" s="196"/>
      <c r="C180" s="196" t="s">
        <v>211</v>
      </c>
      <c r="D180" s="196"/>
      <c r="E180" s="196"/>
      <c r="F180" s="196"/>
      <c r="G180" s="196"/>
      <c r="H180" s="196"/>
      <c r="I180" s="36"/>
      <c r="L180" s="63"/>
      <c r="M180" s="63"/>
      <c r="N180" s="36"/>
    </row>
    <row r="181" spans="1:14" s="37" customFormat="1" x14ac:dyDescent="0.35">
      <c r="A181" s="196">
        <f t="shared" si="7"/>
        <v>7</v>
      </c>
      <c r="B181" s="196"/>
      <c r="C181" s="42" t="s">
        <v>207</v>
      </c>
      <c r="D181" s="54">
        <f>(34.17+5)*10.764</f>
        <v>421.62588</v>
      </c>
      <c r="E181" s="42">
        <v>0</v>
      </c>
      <c r="F181" s="42">
        <f t="shared" ref="F181:F186" si="8">D181*(($F$145)+1)+(IF(E181&lt;101,E181,IF(E181&lt;201,E181/2,IF(E181&lt;=301,E181/3,E181/4))))</f>
        <v>632.43881999999996</v>
      </c>
      <c r="G181" s="196"/>
      <c r="H181" s="196"/>
      <c r="I181" s="36"/>
      <c r="L181" s="63"/>
      <c r="M181" s="63"/>
      <c r="N181" s="36"/>
    </row>
    <row r="182" spans="1:14" s="37" customFormat="1" ht="15.75" customHeight="1" x14ac:dyDescent="0.35">
      <c r="A182" s="196">
        <f t="shared" si="7"/>
        <v>8</v>
      </c>
      <c r="B182" s="196"/>
      <c r="C182" s="42" t="s">
        <v>206</v>
      </c>
      <c r="D182" s="54">
        <f>(47.42+6.7)*10.764</f>
        <v>582.54768000000001</v>
      </c>
      <c r="E182" s="42">
        <v>0</v>
      </c>
      <c r="F182" s="42">
        <f t="shared" si="8"/>
        <v>873.82151999999996</v>
      </c>
      <c r="G182" s="196"/>
      <c r="H182" s="196"/>
      <c r="I182" s="36"/>
      <c r="L182" s="63"/>
      <c r="M182" s="63"/>
      <c r="N182" s="36"/>
    </row>
    <row r="183" spans="1:14" s="37" customFormat="1" ht="15.75" customHeight="1" x14ac:dyDescent="0.35">
      <c r="A183" s="196">
        <f t="shared" si="7"/>
        <v>9</v>
      </c>
      <c r="B183" s="196"/>
      <c r="C183" s="42" t="s">
        <v>207</v>
      </c>
      <c r="D183" s="54">
        <f>(35.1+5)*10.764</f>
        <v>431.63639999999998</v>
      </c>
      <c r="E183" s="42">
        <v>0</v>
      </c>
      <c r="F183" s="42">
        <f t="shared" si="8"/>
        <v>647.45460000000003</v>
      </c>
      <c r="G183" s="196"/>
      <c r="H183" s="196"/>
      <c r="I183" s="36"/>
      <c r="L183" s="63"/>
      <c r="M183" s="63"/>
      <c r="N183" s="36"/>
    </row>
    <row r="184" spans="1:14" s="37" customFormat="1" ht="15.75" customHeight="1" x14ac:dyDescent="0.35">
      <c r="A184" s="196">
        <f t="shared" si="7"/>
        <v>10</v>
      </c>
      <c r="B184" s="196"/>
      <c r="C184" s="42" t="s">
        <v>207</v>
      </c>
      <c r="D184" s="54">
        <f>(35.1+5)*10.764</f>
        <v>431.63639999999998</v>
      </c>
      <c r="E184" s="42">
        <v>0</v>
      </c>
      <c r="F184" s="42">
        <f t="shared" si="8"/>
        <v>647.45460000000003</v>
      </c>
      <c r="G184" s="196"/>
      <c r="H184" s="196"/>
      <c r="I184" s="36"/>
      <c r="L184" s="63"/>
      <c r="M184" s="63"/>
      <c r="N184" s="36"/>
    </row>
    <row r="185" spans="1:14" s="37" customFormat="1" ht="15.75" customHeight="1" x14ac:dyDescent="0.35">
      <c r="A185" s="196">
        <f t="shared" si="7"/>
        <v>11</v>
      </c>
      <c r="B185" s="196"/>
      <c r="C185" s="42" t="s">
        <v>206</v>
      </c>
      <c r="D185" s="54">
        <f>(47.42+6.7)*10.764</f>
        <v>582.54768000000001</v>
      </c>
      <c r="E185" s="42">
        <v>0</v>
      </c>
      <c r="F185" s="42">
        <f t="shared" si="8"/>
        <v>873.82151999999996</v>
      </c>
      <c r="G185" s="196"/>
      <c r="H185" s="196"/>
      <c r="I185" s="36"/>
      <c r="L185" s="63"/>
      <c r="M185" s="63"/>
      <c r="N185" s="36"/>
    </row>
    <row r="186" spans="1:14" s="37" customFormat="1" ht="15.75" customHeight="1" x14ac:dyDescent="0.35">
      <c r="A186" s="196">
        <f t="shared" si="7"/>
        <v>12</v>
      </c>
      <c r="B186" s="196"/>
      <c r="C186" s="42" t="s">
        <v>206</v>
      </c>
      <c r="D186" s="54">
        <f>(46.63+4.95)*10.764</f>
        <v>555.20712000000003</v>
      </c>
      <c r="E186" s="42">
        <v>0</v>
      </c>
      <c r="F186" s="42">
        <f t="shared" si="8"/>
        <v>832.81068000000005</v>
      </c>
      <c r="G186" s="196"/>
      <c r="H186" s="196"/>
      <c r="I186" s="36"/>
      <c r="L186" s="63"/>
      <c r="M186" s="63"/>
      <c r="N186" s="36"/>
    </row>
    <row r="187" spans="1:14" s="37" customFormat="1" x14ac:dyDescent="0.35">
      <c r="A187" s="71" t="s">
        <v>212</v>
      </c>
      <c r="B187" s="72"/>
      <c r="C187" s="72"/>
      <c r="D187" s="72"/>
      <c r="E187" s="72"/>
      <c r="F187" s="72"/>
      <c r="G187" s="72"/>
      <c r="H187" s="73"/>
      <c r="J187" s="36"/>
    </row>
    <row r="188" spans="1:14" s="37" customFormat="1" x14ac:dyDescent="0.35">
      <c r="A188" s="71" t="s">
        <v>213</v>
      </c>
      <c r="B188" s="72"/>
      <c r="C188" s="72"/>
      <c r="D188" s="72"/>
      <c r="E188" s="72"/>
      <c r="F188" s="72"/>
      <c r="G188" s="72"/>
      <c r="H188" s="73"/>
      <c r="J188" s="36"/>
    </row>
    <row r="189" spans="1:14" s="37" customFormat="1" x14ac:dyDescent="0.35">
      <c r="A189" s="71" t="s">
        <v>214</v>
      </c>
      <c r="B189" s="72"/>
      <c r="C189" s="72"/>
      <c r="D189" s="72"/>
      <c r="E189" s="72"/>
      <c r="F189" s="72"/>
      <c r="G189" s="72"/>
      <c r="H189" s="73"/>
      <c r="J189" s="36"/>
    </row>
    <row r="190" spans="1:14" s="37" customFormat="1" ht="15.75" customHeight="1" x14ac:dyDescent="0.35">
      <c r="A190" s="61">
        <v>1</v>
      </c>
      <c r="B190" s="62"/>
      <c r="C190" s="42" t="s">
        <v>207</v>
      </c>
      <c r="D190" s="54">
        <f>(37.1)*10.764</f>
        <v>399.34440000000001</v>
      </c>
      <c r="E190" s="42">
        <v>0</v>
      </c>
      <c r="F190" s="42">
        <f t="shared" ref="F190:F200" si="9">D190*(($F$145)+1)+(IF(E190&lt;101,E190,IF(E190&lt;201,E190/2,IF(E190&lt;=301,E190/3,E190/4))))</f>
        <v>599.01660000000004</v>
      </c>
      <c r="G190" s="65" t="str">
        <f>A189</f>
        <v>1st to 7th, 9th to 12th &amp; 14th Floor For Residential</v>
      </c>
      <c r="H190" s="66"/>
      <c r="I190" s="36"/>
      <c r="J190" s="54">
        <v>10.763999999999999</v>
      </c>
      <c r="L190" s="63"/>
      <c r="M190" s="63"/>
      <c r="N190" s="36"/>
    </row>
    <row r="191" spans="1:14" s="37" customFormat="1" ht="15.75" customHeight="1" x14ac:dyDescent="0.35">
      <c r="A191" s="61">
        <f t="shared" ref="A191:A200" si="10">A190+1</f>
        <v>2</v>
      </c>
      <c r="B191" s="62"/>
      <c r="C191" s="42" t="s">
        <v>207</v>
      </c>
      <c r="D191" s="54">
        <f>(36.44+2.7)*10.764</f>
        <v>421.30295999999998</v>
      </c>
      <c r="E191" s="42">
        <v>0</v>
      </c>
      <c r="F191" s="42">
        <f t="shared" si="9"/>
        <v>631.95443999999998</v>
      </c>
      <c r="G191" s="67"/>
      <c r="H191" s="68"/>
      <c r="I191" s="36"/>
      <c r="L191" s="63"/>
      <c r="M191" s="63"/>
      <c r="N191" s="36"/>
    </row>
    <row r="192" spans="1:14" s="37" customFormat="1" ht="15.75" customHeight="1" x14ac:dyDescent="0.35">
      <c r="A192" s="61">
        <f t="shared" si="10"/>
        <v>3</v>
      </c>
      <c r="B192" s="62"/>
      <c r="C192" s="42" t="s">
        <v>207</v>
      </c>
      <c r="D192" s="54">
        <f>(35.95+5)*10.764</f>
        <v>440.78579999999999</v>
      </c>
      <c r="E192" s="42">
        <v>0</v>
      </c>
      <c r="F192" s="42">
        <f t="shared" si="9"/>
        <v>661.17869999999994</v>
      </c>
      <c r="G192" s="67"/>
      <c r="H192" s="68"/>
      <c r="I192" s="36"/>
      <c r="L192" s="63"/>
      <c r="M192" s="63"/>
      <c r="N192" s="36"/>
    </row>
    <row r="193" spans="1:14" s="37" customFormat="1" ht="15.75" customHeight="1" x14ac:dyDescent="0.35">
      <c r="A193" s="61">
        <f t="shared" si="10"/>
        <v>4</v>
      </c>
      <c r="B193" s="62"/>
      <c r="C193" s="42" t="s">
        <v>207</v>
      </c>
      <c r="D193" s="54">
        <f>(35.95+5)*10.764</f>
        <v>440.78579999999999</v>
      </c>
      <c r="E193" s="42">
        <v>0</v>
      </c>
      <c r="F193" s="42">
        <f t="shared" si="9"/>
        <v>661.17869999999994</v>
      </c>
      <c r="G193" s="67"/>
      <c r="H193" s="68"/>
      <c r="I193" s="36"/>
      <c r="L193" s="63"/>
      <c r="M193" s="63"/>
      <c r="N193" s="36"/>
    </row>
    <row r="194" spans="1:14" s="37" customFormat="1" ht="15.75" customHeight="1" x14ac:dyDescent="0.35">
      <c r="A194" s="61">
        <f t="shared" si="10"/>
        <v>5</v>
      </c>
      <c r="B194" s="62"/>
      <c r="C194" s="42" t="s">
        <v>206</v>
      </c>
      <c r="D194" s="54">
        <f>(49.61+6.7)*10.764</f>
        <v>606.12084000000004</v>
      </c>
      <c r="E194" s="42">
        <v>0</v>
      </c>
      <c r="F194" s="42">
        <f t="shared" si="9"/>
        <v>909.18126000000007</v>
      </c>
      <c r="G194" s="67"/>
      <c r="H194" s="68"/>
      <c r="I194" s="36"/>
      <c r="L194" s="63"/>
      <c r="M194" s="63"/>
      <c r="N194" s="36"/>
    </row>
    <row r="195" spans="1:14" s="37" customFormat="1" ht="15.75" customHeight="1" x14ac:dyDescent="0.35">
      <c r="A195" s="61">
        <f t="shared" si="10"/>
        <v>6</v>
      </c>
      <c r="B195" s="62"/>
      <c r="C195" s="42" t="s">
        <v>207</v>
      </c>
      <c r="D195" s="54">
        <f>(34.77+5)*10.764</f>
        <v>428.08428000000004</v>
      </c>
      <c r="E195" s="42">
        <v>0</v>
      </c>
      <c r="F195" s="42">
        <f t="shared" si="9"/>
        <v>642.12642000000005</v>
      </c>
      <c r="G195" s="67"/>
      <c r="H195" s="68"/>
      <c r="I195" s="36"/>
      <c r="L195" s="63"/>
      <c r="M195" s="63"/>
      <c r="N195" s="36"/>
    </row>
    <row r="196" spans="1:14" s="37" customFormat="1" ht="15.75" customHeight="1" x14ac:dyDescent="0.35">
      <c r="A196" s="61">
        <f t="shared" si="10"/>
        <v>7</v>
      </c>
      <c r="B196" s="62"/>
      <c r="C196" s="42" t="s">
        <v>207</v>
      </c>
      <c r="D196" s="54">
        <f>(34.05+5)*10.764</f>
        <v>420.33419999999995</v>
      </c>
      <c r="E196" s="42">
        <v>0</v>
      </c>
      <c r="F196" s="42">
        <f t="shared" si="9"/>
        <v>630.5012999999999</v>
      </c>
      <c r="G196" s="67"/>
      <c r="H196" s="68"/>
      <c r="I196" s="36"/>
      <c r="L196" s="63"/>
      <c r="M196" s="63"/>
      <c r="N196" s="36"/>
    </row>
    <row r="197" spans="1:14" s="37" customFormat="1" ht="15.75" customHeight="1" x14ac:dyDescent="0.35">
      <c r="A197" s="61">
        <f t="shared" si="10"/>
        <v>8</v>
      </c>
      <c r="B197" s="62"/>
      <c r="C197" s="42" t="s">
        <v>206</v>
      </c>
      <c r="D197" s="54">
        <f>(48.91+10.45)*10.764</f>
        <v>638.95103999999992</v>
      </c>
      <c r="E197" s="42">
        <v>0</v>
      </c>
      <c r="F197" s="42">
        <f t="shared" si="9"/>
        <v>958.42655999999988</v>
      </c>
      <c r="G197" s="67"/>
      <c r="H197" s="68"/>
      <c r="I197" s="36"/>
      <c r="L197" s="63"/>
      <c r="M197" s="63"/>
      <c r="N197" s="36"/>
    </row>
    <row r="198" spans="1:14" s="37" customFormat="1" ht="15.75" customHeight="1" x14ac:dyDescent="0.35">
      <c r="A198" s="61">
        <f t="shared" si="10"/>
        <v>9</v>
      </c>
      <c r="B198" s="62"/>
      <c r="C198" s="42" t="s">
        <v>207</v>
      </c>
      <c r="D198" s="54">
        <f>(34.56+5)*10.764</f>
        <v>425.82384000000002</v>
      </c>
      <c r="E198" s="42">
        <v>0</v>
      </c>
      <c r="F198" s="42">
        <f t="shared" si="9"/>
        <v>638.73576000000003</v>
      </c>
      <c r="G198" s="67"/>
      <c r="H198" s="68"/>
      <c r="I198" s="36"/>
      <c r="L198" s="63"/>
      <c r="M198" s="63"/>
      <c r="N198" s="36"/>
    </row>
    <row r="199" spans="1:14" s="37" customFormat="1" ht="15.75" customHeight="1" x14ac:dyDescent="0.35">
      <c r="A199" s="61">
        <f t="shared" si="10"/>
        <v>10</v>
      </c>
      <c r="B199" s="62"/>
      <c r="C199" s="42" t="s">
        <v>207</v>
      </c>
      <c r="D199" s="54">
        <f>(32.5+7.7)*10.764</f>
        <v>432.71280000000002</v>
      </c>
      <c r="E199" s="42">
        <v>0</v>
      </c>
      <c r="F199" s="42">
        <f t="shared" si="9"/>
        <v>649.06920000000002</v>
      </c>
      <c r="G199" s="67"/>
      <c r="H199" s="68"/>
      <c r="I199" s="36"/>
      <c r="L199" s="63"/>
      <c r="M199" s="63"/>
      <c r="N199" s="36"/>
    </row>
    <row r="200" spans="1:14" s="37" customFormat="1" ht="15.75" customHeight="1" x14ac:dyDescent="0.35">
      <c r="A200" s="61">
        <f t="shared" si="10"/>
        <v>11</v>
      </c>
      <c r="B200" s="62"/>
      <c r="C200" s="42" t="s">
        <v>207</v>
      </c>
      <c r="D200" s="54">
        <f>(32.02+7.7)*10.764</f>
        <v>427.54608000000002</v>
      </c>
      <c r="E200" s="42">
        <v>0</v>
      </c>
      <c r="F200" s="42">
        <f t="shared" si="9"/>
        <v>641.31912</v>
      </c>
      <c r="G200" s="69"/>
      <c r="H200" s="70"/>
      <c r="I200" s="36"/>
      <c r="L200" s="63"/>
      <c r="M200" s="63"/>
      <c r="N200" s="36"/>
    </row>
    <row r="201" spans="1:14" s="37" customFormat="1" x14ac:dyDescent="0.35">
      <c r="A201" s="71" t="s">
        <v>215</v>
      </c>
      <c r="B201" s="72"/>
      <c r="C201" s="72"/>
      <c r="D201" s="72"/>
      <c r="E201" s="72"/>
      <c r="F201" s="72"/>
      <c r="G201" s="72"/>
      <c r="H201" s="73"/>
      <c r="J201" s="36"/>
    </row>
    <row r="202" spans="1:14" s="37" customFormat="1" ht="15.75" customHeight="1" x14ac:dyDescent="0.35">
      <c r="A202" s="61">
        <v>1</v>
      </c>
      <c r="B202" s="62"/>
      <c r="C202" s="42" t="s">
        <v>207</v>
      </c>
      <c r="D202" s="54">
        <f>(37.1)*10.764</f>
        <v>399.34440000000001</v>
      </c>
      <c r="E202" s="42">
        <v>0</v>
      </c>
      <c r="F202" s="42">
        <f t="shared" ref="F202:F211" si="11">D202*(($F$145)+1)+(IF(E202&lt;101,E202,IF(E202&lt;201,E202/2,IF(E202&lt;=301,E202/3,E202/4))))</f>
        <v>599.01660000000004</v>
      </c>
      <c r="G202" s="65" t="str">
        <f>A201</f>
        <v>8th &amp; 13th Floor (Part Refuge Area)</v>
      </c>
      <c r="H202" s="66"/>
      <c r="I202" s="36"/>
      <c r="J202" s="54">
        <v>10.763999999999999</v>
      </c>
      <c r="L202" s="63"/>
      <c r="M202" s="63"/>
      <c r="N202" s="36"/>
    </row>
    <row r="203" spans="1:14" s="37" customFormat="1" ht="15.75" customHeight="1" x14ac:dyDescent="0.35">
      <c r="A203" s="61">
        <f t="shared" ref="A203:A212" si="12">A202+1</f>
        <v>2</v>
      </c>
      <c r="B203" s="62"/>
      <c r="C203" s="42" t="s">
        <v>207</v>
      </c>
      <c r="D203" s="54">
        <f>(36.44+2.7)*10.764</f>
        <v>421.30295999999998</v>
      </c>
      <c r="E203" s="42">
        <v>0</v>
      </c>
      <c r="F203" s="42">
        <f t="shared" si="11"/>
        <v>631.95443999999998</v>
      </c>
      <c r="G203" s="67"/>
      <c r="H203" s="68"/>
      <c r="I203" s="36"/>
      <c r="L203" s="63"/>
      <c r="M203" s="63"/>
      <c r="N203" s="36"/>
    </row>
    <row r="204" spans="1:14" s="37" customFormat="1" ht="15.75" customHeight="1" x14ac:dyDescent="0.35">
      <c r="A204" s="61">
        <f t="shared" si="12"/>
        <v>3</v>
      </c>
      <c r="B204" s="62"/>
      <c r="C204" s="42" t="s">
        <v>207</v>
      </c>
      <c r="D204" s="54">
        <f>(35.95+5)*10.764</f>
        <v>440.78579999999999</v>
      </c>
      <c r="E204" s="42">
        <v>0</v>
      </c>
      <c r="F204" s="42">
        <f t="shared" si="11"/>
        <v>661.17869999999994</v>
      </c>
      <c r="G204" s="67"/>
      <c r="H204" s="68"/>
      <c r="I204" s="36"/>
      <c r="L204" s="63"/>
      <c r="M204" s="63"/>
      <c r="N204" s="36"/>
    </row>
    <row r="205" spans="1:14" s="37" customFormat="1" ht="15.75" customHeight="1" x14ac:dyDescent="0.35">
      <c r="A205" s="61">
        <f t="shared" si="12"/>
        <v>4</v>
      </c>
      <c r="B205" s="62"/>
      <c r="C205" s="42" t="s">
        <v>207</v>
      </c>
      <c r="D205" s="54">
        <f>(35.95+5)*10.764</f>
        <v>440.78579999999999</v>
      </c>
      <c r="E205" s="42">
        <v>0</v>
      </c>
      <c r="F205" s="42">
        <f t="shared" si="11"/>
        <v>661.17869999999994</v>
      </c>
      <c r="G205" s="67"/>
      <c r="H205" s="68"/>
      <c r="I205" s="36"/>
      <c r="L205" s="63"/>
      <c r="M205" s="63"/>
      <c r="N205" s="36"/>
    </row>
    <row r="206" spans="1:14" s="37" customFormat="1" ht="15.75" customHeight="1" x14ac:dyDescent="0.35">
      <c r="A206" s="61">
        <f t="shared" si="12"/>
        <v>5</v>
      </c>
      <c r="B206" s="62"/>
      <c r="C206" s="42" t="s">
        <v>206</v>
      </c>
      <c r="D206" s="54">
        <f>(49.61+6.7)*10.764</f>
        <v>606.12084000000004</v>
      </c>
      <c r="E206" s="42">
        <v>0</v>
      </c>
      <c r="F206" s="42">
        <f t="shared" si="11"/>
        <v>909.18126000000007</v>
      </c>
      <c r="G206" s="67"/>
      <c r="H206" s="68"/>
      <c r="I206" s="36"/>
      <c r="L206" s="63"/>
      <c r="M206" s="63"/>
      <c r="N206" s="36"/>
    </row>
    <row r="207" spans="1:14" s="37" customFormat="1" ht="15.75" customHeight="1" x14ac:dyDescent="0.35">
      <c r="A207" s="61">
        <f t="shared" si="12"/>
        <v>6</v>
      </c>
      <c r="B207" s="62"/>
      <c r="C207" s="42" t="s">
        <v>207</v>
      </c>
      <c r="D207" s="54">
        <f>(34.77+5)*10.764</f>
        <v>428.08428000000004</v>
      </c>
      <c r="E207" s="42">
        <v>0</v>
      </c>
      <c r="F207" s="42">
        <f t="shared" si="11"/>
        <v>642.12642000000005</v>
      </c>
      <c r="G207" s="67"/>
      <c r="H207" s="68"/>
      <c r="I207" s="36"/>
      <c r="L207" s="63"/>
      <c r="M207" s="63"/>
      <c r="N207" s="36"/>
    </row>
    <row r="208" spans="1:14" s="37" customFormat="1" ht="15.75" customHeight="1" x14ac:dyDescent="0.35">
      <c r="A208" s="61">
        <f t="shared" si="12"/>
        <v>7</v>
      </c>
      <c r="B208" s="62"/>
      <c r="C208" s="42" t="s">
        <v>207</v>
      </c>
      <c r="D208" s="54">
        <f>(34.05+5)*10.764</f>
        <v>420.33419999999995</v>
      </c>
      <c r="E208" s="42">
        <v>0</v>
      </c>
      <c r="F208" s="42">
        <f t="shared" si="11"/>
        <v>630.5012999999999</v>
      </c>
      <c r="G208" s="67"/>
      <c r="H208" s="68"/>
      <c r="I208" s="36"/>
      <c r="L208" s="63"/>
      <c r="M208" s="63"/>
      <c r="N208" s="36"/>
    </row>
    <row r="209" spans="1:14" s="37" customFormat="1" ht="15.75" customHeight="1" x14ac:dyDescent="0.35">
      <c r="A209" s="61">
        <f t="shared" si="12"/>
        <v>8</v>
      </c>
      <c r="B209" s="62"/>
      <c r="C209" s="42" t="s">
        <v>206</v>
      </c>
      <c r="D209" s="54">
        <f>(48.91+10.45)*10.764</f>
        <v>638.95103999999992</v>
      </c>
      <c r="E209" s="42">
        <v>0</v>
      </c>
      <c r="F209" s="42">
        <f t="shared" si="11"/>
        <v>958.42655999999988</v>
      </c>
      <c r="G209" s="67"/>
      <c r="H209" s="68"/>
      <c r="I209" s="36"/>
      <c r="L209" s="63"/>
      <c r="M209" s="63"/>
      <c r="N209" s="36"/>
    </row>
    <row r="210" spans="1:14" s="37" customFormat="1" ht="15.75" customHeight="1" x14ac:dyDescent="0.35">
      <c r="A210" s="61">
        <f t="shared" si="12"/>
        <v>9</v>
      </c>
      <c r="B210" s="62"/>
      <c r="C210" s="42" t="s">
        <v>207</v>
      </c>
      <c r="D210" s="54">
        <f>(34.56+5)*10.764</f>
        <v>425.82384000000002</v>
      </c>
      <c r="E210" s="42">
        <v>0</v>
      </c>
      <c r="F210" s="42">
        <f t="shared" si="11"/>
        <v>638.73576000000003</v>
      </c>
      <c r="G210" s="67"/>
      <c r="H210" s="68"/>
      <c r="I210" s="36"/>
      <c r="L210" s="63"/>
      <c r="M210" s="63"/>
      <c r="N210" s="36"/>
    </row>
    <row r="211" spans="1:14" s="37" customFormat="1" ht="15.75" customHeight="1" x14ac:dyDescent="0.35">
      <c r="A211" s="61">
        <f t="shared" si="12"/>
        <v>10</v>
      </c>
      <c r="B211" s="62"/>
      <c r="C211" s="42" t="s">
        <v>207</v>
      </c>
      <c r="D211" s="54">
        <f>(32.5+7.7)*10.764</f>
        <v>432.71280000000002</v>
      </c>
      <c r="E211" s="42">
        <v>0</v>
      </c>
      <c r="F211" s="42">
        <f t="shared" si="11"/>
        <v>649.06920000000002</v>
      </c>
      <c r="G211" s="67"/>
      <c r="H211" s="68"/>
      <c r="I211" s="36"/>
      <c r="L211" s="63"/>
      <c r="M211" s="63"/>
      <c r="N211" s="36"/>
    </row>
    <row r="212" spans="1:14" s="37" customFormat="1" ht="15.75" customHeight="1" x14ac:dyDescent="0.35">
      <c r="A212" s="61">
        <f t="shared" si="12"/>
        <v>11</v>
      </c>
      <c r="B212" s="62"/>
      <c r="C212" s="61" t="s">
        <v>210</v>
      </c>
      <c r="D212" s="64"/>
      <c r="E212" s="64"/>
      <c r="F212" s="62"/>
      <c r="G212" s="69"/>
      <c r="H212" s="70"/>
      <c r="I212" s="36"/>
      <c r="L212" s="63"/>
      <c r="M212" s="63"/>
      <c r="N212" s="36"/>
    </row>
    <row r="213" spans="1:14" s="35" customFormat="1" x14ac:dyDescent="0.35">
      <c r="A213" s="173" t="s">
        <v>70</v>
      </c>
      <c r="B213" s="173"/>
      <c r="C213" s="173"/>
      <c r="D213" s="173"/>
      <c r="E213" s="173"/>
      <c r="F213" s="173"/>
      <c r="G213" s="173"/>
      <c r="H213" s="173"/>
    </row>
    <row r="214" spans="1:14" s="35" customFormat="1" ht="32.25" customHeight="1" x14ac:dyDescent="0.35">
      <c r="A214" s="46" t="s">
        <v>159</v>
      </c>
      <c r="B214" s="122" t="s">
        <v>227</v>
      </c>
      <c r="C214" s="123"/>
      <c r="D214" s="123"/>
      <c r="E214" s="123"/>
      <c r="F214" s="123"/>
      <c r="G214" s="123"/>
      <c r="H214" s="124"/>
      <c r="I214" s="35" t="s">
        <v>225</v>
      </c>
    </row>
    <row r="215" spans="1:14" s="35" customFormat="1" x14ac:dyDescent="0.35">
      <c r="A215" s="46" t="s">
        <v>159</v>
      </c>
      <c r="B215" s="118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15" s="119"/>
      <c r="D215" s="119"/>
      <c r="E215" s="119"/>
      <c r="F215" s="119"/>
      <c r="G215" s="119"/>
      <c r="H215" s="120"/>
    </row>
    <row r="216" spans="1:14" s="35" customFormat="1" x14ac:dyDescent="0.35">
      <c r="A216" s="46" t="s">
        <v>159</v>
      </c>
      <c r="B216" s="118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6" s="119"/>
      <c r="D216" s="119"/>
      <c r="E216" s="119"/>
      <c r="F216" s="119"/>
      <c r="G216" s="119"/>
      <c r="H216" s="120"/>
    </row>
    <row r="217" spans="1:14" s="35" customFormat="1" x14ac:dyDescent="0.35">
      <c r="A217" s="46" t="s">
        <v>159</v>
      </c>
      <c r="B217" s="58" t="s">
        <v>129</v>
      </c>
      <c r="C217" s="59"/>
      <c r="D217" s="59"/>
      <c r="E217" s="59"/>
      <c r="F217" s="59"/>
      <c r="G217" s="59"/>
      <c r="H217" s="60"/>
    </row>
    <row r="218" spans="1:14" s="35" customFormat="1" x14ac:dyDescent="0.35">
      <c r="A218" s="46" t="s">
        <v>159</v>
      </c>
      <c r="B218" s="58" t="s">
        <v>216</v>
      </c>
      <c r="C218" s="59"/>
      <c r="D218" s="59"/>
      <c r="E218" s="59"/>
      <c r="F218" s="59"/>
      <c r="G218" s="59"/>
      <c r="H218" s="60"/>
    </row>
    <row r="219" spans="1:14" s="35" customFormat="1" x14ac:dyDescent="0.35">
      <c r="A219" s="46" t="s">
        <v>159</v>
      </c>
      <c r="B219" s="58" t="s">
        <v>158</v>
      </c>
      <c r="C219" s="59"/>
      <c r="D219" s="59"/>
      <c r="E219" s="59"/>
      <c r="F219" s="59"/>
      <c r="G219" s="59"/>
      <c r="H219" s="60"/>
    </row>
    <row r="220" spans="1:14" s="35" customFormat="1" x14ac:dyDescent="0.35">
      <c r="A220" s="46" t="s">
        <v>159</v>
      </c>
      <c r="B220" s="58" t="s">
        <v>130</v>
      </c>
      <c r="C220" s="59"/>
      <c r="D220" s="59"/>
      <c r="E220" s="59"/>
      <c r="F220" s="59"/>
      <c r="G220" s="59"/>
      <c r="H220" s="60"/>
    </row>
    <row r="221" spans="1:14" s="35" customFormat="1" ht="34.5" customHeight="1" x14ac:dyDescent="0.35">
      <c r="A221" s="46" t="s">
        <v>159</v>
      </c>
      <c r="B221" s="58" t="s">
        <v>160</v>
      </c>
      <c r="C221" s="59"/>
      <c r="D221" s="59"/>
      <c r="E221" s="59"/>
      <c r="F221" s="59"/>
      <c r="G221" s="59"/>
      <c r="H221" s="60"/>
    </row>
    <row r="222" spans="1:14" s="35" customFormat="1" x14ac:dyDescent="0.35">
      <c r="A222" s="46" t="s">
        <v>159</v>
      </c>
      <c r="B222" s="58" t="s">
        <v>131</v>
      </c>
      <c r="C222" s="59"/>
      <c r="D222" s="59"/>
      <c r="E222" s="59"/>
      <c r="F222" s="59"/>
      <c r="G222" s="59"/>
      <c r="H222" s="60"/>
    </row>
    <row r="223" spans="1:14" s="35" customFormat="1" x14ac:dyDescent="0.35">
      <c r="A223" s="46" t="s">
        <v>159</v>
      </c>
      <c r="B223" s="58" t="s">
        <v>219</v>
      </c>
      <c r="C223" s="59"/>
      <c r="D223" s="59"/>
      <c r="E223" s="59"/>
      <c r="F223" s="59"/>
      <c r="G223" s="59"/>
      <c r="H223" s="60"/>
    </row>
    <row r="224" spans="1:14" x14ac:dyDescent="0.35">
      <c r="A224" s="104" t="s">
        <v>63</v>
      </c>
      <c r="B224" s="104"/>
      <c r="C224" s="104"/>
      <c r="D224" s="104"/>
      <c r="E224" s="104"/>
      <c r="F224" s="104"/>
      <c r="G224" s="104"/>
      <c r="H224" s="104"/>
    </row>
    <row r="225" spans="1:8" x14ac:dyDescent="0.35">
      <c r="A225" s="75" t="s">
        <v>64</v>
      </c>
      <c r="B225" s="75"/>
      <c r="C225" s="75"/>
      <c r="D225" s="75"/>
      <c r="E225" s="75"/>
      <c r="F225" s="75"/>
      <c r="G225" s="75"/>
      <c r="H225" s="75"/>
    </row>
    <row r="226" spans="1:8" ht="15.75" customHeight="1" x14ac:dyDescent="0.35">
      <c r="A226" s="76" t="s">
        <v>65</v>
      </c>
      <c r="B226" s="76"/>
      <c r="C226" s="76"/>
      <c r="D226" s="76"/>
      <c r="E226" s="76"/>
      <c r="F226" s="76"/>
      <c r="G226" s="76"/>
      <c r="H226" s="76"/>
    </row>
    <row r="227" spans="1:8" x14ac:dyDescent="0.35">
      <c r="A227" s="75" t="s">
        <v>66</v>
      </c>
      <c r="B227" s="75"/>
      <c r="C227" s="75"/>
      <c r="D227" s="75"/>
      <c r="E227" s="75"/>
      <c r="F227" s="75"/>
      <c r="G227" s="75"/>
      <c r="H227" s="75"/>
    </row>
    <row r="228" spans="1:8" x14ac:dyDescent="0.35">
      <c r="A228" s="75" t="s">
        <v>67</v>
      </c>
      <c r="B228" s="75"/>
      <c r="C228" s="75"/>
      <c r="D228" s="75"/>
      <c r="E228" s="75"/>
      <c r="F228" s="75"/>
      <c r="G228" s="75"/>
      <c r="H228" s="75"/>
    </row>
    <row r="229" spans="1:8" x14ac:dyDescent="0.35">
      <c r="A229" s="75" t="s">
        <v>132</v>
      </c>
      <c r="B229" s="75"/>
      <c r="C229" s="75"/>
      <c r="D229" s="75"/>
      <c r="E229" s="75"/>
      <c r="F229" s="75"/>
      <c r="G229" s="75"/>
      <c r="H229" s="75"/>
    </row>
    <row r="230" spans="1:8" x14ac:dyDescent="0.35">
      <c r="A230" s="105" t="s">
        <v>133</v>
      </c>
      <c r="B230" s="105"/>
      <c r="C230" s="105"/>
      <c r="D230" s="105"/>
      <c r="E230" s="105"/>
      <c r="F230" s="105"/>
      <c r="G230" s="105"/>
      <c r="H230" s="105"/>
    </row>
    <row r="231" spans="1:8" x14ac:dyDescent="0.35">
      <c r="A231" s="132" t="s">
        <v>80</v>
      </c>
      <c r="B231" s="132"/>
      <c r="C231" s="132" t="s">
        <v>224</v>
      </c>
      <c r="D231" s="132"/>
      <c r="E231" s="132" t="s">
        <v>110</v>
      </c>
      <c r="F231" s="132"/>
      <c r="G231" s="132" t="s">
        <v>228</v>
      </c>
      <c r="H231" s="132"/>
    </row>
    <row r="232" spans="1:8" x14ac:dyDescent="0.35">
      <c r="A232" s="131" t="s">
        <v>82</v>
      </c>
      <c r="B232" s="131"/>
      <c r="C232" s="131"/>
      <c r="D232" s="131"/>
      <c r="E232" s="131"/>
      <c r="F232" s="131"/>
      <c r="G232" s="131"/>
      <c r="H232" s="131"/>
    </row>
    <row r="233" spans="1:8" x14ac:dyDescent="0.35">
      <c r="A233" s="131"/>
      <c r="B233" s="131"/>
      <c r="C233" s="131"/>
      <c r="D233" s="131"/>
      <c r="E233" s="131"/>
      <c r="F233" s="131"/>
      <c r="G233" s="131"/>
      <c r="H233" s="131"/>
    </row>
    <row r="234" spans="1:8" x14ac:dyDescent="0.35">
      <c r="A234" s="131"/>
      <c r="B234" s="131"/>
      <c r="C234" s="131"/>
      <c r="D234" s="131"/>
      <c r="E234" s="131"/>
      <c r="F234" s="131"/>
      <c r="G234" s="131"/>
      <c r="H234" s="131"/>
    </row>
    <row r="235" spans="1:8" x14ac:dyDescent="0.35">
      <c r="A235" s="131"/>
      <c r="B235" s="131"/>
      <c r="C235" s="131"/>
      <c r="D235" s="131"/>
      <c r="E235" s="131"/>
      <c r="F235" s="131"/>
      <c r="G235" s="131"/>
      <c r="H235" s="131"/>
    </row>
    <row r="236" spans="1:8" x14ac:dyDescent="0.35">
      <c r="A236" s="38" t="s">
        <v>68</v>
      </c>
      <c r="B236" s="39"/>
      <c r="C236" s="39"/>
      <c r="D236" s="38" t="str">
        <f>E8</f>
        <v>Tulsi Aananta</v>
      </c>
      <c r="F236" s="39"/>
      <c r="G236" s="39"/>
      <c r="H236" s="39"/>
    </row>
    <row r="237" spans="1:8" x14ac:dyDescent="0.35">
      <c r="A237" s="39"/>
      <c r="B237" s="39"/>
      <c r="C237" s="39"/>
      <c r="D237" s="39"/>
      <c r="E237" s="39"/>
      <c r="F237" s="39"/>
      <c r="G237" s="39"/>
      <c r="H237" s="39"/>
    </row>
    <row r="238" spans="1:8" x14ac:dyDescent="0.35">
      <c r="A238" s="39"/>
      <c r="B238" s="39"/>
      <c r="C238" s="39"/>
      <c r="D238" s="39"/>
      <c r="E238" s="39"/>
      <c r="F238" s="39"/>
      <c r="G238" s="39"/>
      <c r="H238" s="39"/>
    </row>
    <row r="239" spans="1:8" ht="15" customHeight="1" x14ac:dyDescent="0.35"/>
    <row r="279" spans="1:8" x14ac:dyDescent="0.35">
      <c r="A279" s="41" t="s">
        <v>171</v>
      </c>
      <c r="B279" s="21"/>
      <c r="C279" s="21"/>
      <c r="D279" s="21"/>
      <c r="E279" s="21"/>
      <c r="F279" s="21"/>
      <c r="G279" s="21"/>
      <c r="H279" s="21"/>
    </row>
    <row r="322" spans="1:8" x14ac:dyDescent="0.35">
      <c r="A322" s="41" t="s">
        <v>69</v>
      </c>
      <c r="B322" s="21"/>
      <c r="C322" s="21"/>
      <c r="D322" s="21"/>
      <c r="E322" s="21"/>
      <c r="F322" s="21"/>
      <c r="G322" s="21"/>
      <c r="H322" s="21"/>
    </row>
  </sheetData>
  <mergeCells count="450">
    <mergeCell ref="A38:B38"/>
    <mergeCell ref="C38:H38"/>
    <mergeCell ref="B221:H221"/>
    <mergeCell ref="A47:B47"/>
    <mergeCell ref="C47:H47"/>
    <mergeCell ref="B219:H219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36:D137"/>
    <mergeCell ref="A113:E113"/>
    <mergeCell ref="A139:B139"/>
    <mergeCell ref="A140:B140"/>
    <mergeCell ref="A83:B83"/>
    <mergeCell ref="C83:H83"/>
    <mergeCell ref="A84:B84"/>
    <mergeCell ref="E84:F84"/>
    <mergeCell ref="G84:H84"/>
    <mergeCell ref="A115:E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F117:H117"/>
    <mergeCell ref="G98:H98"/>
    <mergeCell ref="A97:B97"/>
    <mergeCell ref="C97:H97"/>
    <mergeCell ref="A98:B98"/>
    <mergeCell ref="A114:E114"/>
    <mergeCell ref="E98:F98"/>
    <mergeCell ref="B217:H217"/>
    <mergeCell ref="B218:H218"/>
    <mergeCell ref="A213:H213"/>
    <mergeCell ref="C136:C137"/>
    <mergeCell ref="B144:B145"/>
    <mergeCell ref="A152:B152"/>
    <mergeCell ref="A149:B149"/>
    <mergeCell ref="A142:B142"/>
    <mergeCell ref="A141:B141"/>
    <mergeCell ref="A132:B132"/>
    <mergeCell ref="E132:F132"/>
    <mergeCell ref="B136:B137"/>
    <mergeCell ref="A136:A137"/>
    <mergeCell ref="C144:C145"/>
    <mergeCell ref="C132:D132"/>
    <mergeCell ref="A148:H148"/>
    <mergeCell ref="F119:H119"/>
    <mergeCell ref="F115:H115"/>
    <mergeCell ref="A44:D44"/>
    <mergeCell ref="L142:M142"/>
    <mergeCell ref="L141:M141"/>
    <mergeCell ref="L140:M140"/>
    <mergeCell ref="L139:M139"/>
    <mergeCell ref="A78:B78"/>
    <mergeCell ref="C130:D130"/>
    <mergeCell ref="E130:F130"/>
    <mergeCell ref="G130:H130"/>
    <mergeCell ref="F116:H116"/>
    <mergeCell ref="A110:E110"/>
    <mergeCell ref="A95:B95"/>
    <mergeCell ref="C95:H95"/>
    <mergeCell ref="A138:H138"/>
    <mergeCell ref="E136:E137"/>
    <mergeCell ref="G136:H137"/>
    <mergeCell ref="A85:B85"/>
    <mergeCell ref="E85:F94"/>
    <mergeCell ref="A92:B92"/>
    <mergeCell ref="A93:B93"/>
    <mergeCell ref="E99:F108"/>
    <mergeCell ref="F109:H109"/>
    <mergeCell ref="F114:H114"/>
    <mergeCell ref="A120:E120"/>
    <mergeCell ref="A36:H36"/>
    <mergeCell ref="A35:B35"/>
    <mergeCell ref="C35:E35"/>
    <mergeCell ref="G99:H108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37:B37"/>
    <mergeCell ref="C37:H37"/>
    <mergeCell ref="A43:D43"/>
    <mergeCell ref="F35:H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232:H235"/>
    <mergeCell ref="A231:B231"/>
    <mergeCell ref="E231:F231"/>
    <mergeCell ref="C231:D231"/>
    <mergeCell ref="G231:H231"/>
    <mergeCell ref="A123:H123"/>
    <mergeCell ref="A121:E121"/>
    <mergeCell ref="F121:H121"/>
    <mergeCell ref="A122:E122"/>
    <mergeCell ref="F122:H122"/>
    <mergeCell ref="A130:B130"/>
    <mergeCell ref="A125:B125"/>
    <mergeCell ref="A227:H227"/>
    <mergeCell ref="A128:H128"/>
    <mergeCell ref="A230:H230"/>
    <mergeCell ref="A228:H228"/>
    <mergeCell ref="A224:H224"/>
    <mergeCell ref="A94:B94"/>
    <mergeCell ref="A99:B99"/>
    <mergeCell ref="A225:H225"/>
    <mergeCell ref="E129:F129"/>
    <mergeCell ref="B223:H223"/>
    <mergeCell ref="G141:H141"/>
    <mergeCell ref="G139:H139"/>
    <mergeCell ref="G140:H140"/>
    <mergeCell ref="G142:H142"/>
    <mergeCell ref="B220:H220"/>
    <mergeCell ref="B216:H216"/>
    <mergeCell ref="A134:H134"/>
    <mergeCell ref="B214:H214"/>
    <mergeCell ref="B215:H215"/>
    <mergeCell ref="C129:D129"/>
    <mergeCell ref="G129:H129"/>
    <mergeCell ref="A143:H143"/>
    <mergeCell ref="A144:A145"/>
    <mergeCell ref="G132:H132"/>
    <mergeCell ref="A131:B131"/>
    <mergeCell ref="C131:D131"/>
    <mergeCell ref="E131:F131"/>
    <mergeCell ref="G131:H131"/>
    <mergeCell ref="A150:B150"/>
    <mergeCell ref="A163:B163"/>
    <mergeCell ref="A183:B183"/>
    <mergeCell ref="A119:E119"/>
    <mergeCell ref="C125:D125"/>
    <mergeCell ref="E125:F125"/>
    <mergeCell ref="A133:B133"/>
    <mergeCell ref="C133:D133"/>
    <mergeCell ref="E133:F133"/>
    <mergeCell ref="G133:H133"/>
    <mergeCell ref="E124:F124"/>
    <mergeCell ref="A124:B124"/>
    <mergeCell ref="A126:B126"/>
    <mergeCell ref="C126:D126"/>
    <mergeCell ref="E126:F126"/>
    <mergeCell ref="G126:H126"/>
    <mergeCell ref="A127:B127"/>
    <mergeCell ref="C127:D127"/>
    <mergeCell ref="E127:F127"/>
    <mergeCell ref="G127:H127"/>
    <mergeCell ref="A153:B153"/>
    <mergeCell ref="G48:H48"/>
    <mergeCell ref="G50:H5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C124:D124"/>
    <mergeCell ref="F120:H120"/>
    <mergeCell ref="F118:H118"/>
    <mergeCell ref="A135:H135"/>
    <mergeCell ref="G124:H124"/>
    <mergeCell ref="L151:M151"/>
    <mergeCell ref="A151:B151"/>
    <mergeCell ref="E41:H41"/>
    <mergeCell ref="A41:D41"/>
    <mergeCell ref="A229:H229"/>
    <mergeCell ref="A226:H226"/>
    <mergeCell ref="A129:B129"/>
    <mergeCell ref="D144:D145"/>
    <mergeCell ref="E144:E145"/>
    <mergeCell ref="G144:H145"/>
    <mergeCell ref="A89:B89"/>
    <mergeCell ref="A90:B90"/>
    <mergeCell ref="A91:B91"/>
    <mergeCell ref="A81:B81"/>
    <mergeCell ref="C81:H81"/>
    <mergeCell ref="A105:B105"/>
    <mergeCell ref="A76:B76"/>
    <mergeCell ref="F110:H110"/>
    <mergeCell ref="G125:H125"/>
    <mergeCell ref="A108:B108"/>
    <mergeCell ref="A48:B48"/>
    <mergeCell ref="C48:E48"/>
    <mergeCell ref="A147:H147"/>
    <mergeCell ref="A146:H146"/>
    <mergeCell ref="L165:M165"/>
    <mergeCell ref="A159:B159"/>
    <mergeCell ref="L159:M159"/>
    <mergeCell ref="A160:B160"/>
    <mergeCell ref="L160:M160"/>
    <mergeCell ref="A161:H161"/>
    <mergeCell ref="A162:B162"/>
    <mergeCell ref="L162:M162"/>
    <mergeCell ref="G149:H160"/>
    <mergeCell ref="A156:B156"/>
    <mergeCell ref="L156:M156"/>
    <mergeCell ref="A157:B157"/>
    <mergeCell ref="L157:M157"/>
    <mergeCell ref="A158:B158"/>
    <mergeCell ref="L158:M158"/>
    <mergeCell ref="L153:M153"/>
    <mergeCell ref="A154:B154"/>
    <mergeCell ref="L154:M154"/>
    <mergeCell ref="A155:B155"/>
    <mergeCell ref="C162:F162"/>
    <mergeCell ref="L155:M155"/>
    <mergeCell ref="L152:M152"/>
    <mergeCell ref="L149:M149"/>
    <mergeCell ref="L150:M150"/>
    <mergeCell ref="L183:M183"/>
    <mergeCell ref="A184:B184"/>
    <mergeCell ref="L184:M184"/>
    <mergeCell ref="A179:B179"/>
    <mergeCell ref="L179:M179"/>
    <mergeCell ref="A180:B180"/>
    <mergeCell ref="L180:M180"/>
    <mergeCell ref="A181:B181"/>
    <mergeCell ref="L181:M181"/>
    <mergeCell ref="G175:H186"/>
    <mergeCell ref="A175:B175"/>
    <mergeCell ref="L175:M175"/>
    <mergeCell ref="C175:F175"/>
    <mergeCell ref="C176:F176"/>
    <mergeCell ref="C177:F177"/>
    <mergeCell ref="C178:F178"/>
    <mergeCell ref="C179:F179"/>
    <mergeCell ref="C180:F180"/>
    <mergeCell ref="A182:B182"/>
    <mergeCell ref="L182:M182"/>
    <mergeCell ref="A176:B176"/>
    <mergeCell ref="L176:M176"/>
    <mergeCell ref="A177:B177"/>
    <mergeCell ref="L177:M177"/>
    <mergeCell ref="A178:B178"/>
    <mergeCell ref="L178:M178"/>
    <mergeCell ref="A172:B172"/>
    <mergeCell ref="L172:M172"/>
    <mergeCell ref="A173:B173"/>
    <mergeCell ref="L173:M173"/>
    <mergeCell ref="A174:H174"/>
    <mergeCell ref="G162:H173"/>
    <mergeCell ref="A169:B169"/>
    <mergeCell ref="L169:M169"/>
    <mergeCell ref="A170:B170"/>
    <mergeCell ref="L170:M170"/>
    <mergeCell ref="A171:B171"/>
    <mergeCell ref="L171:M171"/>
    <mergeCell ref="A166:B166"/>
    <mergeCell ref="L166:M166"/>
    <mergeCell ref="A167:B167"/>
    <mergeCell ref="L167:M167"/>
    <mergeCell ref="A168:B168"/>
    <mergeCell ref="L168:M168"/>
    <mergeCell ref="L163:M163"/>
    <mergeCell ref="A164:B164"/>
    <mergeCell ref="L164:M164"/>
    <mergeCell ref="A165:B165"/>
    <mergeCell ref="A187:H187"/>
    <mergeCell ref="A188:H188"/>
    <mergeCell ref="A189:H189"/>
    <mergeCell ref="A190:B190"/>
    <mergeCell ref="L190:M190"/>
    <mergeCell ref="A191:B191"/>
    <mergeCell ref="L191:M191"/>
    <mergeCell ref="A185:B185"/>
    <mergeCell ref="L185:M185"/>
    <mergeCell ref="A186:B186"/>
    <mergeCell ref="L186:M186"/>
    <mergeCell ref="A201:H201"/>
    <mergeCell ref="A202:B202"/>
    <mergeCell ref="L202:M202"/>
    <mergeCell ref="A203:B203"/>
    <mergeCell ref="L203:M203"/>
    <mergeCell ref="A198:B198"/>
    <mergeCell ref="L198:M198"/>
    <mergeCell ref="A199:B199"/>
    <mergeCell ref="L199:M199"/>
    <mergeCell ref="A200:B200"/>
    <mergeCell ref="L200:M200"/>
    <mergeCell ref="G190:H200"/>
    <mergeCell ref="A195:B195"/>
    <mergeCell ref="L195:M195"/>
    <mergeCell ref="A196:B196"/>
    <mergeCell ref="L196:M196"/>
    <mergeCell ref="A197:B197"/>
    <mergeCell ref="L197:M197"/>
    <mergeCell ref="A192:B192"/>
    <mergeCell ref="L192:M192"/>
    <mergeCell ref="A193:B193"/>
    <mergeCell ref="L193:M193"/>
    <mergeCell ref="A194:B194"/>
    <mergeCell ref="L194:M194"/>
    <mergeCell ref="B222:H222"/>
    <mergeCell ref="A210:B210"/>
    <mergeCell ref="L210:M210"/>
    <mergeCell ref="A211:B211"/>
    <mergeCell ref="L211:M211"/>
    <mergeCell ref="A212:B212"/>
    <mergeCell ref="L212:M212"/>
    <mergeCell ref="C212:F212"/>
    <mergeCell ref="G202:H212"/>
    <mergeCell ref="A207:B207"/>
    <mergeCell ref="L207:M207"/>
    <mergeCell ref="A208:B208"/>
    <mergeCell ref="L208:M208"/>
    <mergeCell ref="A209:B209"/>
    <mergeCell ref="L209:M209"/>
    <mergeCell ref="A204:B204"/>
    <mergeCell ref="L204:M204"/>
    <mergeCell ref="A205:B205"/>
    <mergeCell ref="L205:M205"/>
    <mergeCell ref="A206:B206"/>
    <mergeCell ref="L206:M206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235" max="16383" man="1"/>
    <brk id="278" max="16383" man="1"/>
    <brk id="32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4" t="s">
        <v>111</v>
      </c>
      <c r="C3" s="184"/>
      <c r="D3" s="184"/>
      <c r="E3" s="184"/>
      <c r="F3" s="184"/>
      <c r="G3" s="184"/>
      <c r="H3" s="184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2025-04-10T02:03:25Z</cp:lastPrinted>
  <dcterms:created xsi:type="dcterms:W3CDTF">2019-07-16T09:29:46Z</dcterms:created>
  <dcterms:modified xsi:type="dcterms:W3CDTF">2025-07-09T13:59:33Z</dcterms:modified>
</cp:coreProperties>
</file>